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mc:AlternateContent xmlns:mc="http://schemas.openxmlformats.org/markup-compatibility/2006">
    <mc:Choice Requires="x15">
      <x15ac:absPath xmlns:x15ac="http://schemas.microsoft.com/office/spreadsheetml/2010/11/ac" url="https://produce365-my.sharepoint.com/personal/mosorio_produce_gob_pe/Documents/001. MARCO OSORIO/2024/CAMBIO CLIMATICO/RAGEI/RAGEI 2021/ARI 2021/"/>
    </mc:Choice>
  </mc:AlternateContent>
  <xr:revisionPtr revIDLastSave="0" documentId="8_{18C7605E-4395-46C4-8DEA-093B35C674AA}" xr6:coauthVersionLast="36" xr6:coauthVersionMax="36" xr10:uidLastSave="{00000000-0000-0000-0000-000000000000}"/>
  <bookViews>
    <workbookView xWindow="0" yWindow="0" windowWidth="28800" windowHeight="10725" tabRatio="786" firstSheet="6" activeTab="9" xr2:uid="{00000000-000D-0000-FFFF-FFFF00000000}"/>
  </bookViews>
  <sheets>
    <sheet name="Instrucciones" sheetId="1" r:id="rId1"/>
    <sheet name="Características datos" sheetId="2" r:id="rId2"/>
    <sheet name="IB 5D2-(MYPE_I)(Pesca_A)_2021" sheetId="86" r:id="rId3"/>
    <sheet name="IB 5D2 - Tipos de tratamiento" sheetId="78" r:id="rId4"/>
    <sheet name="IP 5D2 2021" sheetId="87" r:id="rId5"/>
    <sheet name="IP 5D2 FETipos de tratamiento" sheetId="79" r:id="rId6"/>
    <sheet name="Fac Conv" sheetId="22" r:id="rId7"/>
    <sheet name="GEI SERIE ANUAL" sheetId="24" r:id="rId8"/>
    <sheet name="PGEI" sheetId="88" r:id="rId9"/>
    <sheet name="RESULTADOS" sheetId="11" r:id="rId10"/>
    <sheet name="Incertidumbre" sheetId="81" r:id="rId11"/>
    <sheet name="Valores Incertidumbre" sheetId="82" r:id="rId12"/>
    <sheet name="Table5.D(2021)" sheetId="9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x" localSheetId="2">#REF!</definedName>
    <definedName name="\x" localSheetId="4">#REF!</definedName>
    <definedName name="\x" localSheetId="8">#REF!</definedName>
    <definedName name="\x" localSheetId="12">#REF!</definedName>
    <definedName name="\x">#REF!</definedName>
    <definedName name="_">'[1]Tier 1 CH4  EFs'!$L$7:$M$60</definedName>
    <definedName name="____W.O.R.K.B.O.O.K..C.O.N.T.E.N.T.S____" localSheetId="12">#REF!</definedName>
    <definedName name="____W.O.R.K.B.O.O.K..C.O.N.T.E.N.T.S____">#REF!</definedName>
    <definedName name="__123Graph_A" localSheetId="2" hidden="1">'[2]Import. Autos (Datos)'!#REF!</definedName>
    <definedName name="__123Graph_A" localSheetId="4" hidden="1">'[2]Import. Autos (Datos)'!#REF!</definedName>
    <definedName name="__123Graph_A" localSheetId="12" hidden="1">'[2]Import. Autos (Datos)'!#REF!</definedName>
    <definedName name="__123Graph_A" hidden="1">'[2]Import. Autos (Datos)'!#REF!</definedName>
    <definedName name="__123Graph_ACurrent" localSheetId="2" hidden="1">'[2]Import. Autos (Datos)'!#REF!</definedName>
    <definedName name="__123Graph_ACurrent" localSheetId="4" hidden="1">'[2]Import. Autos (Datos)'!#REF!</definedName>
    <definedName name="__123Graph_ACurrent" localSheetId="12" hidden="1">'[2]Import. Autos (Datos)'!#REF!</definedName>
    <definedName name="__123Graph_ACurrent" hidden="1">'[2]Import. Autos (Datos)'!#REF!</definedName>
    <definedName name="__123Graph_B" localSheetId="2" hidden="1">'[2]Import. Autos (Datos)'!#REF!</definedName>
    <definedName name="__123Graph_B" localSheetId="4" hidden="1">'[2]Import. Autos (Datos)'!#REF!</definedName>
    <definedName name="__123Graph_B" localSheetId="12" hidden="1">'[2]Import. Autos (Datos)'!#REF!</definedName>
    <definedName name="__123Graph_B" hidden="1">'[2]Import. Autos (Datos)'!#REF!</definedName>
    <definedName name="__123Graph_BCurrent" localSheetId="2" hidden="1">'[2]Import. Autos (Datos)'!#REF!</definedName>
    <definedName name="__123Graph_BCurrent" localSheetId="4" hidden="1">'[2]Import. Autos (Datos)'!#REF!</definedName>
    <definedName name="__123Graph_BCurrent" localSheetId="12" hidden="1">'[2]Import. Autos (Datos)'!#REF!</definedName>
    <definedName name="__123Graph_BCurrent" hidden="1">'[2]Import. Autos (Datos)'!#REF!</definedName>
    <definedName name="__123Graph_C" localSheetId="2" hidden="1">'[2]Import. Comer. (Datos)'!#REF!</definedName>
    <definedName name="__123Graph_C" localSheetId="4" hidden="1">'[2]Import. Comer. (Datos)'!#REF!</definedName>
    <definedName name="__123Graph_C" localSheetId="12" hidden="1">'[2]Import. Comer. (Datos)'!#REF!</definedName>
    <definedName name="__123Graph_C" hidden="1">'[2]Import. Comer. (Datos)'!#REF!</definedName>
    <definedName name="__123Graph_CChart1" localSheetId="2" hidden="1">'[2]Import. Comer. (Datos)'!#REF!</definedName>
    <definedName name="__123Graph_CChart1" localSheetId="4" hidden="1">'[2]Import. Comer. (Datos)'!#REF!</definedName>
    <definedName name="__123Graph_CChart1" localSheetId="12" hidden="1">'[2]Import. Comer. (Datos)'!#REF!</definedName>
    <definedName name="__123Graph_CChart1" hidden="1">'[2]Import. Comer. (Datos)'!#REF!</definedName>
    <definedName name="__123Graph_CChart2" localSheetId="2" hidden="1">'[2]Import. Comer. (Datos)'!#REF!</definedName>
    <definedName name="__123Graph_CChart2" localSheetId="4" hidden="1">'[2]Import. Comer. (Datos)'!#REF!</definedName>
    <definedName name="__123Graph_CChart2" localSheetId="12" hidden="1">'[2]Import. Comer. (Datos)'!#REF!</definedName>
    <definedName name="__123Graph_CChart2" hidden="1">'[2]Import. Comer. (Datos)'!#REF!</definedName>
    <definedName name="__123Graph_CCurrent" localSheetId="2" hidden="1">'[2]Import. Comer. (Datos)'!#REF!</definedName>
    <definedName name="__123Graph_CCurrent" localSheetId="4" hidden="1">'[2]Import. Comer. (Datos)'!#REF!</definedName>
    <definedName name="__123Graph_CCurrent" localSheetId="12" hidden="1">'[2]Import. Comer. (Datos)'!#REF!</definedName>
    <definedName name="__123Graph_CCurrent" hidden="1">'[2]Import. Comer. (Datos)'!#REF!</definedName>
    <definedName name="__123Graph_D" localSheetId="2" hidden="1">'[2]Import. Comer. (Datos)'!#REF!</definedName>
    <definedName name="__123Graph_D" localSheetId="4" hidden="1">'[2]Import. Comer. (Datos)'!#REF!</definedName>
    <definedName name="__123Graph_D" localSheetId="12" hidden="1">'[2]Import. Comer. (Datos)'!#REF!</definedName>
    <definedName name="__123Graph_D" hidden="1">'[2]Import. Comer. (Datos)'!#REF!</definedName>
    <definedName name="__123Graph_DChart1" localSheetId="2" hidden="1">'[2]Import. Comer. (Datos)'!#REF!</definedName>
    <definedName name="__123Graph_DChart1" localSheetId="4" hidden="1">'[2]Import. Comer. (Datos)'!#REF!</definedName>
    <definedName name="__123Graph_DChart1" localSheetId="12" hidden="1">'[2]Import. Comer. (Datos)'!#REF!</definedName>
    <definedName name="__123Graph_DChart1" hidden="1">'[2]Import. Comer. (Datos)'!#REF!</definedName>
    <definedName name="__123Graph_DChart2" localSheetId="2" hidden="1">'[2]Import. Comer. (Datos)'!#REF!</definedName>
    <definedName name="__123Graph_DChart2" localSheetId="4" hidden="1">'[2]Import. Comer. (Datos)'!#REF!</definedName>
    <definedName name="__123Graph_DChart2" localSheetId="12" hidden="1">'[2]Import. Comer. (Datos)'!#REF!</definedName>
    <definedName name="__123Graph_DChart2" hidden="1">'[2]Import. Comer. (Datos)'!#REF!</definedName>
    <definedName name="__123Graph_DCurrent" localSheetId="2" hidden="1">'[2]Import. Comer. (Datos)'!#REF!</definedName>
    <definedName name="__123Graph_DCurrent" localSheetId="4" hidden="1">'[2]Import. Comer. (Datos)'!#REF!</definedName>
    <definedName name="__123Graph_DCurrent" localSheetId="12" hidden="1">'[2]Import. Comer. (Datos)'!#REF!</definedName>
    <definedName name="__123Graph_DCurrent" hidden="1">'[2]Import. Comer. (Datos)'!#REF!</definedName>
    <definedName name="__123Graph_X" localSheetId="2" hidden="1">'[2]Import. Autos (Datos)'!#REF!</definedName>
    <definedName name="__123Graph_X" localSheetId="4" hidden="1">'[2]Import. Autos (Datos)'!#REF!</definedName>
    <definedName name="__123Graph_X" localSheetId="12" hidden="1">'[2]Import. Autos (Datos)'!#REF!</definedName>
    <definedName name="__123Graph_X" hidden="1">'[2]Import. Autos (Datos)'!#REF!</definedName>
    <definedName name="__123Graph_XCurrent" localSheetId="2" hidden="1">'[2]Import. Autos (Datos)'!#REF!</definedName>
    <definedName name="__123Graph_XCurrent" localSheetId="4" hidden="1">'[2]Import. Autos (Datos)'!#REF!</definedName>
    <definedName name="__123Graph_XCurrent" localSheetId="12" hidden="1">'[2]Import. Autos (Datos)'!#REF!</definedName>
    <definedName name="__123Graph_XCurrent" hidden="1">'[2]Import. Autos (Datos)'!#REF!</definedName>
    <definedName name="_CRE2" localSheetId="2">#REF!</definedName>
    <definedName name="_CRE2" localSheetId="4">#REF!</definedName>
    <definedName name="_CRE2" localSheetId="8">#REF!</definedName>
    <definedName name="_CRE2" localSheetId="12">#REF!</definedName>
    <definedName name="_CRE2">#REF!</definedName>
    <definedName name="_xlnm._FilterDatabase" localSheetId="2" hidden="1">'IB 5D2-(MYPE_I)(Pesca_A)_2021'!$C$14:$AK$120</definedName>
    <definedName name="_xlnm._FilterDatabase" localSheetId="0" hidden="1">Instrucciones!$B$58:$C$58</definedName>
    <definedName name="_xlnm._FilterDatabase" localSheetId="4" hidden="1">'IP 5D2 2021'!$A$12:$CF$99</definedName>
    <definedName name="_gam1" localSheetId="2">#REF!</definedName>
    <definedName name="_gam1" localSheetId="4">#REF!</definedName>
    <definedName name="_gam1" localSheetId="12">#REF!</definedName>
    <definedName name="_gam1">#REF!</definedName>
    <definedName name="_gam3" localSheetId="2">#REF!</definedName>
    <definedName name="_gam3" localSheetId="4">#REF!</definedName>
    <definedName name="_gam3" localSheetId="12">#REF!</definedName>
    <definedName name="_gam3">#REF!</definedName>
    <definedName name="_Order1" hidden="1">0</definedName>
    <definedName name="_RCC10" localSheetId="2">#REF!</definedName>
    <definedName name="_RCC10" localSheetId="4">#REF!</definedName>
    <definedName name="_RCC10" localSheetId="8">#REF!</definedName>
    <definedName name="_RCC10" localSheetId="12">#REF!</definedName>
    <definedName name="_RCC10">#REF!</definedName>
    <definedName name="_RCC11" localSheetId="2">#REF!</definedName>
    <definedName name="_RCC11" localSheetId="4">#REF!</definedName>
    <definedName name="_RCC11" localSheetId="8">#REF!</definedName>
    <definedName name="_RCC11" localSheetId="12">#REF!</definedName>
    <definedName name="_RCC11">#REF!</definedName>
    <definedName name="_RCC12" localSheetId="2">#REF!</definedName>
    <definedName name="_RCC12" localSheetId="4">#REF!</definedName>
    <definedName name="_RCC12" localSheetId="8">#REF!</definedName>
    <definedName name="_RCC12" localSheetId="12">#REF!</definedName>
    <definedName name="_RCC12">#REF!</definedName>
    <definedName name="_RCC13" localSheetId="2">#REF!</definedName>
    <definedName name="_RCC13" localSheetId="4">#REF!</definedName>
    <definedName name="_RCC13" localSheetId="8">#REF!</definedName>
    <definedName name="_RCC13" localSheetId="12">#REF!</definedName>
    <definedName name="_RCC13">#REF!</definedName>
    <definedName name="_RCC15" localSheetId="2">#REF!</definedName>
    <definedName name="_RCC15" localSheetId="4">#REF!</definedName>
    <definedName name="_RCC15" localSheetId="8">#REF!</definedName>
    <definedName name="_RCC15" localSheetId="12">#REF!</definedName>
    <definedName name="_RCC15">#REF!</definedName>
    <definedName name="_RCC16" localSheetId="2">#REF!</definedName>
    <definedName name="_RCC16" localSheetId="4">#REF!</definedName>
    <definedName name="_RCC16" localSheetId="8">#REF!</definedName>
    <definedName name="_RCC16" localSheetId="12">#REF!</definedName>
    <definedName name="_RCC16">#REF!</definedName>
    <definedName name="_RCC19" localSheetId="2">#REF!</definedName>
    <definedName name="_RCC19" localSheetId="4">#REF!</definedName>
    <definedName name="_RCC19" localSheetId="8">#REF!</definedName>
    <definedName name="_RCC19" localSheetId="12">#REF!</definedName>
    <definedName name="_RCC19">#REF!</definedName>
    <definedName name="_RCC20" localSheetId="2">#REF!</definedName>
    <definedName name="_RCC20" localSheetId="4">#REF!</definedName>
    <definedName name="_RCC20" localSheetId="8">#REF!</definedName>
    <definedName name="_RCC20" localSheetId="12">#REF!</definedName>
    <definedName name="_RCC20">#REF!</definedName>
    <definedName name="_RCC21" localSheetId="2">#REF!</definedName>
    <definedName name="_RCC21" localSheetId="4">#REF!</definedName>
    <definedName name="_RCC21" localSheetId="8">#REF!</definedName>
    <definedName name="_RCC21" localSheetId="12">#REF!</definedName>
    <definedName name="_RCC21">#REF!</definedName>
    <definedName name="_RCC33" localSheetId="2">#REF!</definedName>
    <definedName name="_RCC33" localSheetId="4">#REF!</definedName>
    <definedName name="_RCC33" localSheetId="8">#REF!</definedName>
    <definedName name="_RCC33" localSheetId="12">#REF!</definedName>
    <definedName name="_RCC33">#REF!</definedName>
    <definedName name="_RCC4" localSheetId="2">#REF!</definedName>
    <definedName name="_RCC4" localSheetId="4">#REF!</definedName>
    <definedName name="_RCC4" localSheetId="8">#REF!</definedName>
    <definedName name="_RCC4" localSheetId="12">#REF!</definedName>
    <definedName name="_RCC4">#REF!</definedName>
    <definedName name="_RCC5" localSheetId="2">#REF!</definedName>
    <definedName name="_RCC5" localSheetId="4">#REF!</definedName>
    <definedName name="_RCC5" localSheetId="8">#REF!</definedName>
    <definedName name="_RCC5" localSheetId="12">#REF!</definedName>
    <definedName name="_RCC5">#REF!</definedName>
    <definedName name="_RCC6" localSheetId="2">#REF!</definedName>
    <definedName name="_RCC6" localSheetId="4">#REF!</definedName>
    <definedName name="_RCC6" localSheetId="8">#REF!</definedName>
    <definedName name="_RCC6" localSheetId="12">#REF!</definedName>
    <definedName name="_RCC6">#REF!</definedName>
    <definedName name="_RCC7" localSheetId="2">#REF!</definedName>
    <definedName name="_RCC7" localSheetId="4">#REF!</definedName>
    <definedName name="_RCC7" localSheetId="8">#REF!</definedName>
    <definedName name="_RCC7" localSheetId="12">#REF!</definedName>
    <definedName name="_RCC7">#REF!</definedName>
    <definedName name="_RCC8" localSheetId="2">#REF!</definedName>
    <definedName name="_RCC8" localSheetId="4">#REF!</definedName>
    <definedName name="_RCC8" localSheetId="8">#REF!</definedName>
    <definedName name="_RCC8" localSheetId="12">#REF!</definedName>
    <definedName name="_RCC8">#REF!</definedName>
    <definedName name="_RCC9" localSheetId="2">#REF!</definedName>
    <definedName name="_RCC9" localSheetId="4">#REF!</definedName>
    <definedName name="_RCC9" localSheetId="8">#REF!</definedName>
    <definedName name="_RCC9" localSheetId="12">#REF!</definedName>
    <definedName name="_RCC9">#REF!</definedName>
    <definedName name="_RCC98" localSheetId="2">#REF!</definedName>
    <definedName name="_RCC98" localSheetId="4">#REF!</definedName>
    <definedName name="_RCC98" localSheetId="8">#REF!</definedName>
    <definedName name="_RCC98" localSheetId="12">#REF!</definedName>
    <definedName name="_RCC98">#REF!</definedName>
    <definedName name="_RCC99" localSheetId="2">#REF!</definedName>
    <definedName name="_RCC99" localSheetId="4">#REF!</definedName>
    <definedName name="_RCC99" localSheetId="8">#REF!</definedName>
    <definedName name="_RCC99" localSheetId="12">#REF!</definedName>
    <definedName name="_RCC99">#REF!</definedName>
    <definedName name="A" localSheetId="2" hidden="1">'[2]Import. Autos (Datos)'!#REF!</definedName>
    <definedName name="A" localSheetId="4" hidden="1">'[2]Import. Autos (Datos)'!#REF!</definedName>
    <definedName name="A" localSheetId="12" hidden="1">'[2]Import. Autos (Datos)'!#REF!</definedName>
    <definedName name="A" hidden="1">'[2]Import. Autos (Datos)'!#REF!</definedName>
    <definedName name="ac_qdr_8">'[3]LISTAS DROP DOWN'!$Q$4:$Q$5</definedName>
    <definedName name="actualFuelNames" localSheetId="2">[1]General_listings!#REF!</definedName>
    <definedName name="actualFuelNames" localSheetId="4">[1]General_listings!#REF!</definedName>
    <definedName name="actualFuelNames" localSheetId="12">[1]General_listings!#REF!</definedName>
    <definedName name="actualFuelNames">[1]General_listings!#REF!</definedName>
    <definedName name="Agriculture">'[1]Tier 1 CH4  EFs'!$N$7:$O$60</definedName>
    <definedName name="AgricultureN2O">'[1]Tier 1 N2O  EFs (2)'!$N$7:$O$60</definedName>
    <definedName name="alpha" localSheetId="2">#REF!</definedName>
    <definedName name="alpha" localSheetId="4">#REF!</definedName>
    <definedName name="alpha" localSheetId="12">#REF!</definedName>
    <definedName name="alpha">#REF!</definedName>
    <definedName name="alphaf" localSheetId="2">#REF!</definedName>
    <definedName name="alphaf" localSheetId="4">#REF!</definedName>
    <definedName name="alphaf" localSheetId="12">#REF!</definedName>
    <definedName name="alphaf">#REF!</definedName>
    <definedName name="ANEXO41" localSheetId="2">#REF!</definedName>
    <definedName name="ANEXO41" localSheetId="4">#REF!</definedName>
    <definedName name="ANEXO41" localSheetId="8">#REF!</definedName>
    <definedName name="ANEXO41" localSheetId="12">#REF!</definedName>
    <definedName name="ANEXO41">#REF!</definedName>
    <definedName name="ANEXO42" localSheetId="2">#REF!</definedName>
    <definedName name="ANEXO42" localSheetId="4">#REF!</definedName>
    <definedName name="ANEXO42" localSheetId="8">#REF!</definedName>
    <definedName name="ANEXO42" localSheetId="12">#REF!</definedName>
    <definedName name="ANEXO42">#REF!</definedName>
    <definedName name="ANEXO43" localSheetId="2">#REF!</definedName>
    <definedName name="ANEXO43" localSheetId="4">#REF!</definedName>
    <definedName name="ANEXO43" localSheetId="8">#REF!</definedName>
    <definedName name="ANEXO43" localSheetId="12">#REF!</definedName>
    <definedName name="ANEXO43">#REF!</definedName>
    <definedName name="ANEXO44" localSheetId="2">#REF!</definedName>
    <definedName name="ANEXO44" localSheetId="4">#REF!</definedName>
    <definedName name="ANEXO44" localSheetId="8">#REF!</definedName>
    <definedName name="ANEXO44" localSheetId="12">#REF!</definedName>
    <definedName name="ANEXO44">#REF!</definedName>
    <definedName name="ANEXO45" localSheetId="2">#REF!</definedName>
    <definedName name="ANEXO45" localSheetId="4">#REF!</definedName>
    <definedName name="ANEXO45" localSheetId="8">#REF!</definedName>
    <definedName name="ANEXO45" localSheetId="12">#REF!</definedName>
    <definedName name="ANEXO45">#REF!</definedName>
    <definedName name="ANEXO49" localSheetId="2">#REF!</definedName>
    <definedName name="ANEXO49" localSheetId="4">#REF!</definedName>
    <definedName name="ANEXO49" localSheetId="8">#REF!</definedName>
    <definedName name="ANEXO49" localSheetId="12">#REF!</definedName>
    <definedName name="ANEXO49">#REF!</definedName>
    <definedName name="_xlnm.Print_Area" localSheetId="12">'Table5.D(2021)'!$B$1:$O$33</definedName>
    <definedName name="AreaReg_1101" localSheetId="2">[4]Directorio!#REF!</definedName>
    <definedName name="AreaReg_1101" localSheetId="4">[4]Directorio!#REF!</definedName>
    <definedName name="AreaReg_1101" localSheetId="12">[4]Directorio!#REF!</definedName>
    <definedName name="AreaReg_1101">[4]Directorio!#REF!</definedName>
    <definedName name="AreaReg_1102" localSheetId="2">[4]Directorio!#REF!</definedName>
    <definedName name="AreaReg_1102" localSheetId="4">[4]Directorio!#REF!</definedName>
    <definedName name="AreaReg_1102" localSheetId="12">[4]Directorio!#REF!</definedName>
    <definedName name="AreaReg_1102">[4]Directorio!#REF!</definedName>
    <definedName name="AreaReg_1103" localSheetId="2">[4]Directorio!#REF!</definedName>
    <definedName name="AreaReg_1103" localSheetId="4">[4]Directorio!#REF!</definedName>
    <definedName name="AreaReg_1103" localSheetId="12">[4]Directorio!#REF!</definedName>
    <definedName name="AreaReg_1103">[4]Directorio!#REF!</definedName>
    <definedName name="AreaReg_1104" localSheetId="2">[4]Directorio!#REF!</definedName>
    <definedName name="AreaReg_1104" localSheetId="4">[4]Directorio!#REF!</definedName>
    <definedName name="AreaReg_1104" localSheetId="12">[4]Directorio!#REF!</definedName>
    <definedName name="AreaReg_1104">[4]Directorio!#REF!</definedName>
    <definedName name="AreaReg_1105" localSheetId="2">[4]Directorio!#REF!</definedName>
    <definedName name="AreaReg_1105" localSheetId="4">[4]Directorio!#REF!</definedName>
    <definedName name="AreaReg_1105" localSheetId="12">[4]Directorio!#REF!</definedName>
    <definedName name="AreaReg_1105">[4]Directorio!#REF!</definedName>
    <definedName name="AreaReg_1201" localSheetId="2">[4]Directorio!#REF!</definedName>
    <definedName name="AreaReg_1201" localSheetId="4">[4]Directorio!#REF!</definedName>
    <definedName name="AreaReg_1201" localSheetId="12">[4]Directorio!#REF!</definedName>
    <definedName name="AreaReg_1201">[4]Directorio!#REF!</definedName>
    <definedName name="AreaReg_1202" localSheetId="2">[4]Directorio!#REF!</definedName>
    <definedName name="AreaReg_1202" localSheetId="4">[4]Directorio!#REF!</definedName>
    <definedName name="AreaReg_1202" localSheetId="12">[4]Directorio!#REF!</definedName>
    <definedName name="AreaReg_1202">[4]Directorio!#REF!</definedName>
    <definedName name="AreaReg_1203" localSheetId="2">[4]Directorio!#REF!</definedName>
    <definedName name="AreaReg_1203" localSheetId="4">[4]Directorio!#REF!</definedName>
    <definedName name="AreaReg_1203" localSheetId="12">[4]Directorio!#REF!</definedName>
    <definedName name="AreaReg_1203">[4]Directorio!#REF!</definedName>
    <definedName name="AreaReg_1204" localSheetId="2">[4]Directorio!#REF!</definedName>
    <definedName name="AreaReg_1204" localSheetId="4">[4]Directorio!#REF!</definedName>
    <definedName name="AreaReg_1204" localSheetId="12">[4]Directorio!#REF!</definedName>
    <definedName name="AreaReg_1204">[4]Directorio!#REF!</definedName>
    <definedName name="AreaReg_1301" localSheetId="2">[4]Directorio!#REF!</definedName>
    <definedName name="AreaReg_1301" localSheetId="4">[4]Directorio!#REF!</definedName>
    <definedName name="AreaReg_1301" localSheetId="12">[4]Directorio!#REF!</definedName>
    <definedName name="AreaReg_1301">[4]Directorio!#REF!</definedName>
    <definedName name="AreaReg_1302" localSheetId="2">[4]Directorio!#REF!</definedName>
    <definedName name="AreaReg_1302" localSheetId="4">[4]Directorio!#REF!</definedName>
    <definedName name="AreaReg_1302" localSheetId="12">[4]Directorio!#REF!</definedName>
    <definedName name="AreaReg_1302">[4]Directorio!#REF!</definedName>
    <definedName name="AreaReg_1303" localSheetId="2">[4]Directorio!#REF!</definedName>
    <definedName name="AreaReg_1303" localSheetId="4">[4]Directorio!#REF!</definedName>
    <definedName name="AreaReg_1303" localSheetId="12">[4]Directorio!#REF!</definedName>
    <definedName name="AreaReg_1303">[4]Directorio!#REF!</definedName>
    <definedName name="AreaReg_1304" localSheetId="2">[4]Directorio!#REF!</definedName>
    <definedName name="AreaReg_1304" localSheetId="4">[4]Directorio!#REF!</definedName>
    <definedName name="AreaReg_1304" localSheetId="12">[4]Directorio!#REF!</definedName>
    <definedName name="AreaReg_1304">[4]Directorio!#REF!</definedName>
    <definedName name="AreaReg_1305" localSheetId="2">[4]Directorio!#REF!</definedName>
    <definedName name="AreaReg_1305" localSheetId="4">[4]Directorio!#REF!</definedName>
    <definedName name="AreaReg_1305" localSheetId="12">[4]Directorio!#REF!</definedName>
    <definedName name="AreaReg_1305">[4]Directorio!#REF!</definedName>
    <definedName name="AreaReg_1401" localSheetId="2">[4]Directorio!#REF!</definedName>
    <definedName name="AreaReg_1401" localSheetId="4">[4]Directorio!#REF!</definedName>
    <definedName name="AreaReg_1401" localSheetId="12">[4]Directorio!#REF!</definedName>
    <definedName name="AreaReg_1401">[4]Directorio!#REF!</definedName>
    <definedName name="AreaReg_1402" localSheetId="2">[4]Directorio!#REF!</definedName>
    <definedName name="AreaReg_1402" localSheetId="4">[4]Directorio!#REF!</definedName>
    <definedName name="AreaReg_1402" localSheetId="12">[4]Directorio!#REF!</definedName>
    <definedName name="AreaReg_1402">[4]Directorio!#REF!</definedName>
    <definedName name="AreaReg_1403" localSheetId="2">[4]Directorio!#REF!</definedName>
    <definedName name="AreaReg_1403" localSheetId="4">[4]Directorio!#REF!</definedName>
    <definedName name="AreaReg_1403" localSheetId="12">[4]Directorio!#REF!</definedName>
    <definedName name="AreaReg_1403">[4]Directorio!#REF!</definedName>
    <definedName name="AreaReg_1404" localSheetId="2">[4]Directorio!#REF!</definedName>
    <definedName name="AreaReg_1404" localSheetId="4">[4]Directorio!#REF!</definedName>
    <definedName name="AreaReg_1404" localSheetId="12">[4]Directorio!#REF!</definedName>
    <definedName name="AreaReg_1404">[4]Directorio!#REF!</definedName>
    <definedName name="AreaReg_5101" localSheetId="2">[4]Directorio!#REF!</definedName>
    <definedName name="AreaReg_5101" localSheetId="4">[4]Directorio!#REF!</definedName>
    <definedName name="AreaReg_5101" localSheetId="12">[4]Directorio!#REF!</definedName>
    <definedName name="AreaReg_5101">[4]Directorio!#REF!</definedName>
    <definedName name="AreaReg_5102" localSheetId="2">[4]Directorio!#REF!</definedName>
    <definedName name="AreaReg_5102" localSheetId="4">[4]Directorio!#REF!</definedName>
    <definedName name="AreaReg_5102" localSheetId="12">[4]Directorio!#REF!</definedName>
    <definedName name="AreaReg_5102">[4]Directorio!#REF!</definedName>
    <definedName name="AreaReg_5103" localSheetId="2">[4]Directorio!#REF!</definedName>
    <definedName name="AreaReg_5103" localSheetId="4">[4]Directorio!#REF!</definedName>
    <definedName name="AreaReg_5103" localSheetId="12">[4]Directorio!#REF!</definedName>
    <definedName name="AreaReg_5103">[4]Directorio!#REF!</definedName>
    <definedName name="AreaReg_5104" localSheetId="2">[4]Directorio!#REF!</definedName>
    <definedName name="AreaReg_5104" localSheetId="4">[4]Directorio!#REF!</definedName>
    <definedName name="AreaReg_5104" localSheetId="12">[4]Directorio!#REF!</definedName>
    <definedName name="AreaReg_5104">[4]Directorio!#REF!</definedName>
    <definedName name="AreaReg_5105" localSheetId="2">[4]Directorio!#REF!</definedName>
    <definedName name="AreaReg_5105" localSheetId="4">[4]Directorio!#REF!</definedName>
    <definedName name="AreaReg_5105" localSheetId="12">[4]Directorio!#REF!</definedName>
    <definedName name="AreaReg_5105">[4]Directorio!#REF!</definedName>
    <definedName name="AreaReg_5106" localSheetId="2">[4]Directorio!#REF!</definedName>
    <definedName name="AreaReg_5106" localSheetId="4">[4]Directorio!#REF!</definedName>
    <definedName name="AreaReg_5106" localSheetId="12">[4]Directorio!#REF!</definedName>
    <definedName name="AreaReg_5106">[4]Directorio!#REF!</definedName>
    <definedName name="AreaReg_5107" localSheetId="2">[4]Directorio!#REF!</definedName>
    <definedName name="AreaReg_5107" localSheetId="4">[4]Directorio!#REF!</definedName>
    <definedName name="AreaReg_5107" localSheetId="12">[4]Directorio!#REF!</definedName>
    <definedName name="AreaReg_5107">[4]Directorio!#REF!</definedName>
    <definedName name="ÁREAS" localSheetId="2">'[5]Personal '!#REF!</definedName>
    <definedName name="ÁREAS" localSheetId="4">'[5]Personal '!#REF!</definedName>
    <definedName name="ÁREAS" localSheetId="12">'[5]Personal '!#REF!</definedName>
    <definedName name="ÁREAS">'[5]Personal '!#REF!</definedName>
    <definedName name="asd" hidden="1">{"'RELATÓRIO'!$A$1:$E$20","'RELATÓRIO'!$A$22:$D$34","'INTERNET'!$A$31:$G$58","'INTERNET'!$A$1:$G$28","'SÉRIE HISTÓRICA'!$A$167:$H$212","'SÉRIE HISTÓRICA'!$A$56:$H$101"}</definedName>
    <definedName name="b" localSheetId="2">#REF!</definedName>
    <definedName name="b" localSheetId="4">#REF!</definedName>
    <definedName name="b" localSheetId="12">#REF!</definedName>
    <definedName name="b">#REF!</definedName>
    <definedName name="Baseline_fuel" localSheetId="2">#REF!</definedName>
    <definedName name="Baseline_fuel" localSheetId="4">#REF!</definedName>
    <definedName name="Baseline_fuel" localSheetId="8">#REF!</definedName>
    <definedName name="Baseline_fuel" localSheetId="12">#REF!</definedName>
    <definedName name="Baseline_fuel">#REF!</definedName>
    <definedName name="beta" localSheetId="2">#REF!</definedName>
    <definedName name="beta" localSheetId="4">#REF!</definedName>
    <definedName name="beta" localSheetId="12">#REF!</definedName>
    <definedName name="beta">#REF!</definedName>
    <definedName name="betaf" localSheetId="2">#REF!</definedName>
    <definedName name="betaf" localSheetId="4">#REF!</definedName>
    <definedName name="betaf" localSheetId="12">#REF!</definedName>
    <definedName name="betaf">#REF!</definedName>
    <definedName name="bXy" localSheetId="2">#REF!</definedName>
    <definedName name="bXy" localSheetId="4">#REF!</definedName>
    <definedName name="bXy" localSheetId="12">#REF!</definedName>
    <definedName name="bXy">#REF!</definedName>
    <definedName name="bXyfox" localSheetId="2">#REF!</definedName>
    <definedName name="bXyfox" localSheetId="4">#REF!</definedName>
    <definedName name="bXyfox" localSheetId="12">#REF!</definedName>
    <definedName name="bXyfox">#REF!</definedName>
    <definedName name="cc" localSheetId="2">#REF!</definedName>
    <definedName name="cc" localSheetId="4">#REF!</definedName>
    <definedName name="cc" localSheetId="12">#REF!</definedName>
    <definedName name="cc">#REF!</definedName>
    <definedName name="celdas" localSheetId="2">#REF!</definedName>
    <definedName name="celdas" localSheetId="4">#REF!</definedName>
    <definedName name="celdas" localSheetId="8">#REF!</definedName>
    <definedName name="celdas" localSheetId="12">#REF!</definedName>
    <definedName name="celdas">#REF!</definedName>
    <definedName name="CEMENTO">[6]DADOS!$P$1:$P$2</definedName>
    <definedName name="CH4_fraction" localSheetId="8">[7]Parametres!$E$39</definedName>
    <definedName name="CH4_fraction">[8]Parametres!$E$39</definedName>
    <definedName name="CIMENTO">[9]DADOS!$P$1:$P$2</definedName>
    <definedName name="cl" localSheetId="2">#REF!</definedName>
    <definedName name="cl" localSheetId="4">#REF!</definedName>
    <definedName name="cl" localSheetId="12">#REF!</definedName>
    <definedName name="cl">#REF!</definedName>
    <definedName name="CLASSE">[9]D.Resíduos!$B$2:$B$5</definedName>
    <definedName name="Coal_products" localSheetId="2">'[1]CO2 EFs'!#REF!</definedName>
    <definedName name="Coal_products" localSheetId="4">'[1]CO2 EFs'!#REF!</definedName>
    <definedName name="Coal_products" localSheetId="12">'[1]CO2 EFs'!#REF!</definedName>
    <definedName name="Coal_products">'[1]CO2 EFs'!#REF!</definedName>
    <definedName name="Cod_1101" localSheetId="2">[4]Directorio!#REF!</definedName>
    <definedName name="Cod_1101" localSheetId="4">[4]Directorio!#REF!</definedName>
    <definedName name="Cod_1101" localSheetId="12">[4]Directorio!#REF!</definedName>
    <definedName name="Cod_1101">[4]Directorio!#REF!</definedName>
    <definedName name="comb_qdr_2a">'[3]LISTAS DROP DOWN'!$G$4:$G$24</definedName>
    <definedName name="comb_qdr_4">'[3]LISTAS DROP DOWN'!$G$4:$G$24</definedName>
    <definedName name="combustible">[10]DADOS!$K$2:$K$16</definedName>
    <definedName name="combustibles3">'[11]Factores de Emisión'!$C$10:$C$17</definedName>
    <definedName name="combustivel_estacionaria">'[12]Fatores de Conversão'!$A$21:$A$40</definedName>
    <definedName name="combustivel_movel">'[12]Fatores de Conversão'!$B$73:$M$73</definedName>
    <definedName name="COMBUSTIVEL2">[13]DADOS!$K$2:$K$16</definedName>
    <definedName name="Commercial">'[1]Tier 1 CH4  EFs'!$H$7:$I$60</definedName>
    <definedName name="CommercialN2O">'[1]Tier 1 N2O  EFs (2)'!$H$7:$I$60</definedName>
    <definedName name="Construction">'[1]Tier 1 CH4  EFs'!$F$7:$G$60</definedName>
    <definedName name="ConstructionN2O">'[1]Tier 1 N2O  EFs (2)'!$F$7:$G$60</definedName>
    <definedName name="CONTRATO3">[14]DADOS!$C$2:$C$238</definedName>
    <definedName name="conv" localSheetId="8">[7]Parametres!$E$41</definedName>
    <definedName name="conv">[8]Parametres!$E$41</definedName>
    <definedName name="country" localSheetId="8">[7]Parametres!$D$2</definedName>
    <definedName name="country">[8]Parametres!$D$2</definedName>
    <definedName name="CRF_4_KP_I_A.1.1_Doc" localSheetId="12">#REF!</definedName>
    <definedName name="CRF_4_KP_I_A.1.1_Doc">#REF!</definedName>
    <definedName name="CRF_4_KP_I_A.2.1_Doc" localSheetId="12">#REF!</definedName>
    <definedName name="CRF_4_KP_I_A.2.1_Doc">#REF!</definedName>
    <definedName name="CRF_4_KP_I_A.2_Doc" localSheetId="12">#REF!</definedName>
    <definedName name="CRF_4_KP_I_A.2_Doc">#REF!</definedName>
    <definedName name="CRF_4_KP_I_B.1.1_Doc" localSheetId="12">#REF!</definedName>
    <definedName name="CRF_4_KP_I_B.1.1_Doc">#REF!</definedName>
    <definedName name="CRF_4_KP_I_B.1.3_Doc" localSheetId="12">#REF!</definedName>
    <definedName name="CRF_4_KP_I_B.1.3_Doc">#REF!</definedName>
    <definedName name="CRF_Address" localSheetId="12">#REF!</definedName>
    <definedName name="CRF_Address">#REF!</definedName>
    <definedName name="CRF_Address1" localSheetId="12">#REF!</definedName>
    <definedName name="CRF_Address1">#REF!</definedName>
    <definedName name="CRF_Comment" localSheetId="12">#REF!</definedName>
    <definedName name="CRF_Comment">#REF!</definedName>
    <definedName name="CRF_ContactName" localSheetId="12">#REF!</definedName>
    <definedName name="CRF_ContactName">#REF!</definedName>
    <definedName name="CRF_CountryName">[15]Sheet1!$C$4</definedName>
    <definedName name="CRF_Email" localSheetId="12">#REF!</definedName>
    <definedName name="CRF_Email">#REF!</definedName>
    <definedName name="CRF_Fax" localSheetId="12">#REF!</definedName>
    <definedName name="CRF_Fax">#REF!</definedName>
    <definedName name="CRF_InventoryYear">[15]Sheet1!$C$6</definedName>
    <definedName name="CRF_Organisation" localSheetId="12">#REF!</definedName>
    <definedName name="CRF_Organisation">#REF!</definedName>
    <definedName name="CRF_Phone" localSheetId="12">#REF!</definedName>
    <definedName name="CRF_Phone">#REF!</definedName>
    <definedName name="CRF_Sheet1_Main" localSheetId="12">#REF!</definedName>
    <definedName name="CRF_Sheet1_Main">#REF!</definedName>
    <definedName name="CRF_Status" localSheetId="12">#REF!</definedName>
    <definedName name="CRF_Status">#REF!</definedName>
    <definedName name="CRF_Submission">[15]Sheet1!$C$8</definedName>
    <definedName name="CRF_Summary1_A_Main" localSheetId="12">#REF!</definedName>
    <definedName name="CRF_Summary1_A_Main">#REF!</definedName>
    <definedName name="CRF_Summary1_A_Range1" localSheetId="12">#REF!</definedName>
    <definedName name="CRF_Summary1_A_Range1">#REF!</definedName>
    <definedName name="CRF_Summary2_Main" localSheetId="12">#REF!</definedName>
    <definedName name="CRF_Summary2_Main">#REF!</definedName>
    <definedName name="CRF_Summary2_Range1" localSheetId="12">#REF!</definedName>
    <definedName name="CRF_Summary2_Range1">#REF!</definedName>
    <definedName name="CRF_Table10s1_Dyn10" localSheetId="12">[15]Table10!#REF!</definedName>
    <definedName name="CRF_Table10s1_Dyn10">[15]Table10!#REF!</definedName>
    <definedName name="CRF_Table10s1_Dyn11" localSheetId="12">[15]Table10!#REF!</definedName>
    <definedName name="CRF_Table10s1_Dyn11">[15]Table10!#REF!</definedName>
    <definedName name="CRF_Table10s1_Dyn12" localSheetId="12">[15]Table10!#REF!</definedName>
    <definedName name="CRF_Table10s1_Dyn12">[15]Table10!#REF!</definedName>
    <definedName name="CRF_Table10s1_Dyn13" localSheetId="12">[15]Table10!#REF!</definedName>
    <definedName name="CRF_Table10s1_Dyn13">[15]Table10!#REF!</definedName>
    <definedName name="CRF_Table10s1_Dyn14" localSheetId="12">[15]Table10!#REF!</definedName>
    <definedName name="CRF_Table10s1_Dyn14">[15]Table10!#REF!</definedName>
    <definedName name="CRF_Table10s1_Dyn15" localSheetId="12">[15]Table10!#REF!</definedName>
    <definedName name="CRF_Table10s1_Dyn15">[15]Table10!#REF!</definedName>
    <definedName name="CRF_Table10s1_Dyn16" localSheetId="12">[15]Table10!#REF!</definedName>
    <definedName name="CRF_Table10s1_Dyn16">[15]Table10!#REF!</definedName>
    <definedName name="CRF_Table10s1_Dyn17" localSheetId="12">[15]Table10!#REF!</definedName>
    <definedName name="CRF_Table10s1_Dyn17">[15]Table10!#REF!</definedName>
    <definedName name="CRF_Table10s1_Dyn18" localSheetId="12">[15]Table10!#REF!</definedName>
    <definedName name="CRF_Table10s1_Dyn18">[15]Table10!#REF!</definedName>
    <definedName name="CRF_Table10s1_Dyn19" localSheetId="12">[15]Table10!#REF!</definedName>
    <definedName name="CRF_Table10s1_Dyn19">[15]Table10!#REF!</definedName>
    <definedName name="CRF_Table10s1_Dyn20" localSheetId="12">[15]Table10!#REF!</definedName>
    <definedName name="CRF_Table10s1_Dyn20">[15]Table10!#REF!</definedName>
    <definedName name="CRF_Table10s1_Dyn21" localSheetId="12">[15]Table10!#REF!</definedName>
    <definedName name="CRF_Table10s1_Dyn21">[15]Table10!#REF!</definedName>
    <definedName name="CRF_Table10s1_Dyn22" localSheetId="12">[15]Table10!#REF!</definedName>
    <definedName name="CRF_Table10s1_Dyn22">[15]Table10!#REF!</definedName>
    <definedName name="CRF_Table2_II__Doc" localSheetId="12">#REF!</definedName>
    <definedName name="CRF_Table2_II__Doc">#REF!</definedName>
    <definedName name="CRF_Table2_II__Main" localSheetId="12">#REF!</definedName>
    <definedName name="CRF_Table2_II__Main">#REF!</definedName>
    <definedName name="CRF_Table3.B_a_s2_Add" localSheetId="12">#REF!</definedName>
    <definedName name="CRF_Table3.B_a_s2_Add">#REF!</definedName>
    <definedName name="CRF_Table4.Gs1_Doc" localSheetId="12">#REF!</definedName>
    <definedName name="CRF_Table4.Gs1_Doc">#REF!</definedName>
    <definedName name="CRF_Table4.Gs1_Main1" localSheetId="12">#REF!</definedName>
    <definedName name="CRF_Table4.Gs1_Main1">#REF!</definedName>
    <definedName name="CRF_Table4.Gs1_Main2" localSheetId="12">#REF!</definedName>
    <definedName name="CRF_Table4.Gs1_Main2">#REF!</definedName>
    <definedName name="CRF_Table4.Gs1_Main3" localSheetId="12">#REF!</definedName>
    <definedName name="CRF_Table4.Gs1_Main3">#REF!</definedName>
    <definedName name="CRF_Table4.Gs1_Main4" localSheetId="12">#REF!</definedName>
    <definedName name="CRF_Table4.Gs1_Main4">#REF!</definedName>
    <definedName name="CRF_Table4.Gs1_Main5" localSheetId="12">#REF!</definedName>
    <definedName name="CRF_Table4.Gs1_Main5">#REF!</definedName>
    <definedName name="CRF_Table4.Gs1_Main6" localSheetId="12">#REF!</definedName>
    <definedName name="CRF_Table4.Gs1_Main6">#REF!</definedName>
    <definedName name="CRF_Table4.Gs1_Main7" localSheetId="12">#REF!</definedName>
    <definedName name="CRF_Table4.Gs1_Main7">#REF!</definedName>
    <definedName name="CRF_Table5.D_Add" localSheetId="12">#REF!</definedName>
    <definedName name="CRF_Table5.D_Add">#REF!</definedName>
    <definedName name="CRF_Table5.D_Doc" localSheetId="12">#REF!</definedName>
    <definedName name="CRF_Table5.D_Doc">#REF!</definedName>
    <definedName name="CRF_Table5.D_Main" localSheetId="12">#REF!</definedName>
    <definedName name="CRF_Table5.D_Main">#REF!</definedName>
    <definedName name="CRF_Table5_.D_Doc" localSheetId="12">[16]Table4.D!#REF!</definedName>
    <definedName name="CRF_Table5_.D_Doc">[16]Table4.D!#REF!</definedName>
    <definedName name="CRF_Table5_.D_Main" localSheetId="12">[16]Table4.D!#REF!</definedName>
    <definedName name="CRF_Table5_.D_Main">[16]Table4.D!#REF!</definedName>
    <definedName name="CRF_Table5_.D_Range1" localSheetId="12">[16]Table4.D!#REF!</definedName>
    <definedName name="CRF_Table5_.D_Range1">[16]Table4.D!#REF!</definedName>
    <definedName name="CRF_Table5_I_Main" localSheetId="12">'[16]Table4(I)'!#REF!</definedName>
    <definedName name="CRF_Table5_I_Main">'[16]Table4(I)'!#REF!</definedName>
    <definedName name="CRF_Table5_II_Doc" localSheetId="12">#REF!</definedName>
    <definedName name="CRF_Table5_II_Doc">#REF!</definedName>
    <definedName name="CRF_Table5_II_Main" localSheetId="12">#REF!</definedName>
    <definedName name="CRF_Table5_II_Main">#REF!</definedName>
    <definedName name="CRF_Table5_II_Range1" localSheetId="12">#REF!</definedName>
    <definedName name="CRF_Table5_II_Range1">#REF!</definedName>
    <definedName name="CRF_Table5_IV_Doc" localSheetId="12">#REF!</definedName>
    <definedName name="CRF_Table5_IV_Doc">#REF!</definedName>
    <definedName name="CRF_Table5_IV_Main" localSheetId="12">#REF!</definedName>
    <definedName name="CRF_Table5_IV_Main">#REF!</definedName>
    <definedName name="CRF_Table5_IV_Range1" localSheetId="12">#REF!</definedName>
    <definedName name="CRF_Table5_IV_Range1">#REF!</definedName>
    <definedName name="CRF_Table7_Main" localSheetId="12">#REF!</definedName>
    <definedName name="CRF_Table7_Main">#REF!</definedName>
    <definedName name="CRF_Time" localSheetId="12">#REF!</definedName>
    <definedName name="CRF_Time">#REF!</definedName>
    <definedName name="CRF_Title" localSheetId="12">#REF!</definedName>
    <definedName name="CRF_Title">#REF!</definedName>
    <definedName name="CRFBL_Version" localSheetId="12">#REF!</definedName>
    <definedName name="CRFBL_Version">#REF!</definedName>
    <definedName name="CRFDAC_Version" localSheetId="12">#REF!</definedName>
    <definedName name="CRFDAC_Version">#REF!</definedName>
    <definedName name="CRFReporter_Version" localSheetId="12">#REF!</definedName>
    <definedName name="CRFReporter_Version">#REF!</definedName>
    <definedName name="CRFSYS_Version" localSheetId="12">#REF!</definedName>
    <definedName name="CRFSYS_Version">#REF!</definedName>
    <definedName name="CRFTemplate_Version" localSheetId="12">#REF!</definedName>
    <definedName name="CRFTemplate_Version">#REF!</definedName>
    <definedName name="CRFXMLStream_Version" localSheetId="12">#REF!</definedName>
    <definedName name="CRFXMLStream_Version">#REF!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11" localSheetId="2">#REF!</definedName>
    <definedName name="CUADRO11" localSheetId="4">#REF!</definedName>
    <definedName name="CUADRO11" localSheetId="8">#REF!</definedName>
    <definedName name="CUADRO11" localSheetId="12">#REF!</definedName>
    <definedName name="CUADRO11">#REF!</definedName>
    <definedName name="CUADRO12" localSheetId="2">#REF!</definedName>
    <definedName name="CUADRO12" localSheetId="4">#REF!</definedName>
    <definedName name="CUADRO12" localSheetId="8">#REF!</definedName>
    <definedName name="CUADRO12" localSheetId="12">#REF!</definedName>
    <definedName name="CUADRO12">#REF!</definedName>
    <definedName name="CUADRO15" localSheetId="2">#REF!</definedName>
    <definedName name="CUADRO15" localSheetId="4">#REF!</definedName>
    <definedName name="CUADRO15" localSheetId="8">#REF!</definedName>
    <definedName name="CUADRO15" localSheetId="12">#REF!</definedName>
    <definedName name="CUADRO15">#REF!</definedName>
    <definedName name="CUADRO16" localSheetId="2">#REF!</definedName>
    <definedName name="CUADRO16" localSheetId="4">#REF!</definedName>
    <definedName name="CUADRO16" localSheetId="8">#REF!</definedName>
    <definedName name="CUADRO16" localSheetId="12">#REF!</definedName>
    <definedName name="CUADRO16">#REF!</definedName>
    <definedName name="CUADRO17" localSheetId="2">#REF!</definedName>
    <definedName name="CUADRO17" localSheetId="4">#REF!</definedName>
    <definedName name="CUADRO17" localSheetId="8">#REF!</definedName>
    <definedName name="CUADRO17" localSheetId="12">#REF!</definedName>
    <definedName name="CUADRO17">#REF!</definedName>
    <definedName name="CUADRO18" localSheetId="2">#REF!</definedName>
    <definedName name="CUADRO18" localSheetId="4">#REF!</definedName>
    <definedName name="CUADRO18" localSheetId="8">#REF!</definedName>
    <definedName name="CUADRO18" localSheetId="12">#REF!</definedName>
    <definedName name="CUADRO18">#REF!</definedName>
    <definedName name="CUADRO24" localSheetId="2">#REF!</definedName>
    <definedName name="CUADRO24" localSheetId="4">#REF!</definedName>
    <definedName name="CUADRO24" localSheetId="8">#REF!</definedName>
    <definedName name="CUADRO24" localSheetId="12">#REF!</definedName>
    <definedName name="CUADRO24">#REF!</definedName>
    <definedName name="CUADRO25" localSheetId="2">#REF!</definedName>
    <definedName name="CUADRO25" localSheetId="4">#REF!</definedName>
    <definedName name="CUADRO25" localSheetId="8">#REF!</definedName>
    <definedName name="CUADRO25" localSheetId="12">#REF!</definedName>
    <definedName name="CUADRO25">#REF!</definedName>
    <definedName name="CUADRO26" localSheetId="2">#REF!</definedName>
    <definedName name="CUADRO26" localSheetId="4">#REF!</definedName>
    <definedName name="CUADRO26" localSheetId="8">#REF!</definedName>
    <definedName name="CUADRO26" localSheetId="12">#REF!</definedName>
    <definedName name="CUADRO26">#REF!</definedName>
    <definedName name="CUADRO28" localSheetId="2">#REF!</definedName>
    <definedName name="CUADRO28" localSheetId="4">#REF!</definedName>
    <definedName name="CUADRO28" localSheetId="8">#REF!</definedName>
    <definedName name="CUADRO28" localSheetId="12">#REF!</definedName>
    <definedName name="CUADRO28">#REF!</definedName>
    <definedName name="CUADRO29" localSheetId="2">#REF!</definedName>
    <definedName name="CUADRO29" localSheetId="4">#REF!</definedName>
    <definedName name="CUADRO29" localSheetId="8">#REF!</definedName>
    <definedName name="CUADRO29" localSheetId="12">#REF!</definedName>
    <definedName name="CUADRO29">#REF!</definedName>
    <definedName name="CUADRO30" localSheetId="2">#REF!</definedName>
    <definedName name="CUADRO30" localSheetId="4">#REF!</definedName>
    <definedName name="CUADRO30" localSheetId="8">#REF!</definedName>
    <definedName name="CUADRO30" localSheetId="12">#REF!</definedName>
    <definedName name="CUADRO30">#REF!</definedName>
    <definedName name="CUADRO31" localSheetId="2">#REF!</definedName>
    <definedName name="CUADRO31" localSheetId="4">#REF!</definedName>
    <definedName name="CUADRO31" localSheetId="8">#REF!</definedName>
    <definedName name="CUADRO31" localSheetId="12">#REF!</definedName>
    <definedName name="CUADRO31">#REF!</definedName>
    <definedName name="CUADRO38" localSheetId="2">#REF!</definedName>
    <definedName name="CUADRO38" localSheetId="4">#REF!</definedName>
    <definedName name="CUADRO38" localSheetId="8">#REF!</definedName>
    <definedName name="CUADRO38" localSheetId="12">#REF!</definedName>
    <definedName name="CUADRO38">#REF!</definedName>
    <definedName name="CUADRO8" localSheetId="2">#REF!</definedName>
    <definedName name="CUADRO8" localSheetId="4">#REF!</definedName>
    <definedName name="CUADRO8" localSheetId="8">#REF!</definedName>
    <definedName name="CUADRO8" localSheetId="12">#REF!</definedName>
    <definedName name="CUADRO8">#REF!</definedName>
    <definedName name="customConversionFactors">[1]General_listings!$B$379:$E$392</definedName>
    <definedName name="customFuelTypes">[1]General_listings!$B$395:$B$396</definedName>
    <definedName name="customizado" localSheetId="2">#REF!</definedName>
    <definedName name="customizado" localSheetId="4">#REF!</definedName>
    <definedName name="customizado" localSheetId="12">#REF!</definedName>
    <definedName name="customizado">#REF!</definedName>
    <definedName name="customUnitMap">[1]General_listings!$B$362:$C$375</definedName>
    <definedName name="d" localSheetId="2">#REF!</definedName>
    <definedName name="d" localSheetId="4">#REF!</definedName>
    <definedName name="d" localSheetId="12">#REF!</definedName>
    <definedName name="d">#REF!</definedName>
    <definedName name="DATA" localSheetId="2">#REF!</definedName>
    <definedName name="DATA" localSheetId="4">#REF!</definedName>
    <definedName name="DATA" localSheetId="8">#REF!</definedName>
    <definedName name="DATA" localSheetId="12">#REF!</definedName>
    <definedName name="DATA">#REF!</definedName>
    <definedName name="dataRange">"I13:I242"</definedName>
    <definedName name="DATE" localSheetId="2">#REF!</definedName>
    <definedName name="DATE" localSheetId="4">#REF!</definedName>
    <definedName name="DATE" localSheetId="8">#REF!</definedName>
    <definedName name="DATE" localSheetId="12">#REF!</definedName>
    <definedName name="DATE">#REF!</definedName>
    <definedName name="de" localSheetId="2">#REF!</definedName>
    <definedName name="de" localSheetId="4">#REF!</definedName>
    <definedName name="de" localSheetId="12">#REF!</definedName>
    <definedName name="de">#REF!</definedName>
    <definedName name="denominatorConversionTable">[1]General_listings!$B$344:$C$358</definedName>
    <definedName name="denominators">[1]General_listings!$C$320:$C$333</definedName>
    <definedName name="dest_qdr_17">'[3]LISTAS DROP DOWN'!$W$4:$W$9</definedName>
    <definedName name="DIRETORCONTRATO2">[14]DADOS!$F$2:$F$131</definedName>
    <definedName name="DOC_table" localSheetId="8">[7]Defaults!$P$8:$Q$17</definedName>
    <definedName name="DOC_table">[8]Defaults!$P$8:$Q$17</definedName>
    <definedName name="DOCF" localSheetId="8">[7]Parametres!$E$23</definedName>
    <definedName name="DOCF">[8]Parametres!$E$23</definedName>
    <definedName name="DOMINIO">[9]DADOS!$Q$2:$Q$5</definedName>
    <definedName name="DSFINAL2">[14]DADOS!$E$2:$E$32</definedName>
    <definedName name="dummy" localSheetId="2">#REF!</definedName>
    <definedName name="dummy" localSheetId="4">#REF!</definedName>
    <definedName name="dummy" localSheetId="12">#REF!</definedName>
    <definedName name="dummy">#REF!</definedName>
    <definedName name="e" localSheetId="2">#REF!</definedName>
    <definedName name="e" localSheetId="4">#REF!</definedName>
    <definedName name="e" localSheetId="8">#REF!</definedName>
    <definedName name="e" localSheetId="12">#REF!</definedName>
    <definedName name="e">#REF!</definedName>
    <definedName name="Effort" localSheetId="2">#REF!</definedName>
    <definedName name="Effort" localSheetId="4">#REF!</definedName>
    <definedName name="Effort" localSheetId="12">#REF!</definedName>
    <definedName name="Effort">#REF!</definedName>
    <definedName name="Energy">'[1]Tier 1 CH4  EFs'!$B$7:$C$60</definedName>
    <definedName name="energyEFs">'[1]CO2 EFs'!$C$66:$E$71</definedName>
    <definedName name="EnergyN2O">'[1]Tier 1 N2O  EFs (2)'!$B$7:$C$60</definedName>
    <definedName name="eps" localSheetId="2">#REF!</definedName>
    <definedName name="eps" localSheetId="4">#REF!</definedName>
    <definedName name="eps" localSheetId="12">#REF!</definedName>
    <definedName name="eps">#REF!</definedName>
    <definedName name="EQUIPAMENTO">[9]DADOS!$T$2:$T$3</definedName>
    <definedName name="errorMessageTable">[1]General_listings!$B$401:$K$402</definedName>
    <definedName name="ETIQUETAS" localSheetId="2">#REF!</definedName>
    <definedName name="ETIQUETAS" localSheetId="4">#REF!</definedName>
    <definedName name="ETIQUETAS" localSheetId="8">#REF!</definedName>
    <definedName name="ETIQUETAS" localSheetId="12">#REF!</definedName>
    <definedName name="ETIQUETAS">#REF!</definedName>
    <definedName name="Excel_BuiltIn_Print_Area_2" localSheetId="2">#REF!</definedName>
    <definedName name="Excel_BuiltIn_Print_Area_2" localSheetId="4">#REF!</definedName>
    <definedName name="Excel_BuiltIn_Print_Area_2" localSheetId="8">#REF!</definedName>
    <definedName name="Excel_BuiltIn_Print_Area_2" localSheetId="12">#REF!</definedName>
    <definedName name="Excel_BuiltIn_Print_Area_2">#REF!</definedName>
    <definedName name="Excel_BuiltIn_Print_Area_3" localSheetId="2">#REF!</definedName>
    <definedName name="Excel_BuiltIn_Print_Area_3" localSheetId="4">#REF!</definedName>
    <definedName name="Excel_BuiltIn_Print_Area_3" localSheetId="8">#REF!</definedName>
    <definedName name="Excel_BuiltIn_Print_Area_3" localSheetId="12">#REF!</definedName>
    <definedName name="Excel_BuiltIn_Print_Area_3">#REF!</definedName>
    <definedName name="fg">'[17]LISTAS DROP DOWN'!$Y$4:$Y$5</definedName>
    <definedName name="Fisheries">'[1]Tier 1 CH4  EFs'!$R$7:$S$60</definedName>
    <definedName name="FisheriesN2O">'[1]Tier 1 N2O  EFs (2)'!$R$7:$S$60</definedName>
    <definedName name="fk" localSheetId="2">#REF!</definedName>
    <definedName name="fk" localSheetId="4">#REF!</definedName>
    <definedName name="fk" localSheetId="12">#REF!</definedName>
    <definedName name="fk">#REF!</definedName>
    <definedName name="Forestry">'[1]Tier 1 CH4  EFs'!$P$7:$Q$60</definedName>
    <definedName name="ForestryN2O">'[1]Tier 1 N2O  EFs (2)'!$P$7:$Q$60</definedName>
    <definedName name="fourCategories">[1]General_listings!$B$193:$B$197</definedName>
    <definedName name="FREQS" localSheetId="2">#REF!</definedName>
    <definedName name="FREQS" localSheetId="4">#REF!</definedName>
    <definedName name="FREQS" localSheetId="8">#REF!</definedName>
    <definedName name="FREQS" localSheetId="12">#REF!</definedName>
    <definedName name="FREQS">#REF!</definedName>
    <definedName name="fuelCodes" localSheetId="2">[1]General_listings!#REF!</definedName>
    <definedName name="fuelCodes" localSheetId="4">[1]General_listings!#REF!</definedName>
    <definedName name="fuelCodes" localSheetId="12">[1]General_listings!#REF!</definedName>
    <definedName name="fuelCodes">[1]General_listings!#REF!</definedName>
    <definedName name="FuelDefinitions">[1]General_listings!$B$47:$F$95</definedName>
    <definedName name="fuelInfo">'[1]CO2 EFs'!$C$7:$I$60</definedName>
    <definedName name="Fuels">[1]General_listings!$B$47:$B$95</definedName>
    <definedName name="g" localSheetId="2">#REF!</definedName>
    <definedName name="g" localSheetId="4">#REF!</definedName>
    <definedName name="g" localSheetId="8">#REF!</definedName>
    <definedName name="g" localSheetId="12">#REF!</definedName>
    <definedName name="g">#REF!</definedName>
    <definedName name="gamma" localSheetId="2">#REF!</definedName>
    <definedName name="gamma" localSheetId="4">#REF!</definedName>
    <definedName name="gamma" localSheetId="12">#REF!</definedName>
    <definedName name="gamma">#REF!</definedName>
    <definedName name="gasMeter3EFs">'[1]CO2 EFs'!$B$250:$C$252</definedName>
    <definedName name="gasUnits" localSheetId="2">[1]General_listings!#REF!</definedName>
    <definedName name="gasUnits" localSheetId="4">[1]General_listings!#REF!</definedName>
    <definedName name="gasUnits" localSheetId="12">[1]General_listings!#REF!</definedName>
    <definedName name="gasUnits">[1]General_listings!#REF!</definedName>
    <definedName name="get_gasgperkm">[18]Reference!$E$196:$I$259</definedName>
    <definedName name="GWPSets">[1]General_listings!$B$258:$B$260</definedName>
    <definedName name="GWPTable">[1]General_listings!$B$258:$E$260</definedName>
    <definedName name="half_life" localSheetId="8">[7]Defaults!$D$8:$K$12</definedName>
    <definedName name="half_life">[8]Defaults!$D$8:$K$12</definedName>
    <definedName name="heatingValueCodes">[1]General_listings!$B$5:$D$6</definedName>
    <definedName name="HTML_CodePage" hidden="1">1252</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 name="HVConversionValues">[1]General_listings!$B$203:$C$254</definedName>
    <definedName name="IMPCE05" localSheetId="2">#REF!</definedName>
    <definedName name="IMPCE05" localSheetId="4">#REF!</definedName>
    <definedName name="IMPCE05" localSheetId="8">#REF!</definedName>
    <definedName name="IMPCE05" localSheetId="12">#REF!</definedName>
    <definedName name="IMPCE05">#REF!</definedName>
    <definedName name="IMPCE07" localSheetId="2">#REF!</definedName>
    <definedName name="IMPCE07" localSheetId="4">#REF!</definedName>
    <definedName name="IMPCE07" localSheetId="8">#REF!</definedName>
    <definedName name="IMPCE07" localSheetId="12">#REF!</definedName>
    <definedName name="IMPCE07">#REF!</definedName>
    <definedName name="IMPCE08" localSheetId="2">#REF!</definedName>
    <definedName name="IMPCE08" localSheetId="4">#REF!</definedName>
    <definedName name="IMPCE08" localSheetId="8">#REF!</definedName>
    <definedName name="IMPCE08" localSheetId="12">#REF!</definedName>
    <definedName name="IMPCE08">#REF!</definedName>
    <definedName name="IMPCE12" localSheetId="2">#REF!</definedName>
    <definedName name="IMPCE12" localSheetId="4">#REF!</definedName>
    <definedName name="IMPCE12" localSheetId="8">#REF!</definedName>
    <definedName name="IMPCE12" localSheetId="12">#REF!</definedName>
    <definedName name="IMPCE12">#REF!</definedName>
    <definedName name="IMPCE13" localSheetId="2">#REF!</definedName>
    <definedName name="IMPCE13" localSheetId="4">#REF!</definedName>
    <definedName name="IMPCE13" localSheetId="8">#REF!</definedName>
    <definedName name="IMPCE13" localSheetId="12">#REF!</definedName>
    <definedName name="IMPCE13">#REF!</definedName>
    <definedName name="Imprimir_área_IM" localSheetId="2">#REF!</definedName>
    <definedName name="Imprimir_área_IM" localSheetId="4">#REF!</definedName>
    <definedName name="Imprimir_área_IM" localSheetId="8">#REF!</definedName>
    <definedName name="Imprimir_área_IM" localSheetId="12">#REF!</definedName>
    <definedName name="Imprimir_área_IM">#REF!</definedName>
    <definedName name="Industries">[1]General_listings!$B$13:$B$21</definedName>
    <definedName name="industryEFTableKeys">'[1]Tier 1 CH4  EFs'!$B$274:$D$282</definedName>
    <definedName name="industryEFTableKeysN2O">'[1]Tier 1 N2O  EFs (2)'!$B$274:$D$282</definedName>
    <definedName name="INPUT12" localSheetId="2">#REF!</definedName>
    <definedName name="INPUT12" localSheetId="4">#REF!</definedName>
    <definedName name="INPUT12" localSheetId="8">#REF!</definedName>
    <definedName name="INPUT12" localSheetId="12">#REF!</definedName>
    <definedName name="INPUT12">#REF!</definedName>
    <definedName name="INPUT15" localSheetId="2">#REF!</definedName>
    <definedName name="INPUT15" localSheetId="4">#REF!</definedName>
    <definedName name="INPUT15" localSheetId="8">#REF!</definedName>
    <definedName name="INPUT15" localSheetId="12">#REF!</definedName>
    <definedName name="INPUT15">#REF!</definedName>
    <definedName name="INPUT16" localSheetId="2">#REF!</definedName>
    <definedName name="INPUT16" localSheetId="4">#REF!</definedName>
    <definedName name="INPUT16" localSheetId="8">#REF!</definedName>
    <definedName name="INPUT16" localSheetId="12">#REF!</definedName>
    <definedName name="INPUT16">#REF!</definedName>
    <definedName name="INPUT17" localSheetId="2">#REF!</definedName>
    <definedName name="INPUT17" localSheetId="4">#REF!</definedName>
    <definedName name="INPUT17" localSheetId="8">#REF!</definedName>
    <definedName name="INPUT17" localSheetId="12">#REF!</definedName>
    <definedName name="INPUT17">#REF!</definedName>
    <definedName name="INPUT18A" localSheetId="2">#REF!</definedName>
    <definedName name="INPUT18A" localSheetId="4">#REF!</definedName>
    <definedName name="INPUT18A" localSheetId="8">#REF!</definedName>
    <definedName name="INPUT18A" localSheetId="12">#REF!</definedName>
    <definedName name="INPUT18A">#REF!</definedName>
    <definedName name="INPUT18B" localSheetId="2">#REF!</definedName>
    <definedName name="INPUT18B" localSheetId="4">#REF!</definedName>
    <definedName name="INPUT18B" localSheetId="8">#REF!</definedName>
    <definedName name="INPUT18B" localSheetId="12">#REF!</definedName>
    <definedName name="INPUT18B">#REF!</definedName>
    <definedName name="INPUT18C" localSheetId="2">#REF!</definedName>
    <definedName name="INPUT18C" localSheetId="4">#REF!</definedName>
    <definedName name="INPUT18C" localSheetId="8">#REF!</definedName>
    <definedName name="INPUT18C" localSheetId="12">#REF!</definedName>
    <definedName name="INPUT18C">#REF!</definedName>
    <definedName name="INPUT24" localSheetId="2">#REF!</definedName>
    <definedName name="INPUT24" localSheetId="4">#REF!</definedName>
    <definedName name="INPUT24" localSheetId="8">#REF!</definedName>
    <definedName name="INPUT24" localSheetId="12">#REF!</definedName>
    <definedName name="INPUT24">#REF!</definedName>
    <definedName name="INPUT38" localSheetId="2">#REF!</definedName>
    <definedName name="INPUT38" localSheetId="4">#REF!</definedName>
    <definedName name="INPUT38" localSheetId="8">#REF!</definedName>
    <definedName name="INPUT38" localSheetId="12">#REF!</definedName>
    <definedName name="INPUT38">#REF!</definedName>
    <definedName name="INPUT8" localSheetId="2">#REF!</definedName>
    <definedName name="INPUT8" localSheetId="4">#REF!</definedName>
    <definedName name="INPUT8" localSheetId="8">#REF!</definedName>
    <definedName name="INPUT8" localSheetId="12">#REF!</definedName>
    <definedName name="INPUT8">#REF!</definedName>
    <definedName name="Institutional">'[1]Tier 1 CH4  EFs'!$J$7:$K$60</definedName>
    <definedName name="InstitutionalN2O">'[1]Tier 1 N2O  EFs (2)'!$J$7:$K$60</definedName>
    <definedName name="LE">[14]DADOS!$D$2:$D$8</definedName>
    <definedName name="liquidLiterEFs">'[1]CO2 EFs'!$B$235:$C$245</definedName>
    <definedName name="liquidUnits" localSheetId="2">[1]General_listings!#REF!</definedName>
    <definedName name="liquidUnits" localSheetId="4">[1]General_listings!#REF!</definedName>
    <definedName name="liquidUnits" localSheetId="12">[1]General_listings!#REF!</definedName>
    <definedName name="liquidUnits">[1]General_listings!#REF!</definedName>
    <definedName name="Lugar" localSheetId="2">#REF!</definedName>
    <definedName name="Lugar" localSheetId="4">#REF!</definedName>
    <definedName name="Lugar" localSheetId="12">#REF!</definedName>
    <definedName name="Lugar">#REF!</definedName>
    <definedName name="Manufacturing">'[1]Tier 1 CH4  EFs'!$D$7:$E$60</definedName>
    <definedName name="ManufacturingN2O">'[1]Tier 1 N2O  EFs (2)'!$D$7:$E$60</definedName>
    <definedName name="mat_qdr_13">'[3]LISTAS DROP DOWN'!$S$4:$S$5</definedName>
    <definedName name="Max" hidden="1">{"Placas",#N/A,FALSE,"A";"Ventas",#N/A,FALSE,"A"}</definedName>
    <definedName name="Medio_de_transporte" localSheetId="2">#REF!</definedName>
    <definedName name="Medio_de_transporte" localSheetId="4">#REF!</definedName>
    <definedName name="Medio_de_transporte" localSheetId="12">#REF!</definedName>
    <definedName name="Medio_de_transporte">#REF!</definedName>
    <definedName name="METRAGEM" localSheetId="2">#REF!</definedName>
    <definedName name="METRAGEM" localSheetId="4">#REF!</definedName>
    <definedName name="METRAGEM" localSheetId="12">#REF!</definedName>
    <definedName name="METRAGEM">#REF!</definedName>
    <definedName name="moda_qdr_5">'[3]LISTAS DROP DOWN'!$I$4:$I$9</definedName>
    <definedName name="moda_qdr_6">'[3]LISTAS DROP DOWN'!$K$4:$K$8</definedName>
    <definedName name="MODAL">[9]DADOS!$U$2:$U$7</definedName>
    <definedName name="Modo_de_transporte" localSheetId="2">#REF!</definedName>
    <definedName name="Modo_de_transporte" localSheetId="4">#REF!</definedName>
    <definedName name="Modo_de_transporte" localSheetId="12">#REF!</definedName>
    <definedName name="Modo_de_transporte">#REF!</definedName>
    <definedName name="Money" localSheetId="2">#REF!</definedName>
    <definedName name="Money" localSheetId="4">#REF!</definedName>
    <definedName name="Money" localSheetId="12">#REF!</definedName>
    <definedName name="Money">#REF!</definedName>
    <definedName name="MSY" localSheetId="2">#REF!</definedName>
    <definedName name="MSY" localSheetId="4">#REF!</definedName>
    <definedName name="MSY" localSheetId="12">#REF!</definedName>
    <definedName name="MSY">#REF!</definedName>
    <definedName name="N2OIndustryKeys">'[1]Tier 1 N2O  EFs (2)'!$B$288:$C$296</definedName>
    <definedName name="NOTAS" localSheetId="2">#REF!</definedName>
    <definedName name="NOTAS" localSheetId="4">#REF!</definedName>
    <definedName name="NOTAS" localSheetId="8">#REF!</definedName>
    <definedName name="NOTAS" localSheetId="12">#REF!</definedName>
    <definedName name="NOTAS">#REF!</definedName>
    <definedName name="numeratorConversionTable">[1]General_listings!$B$337:$C$340</definedName>
    <definedName name="numerators">[1]General_listings!$B$320:$B$323</definedName>
    <definedName name="Oficinas" localSheetId="2">[19]Resumen!#REF!</definedName>
    <definedName name="Oficinas" localSheetId="4">[19]Resumen!#REF!</definedName>
    <definedName name="Oficinas" localSheetId="12">[19]Resumen!#REF!</definedName>
    <definedName name="Oficinas">[19]Resumen!#REF!</definedName>
    <definedName name="Oil_products" localSheetId="2">'[1]CO2 EFs'!#REF!</definedName>
    <definedName name="Oil_products" localSheetId="4">'[1]CO2 EFs'!#REF!</definedName>
    <definedName name="Oil_products" localSheetId="12">'[1]CO2 EFs'!#REF!</definedName>
    <definedName name="Oil_products">'[1]CO2 EFs'!#REF!</definedName>
    <definedName name="OPERACAO">[9]DADOS!$I$2:$I$3</definedName>
    <definedName name="Other_waste" localSheetId="2">'[1]CO2 EFs'!#REF!</definedName>
    <definedName name="Other_waste" localSheetId="4">'[1]CO2 EFs'!#REF!</definedName>
    <definedName name="Other_waste" localSheetId="12">'[1]CO2 EFs'!#REF!</definedName>
    <definedName name="Other_waste">'[1]CO2 EFs'!#REF!</definedName>
    <definedName name="ox" localSheetId="8">[7]Parametres!$E$43</definedName>
    <definedName name="ox">[8]Parametres!$E$43</definedName>
    <definedName name="p" localSheetId="2">#REF!</definedName>
    <definedName name="p" localSheetId="4">#REF!</definedName>
    <definedName name="p" localSheetId="12">#REF!</definedName>
    <definedName name="p">#REF!</definedName>
    <definedName name="PAÍS">[14]DADOS!$G$2:$G$17</definedName>
    <definedName name="peso_qdr_5">'[3]LISTAS DROP DOWN'!$M$4:$M$6</definedName>
    <definedName name="picture">"Picture32"</definedName>
    <definedName name="Planta_Sede__escoger_de_la_lista_abajo" localSheetId="2">#REF!</definedName>
    <definedName name="Planta_Sede__escoger_de_la_lista_abajo" localSheetId="4">#REF!</definedName>
    <definedName name="Planta_Sede__escoger_de_la_lista_abajo" localSheetId="12">#REF!</definedName>
    <definedName name="Planta_Sede__escoger_de_la_lista_abajo">#REF!</definedName>
    <definedName name="PORC" localSheetId="2">#REF!</definedName>
    <definedName name="PORC" localSheetId="4">#REF!</definedName>
    <definedName name="PORC" localSheetId="8">#REF!</definedName>
    <definedName name="PORC" localSheetId="12">#REF!</definedName>
    <definedName name="PORC">#REF!</definedName>
    <definedName name="Price" localSheetId="2">#REF!</definedName>
    <definedName name="Price" localSheetId="4">#REF!</definedName>
    <definedName name="Price" localSheetId="12">#REF!</definedName>
    <definedName name="Price">#REF!</definedName>
    <definedName name="prof" localSheetId="2">#REF!</definedName>
    <definedName name="prof" localSheetId="4">#REF!</definedName>
    <definedName name="prof" localSheetId="12">#REF!</definedName>
    <definedName name="prof">#REF!</definedName>
    <definedName name="prop_qd_2a" localSheetId="2">#REF!</definedName>
    <definedName name="prop_qd_2a" localSheetId="4">#REF!</definedName>
    <definedName name="prop_qd_2a" localSheetId="12">#REF!</definedName>
    <definedName name="prop_qd_2a">#REF!</definedName>
    <definedName name="prop_qdr_2a" localSheetId="2">'[3]LISTAS DROP DOWN'!#REF!</definedName>
    <definedName name="prop_qdr_2a" localSheetId="4">'[3]LISTAS DROP DOWN'!#REF!</definedName>
    <definedName name="prop_qdr_2a" localSheetId="12">'[3]LISTAS DROP DOWN'!#REF!</definedName>
    <definedName name="prop_qdr_2a">'[3]LISTAS DROP DOWN'!#REF!</definedName>
    <definedName name="ProprietarioControle" localSheetId="2">#REF!</definedName>
    <definedName name="ProprietarioControle" localSheetId="4">#REF!</definedName>
    <definedName name="ProprietarioControle" localSheetId="12">#REF!</definedName>
    <definedName name="ProprietarioControle">#REF!</definedName>
    <definedName name="q" localSheetId="2">#REF!</definedName>
    <definedName name="q" localSheetId="4">#REF!</definedName>
    <definedName name="q" localSheetId="12">#REF!</definedName>
    <definedName name="q">#REF!</definedName>
    <definedName name="qf" localSheetId="2">#REF!</definedName>
    <definedName name="qf" localSheetId="4">#REF!</definedName>
    <definedName name="qf" localSheetId="12">#REF!</definedName>
    <definedName name="qf">#REF!</definedName>
    <definedName name="RCC10R" localSheetId="2">#REF!</definedName>
    <definedName name="RCC10R" localSheetId="4">#REF!</definedName>
    <definedName name="RCC10R" localSheetId="8">#REF!</definedName>
    <definedName name="RCC10R" localSheetId="12">#REF!</definedName>
    <definedName name="RCC10R">#REF!</definedName>
    <definedName name="RCC20RE" localSheetId="2">#REF!</definedName>
    <definedName name="RCC20RE" localSheetId="4">#REF!</definedName>
    <definedName name="RCC20RE" localSheetId="8">#REF!</definedName>
    <definedName name="RCC20RE" localSheetId="12">#REF!</definedName>
    <definedName name="RCC20RE">#REF!</definedName>
    <definedName name="RCC2RN" localSheetId="2">#REF!</definedName>
    <definedName name="RCC2RN" localSheetId="4">#REF!</definedName>
    <definedName name="RCC2RN" localSheetId="8">#REF!</definedName>
    <definedName name="RCC2RN" localSheetId="12">#REF!</definedName>
    <definedName name="RCC2RN">#REF!</definedName>
    <definedName name="RCCRUCES" localSheetId="2">#REF!</definedName>
    <definedName name="RCCRUCES" localSheetId="4">#REF!</definedName>
    <definedName name="RCCRUCES" localSheetId="8">#REF!</definedName>
    <definedName name="RCCRUCES" localSheetId="12">#REF!</definedName>
    <definedName name="RCCRUCES">#REF!</definedName>
    <definedName name="RCTC" localSheetId="2">#REF!</definedName>
    <definedName name="RCTC" localSheetId="4">#REF!</definedName>
    <definedName name="RCTC" localSheetId="8">#REF!</definedName>
    <definedName name="RCTC" localSheetId="12">#REF!</definedName>
    <definedName name="RCTC">#REF!</definedName>
    <definedName name="REGION_CENTRO_ORIENTE" localSheetId="2">#REF!</definedName>
    <definedName name="REGION_CENTRO_ORIENTE" localSheetId="4">#REF!</definedName>
    <definedName name="REGION_CENTRO_ORIENTE" localSheetId="12">#REF!</definedName>
    <definedName name="REGION_CENTRO_ORIENTE">#REF!</definedName>
    <definedName name="REGION_LIMA_CENTRO" localSheetId="2">#REF!</definedName>
    <definedName name="REGION_LIMA_CENTRO" localSheetId="4">#REF!</definedName>
    <definedName name="REGION_LIMA_CENTRO" localSheetId="12">#REF!</definedName>
    <definedName name="REGION_LIMA_CENTRO">#REF!</definedName>
    <definedName name="REGION_LIMA_ESTE" localSheetId="2">#REF!</definedName>
    <definedName name="REGION_LIMA_ESTE" localSheetId="4">#REF!</definedName>
    <definedName name="REGION_LIMA_ESTE" localSheetId="12">#REF!</definedName>
    <definedName name="REGION_LIMA_ESTE">#REF!</definedName>
    <definedName name="REGION_LIMA_NORTE" localSheetId="2">#REF!</definedName>
    <definedName name="REGION_LIMA_NORTE" localSheetId="4">#REF!</definedName>
    <definedName name="REGION_LIMA_NORTE" localSheetId="12">#REF!</definedName>
    <definedName name="REGION_LIMA_NORTE">#REF!</definedName>
    <definedName name="REGION_LIMA_SUR" localSheetId="2">#REF!</definedName>
    <definedName name="REGION_LIMA_SUR" localSheetId="4">#REF!</definedName>
    <definedName name="REGION_LIMA_SUR" localSheetId="12">#REF!</definedName>
    <definedName name="REGION_LIMA_SUR">#REF!</definedName>
    <definedName name="REGION_NORTE" localSheetId="2">#REF!</definedName>
    <definedName name="REGION_NORTE" localSheetId="4">#REF!</definedName>
    <definedName name="REGION_NORTE" localSheetId="12">#REF!</definedName>
    <definedName name="REGION_NORTE">#REF!</definedName>
    <definedName name="REGION_NORTE_Y_SUR_CHICO" localSheetId="2">#REF!</definedName>
    <definedName name="REGION_NORTE_Y_SUR_CHICO" localSheetId="4">#REF!</definedName>
    <definedName name="REGION_NORTE_Y_SUR_CHICO" localSheetId="12">#REF!</definedName>
    <definedName name="REGION_NORTE_Y_SUR_CHICO">#REF!</definedName>
    <definedName name="REGION_NUCLEOS" localSheetId="2">#REF!</definedName>
    <definedName name="REGION_NUCLEOS" localSheetId="4">#REF!</definedName>
    <definedName name="REGION_NUCLEOS" localSheetId="12">#REF!</definedName>
    <definedName name="REGION_NUCLEOS">#REF!</definedName>
    <definedName name="REGION_SUR" localSheetId="2">#REF!</definedName>
    <definedName name="REGION_SUR" localSheetId="4">#REF!</definedName>
    <definedName name="REGION_SUR" localSheetId="12">#REF!</definedName>
    <definedName name="REGION_SUR">#REF!</definedName>
    <definedName name="Regional_data" localSheetId="8">[7]Defaults!$W$8:$AH$26</definedName>
    <definedName name="Regional_data">[8]Defaults!$W$8:$AH$26</definedName>
    <definedName name="ResidentialN2O">'[1]Tier 1 N2O  EFs (2)'!$L$7:$M$60</definedName>
    <definedName name="RESIDUO">[9]D.Resíduos!$C$2:$C$36</definedName>
    <definedName name="RESPOSTASN">[9]DADOS!$H$2:$H$3</definedName>
    <definedName name="ROAD">[9]DADOS!$N$2:$N$3</definedName>
    <definedName name="sectorDefinitions">[1]General_listings!$B$406:$F$414</definedName>
    <definedName name="Select2" localSheetId="8">[7]Defaults!$O$20</definedName>
    <definedName name="Select2">[8]Defaults!$O$20</definedName>
    <definedName name="Select3" localSheetId="8">[7]Defaults!$W$5</definedName>
    <definedName name="Select3">[8]Defaults!$W$5</definedName>
    <definedName name="selected" localSheetId="8">[7]Defaults!$G$17</definedName>
    <definedName name="selected">[8]Defaults!$G$17</definedName>
    <definedName name="Sheet11Range1" localSheetId="12">#REF!</definedName>
    <definedName name="Sheet11Range1">#REF!</definedName>
    <definedName name="Sheet11Range2" localSheetId="12">#REF!</definedName>
    <definedName name="Sheet11Range2">#REF!</definedName>
    <definedName name="Sheet11Range3" localSheetId="12">#REF!</definedName>
    <definedName name="Sheet11Range3">#REF!</definedName>
    <definedName name="Sheet11Range4" localSheetId="12">#REF!</definedName>
    <definedName name="Sheet11Range4">#REF!</definedName>
    <definedName name="Sheet13Range1" localSheetId="12">#REF!</definedName>
    <definedName name="Sheet13Range1">#REF!</definedName>
    <definedName name="Sheet13Range2" localSheetId="12">#REF!</definedName>
    <definedName name="Sheet13Range2">#REF!</definedName>
    <definedName name="Sheet15Range1" localSheetId="12">#REF!</definedName>
    <definedName name="Sheet15Range1">#REF!</definedName>
    <definedName name="Sheet15Range2" localSheetId="12">#REF!</definedName>
    <definedName name="Sheet15Range2">#REF!</definedName>
    <definedName name="Sheet16Range1" localSheetId="12">#REF!</definedName>
    <definedName name="Sheet16Range1">#REF!</definedName>
    <definedName name="Sheet16Range2" localSheetId="12">#REF!</definedName>
    <definedName name="Sheet16Range2">#REF!</definedName>
    <definedName name="Sheet16Range3" localSheetId="12">#REF!</definedName>
    <definedName name="Sheet16Range3">#REF!</definedName>
    <definedName name="Sheet16Range4" localSheetId="12">#REF!</definedName>
    <definedName name="Sheet16Range4">#REF!</definedName>
    <definedName name="Sheet18Range1" localSheetId="12">#REF!</definedName>
    <definedName name="Sheet18Range1">#REF!</definedName>
    <definedName name="Sheet18Range2" localSheetId="12">#REF!</definedName>
    <definedName name="Sheet18Range2">#REF!</definedName>
    <definedName name="Sheet18Range3" localSheetId="12">#REF!</definedName>
    <definedName name="Sheet18Range3">#REF!</definedName>
    <definedName name="Sheet18Range4" localSheetId="12">#REF!</definedName>
    <definedName name="Sheet18Range4">#REF!</definedName>
    <definedName name="Sheet18Range5" localSheetId="12">#REF!</definedName>
    <definedName name="Sheet18Range5">#REF!</definedName>
    <definedName name="Sheet18Range6" localSheetId="12">#REF!</definedName>
    <definedName name="Sheet18Range6">#REF!</definedName>
    <definedName name="Sheet19Range1" localSheetId="12">#REF!</definedName>
    <definedName name="Sheet19Range1">#REF!</definedName>
    <definedName name="Sheet19Range2" localSheetId="12">#REF!</definedName>
    <definedName name="Sheet19Range2">#REF!</definedName>
    <definedName name="Sheet19Range3" localSheetId="12">#REF!</definedName>
    <definedName name="Sheet19Range3">#REF!</definedName>
    <definedName name="Sheet19Range4" localSheetId="12">#REF!</definedName>
    <definedName name="Sheet19Range4">#REF!</definedName>
    <definedName name="Sheet1Range1" localSheetId="12">#REF!</definedName>
    <definedName name="Sheet1Range1">#REF!</definedName>
    <definedName name="Sheet1Range2" localSheetId="12">#REF!</definedName>
    <definedName name="Sheet1Range2">#REF!</definedName>
    <definedName name="Sheet20Range1" localSheetId="12">#REF!</definedName>
    <definedName name="Sheet20Range1">#REF!</definedName>
    <definedName name="Sheet20Range2" localSheetId="12">#REF!</definedName>
    <definedName name="Sheet20Range2">#REF!</definedName>
    <definedName name="Sheet20Range3" localSheetId="12">#REF!</definedName>
    <definedName name="Sheet20Range3">#REF!</definedName>
    <definedName name="Sheet20Range4" localSheetId="12">#REF!</definedName>
    <definedName name="Sheet20Range4">#REF!</definedName>
    <definedName name="Sheet21Range1" localSheetId="12">#REF!</definedName>
    <definedName name="Sheet21Range1">#REF!</definedName>
    <definedName name="Sheet21Range2" localSheetId="12">#REF!</definedName>
    <definedName name="Sheet21Range2">#REF!</definedName>
    <definedName name="Sheet22Range1" localSheetId="12">#REF!</definedName>
    <definedName name="Sheet22Range1">#REF!</definedName>
    <definedName name="Sheet22Range2" localSheetId="12">#REF!</definedName>
    <definedName name="Sheet22Range2">#REF!</definedName>
    <definedName name="Sheet22Range3" localSheetId="12">#REF!</definedName>
    <definedName name="Sheet22Range3">#REF!</definedName>
    <definedName name="Sheet22Range4" localSheetId="12">#REF!</definedName>
    <definedName name="Sheet22Range4">#REF!</definedName>
    <definedName name="Sheet23Range1" localSheetId="12">#REF!</definedName>
    <definedName name="Sheet23Range1">#REF!</definedName>
    <definedName name="Sheet23Range2" localSheetId="12">#REF!</definedName>
    <definedName name="Sheet23Range2">#REF!</definedName>
    <definedName name="Sheet23Range3" localSheetId="12">#REF!</definedName>
    <definedName name="Sheet23Range3">#REF!</definedName>
    <definedName name="Sheet23Range4" localSheetId="12">#REF!</definedName>
    <definedName name="Sheet23Range4">#REF!</definedName>
    <definedName name="Sheet24Range1" localSheetId="12">#REF!</definedName>
    <definedName name="Sheet24Range1">#REF!</definedName>
    <definedName name="Sheet24Range2" localSheetId="12">#REF!</definedName>
    <definedName name="Sheet24Range2">#REF!</definedName>
    <definedName name="Sheet24Range3" localSheetId="12">#REF!</definedName>
    <definedName name="Sheet24Range3">#REF!</definedName>
    <definedName name="Sheet24Range4" localSheetId="12">#REF!</definedName>
    <definedName name="Sheet24Range4">#REF!</definedName>
    <definedName name="Sheet25Range1" localSheetId="12">#REF!</definedName>
    <definedName name="Sheet25Range1">#REF!</definedName>
    <definedName name="Sheet25Range2" localSheetId="12">#REF!</definedName>
    <definedName name="Sheet25Range2">#REF!</definedName>
    <definedName name="Sheet29Range1" localSheetId="12">#REF!</definedName>
    <definedName name="Sheet29Range1">#REF!</definedName>
    <definedName name="Sheet29Range2" localSheetId="12">#REF!</definedName>
    <definedName name="Sheet29Range2">#REF!</definedName>
    <definedName name="Sheet30Range1" localSheetId="12">'[16]Table3.B(b)'!#REF!</definedName>
    <definedName name="Sheet30Range1">'[16]Table3.B(b)'!#REF!</definedName>
    <definedName name="Sheet30Range2" localSheetId="12">'[16]Table3.B(b)'!#REF!</definedName>
    <definedName name="Sheet30Range2">'[16]Table3.B(b)'!#REF!</definedName>
    <definedName name="Sheet30Range3" localSheetId="12">'[16]Table3.B(b)'!#REF!</definedName>
    <definedName name="Sheet30Range3">'[16]Table3.B(b)'!#REF!</definedName>
    <definedName name="Sheet30Range4" localSheetId="12">'[16]Table3.B(b)'!#REF!</definedName>
    <definedName name="Sheet30Range4">'[16]Table3.B(b)'!#REF!</definedName>
    <definedName name="Sheet30Range5" localSheetId="12">'[16]Table3.B(b)'!#REF!</definedName>
    <definedName name="Sheet30Range5">'[16]Table3.B(b)'!#REF!</definedName>
    <definedName name="Sheet31Range4" localSheetId="12">[16]Table3.C!#REF!</definedName>
    <definedName name="Sheet31Range4">[16]Table3.C!#REF!</definedName>
    <definedName name="Sheet32Range1" localSheetId="12">[16]Table3.D!#REF!</definedName>
    <definedName name="Sheet32Range1">[16]Table3.D!#REF!</definedName>
    <definedName name="Sheet32Range2" localSheetId="12">#REF!</definedName>
    <definedName name="Sheet32Range2">#REF!</definedName>
    <definedName name="Sheet32Range3" localSheetId="12">[16]Table3.D!#REF!</definedName>
    <definedName name="Sheet32Range3">[16]Table3.D!#REF!</definedName>
    <definedName name="Sheet32Range4" localSheetId="12">#REF!</definedName>
    <definedName name="Sheet32Range4">#REF!</definedName>
    <definedName name="Sheet33Range1" localSheetId="12">#REF!</definedName>
    <definedName name="Sheet33Range1">#REF!</definedName>
    <definedName name="Sheet33Range3" localSheetId="12">#REF!</definedName>
    <definedName name="Sheet33Range3">#REF!</definedName>
    <definedName name="Sheet34Range2" localSheetId="12">[16]Table3.E!#REF!</definedName>
    <definedName name="Sheet34Range2">[16]Table3.E!#REF!</definedName>
    <definedName name="Sheet35Range1" localSheetId="12">[16]Table3.F!#REF!</definedName>
    <definedName name="Sheet35Range1">[16]Table3.F!#REF!</definedName>
    <definedName name="Sheet35Range2" localSheetId="12">[16]Table3.F!#REF!</definedName>
    <definedName name="Sheet35Range2">[16]Table3.F!#REF!</definedName>
    <definedName name="Sheet35Range4" localSheetId="12">[16]Table3.F!#REF!</definedName>
    <definedName name="Sheet35Range4">[16]Table3.F!#REF!</definedName>
    <definedName name="Sheet36Range1" localSheetId="12">#REF!</definedName>
    <definedName name="Sheet36Range1">#REF!</definedName>
    <definedName name="Sheet36Range4" localSheetId="12">[16]Table4!#REF!</definedName>
    <definedName name="Sheet36Range4">[16]Table4!#REF!</definedName>
    <definedName name="Sheet37Range1" localSheetId="12">#REF!</definedName>
    <definedName name="Sheet37Range1">#REF!</definedName>
    <definedName name="Sheet37Range2" localSheetId="12">#REF!</definedName>
    <definedName name="Sheet37Range2">#REF!</definedName>
    <definedName name="Sheet37Range3" localSheetId="12">#REF!</definedName>
    <definedName name="Sheet37Range3">#REF!</definedName>
    <definedName name="Sheet37Range4" localSheetId="12">#REF!</definedName>
    <definedName name="Sheet37Range4">#REF!</definedName>
    <definedName name="Sheet37Range5" localSheetId="12">#REF!</definedName>
    <definedName name="Sheet37Range5">#REF!</definedName>
    <definedName name="Sheet37Range6" localSheetId="12">#REF!</definedName>
    <definedName name="Sheet37Range6">#REF!</definedName>
    <definedName name="Sheet37Range7" localSheetId="12">#REF!</definedName>
    <definedName name="Sheet37Range7">#REF!</definedName>
    <definedName name="Sheet37Range8" localSheetId="12">#REF!</definedName>
    <definedName name="Sheet37Range8">#REF!</definedName>
    <definedName name="Sheet37Range9" localSheetId="12">#REF!</definedName>
    <definedName name="Sheet37Range9">#REF!</definedName>
    <definedName name="Sheet38Range1" localSheetId="12">#REF!</definedName>
    <definedName name="Sheet38Range1">#REF!</definedName>
    <definedName name="Sheet38Range2" localSheetId="12">#REF!</definedName>
    <definedName name="Sheet38Range2">#REF!</definedName>
    <definedName name="Sheet38Range3" localSheetId="12">#REF!</definedName>
    <definedName name="Sheet38Range3">#REF!</definedName>
    <definedName name="Sheet38Range4" localSheetId="12">#REF!</definedName>
    <definedName name="Sheet38Range4">#REF!</definedName>
    <definedName name="Sheet38Range5" localSheetId="12">#REF!</definedName>
    <definedName name="Sheet38Range5">#REF!</definedName>
    <definedName name="Sheet38Range6" localSheetId="12">#REF!</definedName>
    <definedName name="Sheet38Range6">#REF!</definedName>
    <definedName name="Sheet38Range7" localSheetId="12">#REF!</definedName>
    <definedName name="Sheet38Range7">#REF!</definedName>
    <definedName name="Sheet39Range1" localSheetId="12">#REF!</definedName>
    <definedName name="Sheet39Range1">#REF!</definedName>
    <definedName name="Sheet39Range2" localSheetId="12">#REF!</definedName>
    <definedName name="Sheet39Range2">#REF!</definedName>
    <definedName name="Sheet39Range3" localSheetId="12">#REF!</definedName>
    <definedName name="Sheet39Range3">#REF!</definedName>
    <definedName name="Sheet39Range4" localSheetId="12">#REF!</definedName>
    <definedName name="Sheet39Range4">#REF!</definedName>
    <definedName name="Sheet39Range5" localSheetId="12">#REF!</definedName>
    <definedName name="Sheet39Range5">#REF!</definedName>
    <definedName name="Sheet40Range1" localSheetId="12">#REF!</definedName>
    <definedName name="Sheet40Range1">#REF!</definedName>
    <definedName name="Sheet40Range2" localSheetId="12">#REF!</definedName>
    <definedName name="Sheet40Range2">#REF!</definedName>
    <definedName name="Sheet40Range3" localSheetId="12">#REF!</definedName>
    <definedName name="Sheet40Range3">#REF!</definedName>
    <definedName name="Sheet40Range4" localSheetId="12">#REF!</definedName>
    <definedName name="Sheet40Range4">#REF!</definedName>
    <definedName name="Sheet40Range5" localSheetId="12">#REF!</definedName>
    <definedName name="Sheet40Range5">#REF!</definedName>
    <definedName name="Sheet40Range6" localSheetId="12">#REF!</definedName>
    <definedName name="Sheet40Range6">#REF!</definedName>
    <definedName name="Sheet40Range7" localSheetId="12">#REF!</definedName>
    <definedName name="Sheet40Range7">#REF!</definedName>
    <definedName name="Sheet41Range1" localSheetId="12">#REF!</definedName>
    <definedName name="Sheet41Range1">#REF!</definedName>
    <definedName name="Sheet41Range2" localSheetId="12">#REF!</definedName>
    <definedName name="Sheet41Range2">#REF!</definedName>
    <definedName name="Sheet43Range1" localSheetId="12">#REF!</definedName>
    <definedName name="Sheet43Range1">#REF!</definedName>
    <definedName name="Sheet43Range2" localSheetId="12">#REF!</definedName>
    <definedName name="Sheet43Range2">#REF!</definedName>
    <definedName name="Sheet43Range3" localSheetId="12">#REF!</definedName>
    <definedName name="Sheet43Range3">#REF!</definedName>
    <definedName name="Sheet43Range5" localSheetId="12">#REF!</definedName>
    <definedName name="Sheet43Range5">#REF!</definedName>
    <definedName name="Sheet44Range1" localSheetId="12">#REF!</definedName>
    <definedName name="Sheet44Range1">#REF!</definedName>
    <definedName name="Sheet44Range2" localSheetId="12">#REF!</definedName>
    <definedName name="Sheet44Range2">#REF!</definedName>
    <definedName name="Sheet45Range1" localSheetId="12">#REF!</definedName>
    <definedName name="Sheet45Range1">#REF!</definedName>
    <definedName name="Sheet45Range2" localSheetId="12">#REF!</definedName>
    <definedName name="Sheet45Range2">#REF!</definedName>
    <definedName name="Sheet45Range3" localSheetId="12">#REF!</definedName>
    <definedName name="Sheet45Range3">#REF!</definedName>
    <definedName name="Sheet45Range4" localSheetId="12">#REF!</definedName>
    <definedName name="Sheet45Range4">#REF!</definedName>
    <definedName name="Sheet45Range5" localSheetId="12">#REF!</definedName>
    <definedName name="Sheet45Range5">#REF!</definedName>
    <definedName name="Sheet46Range1" localSheetId="12">#REF!</definedName>
    <definedName name="Sheet46Range1">#REF!</definedName>
    <definedName name="Sheet46Range2" localSheetId="12">#REF!</definedName>
    <definedName name="Sheet46Range2">#REF!</definedName>
    <definedName name="Sheet46Range3" localSheetId="12">#REF!</definedName>
    <definedName name="Sheet46Range3">#REF!</definedName>
    <definedName name="Sheet46Range4" localSheetId="12">#REF!</definedName>
    <definedName name="Sheet46Range4">#REF!</definedName>
    <definedName name="Sheet46Range5" localSheetId="12">#REF!</definedName>
    <definedName name="Sheet46Range5">#REF!</definedName>
    <definedName name="Sheet47Range1" localSheetId="12">#REF!</definedName>
    <definedName name="Sheet47Range1">#REF!</definedName>
    <definedName name="Sheet47Range2" localSheetId="12">#REF!</definedName>
    <definedName name="Sheet47Range2">#REF!</definedName>
    <definedName name="Sheet48Range1" localSheetId="12">#REF!</definedName>
    <definedName name="Sheet48Range1">#REF!</definedName>
    <definedName name="Sheet48Range2" localSheetId="12">#REF!</definedName>
    <definedName name="Sheet48Range2">#REF!</definedName>
    <definedName name="Sheet49Range1" localSheetId="12">#REF!</definedName>
    <definedName name="Sheet49Range1">#REF!</definedName>
    <definedName name="Sheet49Range2" localSheetId="12">#REF!</definedName>
    <definedName name="Sheet49Range2">#REF!</definedName>
    <definedName name="Sheet50Range1" localSheetId="12">#REF!</definedName>
    <definedName name="Sheet50Range1">#REF!</definedName>
    <definedName name="Sheet50Range2" localSheetId="12">#REF!</definedName>
    <definedName name="Sheet50Range2">#REF!</definedName>
    <definedName name="Sheet51Range3" localSheetId="12">[20]Summary2!#REF!</definedName>
    <definedName name="Sheet51Range3">[20]Summary2!#REF!</definedName>
    <definedName name="Sheet51Range4" localSheetId="12">[16]Summary2!#REF!</definedName>
    <definedName name="Sheet51Range4">[16]Summary2!#REF!</definedName>
    <definedName name="Sheet53Range1" localSheetId="12">#REF!</definedName>
    <definedName name="Sheet53Range1">#REF!</definedName>
    <definedName name="Sheet53Range2" localSheetId="12">#REF!</definedName>
    <definedName name="Sheet53Range2">#REF!</definedName>
    <definedName name="Sheet53Range3" localSheetId="12">#REF!</definedName>
    <definedName name="Sheet53Range3">#REF!</definedName>
    <definedName name="Sheet53Range4" localSheetId="12">#REF!</definedName>
    <definedName name="Sheet53Range4">#REF!</definedName>
    <definedName name="Sheet54Range2" localSheetId="12">#REF!</definedName>
    <definedName name="Sheet54Range2">#REF!</definedName>
    <definedName name="Sheet55Range1" localSheetId="12">#REF!</definedName>
    <definedName name="Sheet55Range1">#REF!</definedName>
    <definedName name="Sheet55Range2" localSheetId="12">'[20]Table8(a)s3'!#REF!</definedName>
    <definedName name="Sheet55Range2">'[20]Table8(a)s3'!#REF!</definedName>
    <definedName name="Sheet55Range3" localSheetId="12">'[20]Table8(a)s3'!#REF!</definedName>
    <definedName name="Sheet55Range3">'[20]Table8(a)s3'!#REF!</definedName>
    <definedName name="Sheet55Range4" localSheetId="12">'[20]Table8(a)s3'!#REF!</definedName>
    <definedName name="Sheet55Range4">'[20]Table8(a)s3'!#REF!</definedName>
    <definedName name="Sheet55Range5" localSheetId="12">#REF!</definedName>
    <definedName name="Sheet55Range5">#REF!</definedName>
    <definedName name="Sheet55Range6" localSheetId="12">'[20]Table8(a)s3'!#REF!</definedName>
    <definedName name="Sheet55Range6">'[20]Table8(a)s3'!#REF!</definedName>
    <definedName name="Sheet56Range1" localSheetId="12">#REF!</definedName>
    <definedName name="Sheet56Range1">#REF!</definedName>
    <definedName name="Sheet56Range2" localSheetId="12">#REF!</definedName>
    <definedName name="Sheet56Range2">#REF!</definedName>
    <definedName name="Sheet56Range3" localSheetId="12">#REF!</definedName>
    <definedName name="Sheet56Range3">#REF!</definedName>
    <definedName name="Sheet56Range4" localSheetId="12">#REF!</definedName>
    <definedName name="Sheet56Range4">#REF!</definedName>
    <definedName name="Sheet56Range5" localSheetId="12">#REF!</definedName>
    <definedName name="Sheet56Range5">#REF!</definedName>
    <definedName name="Sheet56Range6" localSheetId="12">#REF!</definedName>
    <definedName name="Sheet56Range6">#REF!</definedName>
    <definedName name="Sheet58Range1" localSheetId="12">#REF!</definedName>
    <definedName name="Sheet58Range1">#REF!</definedName>
    <definedName name="Sheet58Range2" localSheetId="12">#REF!</definedName>
    <definedName name="Sheet58Range2">#REF!</definedName>
    <definedName name="Sheet58Range3" localSheetId="12">#REF!</definedName>
    <definedName name="Sheet58Range3">#REF!</definedName>
    <definedName name="Sheet58Range4" localSheetId="12">#REF!</definedName>
    <definedName name="Sheet58Range4">#REF!</definedName>
    <definedName name="Sheet58Range5" localSheetId="12">#REF!</definedName>
    <definedName name="Sheet58Range5">#REF!</definedName>
    <definedName name="Sheet58Range6" localSheetId="12">#REF!</definedName>
    <definedName name="Sheet58Range6">#REF!</definedName>
    <definedName name="Sheet63Range1" localSheetId="12">#REF!</definedName>
    <definedName name="Sheet63Range1">#REF!</definedName>
    <definedName name="Sheet63Range2" localSheetId="12">#REF!</definedName>
    <definedName name="Sheet63Range2">#REF!</definedName>
    <definedName name="Sheet63Range3" localSheetId="12">#REF!</definedName>
    <definedName name="Sheet63Range3">#REF!</definedName>
    <definedName name="Sheet63Range4" localSheetId="12">#REF!</definedName>
    <definedName name="Sheet63Range4">#REF!</definedName>
    <definedName name="Sheet63Range5" localSheetId="12">#REF!</definedName>
    <definedName name="Sheet63Range5">#REF!</definedName>
    <definedName name="Sheet63Range6" localSheetId="12">#REF!</definedName>
    <definedName name="Sheet63Range6">#REF!</definedName>
    <definedName name="Sheet63Range7" localSheetId="12">#REF!</definedName>
    <definedName name="Sheet63Range7">#REF!</definedName>
    <definedName name="Sheet64Range2" localSheetId="12">[16]Table7!#REF!</definedName>
    <definedName name="Sheet64Range2">[16]Table7!#REF!</definedName>
    <definedName name="Sheet64Range4" localSheetId="12">[16]Table7!#REF!</definedName>
    <definedName name="Sheet64Range4">[16]Table7!#REF!</definedName>
    <definedName name="Sheet8Range2" localSheetId="12">'[20]Table1.A(c)'!#REF!</definedName>
    <definedName name="Sheet8Range2">'[20]Table1.A(c)'!#REF!</definedName>
    <definedName name="Sheet9Range2" localSheetId="12">'[16]Table1.A(d)'!#REF!</definedName>
    <definedName name="Sheet9Range2">'[16]Table1.A(d)'!#REF!</definedName>
    <definedName name="Sheet9Range4" localSheetId="12">'[16]Table1.A(d)'!#REF!</definedName>
    <definedName name="Sheet9Range4">'[16]Table1.A(d)'!#REF!</definedName>
    <definedName name="Sheet9Range5" localSheetId="12">'[20]Table1.A(d)changed'!#REF!</definedName>
    <definedName name="Sheet9Range5">'[20]Table1.A(d)changed'!#REF!</definedName>
    <definedName name="sim_nao">'[3]LISTAS DROP DOWN'!$Y$4:$Y$5</definedName>
    <definedName name="solidEFs">'[1]CO2 EFs'!$C$76:$E$78</definedName>
    <definedName name="solidUnits" localSheetId="2">[1]General_listings!#REF!</definedName>
    <definedName name="solidUnits" localSheetId="4">[1]General_listings!#REF!</definedName>
    <definedName name="solidUnits" localSheetId="12">[1]General_listings!#REF!</definedName>
    <definedName name="solidUnits">[1]General_listings!#REF!</definedName>
    <definedName name="ss" localSheetId="12">#REF!</definedName>
    <definedName name="ss">#REF!</definedName>
    <definedName name="Start1" localSheetId="12">#REF!</definedName>
    <definedName name="Start1">#REF!</definedName>
    <definedName name="Start3" localSheetId="12">#REF!</definedName>
    <definedName name="Start3">#REF!</definedName>
    <definedName name="Start41" localSheetId="12">#REF!</definedName>
    <definedName name="Start41">#REF!</definedName>
    <definedName name="Start49" localSheetId="12">'Table5.D(2021)'!$B$5</definedName>
    <definedName name="Start49">#REF!</definedName>
    <definedName name="Start5" localSheetId="12">#REF!</definedName>
    <definedName name="Start5">#REF!</definedName>
    <definedName name="Start51" localSheetId="12">#REF!</definedName>
    <definedName name="Start51">#REF!</definedName>
    <definedName name="Start53" localSheetId="12">#REF!</definedName>
    <definedName name="Start53">#REF!</definedName>
    <definedName name="Start55" localSheetId="12">#REF!</definedName>
    <definedName name="Start55">#REF!</definedName>
    <definedName name="Start58" localSheetId="12">#REF!</definedName>
    <definedName name="Start58">#REF!</definedName>
    <definedName name="Start68" localSheetId="12">#REF!</definedName>
    <definedName name="Start68">#REF!</definedName>
    <definedName name="stateMap">[1]General_listings!$B$193:$C$197</definedName>
    <definedName name="TABLE4" localSheetId="2">#REF!</definedName>
    <definedName name="TABLE4" localSheetId="4">#REF!</definedName>
    <definedName name="TABLE4" localSheetId="8">#REF!</definedName>
    <definedName name="TABLE4" localSheetId="12">#REF!</definedName>
    <definedName name="TABLE4">#REF!</definedName>
    <definedName name="test">'[1]Tier 1 CH4  EFs'!$B$7:$B$60,'[1]Tier 1 CH4  EFs'!$E$7:$E$60</definedName>
    <definedName name="Tier3KeyTable">[1]Tier3EFs!$E$9:$F$16</definedName>
    <definedName name="tipo_aterro">'[12]Fatores de Conversão'!$A$148:$A$152</definedName>
    <definedName name="tipo_clima">'[12]Fatores de Conversão'!$B$172:$E$172</definedName>
    <definedName name="tipo_veiculo">'[12]Fatores de Conversão'!$A$74:$A$84</definedName>
    <definedName name="TRATAMENTOR">[9]DADOS!$O$2:$O$7</definedName>
    <definedName name="tyyu" localSheetId="2">#REF!</definedName>
    <definedName name="tyyu" localSheetId="4">#REF!</definedName>
    <definedName name="tyyu" localSheetId="12">#REF!</definedName>
    <definedName name="tyyu">#REF!</definedName>
    <definedName name="un_qdr_3" localSheetId="2">#REF!</definedName>
    <definedName name="un_qdr_3" localSheetId="4">#REF!</definedName>
    <definedName name="un_qdr_3" localSheetId="12">#REF!</definedName>
    <definedName name="un_qdr_3">#REF!</definedName>
    <definedName name="unid_qdr_3">'[3]LISTAS DROP DOWN'!$E$4:$E$7</definedName>
    <definedName name="unid_qdr_5">'[3]LISTAS DROP DOWN'!$U$4:$U$8</definedName>
    <definedName name="unidad">[6]DADOS!$L$2:$L$5</definedName>
    <definedName name="UNIDADE">[9]DADOS!$L$2:$L$5</definedName>
    <definedName name="unidade_estacionaria">'[12]Fatores de Conversão'!$A$6:$A$16</definedName>
    <definedName name="unidade_movel">'[12]Fatores de Conversão'!$C$12:$C$15</definedName>
    <definedName name="UNIDADE3">[9]DADOS!$M$2:$M$4</definedName>
    <definedName name="UNIDADEM">[9]DADOS!$L$2:$L$6</definedName>
    <definedName name="UNIDADES">[6]DADOS!$L$2:$L$5</definedName>
    <definedName name="Unidades_Estacionarias">'[12]Fatores de Conversão'!$A$6:$A$16</definedName>
    <definedName name="unitCodes">[1]General_listings!$B$103:$E$157</definedName>
    <definedName name="unitStates">'[1]CO2 EFs'!$B$217:$F$230</definedName>
    <definedName name="uso" hidden="1">{"'RELATÓRIO'!$A$1:$E$20","'RELATÓRIO'!$A$22:$D$34","'INTERNET'!$A$31:$G$58","'INTERNET'!$A$1:$G$28","'SÉRIE HISTÓRICA'!$A$167:$H$212","'SÉRIE HISTÓRICA'!$A$56:$H$101"}</definedName>
    <definedName name="VAR" localSheetId="2">#REF!</definedName>
    <definedName name="VAR" localSheetId="4">#REF!</definedName>
    <definedName name="VAR" localSheetId="8">#REF!</definedName>
    <definedName name="VAR" localSheetId="12">#REF!</definedName>
    <definedName name="VAR">#REF!</definedName>
    <definedName name="VCache_Version" localSheetId="12">#REF!</definedName>
    <definedName name="VCache_Version">#REF!</definedName>
    <definedName name="Version_number" localSheetId="12">#REF!</definedName>
    <definedName name="Version_number">#REF!</definedName>
    <definedName name="VL_Version" localSheetId="12">#REF!</definedName>
    <definedName name="VL_Version">#REF!</definedName>
    <definedName name="Volume" localSheetId="2">#REF!</definedName>
    <definedName name="Volume" localSheetId="4">#REF!</definedName>
    <definedName name="Volume" localSheetId="12">#REF!</definedName>
    <definedName name="Volume">#REF!</definedName>
    <definedName name="xdot" localSheetId="2">#REF!</definedName>
    <definedName name="xdot" localSheetId="4">#REF!</definedName>
    <definedName name="xdot" localSheetId="12">#REF!</definedName>
    <definedName name="xdot">#REF!</definedName>
    <definedName name="Xe">[21]Sheet1!$C$8</definedName>
    <definedName name="Xeps" localSheetId="2">#REF!</definedName>
    <definedName name="Xeps" localSheetId="4">#REF!</definedName>
    <definedName name="Xeps" localSheetId="12">#REF!</definedName>
    <definedName name="Xeps">#REF!</definedName>
    <definedName name="Xfk" localSheetId="2">#REF!</definedName>
    <definedName name="Xfk" localSheetId="4">#REF!</definedName>
    <definedName name="Xfk" localSheetId="12">#REF!</definedName>
    <definedName name="Xfk">#REF!</definedName>
    <definedName name="XMAX" localSheetId="2">#REF!</definedName>
    <definedName name="XMAX" localSheetId="4">#REF!</definedName>
    <definedName name="XMAX" localSheetId="12">#REF!</definedName>
    <definedName name="XMAX">#REF!</definedName>
    <definedName name="XMSY">[21]Sheet1!$C$3</definedName>
    <definedName name="Xp" localSheetId="2">#REF!</definedName>
    <definedName name="Xp" localSheetId="4">#REF!</definedName>
    <definedName name="Xp" localSheetId="12">#REF!</definedName>
    <definedName name="Xp">#REF!</definedName>
    <definedName name="Xprof" localSheetId="2">#REF!</definedName>
    <definedName name="Xprof" localSheetId="4">#REF!</definedName>
    <definedName name="Xprof" localSheetId="12">#REF!</definedName>
    <definedName name="Xprof">#REF!</definedName>
    <definedName name="Xxdot" localSheetId="2">#REF!</definedName>
    <definedName name="Xxdot" localSheetId="4">#REF!</definedName>
    <definedName name="Xxdot" localSheetId="12">#REF!</definedName>
    <definedName name="Xxdot">#REF!</definedName>
    <definedName name="XXMAX">[21]Sheet1!$C$4</definedName>
    <definedName name="Xy" localSheetId="2">#REF!</definedName>
    <definedName name="Xy" localSheetId="4">#REF!</definedName>
    <definedName name="Xy" localSheetId="12">#REF!</definedName>
    <definedName name="Xy">#REF!</definedName>
    <definedName name="y" localSheetId="2">#REF!</definedName>
    <definedName name="y" localSheetId="4">#REF!</definedName>
    <definedName name="y" localSheetId="12">#REF!</definedName>
    <definedName name="y">#REF!</definedName>
    <definedName name="year" localSheetId="8">[7]Parametres!$E$9</definedName>
    <definedName name="year">[8]Parametres!$E$9</definedName>
    <definedName name="ZONAECOLOGICA">[9]DADOS!$R$2:$R$15</definedName>
  </definedNames>
  <calcPr calcId="191029"/>
</workbook>
</file>

<file path=xl/calcChain.xml><?xml version="1.0" encoding="utf-8"?>
<calcChain xmlns="http://schemas.openxmlformats.org/spreadsheetml/2006/main">
  <c r="C196" i="24" l="1"/>
  <c r="C195" i="24"/>
  <c r="C194" i="24"/>
  <c r="C193" i="24"/>
  <c r="C197" i="24"/>
  <c r="K8" i="2" l="1"/>
  <c r="K7" i="2"/>
  <c r="E438" i="24" l="1"/>
  <c r="E439" i="24"/>
  <c r="E440" i="24"/>
  <c r="E441" i="24"/>
  <c r="E442" i="24"/>
  <c r="E443" i="24"/>
  <c r="E444" i="24"/>
  <c r="E445" i="24"/>
  <c r="E446" i="24"/>
  <c r="E447" i="24"/>
  <c r="E448" i="24"/>
  <c r="E449" i="24"/>
  <c r="E450" i="24"/>
  <c r="E451" i="24"/>
  <c r="E452" i="24"/>
  <c r="E453" i="24"/>
  <c r="E454" i="24"/>
  <c r="E455" i="24"/>
  <c r="E456" i="24"/>
  <c r="E457" i="24"/>
  <c r="E458" i="24"/>
  <c r="E459" i="24"/>
  <c r="E460" i="24"/>
  <c r="E461" i="24"/>
  <c r="E462" i="24"/>
  <c r="E463" i="24"/>
  <c r="E464" i="24"/>
  <c r="E465" i="24"/>
  <c r="E466" i="24"/>
  <c r="E467" i="24"/>
  <c r="E468" i="24"/>
  <c r="E469"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E403" i="24"/>
  <c r="E404" i="24"/>
  <c r="E405" i="24"/>
  <c r="E406" i="24"/>
  <c r="E407" i="24"/>
  <c r="E408" i="24"/>
  <c r="E409" i="24"/>
  <c r="E410" i="24"/>
  <c r="E411" i="24"/>
  <c r="E412" i="24"/>
  <c r="E413" i="24"/>
  <c r="E414" i="24"/>
  <c r="E415" i="24"/>
  <c r="E416" i="24"/>
  <c r="E417" i="24"/>
  <c r="E418" i="24"/>
  <c r="E419" i="24"/>
  <c r="E420" i="24"/>
  <c r="E421" i="24"/>
  <c r="E422" i="24"/>
  <c r="E423" i="24"/>
  <c r="E424" i="24"/>
  <c r="E425" i="24"/>
  <c r="E426" i="24"/>
  <c r="E427" i="24"/>
  <c r="E428" i="24"/>
  <c r="E429" i="24"/>
  <c r="E430" i="24"/>
  <c r="E431" i="24"/>
  <c r="E432" i="24"/>
  <c r="E433" i="24"/>
  <c r="E434"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C403" i="24"/>
  <c r="C404" i="24"/>
  <c r="C405" i="24"/>
  <c r="C406" i="24"/>
  <c r="F406" i="24" s="1"/>
  <c r="C40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E368" i="24"/>
  <c r="E369" i="24"/>
  <c r="E370" i="24"/>
  <c r="E371" i="24"/>
  <c r="E372" i="24"/>
  <c r="E373" i="24"/>
  <c r="E374" i="24"/>
  <c r="E375" i="24"/>
  <c r="E376" i="24"/>
  <c r="E377" i="24"/>
  <c r="E378" i="24"/>
  <c r="E379" i="24"/>
  <c r="E380" i="24"/>
  <c r="E381" i="24"/>
  <c r="E382" i="24"/>
  <c r="E383" i="24"/>
  <c r="E384" i="24"/>
  <c r="E385" i="24"/>
  <c r="E386" i="24"/>
  <c r="E387" i="24"/>
  <c r="E388" i="24"/>
  <c r="E389" i="24"/>
  <c r="E390" i="24"/>
  <c r="E391" i="24"/>
  <c r="E392" i="24"/>
  <c r="E393" i="24"/>
  <c r="E394" i="24"/>
  <c r="E395" i="24"/>
  <c r="E396" i="24"/>
  <c r="E397" i="24"/>
  <c r="E398" i="24"/>
  <c r="E399" i="24"/>
  <c r="C368" i="24"/>
  <c r="C369" i="24"/>
  <c r="F369" i="24" s="1"/>
  <c r="C370" i="24"/>
  <c r="C371" i="24"/>
  <c r="C372" i="24"/>
  <c r="E333" i="24"/>
  <c r="E334" i="24"/>
  <c r="E335" i="24"/>
  <c r="E336" i="24"/>
  <c r="E337" i="24"/>
  <c r="E338" i="24"/>
  <c r="E339" i="24"/>
  <c r="E340" i="24"/>
  <c r="E341" i="24"/>
  <c r="E342" i="24"/>
  <c r="E343" i="24"/>
  <c r="E344" i="24"/>
  <c r="E345" i="24"/>
  <c r="E346" i="24"/>
  <c r="E347" i="24"/>
  <c r="E348" i="24"/>
  <c r="E349" i="24"/>
  <c r="E350" i="24"/>
  <c r="E351" i="24"/>
  <c r="E352" i="24"/>
  <c r="E353" i="24"/>
  <c r="E354" i="24"/>
  <c r="E355" i="24"/>
  <c r="E356" i="24"/>
  <c r="E357" i="24"/>
  <c r="E358" i="24"/>
  <c r="E359" i="24"/>
  <c r="E360" i="24"/>
  <c r="E361" i="24"/>
  <c r="E362" i="24"/>
  <c r="E363" i="24"/>
  <c r="E364"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C333" i="24"/>
  <c r="C334" i="24"/>
  <c r="C335" i="24"/>
  <c r="C336" i="24"/>
  <c r="C337" i="24"/>
  <c r="F337" i="24" s="1"/>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E298" i="24"/>
  <c r="E299" i="24"/>
  <c r="E300" i="24"/>
  <c r="E301" i="24"/>
  <c r="E302" i="24"/>
  <c r="E303" i="24"/>
  <c r="E304" i="24"/>
  <c r="E305" i="24"/>
  <c r="E306" i="24"/>
  <c r="E307" i="24"/>
  <c r="E308" i="24"/>
  <c r="E309" i="24"/>
  <c r="E310" i="24"/>
  <c r="E311" i="24"/>
  <c r="E312" i="24"/>
  <c r="E313" i="24"/>
  <c r="E314" i="24"/>
  <c r="E315" i="24"/>
  <c r="E316" i="24"/>
  <c r="E317" i="24"/>
  <c r="E318" i="24"/>
  <c r="E319" i="24"/>
  <c r="E320" i="24"/>
  <c r="E321" i="24"/>
  <c r="E322" i="24"/>
  <c r="E323" i="24"/>
  <c r="E324" i="24"/>
  <c r="E325" i="24"/>
  <c r="E326" i="24"/>
  <c r="E327" i="24"/>
  <c r="E328" i="24"/>
  <c r="E329" i="24"/>
  <c r="C298" i="24"/>
  <c r="F298" i="24" s="1"/>
  <c r="C299" i="24"/>
  <c r="C300" i="24"/>
  <c r="F300" i="24" s="1"/>
  <c r="C301" i="24"/>
  <c r="C302" i="24"/>
  <c r="C228" i="24"/>
  <c r="C229" i="24"/>
  <c r="C230" i="24"/>
  <c r="C231" i="24"/>
  <c r="C232"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259"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217" i="24"/>
  <c r="E218" i="24"/>
  <c r="E219" i="24"/>
  <c r="E220" i="24"/>
  <c r="E221" i="24"/>
  <c r="E222" i="24"/>
  <c r="E223" i="24"/>
  <c r="E224"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F370" i="24" l="1"/>
  <c r="F334" i="24"/>
  <c r="F299" i="24"/>
  <c r="F195" i="24"/>
  <c r="F196" i="24"/>
  <c r="F371" i="24"/>
  <c r="F368" i="24"/>
  <c r="F336" i="24"/>
  <c r="F335" i="24"/>
  <c r="F407" i="24"/>
  <c r="F333" i="24"/>
  <c r="F405" i="24"/>
  <c r="F404" i="24"/>
  <c r="F193" i="24"/>
  <c r="F302" i="24"/>
  <c r="F403" i="24"/>
  <c r="F194" i="24"/>
  <c r="F197" i="24"/>
  <c r="F301" i="24"/>
  <c r="F372" i="24"/>
  <c r="F231" i="24"/>
  <c r="F229" i="24"/>
  <c r="F228" i="24"/>
  <c r="F232" i="24"/>
  <c r="F230"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C123" i="24"/>
  <c r="C124" i="24"/>
  <c r="C125" i="24"/>
  <c r="C126" i="24"/>
  <c r="C127" i="24"/>
  <c r="E88" i="24"/>
  <c r="E89" i="24"/>
  <c r="E90" i="24"/>
  <c r="E91" i="24"/>
  <c r="E92" i="24"/>
  <c r="E93" i="24"/>
  <c r="E94" i="24"/>
  <c r="E95"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C88" i="24"/>
  <c r="C89" i="24"/>
  <c r="C90" i="24"/>
  <c r="F90" i="24" s="1"/>
  <c r="C91" i="24"/>
  <c r="C92" i="24"/>
  <c r="F92" i="24" s="1"/>
  <c r="E263" i="24"/>
  <c r="E264" i="24"/>
  <c r="E265" i="24"/>
  <c r="E266" i="24"/>
  <c r="E267" i="24"/>
  <c r="E268" i="24"/>
  <c r="E269" i="24"/>
  <c r="E270" i="24"/>
  <c r="E271" i="24"/>
  <c r="E272" i="24"/>
  <c r="E273" i="24"/>
  <c r="E274" i="24"/>
  <c r="E275" i="24"/>
  <c r="E276" i="24"/>
  <c r="E277" i="24"/>
  <c r="E278" i="24"/>
  <c r="E279" i="24"/>
  <c r="E280" i="24"/>
  <c r="E281" i="24"/>
  <c r="E282" i="24"/>
  <c r="E283" i="24"/>
  <c r="E284" i="24"/>
  <c r="E285" i="24"/>
  <c r="E286" i="24"/>
  <c r="E287" i="24"/>
  <c r="E288" i="24"/>
  <c r="E289" i="24"/>
  <c r="E290" i="24"/>
  <c r="E291" i="24"/>
  <c r="E292" i="24"/>
  <c r="E293" i="24"/>
  <c r="E294"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C263" i="24"/>
  <c r="C264" i="24"/>
  <c r="C265" i="24"/>
  <c r="C266" i="24"/>
  <c r="C267"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C53" i="24"/>
  <c r="F53" i="24" s="1"/>
  <c r="C54" i="24"/>
  <c r="C55" i="24"/>
  <c r="C56" i="24"/>
  <c r="C57" i="24"/>
  <c r="E18" i="24"/>
  <c r="E19" i="24"/>
  <c r="E20" i="24"/>
  <c r="E21" i="24"/>
  <c r="D18" i="24"/>
  <c r="D19" i="24"/>
  <c r="D20" i="24"/>
  <c r="D21" i="24"/>
  <c r="C18" i="24"/>
  <c r="F18" i="24" s="1"/>
  <c r="C19" i="24"/>
  <c r="C20" i="24"/>
  <c r="C21" i="24"/>
  <c r="C22" i="24"/>
  <c r="F127" i="24" l="1"/>
  <c r="F263" i="24"/>
  <c r="F91" i="24"/>
  <c r="F55" i="24"/>
  <c r="F89" i="24"/>
  <c r="F54" i="24"/>
  <c r="F88" i="24"/>
  <c r="F267" i="24"/>
  <c r="F126" i="24"/>
  <c r="F125" i="24"/>
  <c r="F124" i="24"/>
  <c r="F266" i="24"/>
  <c r="F264" i="24"/>
  <c r="F123" i="24"/>
  <c r="F56" i="24"/>
  <c r="F265" i="24"/>
  <c r="F57" i="24"/>
  <c r="F20" i="24"/>
  <c r="F19" i="24"/>
  <c r="F21" i="24"/>
  <c r="D63" i="79" l="1"/>
  <c r="E63" i="79"/>
  <c r="F63" i="79"/>
  <c r="G63" i="79"/>
  <c r="H63" i="79"/>
  <c r="D64" i="79"/>
  <c r="E64" i="79"/>
  <c r="F64" i="79"/>
  <c r="G64" i="79"/>
  <c r="H64" i="79"/>
  <c r="D65" i="79"/>
  <c r="E65" i="79"/>
  <c r="F65" i="79"/>
  <c r="G65" i="79"/>
  <c r="H65" i="79"/>
  <c r="D66" i="79"/>
  <c r="E66" i="79"/>
  <c r="F66" i="79"/>
  <c r="G66" i="79"/>
  <c r="H66" i="79"/>
  <c r="D67" i="79"/>
  <c r="E67" i="79"/>
  <c r="F67" i="79"/>
  <c r="G67" i="79"/>
  <c r="H67" i="79"/>
  <c r="D50" i="79"/>
  <c r="E50" i="79"/>
  <c r="F50" i="79"/>
  <c r="G50" i="79"/>
  <c r="H50" i="79"/>
  <c r="D51" i="79"/>
  <c r="E51" i="79"/>
  <c r="F51" i="79"/>
  <c r="G51" i="79"/>
  <c r="H51" i="79"/>
  <c r="D52" i="79"/>
  <c r="E52" i="79"/>
  <c r="F52" i="79"/>
  <c r="G52" i="79"/>
  <c r="H52" i="79"/>
  <c r="D53" i="79"/>
  <c r="E53" i="79"/>
  <c r="F53" i="79"/>
  <c r="G53" i="79"/>
  <c r="H53" i="79"/>
  <c r="D54" i="79"/>
  <c r="E54" i="79"/>
  <c r="F54" i="79"/>
  <c r="G54" i="79"/>
  <c r="H54" i="79"/>
  <c r="D55" i="79"/>
  <c r="E55" i="79"/>
  <c r="F55" i="79"/>
  <c r="G55" i="79"/>
  <c r="H55" i="79"/>
  <c r="D56" i="79"/>
  <c r="E56" i="79"/>
  <c r="F56" i="79"/>
  <c r="G56" i="79"/>
  <c r="H56" i="79"/>
  <c r="D57" i="79"/>
  <c r="E57" i="79"/>
  <c r="F57" i="79"/>
  <c r="G57" i="79"/>
  <c r="H57" i="79"/>
  <c r="D58" i="79"/>
  <c r="E58" i="79"/>
  <c r="F58" i="79"/>
  <c r="G58" i="79"/>
  <c r="H58" i="79"/>
  <c r="D59" i="79"/>
  <c r="E59" i="79"/>
  <c r="F59" i="79"/>
  <c r="G59" i="79"/>
  <c r="H59" i="79"/>
  <c r="D60" i="79"/>
  <c r="E60" i="79"/>
  <c r="F60" i="79"/>
  <c r="G60" i="79"/>
  <c r="H60" i="79"/>
  <c r="D61" i="79"/>
  <c r="E61" i="79"/>
  <c r="F61" i="79"/>
  <c r="G61" i="79"/>
  <c r="H61" i="79"/>
  <c r="D62" i="79"/>
  <c r="E62" i="79"/>
  <c r="F62" i="79"/>
  <c r="G62" i="79"/>
  <c r="H62" i="79"/>
  <c r="D36" i="79"/>
  <c r="E36" i="79"/>
  <c r="F36" i="79"/>
  <c r="G36" i="79"/>
  <c r="H36" i="79"/>
  <c r="D37" i="79"/>
  <c r="E37" i="79"/>
  <c r="F37" i="79"/>
  <c r="G37" i="79"/>
  <c r="H37" i="79"/>
  <c r="D38" i="79"/>
  <c r="E38" i="79"/>
  <c r="F38" i="79"/>
  <c r="G38" i="79"/>
  <c r="H38" i="79"/>
  <c r="D39" i="79"/>
  <c r="E39" i="79"/>
  <c r="F39" i="79"/>
  <c r="G39" i="79"/>
  <c r="H39" i="79"/>
  <c r="D40" i="79"/>
  <c r="E40" i="79"/>
  <c r="F40" i="79"/>
  <c r="G40" i="79"/>
  <c r="H40" i="79"/>
  <c r="D41" i="79"/>
  <c r="E41" i="79"/>
  <c r="F41" i="79"/>
  <c r="G41" i="79"/>
  <c r="H41" i="79"/>
  <c r="D42" i="79"/>
  <c r="E42" i="79"/>
  <c r="F42" i="79"/>
  <c r="G42" i="79"/>
  <c r="H42" i="79"/>
  <c r="D43" i="79"/>
  <c r="E43" i="79"/>
  <c r="F43" i="79"/>
  <c r="G43" i="79"/>
  <c r="H43" i="79"/>
  <c r="D44" i="79"/>
  <c r="E44" i="79"/>
  <c r="F44" i="79"/>
  <c r="G44" i="79"/>
  <c r="H44" i="79"/>
  <c r="D45" i="79"/>
  <c r="E45" i="79"/>
  <c r="F45" i="79"/>
  <c r="G45" i="79"/>
  <c r="H45" i="79"/>
  <c r="D46" i="79"/>
  <c r="E46" i="79"/>
  <c r="F46" i="79"/>
  <c r="G46" i="79"/>
  <c r="H46" i="79"/>
  <c r="D47" i="79"/>
  <c r="E47" i="79"/>
  <c r="F47" i="79"/>
  <c r="G47" i="79"/>
  <c r="H47" i="79"/>
  <c r="D48" i="79"/>
  <c r="E48" i="79"/>
  <c r="F48" i="79"/>
  <c r="G48" i="79"/>
  <c r="H48" i="79"/>
  <c r="D49" i="79"/>
  <c r="E49" i="79"/>
  <c r="F49" i="79"/>
  <c r="G49" i="79"/>
  <c r="H49" i="79"/>
  <c r="E35" i="79"/>
  <c r="F35" i="79"/>
  <c r="G35" i="79"/>
  <c r="H35" i="79"/>
  <c r="D35" i="79"/>
  <c r="C36" i="79"/>
  <c r="I36" i="79" s="1"/>
  <c r="P36" i="79" s="1"/>
  <c r="C37" i="79"/>
  <c r="C38" i="79"/>
  <c r="C39" i="79"/>
  <c r="C40" i="79"/>
  <c r="C41" i="79"/>
  <c r="C42" i="79"/>
  <c r="C43" i="79"/>
  <c r="C44" i="79"/>
  <c r="I44" i="79" s="1"/>
  <c r="P44" i="79" s="1"/>
  <c r="C45" i="79"/>
  <c r="C46" i="79"/>
  <c r="C47" i="79"/>
  <c r="C48" i="79"/>
  <c r="C49" i="79"/>
  <c r="C50" i="79"/>
  <c r="C51" i="79"/>
  <c r="C52" i="79"/>
  <c r="C53" i="79"/>
  <c r="C54" i="79"/>
  <c r="C55" i="79"/>
  <c r="C56" i="79"/>
  <c r="C57" i="79"/>
  <c r="C58" i="79"/>
  <c r="C59" i="79"/>
  <c r="C60" i="79"/>
  <c r="C61" i="79"/>
  <c r="C62" i="79"/>
  <c r="C63" i="79"/>
  <c r="C64" i="79"/>
  <c r="C65" i="79"/>
  <c r="C66" i="79"/>
  <c r="C67" i="79"/>
  <c r="C35" i="79"/>
  <c r="B67" i="79"/>
  <c r="K67" i="79" s="1"/>
  <c r="I48" i="79" l="1"/>
  <c r="I55" i="79"/>
  <c r="I53" i="79"/>
  <c r="I52" i="79"/>
  <c r="I40" i="79"/>
  <c r="M40" i="79" s="1"/>
  <c r="I37" i="79"/>
  <c r="P37" i="79" s="1"/>
  <c r="I59" i="79"/>
  <c r="I43" i="79"/>
  <c r="N43" i="79" s="1"/>
  <c r="I61" i="79"/>
  <c r="I67" i="79"/>
  <c r="P67" i="79" s="1"/>
  <c r="I58" i="79"/>
  <c r="I50" i="79"/>
  <c r="I60" i="79"/>
  <c r="I45" i="79"/>
  <c r="N45" i="79" s="1"/>
  <c r="I51" i="79"/>
  <c r="I65" i="79"/>
  <c r="I64" i="79"/>
  <c r="I63" i="79"/>
  <c r="I62" i="79"/>
  <c r="I54" i="79"/>
  <c r="I57" i="79"/>
  <c r="I56" i="79"/>
  <c r="I47" i="79"/>
  <c r="I39" i="79"/>
  <c r="L39" i="79" s="1"/>
  <c r="I46" i="79"/>
  <c r="I38" i="79"/>
  <c r="P38" i="79" s="1"/>
  <c r="I42" i="79"/>
  <c r="N42" i="79" s="1"/>
  <c r="I49" i="79"/>
  <c r="I41" i="79"/>
  <c r="M41" i="79" s="1"/>
  <c r="N44" i="79"/>
  <c r="O67" i="79"/>
  <c r="M44" i="79"/>
  <c r="M36" i="79"/>
  <c r="P43" i="79"/>
  <c r="N36" i="79"/>
  <c r="O44" i="79"/>
  <c r="O36" i="79"/>
  <c r="L44" i="79"/>
  <c r="L36" i="79"/>
  <c r="I35" i="79"/>
  <c r="L35" i="79" s="1"/>
  <c r="B34" i="79"/>
  <c r="K34" i="79" s="1"/>
  <c r="B35" i="79"/>
  <c r="K35" i="79" s="1"/>
  <c r="B36" i="79"/>
  <c r="K36" i="79" s="1"/>
  <c r="B37" i="79"/>
  <c r="K37" i="79" s="1"/>
  <c r="B38" i="79"/>
  <c r="K38" i="79" s="1"/>
  <c r="B39" i="79"/>
  <c r="K39" i="79" s="1"/>
  <c r="B40" i="79"/>
  <c r="K40" i="79" s="1"/>
  <c r="B41" i="79"/>
  <c r="K41" i="79" s="1"/>
  <c r="B42" i="79"/>
  <c r="K42" i="79" s="1"/>
  <c r="B43" i="79"/>
  <c r="K43" i="79" s="1"/>
  <c r="B44" i="79"/>
  <c r="K44" i="79" s="1"/>
  <c r="BI94" i="87"/>
  <c r="BJ94" i="87" s="1"/>
  <c r="BI95" i="87"/>
  <c r="BJ95" i="87" s="1"/>
  <c r="BI96" i="87"/>
  <c r="BJ96" i="87" s="1"/>
  <c r="BI97" i="87"/>
  <c r="BJ97" i="87" s="1"/>
  <c r="BI93" i="87"/>
  <c r="BJ93" i="87" s="1"/>
  <c r="BG94" i="87"/>
  <c r="BH94" i="87" s="1"/>
  <c r="BG95" i="87"/>
  <c r="BH95" i="87" s="1"/>
  <c r="BG96" i="87"/>
  <c r="BH96" i="87" s="1"/>
  <c r="BG97" i="87"/>
  <c r="BH97" i="87" s="1"/>
  <c r="BG93" i="87"/>
  <c r="BH93" i="87" s="1"/>
  <c r="BE94" i="87"/>
  <c r="BF94" i="87" s="1"/>
  <c r="BE95" i="87"/>
  <c r="BF95" i="87" s="1"/>
  <c r="BE96" i="87"/>
  <c r="BF96" i="87" s="1"/>
  <c r="BE97" i="87"/>
  <c r="BF97" i="87" s="1"/>
  <c r="BE93" i="87"/>
  <c r="BF93" i="87" s="1"/>
  <c r="BC94" i="87"/>
  <c r="BD94" i="87" s="1"/>
  <c r="BC95" i="87"/>
  <c r="BD95" i="87" s="1"/>
  <c r="BC96" i="87"/>
  <c r="BD96" i="87" s="1"/>
  <c r="BC97" i="87"/>
  <c r="BD97" i="87" s="1"/>
  <c r="BC93" i="87"/>
  <c r="BD93" i="87" s="1"/>
  <c r="BA94" i="87"/>
  <c r="BB94" i="87" s="1"/>
  <c r="BA95" i="87"/>
  <c r="BB95" i="87" s="1"/>
  <c r="BA96" i="87"/>
  <c r="BB96" i="87" s="1"/>
  <c r="BA97" i="87"/>
  <c r="BB97" i="87" s="1"/>
  <c r="BA93" i="87"/>
  <c r="BB93" i="87" s="1"/>
  <c r="AY94" i="87"/>
  <c r="AZ94" i="87" s="1"/>
  <c r="AY95" i="87"/>
  <c r="AZ95" i="87" s="1"/>
  <c r="AY96" i="87"/>
  <c r="AZ96" i="87" s="1"/>
  <c r="AY97" i="87"/>
  <c r="AZ97" i="87" s="1"/>
  <c r="AY93" i="87"/>
  <c r="AZ93" i="87" s="1"/>
  <c r="AW94" i="87"/>
  <c r="AX94" i="87" s="1"/>
  <c r="AW95" i="87"/>
  <c r="AX95" i="87" s="1"/>
  <c r="AW96" i="87"/>
  <c r="AX96" i="87" s="1"/>
  <c r="AW97" i="87"/>
  <c r="AX97" i="87" s="1"/>
  <c r="AW93" i="87"/>
  <c r="AX93" i="87" s="1"/>
  <c r="AU94" i="87"/>
  <c r="AV94" i="87" s="1"/>
  <c r="AU95" i="87"/>
  <c r="AV95" i="87" s="1"/>
  <c r="AU96" i="87"/>
  <c r="AV96" i="87" s="1"/>
  <c r="AU97" i="87"/>
  <c r="AV97" i="87" s="1"/>
  <c r="AU93" i="87"/>
  <c r="AV93" i="87" s="1"/>
  <c r="AS94" i="87"/>
  <c r="AT94" i="87" s="1"/>
  <c r="AS95" i="87"/>
  <c r="AT95" i="87" s="1"/>
  <c r="AS96" i="87"/>
  <c r="AT96" i="87" s="1"/>
  <c r="AS97" i="87"/>
  <c r="AT97" i="87" s="1"/>
  <c r="AS93" i="87"/>
  <c r="AT93" i="87" s="1"/>
  <c r="AQ94" i="87"/>
  <c r="AR94" i="87" s="1"/>
  <c r="AQ95" i="87"/>
  <c r="AR95" i="87" s="1"/>
  <c r="AQ96" i="87"/>
  <c r="AR96" i="87" s="1"/>
  <c r="AQ97" i="87"/>
  <c r="AR97" i="87" s="1"/>
  <c r="AQ93" i="87"/>
  <c r="AR93" i="87" s="1"/>
  <c r="AO94" i="87"/>
  <c r="AP94" i="87" s="1"/>
  <c r="AO95" i="87"/>
  <c r="AP95" i="87" s="1"/>
  <c r="AO96" i="87"/>
  <c r="AP96" i="87" s="1"/>
  <c r="AO97" i="87"/>
  <c r="AP97" i="87" s="1"/>
  <c r="AO93" i="87"/>
  <c r="AP93" i="87" s="1"/>
  <c r="AM94" i="87"/>
  <c r="AN94" i="87" s="1"/>
  <c r="AM95" i="87"/>
  <c r="AN95" i="87" s="1"/>
  <c r="AM96" i="87"/>
  <c r="AN96" i="87" s="1"/>
  <c r="AM97" i="87"/>
  <c r="AN97" i="87" s="1"/>
  <c r="AM93" i="87"/>
  <c r="AN93" i="87" s="1"/>
  <c r="AK94" i="87"/>
  <c r="AL94" i="87" s="1"/>
  <c r="AK95" i="87"/>
  <c r="AL95" i="87" s="1"/>
  <c r="AK96" i="87"/>
  <c r="AL96" i="87" s="1"/>
  <c r="AK97" i="87"/>
  <c r="AL97" i="87" s="1"/>
  <c r="AK93" i="87"/>
  <c r="AL93" i="87" s="1"/>
  <c r="AI94" i="87"/>
  <c r="AJ94" i="87" s="1"/>
  <c r="AI95" i="87"/>
  <c r="AJ95" i="87" s="1"/>
  <c r="AI96" i="87"/>
  <c r="AJ96" i="87" s="1"/>
  <c r="AI97" i="87"/>
  <c r="AJ97" i="87" s="1"/>
  <c r="AI93" i="87"/>
  <c r="AJ93" i="87" s="1"/>
  <c r="AG94" i="87"/>
  <c r="AH94" i="87" s="1"/>
  <c r="AG95" i="87"/>
  <c r="AH95" i="87" s="1"/>
  <c r="AG96" i="87"/>
  <c r="AH96" i="87" s="1"/>
  <c r="AG97" i="87"/>
  <c r="AH97" i="87" s="1"/>
  <c r="AG93" i="87"/>
  <c r="AH93" i="87" s="1"/>
  <c r="AE94" i="87"/>
  <c r="AF94" i="87" s="1"/>
  <c r="AE95" i="87"/>
  <c r="AF95" i="87" s="1"/>
  <c r="AE96" i="87"/>
  <c r="AF96" i="87" s="1"/>
  <c r="AE97" i="87"/>
  <c r="AF97" i="87" s="1"/>
  <c r="AE93" i="87"/>
  <c r="AF93" i="87" s="1"/>
  <c r="AC94" i="87"/>
  <c r="AD94" i="87" s="1"/>
  <c r="AC95" i="87"/>
  <c r="AD95" i="87" s="1"/>
  <c r="AC96" i="87"/>
  <c r="AD96" i="87" s="1"/>
  <c r="AC97" i="87"/>
  <c r="AD97" i="87" s="1"/>
  <c r="AC93" i="87"/>
  <c r="AD93" i="87" s="1"/>
  <c r="AA94" i="87"/>
  <c r="AB94" i="87" s="1"/>
  <c r="AA95" i="87"/>
  <c r="AB95" i="87" s="1"/>
  <c r="AA96" i="87"/>
  <c r="AB96" i="87" s="1"/>
  <c r="AA97" i="87"/>
  <c r="AB97" i="87" s="1"/>
  <c r="AA93" i="87"/>
  <c r="AB93" i="87" s="1"/>
  <c r="Y94" i="87"/>
  <c r="Z94" i="87" s="1"/>
  <c r="Y95" i="87"/>
  <c r="Z95" i="87" s="1"/>
  <c r="Y96" i="87"/>
  <c r="Z96" i="87" s="1"/>
  <c r="Y97" i="87"/>
  <c r="Z97" i="87" s="1"/>
  <c r="Y93" i="87"/>
  <c r="Z93" i="87" s="1"/>
  <c r="W94" i="87"/>
  <c r="X94" i="87" s="1"/>
  <c r="W95" i="87"/>
  <c r="X95" i="87" s="1"/>
  <c r="W96" i="87"/>
  <c r="X96" i="87" s="1"/>
  <c r="W97" i="87"/>
  <c r="X97" i="87" s="1"/>
  <c r="W93" i="87"/>
  <c r="X93" i="87" s="1"/>
  <c r="U94" i="87"/>
  <c r="V94" i="87" s="1"/>
  <c r="U95" i="87"/>
  <c r="V95" i="87" s="1"/>
  <c r="U96" i="87"/>
  <c r="V96" i="87" s="1"/>
  <c r="U97" i="87"/>
  <c r="V97" i="87" s="1"/>
  <c r="U93" i="87"/>
  <c r="V93" i="87" s="1"/>
  <c r="S94" i="87"/>
  <c r="T94" i="87" s="1"/>
  <c r="S95" i="87"/>
  <c r="T95" i="87" s="1"/>
  <c r="S96" i="87"/>
  <c r="T96" i="87" s="1"/>
  <c r="S97" i="87"/>
  <c r="T97" i="87" s="1"/>
  <c r="S93" i="87"/>
  <c r="T93" i="87" s="1"/>
  <c r="Q94" i="87"/>
  <c r="R94" i="87" s="1"/>
  <c r="Q95" i="87"/>
  <c r="R95" i="87" s="1"/>
  <c r="Q96" i="87"/>
  <c r="R96" i="87" s="1"/>
  <c r="Q97" i="87"/>
  <c r="R97" i="87" s="1"/>
  <c r="Q93" i="87"/>
  <c r="R93" i="87" s="1"/>
  <c r="O94" i="87"/>
  <c r="P94" i="87" s="1"/>
  <c r="O95" i="87"/>
  <c r="P95" i="87" s="1"/>
  <c r="O96" i="87"/>
  <c r="P96" i="87" s="1"/>
  <c r="O97" i="87"/>
  <c r="P97" i="87" s="1"/>
  <c r="O93" i="87"/>
  <c r="P93" i="87" s="1"/>
  <c r="M94" i="87"/>
  <c r="N94" i="87" s="1"/>
  <c r="M95" i="87"/>
  <c r="N95" i="87" s="1"/>
  <c r="M96" i="87"/>
  <c r="N96" i="87" s="1"/>
  <c r="M97" i="87"/>
  <c r="N97" i="87" s="1"/>
  <c r="M93" i="87"/>
  <c r="N93" i="87" s="1"/>
  <c r="K94" i="87"/>
  <c r="L94" i="87" s="1"/>
  <c r="K95" i="87"/>
  <c r="L95" i="87" s="1"/>
  <c r="K96" i="87"/>
  <c r="L96" i="87" s="1"/>
  <c r="K97" i="87"/>
  <c r="L97" i="87" s="1"/>
  <c r="K93" i="87"/>
  <c r="L93" i="87" s="1"/>
  <c r="I94" i="87"/>
  <c r="J94" i="87" s="1"/>
  <c r="I95" i="87"/>
  <c r="J95" i="87" s="1"/>
  <c r="I96" i="87"/>
  <c r="J96" i="87" s="1"/>
  <c r="I97" i="87"/>
  <c r="J97" i="87" s="1"/>
  <c r="I93" i="87"/>
  <c r="J93" i="87" s="1"/>
  <c r="G94" i="87"/>
  <c r="H94" i="87" s="1"/>
  <c r="G95" i="87"/>
  <c r="H95" i="87" s="1"/>
  <c r="G96" i="87"/>
  <c r="H96" i="87" s="1"/>
  <c r="G97" i="87"/>
  <c r="H97" i="87" s="1"/>
  <c r="G93" i="87"/>
  <c r="H93" i="87" s="1"/>
  <c r="D94" i="87"/>
  <c r="D95" i="87"/>
  <c r="D96" i="87"/>
  <c r="D97" i="87"/>
  <c r="D93" i="87"/>
  <c r="C94" i="87"/>
  <c r="C95" i="87"/>
  <c r="C96" i="87"/>
  <c r="C97" i="87"/>
  <c r="C93" i="87"/>
  <c r="BI76" i="87"/>
  <c r="BJ76" i="87" s="1"/>
  <c r="BI77" i="87"/>
  <c r="BJ77" i="87" s="1"/>
  <c r="BI78" i="87"/>
  <c r="BJ78" i="87" s="1"/>
  <c r="BI79" i="87"/>
  <c r="BJ79" i="87" s="1"/>
  <c r="BI80" i="87"/>
  <c r="BJ80" i="87" s="1"/>
  <c r="BI81" i="87"/>
  <c r="BJ81" i="87" s="1"/>
  <c r="BI75" i="87"/>
  <c r="BJ75" i="87" s="1"/>
  <c r="BG76" i="87"/>
  <c r="BH76" i="87" s="1"/>
  <c r="BG77" i="87"/>
  <c r="BH77" i="87" s="1"/>
  <c r="BG78" i="87"/>
  <c r="BH78" i="87" s="1"/>
  <c r="BG79" i="87"/>
  <c r="BH79" i="87" s="1"/>
  <c r="BG80" i="87"/>
  <c r="BH80" i="87" s="1"/>
  <c r="BG81" i="87"/>
  <c r="BH81" i="87" s="1"/>
  <c r="BG75" i="87"/>
  <c r="BH75" i="87" s="1"/>
  <c r="BE76" i="87"/>
  <c r="BF76" i="87" s="1"/>
  <c r="BE77" i="87"/>
  <c r="BF77" i="87" s="1"/>
  <c r="BE78" i="87"/>
  <c r="BF78" i="87" s="1"/>
  <c r="BE79" i="87"/>
  <c r="BF79" i="87" s="1"/>
  <c r="BE80" i="87"/>
  <c r="BF80" i="87" s="1"/>
  <c r="BE81" i="87"/>
  <c r="BF81" i="87" s="1"/>
  <c r="BE75" i="87"/>
  <c r="BF75" i="87" s="1"/>
  <c r="BC76" i="87"/>
  <c r="BD76" i="87" s="1"/>
  <c r="BC77" i="87"/>
  <c r="BD77" i="87" s="1"/>
  <c r="BC78" i="87"/>
  <c r="BD78" i="87" s="1"/>
  <c r="BC79" i="87"/>
  <c r="BD79" i="87" s="1"/>
  <c r="BC80" i="87"/>
  <c r="BD80" i="87" s="1"/>
  <c r="BC81" i="87"/>
  <c r="BD81" i="87" s="1"/>
  <c r="BC75" i="87"/>
  <c r="BD75" i="87" s="1"/>
  <c r="BA76" i="87"/>
  <c r="BB76" i="87" s="1"/>
  <c r="BA77" i="87"/>
  <c r="BB77" i="87" s="1"/>
  <c r="BA78" i="87"/>
  <c r="BB78" i="87" s="1"/>
  <c r="BA79" i="87"/>
  <c r="BB79" i="87" s="1"/>
  <c r="BA80" i="87"/>
  <c r="BB80" i="87" s="1"/>
  <c r="BA81" i="87"/>
  <c r="BB81" i="87" s="1"/>
  <c r="BA75" i="87"/>
  <c r="BB75" i="87" s="1"/>
  <c r="AY76" i="87"/>
  <c r="AZ76" i="87" s="1"/>
  <c r="AY77" i="87"/>
  <c r="AZ77" i="87" s="1"/>
  <c r="AY78" i="87"/>
  <c r="AZ78" i="87" s="1"/>
  <c r="AY79" i="87"/>
  <c r="AZ79" i="87" s="1"/>
  <c r="AY80" i="87"/>
  <c r="AZ80" i="87" s="1"/>
  <c r="AY81" i="87"/>
  <c r="AZ81" i="87" s="1"/>
  <c r="AY75" i="87"/>
  <c r="AZ75" i="87" s="1"/>
  <c r="AW76" i="87"/>
  <c r="AX76" i="87" s="1"/>
  <c r="AW77" i="87"/>
  <c r="AX77" i="87" s="1"/>
  <c r="AW78" i="87"/>
  <c r="AX78" i="87" s="1"/>
  <c r="AW79" i="87"/>
  <c r="AX79" i="87" s="1"/>
  <c r="AW80" i="87"/>
  <c r="AX80" i="87" s="1"/>
  <c r="AW81" i="87"/>
  <c r="AX81" i="87" s="1"/>
  <c r="AW75" i="87"/>
  <c r="AX75" i="87" s="1"/>
  <c r="AU76" i="87"/>
  <c r="AV76" i="87" s="1"/>
  <c r="AU77" i="87"/>
  <c r="AV77" i="87" s="1"/>
  <c r="AU78" i="87"/>
  <c r="AV78" i="87" s="1"/>
  <c r="AU79" i="87"/>
  <c r="AV79" i="87" s="1"/>
  <c r="AU80" i="87"/>
  <c r="AV80" i="87" s="1"/>
  <c r="AU81" i="87"/>
  <c r="AV81" i="87" s="1"/>
  <c r="AU75" i="87"/>
  <c r="AV75" i="87" s="1"/>
  <c r="AS77" i="87"/>
  <c r="AS78" i="87"/>
  <c r="AS79" i="87"/>
  <c r="AQ77" i="87"/>
  <c r="AQ78" i="87"/>
  <c r="AQ79" i="87"/>
  <c r="AO77" i="87"/>
  <c r="AO78" i="87"/>
  <c r="AO79" i="87"/>
  <c r="AM77" i="87"/>
  <c r="AM78" i="87"/>
  <c r="AM79" i="87"/>
  <c r="AK77" i="87"/>
  <c r="AK78" i="87"/>
  <c r="AK79" i="87"/>
  <c r="AI77" i="87"/>
  <c r="AI78" i="87"/>
  <c r="AI79" i="87"/>
  <c r="AG77" i="87"/>
  <c r="AG78" i="87"/>
  <c r="AG79" i="87"/>
  <c r="AE77" i="87"/>
  <c r="AE78" i="87"/>
  <c r="AE79" i="87"/>
  <c r="AC77" i="87"/>
  <c r="AC78" i="87"/>
  <c r="AC79" i="87"/>
  <c r="AA77" i="87"/>
  <c r="AA78" i="87"/>
  <c r="AA79" i="87"/>
  <c r="AA80" i="87"/>
  <c r="AB80" i="87" s="1"/>
  <c r="AA81" i="87"/>
  <c r="AB81" i="87" s="1"/>
  <c r="Y77" i="87"/>
  <c r="Y78" i="87"/>
  <c r="Y79" i="87"/>
  <c r="Y80" i="87"/>
  <c r="Z80" i="87" s="1"/>
  <c r="Y81" i="87"/>
  <c r="Z81" i="87"/>
  <c r="W77" i="87"/>
  <c r="W78" i="87"/>
  <c r="W79" i="87"/>
  <c r="W80" i="87"/>
  <c r="X80" i="87" s="1"/>
  <c r="W81" i="87"/>
  <c r="X81" i="87" s="1"/>
  <c r="U77" i="87"/>
  <c r="U78" i="87"/>
  <c r="U79" i="87"/>
  <c r="U80" i="87"/>
  <c r="V80" i="87" s="1"/>
  <c r="U81" i="87"/>
  <c r="V81" i="87" s="1"/>
  <c r="S77" i="87"/>
  <c r="S78" i="87"/>
  <c r="S79" i="87"/>
  <c r="S80" i="87"/>
  <c r="T80" i="87" s="1"/>
  <c r="S81" i="87"/>
  <c r="T81" i="87" s="1"/>
  <c r="Q77" i="87"/>
  <c r="Q78" i="87"/>
  <c r="Q79" i="87"/>
  <c r="Q80" i="87"/>
  <c r="R80" i="87" s="1"/>
  <c r="Q81" i="87"/>
  <c r="R81" i="87" s="1"/>
  <c r="O77" i="87"/>
  <c r="O78" i="87"/>
  <c r="O79" i="87"/>
  <c r="O80" i="87"/>
  <c r="P80" i="87" s="1"/>
  <c r="O81" i="87"/>
  <c r="P81" i="87" s="1"/>
  <c r="BI84" i="87"/>
  <c r="BI85" i="87"/>
  <c r="BI86" i="87"/>
  <c r="BI87" i="87"/>
  <c r="BI88" i="87"/>
  <c r="BI89" i="87"/>
  <c r="BI90" i="87"/>
  <c r="BI91" i="87"/>
  <c r="BI92" i="87"/>
  <c r="BI83" i="87"/>
  <c r="BI82" i="87"/>
  <c r="BG87" i="87"/>
  <c r="BG88" i="87"/>
  <c r="BG89" i="87"/>
  <c r="BG90" i="87"/>
  <c r="BG91" i="87"/>
  <c r="BG92" i="87"/>
  <c r="BG83" i="87"/>
  <c r="BG84" i="87"/>
  <c r="BG85" i="87"/>
  <c r="BG86" i="87"/>
  <c r="BG82" i="87"/>
  <c r="BE90" i="87"/>
  <c r="BE91" i="87"/>
  <c r="BE92" i="87"/>
  <c r="BE83" i="87"/>
  <c r="BE84" i="87"/>
  <c r="BE85" i="87"/>
  <c r="BE86" i="87"/>
  <c r="BE87" i="87"/>
  <c r="BE88" i="87"/>
  <c r="BE89" i="87"/>
  <c r="BE82" i="87"/>
  <c r="BC83" i="87"/>
  <c r="BC84" i="87"/>
  <c r="BC85" i="87"/>
  <c r="BC86" i="87"/>
  <c r="BC87" i="87"/>
  <c r="BC88" i="87"/>
  <c r="BC89" i="87"/>
  <c r="BC90" i="87"/>
  <c r="BC91" i="87"/>
  <c r="BC92" i="87"/>
  <c r="BC82" i="87"/>
  <c r="BA83" i="87"/>
  <c r="BA84" i="87"/>
  <c r="BA85" i="87"/>
  <c r="BA86" i="87"/>
  <c r="BA87" i="87"/>
  <c r="BA88" i="87"/>
  <c r="BA89" i="87"/>
  <c r="BA90" i="87"/>
  <c r="BA91" i="87"/>
  <c r="BA92" i="87"/>
  <c r="BA82" i="87"/>
  <c r="AY83" i="87"/>
  <c r="AY84" i="87"/>
  <c r="AY85" i="87"/>
  <c r="AY86" i="87"/>
  <c r="AY87" i="87"/>
  <c r="AY88" i="87"/>
  <c r="AY89" i="87"/>
  <c r="AY90" i="87"/>
  <c r="AY91" i="87"/>
  <c r="AY92" i="87"/>
  <c r="AY82" i="87"/>
  <c r="AW83" i="87"/>
  <c r="AW84" i="87"/>
  <c r="AW85" i="87"/>
  <c r="AW86" i="87"/>
  <c r="AW87" i="87"/>
  <c r="AW88" i="87"/>
  <c r="AW89" i="87"/>
  <c r="AW90" i="87"/>
  <c r="AW91" i="87"/>
  <c r="AW92" i="87"/>
  <c r="AW82" i="87"/>
  <c r="AU83" i="87"/>
  <c r="AU84" i="87"/>
  <c r="AU85" i="87"/>
  <c r="AU86" i="87"/>
  <c r="AU87" i="87"/>
  <c r="AU88" i="87"/>
  <c r="AU89" i="87"/>
  <c r="AU90" i="87"/>
  <c r="AU91" i="87"/>
  <c r="AU92" i="87"/>
  <c r="AU82" i="87"/>
  <c r="AS83" i="87"/>
  <c r="AS84" i="87"/>
  <c r="AS85" i="87"/>
  <c r="AS86" i="87"/>
  <c r="AS87" i="87"/>
  <c r="AS88" i="87"/>
  <c r="AS89" i="87"/>
  <c r="AS90" i="87"/>
  <c r="AS91" i="87"/>
  <c r="AS92" i="87"/>
  <c r="AS82" i="87"/>
  <c r="AQ83" i="87"/>
  <c r="AQ84" i="87"/>
  <c r="AQ85" i="87"/>
  <c r="AQ86" i="87"/>
  <c r="AQ87" i="87"/>
  <c r="AQ88" i="87"/>
  <c r="AQ89" i="87"/>
  <c r="AQ90" i="87"/>
  <c r="AQ91" i="87"/>
  <c r="AQ92" i="87"/>
  <c r="AQ82" i="87"/>
  <c r="AO83" i="87"/>
  <c r="AO84" i="87"/>
  <c r="AO85" i="87"/>
  <c r="AO86" i="87"/>
  <c r="AO87" i="87"/>
  <c r="AO88" i="87"/>
  <c r="AO89" i="87"/>
  <c r="AO90" i="87"/>
  <c r="AO91" i="87"/>
  <c r="AO92" i="87"/>
  <c r="AO82" i="87"/>
  <c r="AM83" i="87"/>
  <c r="AM84" i="87"/>
  <c r="AM85" i="87"/>
  <c r="AM86" i="87"/>
  <c r="AM87" i="87"/>
  <c r="AM88" i="87"/>
  <c r="AM89" i="87"/>
  <c r="AM90" i="87"/>
  <c r="AM91" i="87"/>
  <c r="AM92" i="87"/>
  <c r="AM82" i="87"/>
  <c r="AK83" i="87"/>
  <c r="AK84" i="87"/>
  <c r="AK85" i="87"/>
  <c r="AK86" i="87"/>
  <c r="AK87" i="87"/>
  <c r="AK88" i="87"/>
  <c r="AK89" i="87"/>
  <c r="AK90" i="87"/>
  <c r="AK91" i="87"/>
  <c r="AK92" i="87"/>
  <c r="AK82" i="87"/>
  <c r="AI83" i="87"/>
  <c r="AI84" i="87"/>
  <c r="AI85" i="87"/>
  <c r="AI86" i="87"/>
  <c r="AI87" i="87"/>
  <c r="AI88" i="87"/>
  <c r="AI89" i="87"/>
  <c r="AI90" i="87"/>
  <c r="AI91" i="87"/>
  <c r="AI92" i="87"/>
  <c r="AI82" i="87"/>
  <c r="AG83" i="87"/>
  <c r="AG84" i="87"/>
  <c r="AG85" i="87"/>
  <c r="AG86" i="87"/>
  <c r="AG87" i="87"/>
  <c r="AG88" i="87"/>
  <c r="AG89" i="87"/>
  <c r="AG90" i="87"/>
  <c r="AG91" i="87"/>
  <c r="AG92" i="87"/>
  <c r="AG82" i="87"/>
  <c r="AE83" i="87"/>
  <c r="AE84" i="87"/>
  <c r="AE85" i="87"/>
  <c r="AE86" i="87"/>
  <c r="AE87" i="87"/>
  <c r="AE88" i="87"/>
  <c r="AE89" i="87"/>
  <c r="AE90" i="87"/>
  <c r="AE91" i="87"/>
  <c r="AE92" i="87"/>
  <c r="AE82" i="87"/>
  <c r="AC83" i="87"/>
  <c r="AC84" i="87"/>
  <c r="AC85" i="87"/>
  <c r="AC86" i="87"/>
  <c r="AC87" i="87"/>
  <c r="AC88" i="87"/>
  <c r="AC89" i="87"/>
  <c r="AC90" i="87"/>
  <c r="AC91" i="87"/>
  <c r="AC92" i="87"/>
  <c r="AC82" i="87"/>
  <c r="AA83" i="87"/>
  <c r="AA84" i="87"/>
  <c r="AA85" i="87"/>
  <c r="AA86" i="87"/>
  <c r="AA87" i="87"/>
  <c r="AA88" i="87"/>
  <c r="AA89" i="87"/>
  <c r="AA90" i="87"/>
  <c r="AA91" i="87"/>
  <c r="AA92" i="87"/>
  <c r="AA82" i="87"/>
  <c r="Y83" i="87"/>
  <c r="Y84" i="87"/>
  <c r="Y85" i="87"/>
  <c r="Y86" i="87"/>
  <c r="Y87" i="87"/>
  <c r="Y88" i="87"/>
  <c r="Y89" i="87"/>
  <c r="Y90" i="87"/>
  <c r="Y91" i="87"/>
  <c r="Y92" i="87"/>
  <c r="Y82" i="87"/>
  <c r="W83" i="87"/>
  <c r="W84" i="87"/>
  <c r="W85" i="87"/>
  <c r="W86" i="87"/>
  <c r="W87" i="87"/>
  <c r="W88" i="87"/>
  <c r="W89" i="87"/>
  <c r="W90" i="87"/>
  <c r="W91" i="87"/>
  <c r="W92" i="87"/>
  <c r="W82" i="87"/>
  <c r="U83" i="87"/>
  <c r="U84" i="87"/>
  <c r="U85" i="87"/>
  <c r="U86" i="87"/>
  <c r="U87" i="87"/>
  <c r="U88" i="87"/>
  <c r="U89" i="87"/>
  <c r="U90" i="87"/>
  <c r="U91" i="87"/>
  <c r="U92" i="87"/>
  <c r="U82" i="87"/>
  <c r="S83" i="87"/>
  <c r="S84" i="87"/>
  <c r="S85" i="87"/>
  <c r="S86" i="87"/>
  <c r="S87" i="87"/>
  <c r="S88" i="87"/>
  <c r="S89" i="87"/>
  <c r="S90" i="87"/>
  <c r="S91" i="87"/>
  <c r="S92" i="87"/>
  <c r="S82" i="87"/>
  <c r="Q83" i="87"/>
  <c r="Q84" i="87"/>
  <c r="Q85" i="87"/>
  <c r="Q86" i="87"/>
  <c r="Q87" i="87"/>
  <c r="Q88" i="87"/>
  <c r="Q89" i="87"/>
  <c r="Q90" i="87"/>
  <c r="Q91" i="87"/>
  <c r="Q92" i="87"/>
  <c r="Q82" i="87"/>
  <c r="O83" i="87"/>
  <c r="O84" i="87"/>
  <c r="O85" i="87"/>
  <c r="O86" i="87"/>
  <c r="O87" i="87"/>
  <c r="O88" i="87"/>
  <c r="O89" i="87"/>
  <c r="O90" i="87"/>
  <c r="O91" i="87"/>
  <c r="O92" i="87"/>
  <c r="O82" i="87"/>
  <c r="M83" i="87"/>
  <c r="M84" i="87"/>
  <c r="M85" i="87"/>
  <c r="M86" i="87"/>
  <c r="M87" i="87"/>
  <c r="M88" i="87"/>
  <c r="M89" i="87"/>
  <c r="M90" i="87"/>
  <c r="M91" i="87"/>
  <c r="M92" i="87"/>
  <c r="M82" i="87"/>
  <c r="K83" i="87"/>
  <c r="K84" i="87"/>
  <c r="K85" i="87"/>
  <c r="K86" i="87"/>
  <c r="K87" i="87"/>
  <c r="K88" i="87"/>
  <c r="K89" i="87"/>
  <c r="K90" i="87"/>
  <c r="K91" i="87"/>
  <c r="K92" i="87"/>
  <c r="K82" i="87"/>
  <c r="I83" i="87"/>
  <c r="I84" i="87"/>
  <c r="I85" i="87"/>
  <c r="I86" i="87"/>
  <c r="I87" i="87"/>
  <c r="I88" i="87"/>
  <c r="I89" i="87"/>
  <c r="I90" i="87"/>
  <c r="I91" i="87"/>
  <c r="I92" i="87"/>
  <c r="I82" i="87"/>
  <c r="G83" i="87"/>
  <c r="G84" i="87"/>
  <c r="G85" i="87"/>
  <c r="G86" i="87"/>
  <c r="G87" i="87"/>
  <c r="G88" i="87"/>
  <c r="G89" i="87"/>
  <c r="G90" i="87"/>
  <c r="G91" i="87"/>
  <c r="G92" i="87"/>
  <c r="G82" i="87"/>
  <c r="BI71" i="87"/>
  <c r="BI72" i="87"/>
  <c r="BI70" i="87"/>
  <c r="BG71" i="87"/>
  <c r="BG72" i="87"/>
  <c r="BG70" i="87"/>
  <c r="BE71" i="87"/>
  <c r="BE72" i="87"/>
  <c r="BE70" i="87"/>
  <c r="BC71" i="87"/>
  <c r="BC72" i="87"/>
  <c r="BC70" i="87"/>
  <c r="BA71" i="87"/>
  <c r="BA72" i="87"/>
  <c r="BA70" i="87"/>
  <c r="AY71" i="87"/>
  <c r="AY72" i="87"/>
  <c r="AY70" i="87"/>
  <c r="AW71" i="87"/>
  <c r="AW72" i="87"/>
  <c r="AW70" i="87"/>
  <c r="AU71" i="87"/>
  <c r="AU72" i="87"/>
  <c r="AU70" i="87"/>
  <c r="AS71" i="87"/>
  <c r="AS70" i="87"/>
  <c r="AQ71" i="87"/>
  <c r="AQ70" i="87"/>
  <c r="AO71" i="87"/>
  <c r="AO70" i="87"/>
  <c r="AM71" i="87"/>
  <c r="AM70" i="87"/>
  <c r="AK71" i="87"/>
  <c r="AK70" i="87"/>
  <c r="AI71" i="87"/>
  <c r="AI70" i="87"/>
  <c r="AG71" i="87"/>
  <c r="AG70" i="87"/>
  <c r="AE71" i="87"/>
  <c r="AE70" i="87"/>
  <c r="AC71" i="87"/>
  <c r="AC70" i="87"/>
  <c r="BI74" i="87"/>
  <c r="BJ74" i="87" s="1"/>
  <c r="BI73" i="87"/>
  <c r="BG74" i="87"/>
  <c r="BH74" i="87" s="1"/>
  <c r="BG73" i="87"/>
  <c r="BE74" i="87"/>
  <c r="BF74" i="87" s="1"/>
  <c r="BE73" i="87"/>
  <c r="BC74" i="87"/>
  <c r="BD74" i="87" s="1"/>
  <c r="BC73" i="87"/>
  <c r="BA74" i="87"/>
  <c r="BB74" i="87" s="1"/>
  <c r="BA73" i="87"/>
  <c r="AY74" i="87"/>
  <c r="AZ74" i="87" s="1"/>
  <c r="AY73" i="87"/>
  <c r="AW74" i="87"/>
  <c r="AX74" i="87"/>
  <c r="AW73" i="87"/>
  <c r="L40" i="79" l="1"/>
  <c r="P40" i="79"/>
  <c r="O40" i="79"/>
  <c r="N40" i="79"/>
  <c r="C462" i="24"/>
  <c r="F462" i="24" s="1"/>
  <c r="C464" i="24"/>
  <c r="F464" i="24" s="1"/>
  <c r="C461" i="24"/>
  <c r="F461" i="24" s="1"/>
  <c r="C449" i="24"/>
  <c r="F449" i="24" s="1"/>
  <c r="C442" i="24"/>
  <c r="F442" i="24" s="1"/>
  <c r="N37" i="79"/>
  <c r="C429" i="24"/>
  <c r="F429" i="24" s="1"/>
  <c r="O38" i="79"/>
  <c r="M37" i="79"/>
  <c r="C444" i="24"/>
  <c r="F444" i="24" s="1"/>
  <c r="C452" i="24"/>
  <c r="F452" i="24" s="1"/>
  <c r="C426" i="24"/>
  <c r="F426" i="24" s="1"/>
  <c r="C459" i="24"/>
  <c r="F459" i="24" s="1"/>
  <c r="O37" i="79"/>
  <c r="C451" i="24"/>
  <c r="F451" i="24" s="1"/>
  <c r="C448" i="24"/>
  <c r="F448" i="24" s="1"/>
  <c r="C456" i="24"/>
  <c r="F456" i="24" s="1"/>
  <c r="P41" i="79"/>
  <c r="C463" i="24"/>
  <c r="F463" i="24" s="1"/>
  <c r="M38" i="79"/>
  <c r="C454" i="24"/>
  <c r="F454" i="24" s="1"/>
  <c r="C466" i="24"/>
  <c r="F466" i="24" s="1"/>
  <c r="L38" i="79"/>
  <c r="C431" i="24"/>
  <c r="F431" i="24" s="1"/>
  <c r="F93" i="87"/>
  <c r="E93" i="87"/>
  <c r="C440" i="24"/>
  <c r="F440" i="24" s="1"/>
  <c r="C447" i="24"/>
  <c r="F447" i="24" s="1"/>
  <c r="C443" i="24"/>
  <c r="F443" i="24" s="1"/>
  <c r="C465" i="24"/>
  <c r="F465" i="24" s="1"/>
  <c r="L43" i="79"/>
  <c r="Q43" i="79" s="1"/>
  <c r="E97" i="87"/>
  <c r="F97" i="87"/>
  <c r="F96" i="87"/>
  <c r="E96" i="87"/>
  <c r="C445" i="24"/>
  <c r="F445" i="24" s="1"/>
  <c r="C457" i="24"/>
  <c r="F457" i="24" s="1"/>
  <c r="L67" i="79"/>
  <c r="M67" i="79"/>
  <c r="F95" i="87"/>
  <c r="E95" i="87"/>
  <c r="C450" i="24"/>
  <c r="F450" i="24" s="1"/>
  <c r="N67" i="79"/>
  <c r="E94" i="87"/>
  <c r="F94" i="87"/>
  <c r="C455" i="24"/>
  <c r="F455" i="24" s="1"/>
  <c r="C467" i="24"/>
  <c r="F467" i="24" s="1"/>
  <c r="L37" i="79"/>
  <c r="C430" i="24"/>
  <c r="F430" i="24" s="1"/>
  <c r="C441" i="24"/>
  <c r="F441" i="24" s="1"/>
  <c r="C460" i="24"/>
  <c r="F460" i="24" s="1"/>
  <c r="P42" i="79"/>
  <c r="N38" i="79"/>
  <c r="C425" i="24"/>
  <c r="F425" i="24" s="1"/>
  <c r="C427" i="24"/>
  <c r="F427" i="24" s="1"/>
  <c r="C453" i="24"/>
  <c r="F453" i="24" s="1"/>
  <c r="O43" i="79"/>
  <c r="L42" i="79"/>
  <c r="N41" i="79"/>
  <c r="M43" i="79"/>
  <c r="C428" i="24"/>
  <c r="F428" i="24" s="1"/>
  <c r="C432" i="24"/>
  <c r="F432" i="24" s="1"/>
  <c r="C446" i="24"/>
  <c r="F446" i="24" s="1"/>
  <c r="C458" i="24"/>
  <c r="F458" i="24" s="1"/>
  <c r="M42" i="79"/>
  <c r="L41" i="79"/>
  <c r="O42" i="79"/>
  <c r="P39" i="79"/>
  <c r="N39" i="79"/>
  <c r="O39" i="79"/>
  <c r="M39" i="79"/>
  <c r="O41" i="79"/>
  <c r="Q36" i="79"/>
  <c r="Q40" i="79"/>
  <c r="Q44" i="79"/>
  <c r="P35" i="79"/>
  <c r="M35" i="79"/>
  <c r="O35" i="79"/>
  <c r="N35" i="79"/>
  <c r="AU74" i="87"/>
  <c r="AV74" i="87" s="1"/>
  <c r="AU73" i="87"/>
  <c r="AS74" i="87"/>
  <c r="AT74" i="87" s="1"/>
  <c r="C389" i="24" s="1"/>
  <c r="F389" i="24" s="1"/>
  <c r="AS73" i="87"/>
  <c r="AQ74" i="87"/>
  <c r="AR74" i="87" s="1"/>
  <c r="C388" i="24" s="1"/>
  <c r="F388" i="24" s="1"/>
  <c r="AQ73" i="87"/>
  <c r="AO74" i="87"/>
  <c r="AP74" i="87" s="1"/>
  <c r="C387" i="24" s="1"/>
  <c r="F387" i="24" s="1"/>
  <c r="AO73" i="87"/>
  <c r="AM74" i="87"/>
  <c r="AN74" i="87" s="1"/>
  <c r="C386" i="24" s="1"/>
  <c r="F386" i="24" s="1"/>
  <c r="AM73" i="87"/>
  <c r="AK74" i="87"/>
  <c r="AL74" i="87" s="1"/>
  <c r="C385" i="24" s="1"/>
  <c r="F385" i="24" s="1"/>
  <c r="AK73" i="87"/>
  <c r="AI74" i="87"/>
  <c r="AJ74" i="87" s="1"/>
  <c r="C384" i="24" s="1"/>
  <c r="F384" i="24" s="1"/>
  <c r="AI73" i="87"/>
  <c r="AG74" i="87"/>
  <c r="AH74" i="87" s="1"/>
  <c r="C383" i="24" s="1"/>
  <c r="F383" i="24" s="1"/>
  <c r="AG73" i="87"/>
  <c r="AE74" i="87"/>
  <c r="AF74" i="87" s="1"/>
  <c r="C382" i="24" s="1"/>
  <c r="F382" i="24" s="1"/>
  <c r="AE73" i="87"/>
  <c r="AC74" i="87"/>
  <c r="AD74" i="87" s="1"/>
  <c r="C381" i="24" s="1"/>
  <c r="F381" i="24" s="1"/>
  <c r="AC73" i="87"/>
  <c r="AA74" i="87"/>
  <c r="AB74" i="87" s="1"/>
  <c r="C380" i="24" s="1"/>
  <c r="F380" i="24" s="1"/>
  <c r="AA73" i="87"/>
  <c r="Y74" i="87"/>
  <c r="Z74" i="87" s="1"/>
  <c r="C379" i="24" s="1"/>
  <c r="F379" i="24" s="1"/>
  <c r="Y73" i="87"/>
  <c r="W74" i="87"/>
  <c r="X74" i="87" s="1"/>
  <c r="C378" i="24" s="1"/>
  <c r="F378" i="24" s="1"/>
  <c r="W73" i="87"/>
  <c r="U74" i="87"/>
  <c r="V74" i="87" s="1"/>
  <c r="C377" i="24" s="1"/>
  <c r="F377" i="24" s="1"/>
  <c r="U73" i="87"/>
  <c r="S74" i="87"/>
  <c r="T74" i="87" s="1"/>
  <c r="C376" i="24" s="1"/>
  <c r="F376" i="24" s="1"/>
  <c r="S73" i="87"/>
  <c r="Q74" i="87"/>
  <c r="R74" i="87" s="1"/>
  <c r="C375" i="24" s="1"/>
  <c r="F375" i="24" s="1"/>
  <c r="Q73" i="87"/>
  <c r="O74" i="87"/>
  <c r="P74" i="87" s="1"/>
  <c r="C374" i="24" s="1"/>
  <c r="F374" i="24" s="1"/>
  <c r="O73" i="87"/>
  <c r="Q37" i="79" l="1"/>
  <c r="Q67" i="79"/>
  <c r="Q42" i="79"/>
  <c r="Q35" i="79"/>
  <c r="Q39" i="79"/>
  <c r="Q38" i="79"/>
  <c r="Q41" i="79"/>
  <c r="C438" i="24"/>
  <c r="F438" i="24" s="1"/>
  <c r="C439" i="24"/>
  <c r="F439" i="24" s="1"/>
  <c r="D83" i="87"/>
  <c r="D84" i="87"/>
  <c r="D85" i="87"/>
  <c r="D86" i="87"/>
  <c r="D87" i="87"/>
  <c r="D88" i="87"/>
  <c r="D89" i="87"/>
  <c r="D90" i="87"/>
  <c r="D91" i="87"/>
  <c r="D92" i="87"/>
  <c r="D82" i="87"/>
  <c r="C83" i="87"/>
  <c r="C84" i="87"/>
  <c r="C85" i="87"/>
  <c r="C86" i="87"/>
  <c r="C87" i="87"/>
  <c r="C88" i="87"/>
  <c r="C89" i="87"/>
  <c r="C90" i="87"/>
  <c r="C91" i="87"/>
  <c r="C92" i="87"/>
  <c r="C82" i="87"/>
  <c r="M77" i="87"/>
  <c r="M78" i="87"/>
  <c r="M79" i="87"/>
  <c r="M80" i="87"/>
  <c r="N80" i="87" s="1"/>
  <c r="M81" i="87"/>
  <c r="N81" i="87" s="1"/>
  <c r="K76" i="87"/>
  <c r="K77" i="87"/>
  <c r="K78" i="87"/>
  <c r="K79" i="87"/>
  <c r="K80" i="87"/>
  <c r="K81" i="87"/>
  <c r="K75" i="87"/>
  <c r="I76" i="87"/>
  <c r="I77" i="87"/>
  <c r="I78" i="87"/>
  <c r="I79" i="87"/>
  <c r="I80" i="87"/>
  <c r="I81" i="87"/>
  <c r="I75" i="87"/>
  <c r="G76" i="87"/>
  <c r="G77" i="87"/>
  <c r="G78" i="87"/>
  <c r="G79" i="87"/>
  <c r="G80" i="87"/>
  <c r="G81" i="87"/>
  <c r="G75" i="87"/>
  <c r="D76" i="87"/>
  <c r="D77" i="87"/>
  <c r="D78" i="87"/>
  <c r="D79" i="87"/>
  <c r="D80" i="87"/>
  <c r="D81" i="87"/>
  <c r="D75" i="87"/>
  <c r="C76" i="87"/>
  <c r="C77" i="87"/>
  <c r="C78" i="87"/>
  <c r="C79" i="87"/>
  <c r="C80" i="87"/>
  <c r="C81" i="87"/>
  <c r="C75" i="87"/>
  <c r="M74" i="87"/>
  <c r="N74" i="87" s="1"/>
  <c r="C373" i="24" s="1"/>
  <c r="F373" i="24" s="1"/>
  <c r="M73" i="87"/>
  <c r="K74" i="87"/>
  <c r="K73" i="87"/>
  <c r="I74" i="87"/>
  <c r="I73" i="87"/>
  <c r="G74" i="87"/>
  <c r="G73" i="87"/>
  <c r="D74" i="87"/>
  <c r="D73" i="87"/>
  <c r="C74" i="87"/>
  <c r="C73" i="87"/>
  <c r="AA71" i="87"/>
  <c r="AA70" i="87"/>
  <c r="Y71" i="87"/>
  <c r="Y70" i="87"/>
  <c r="W71" i="87"/>
  <c r="W70" i="87"/>
  <c r="U71" i="87"/>
  <c r="U70" i="87"/>
  <c r="S71" i="87"/>
  <c r="S70" i="87"/>
  <c r="Q71" i="87"/>
  <c r="Q70" i="87"/>
  <c r="O71" i="87"/>
  <c r="O70" i="87"/>
  <c r="M71" i="87"/>
  <c r="M70" i="87"/>
  <c r="K71" i="87"/>
  <c r="K72" i="87"/>
  <c r="K70" i="87"/>
  <c r="I71" i="87"/>
  <c r="I72" i="87"/>
  <c r="I70" i="87"/>
  <c r="G71" i="87"/>
  <c r="G72" i="87"/>
  <c r="G70" i="87"/>
  <c r="D71" i="87"/>
  <c r="D72" i="87"/>
  <c r="D70" i="87"/>
  <c r="C71" i="87"/>
  <c r="C72" i="87"/>
  <c r="C70" i="87"/>
  <c r="BI55" i="87"/>
  <c r="BJ55" i="87" s="1"/>
  <c r="BI56" i="87"/>
  <c r="BJ56" i="87" s="1"/>
  <c r="BI57" i="87"/>
  <c r="BJ57" i="87" s="1"/>
  <c r="BI58" i="87"/>
  <c r="BJ58" i="87" s="1"/>
  <c r="BI59" i="87"/>
  <c r="BJ59" i="87" s="1"/>
  <c r="BI60" i="87"/>
  <c r="BJ60" i="87" s="1"/>
  <c r="BI61" i="87"/>
  <c r="BJ61" i="87" s="1"/>
  <c r="BI62" i="87"/>
  <c r="BI63" i="87"/>
  <c r="BI64" i="87"/>
  <c r="BI65" i="87"/>
  <c r="BI66" i="87"/>
  <c r="BI67" i="87"/>
  <c r="BI68" i="87"/>
  <c r="BI69" i="87"/>
  <c r="BI54" i="87"/>
  <c r="BJ54" i="87" s="1"/>
  <c r="BG55" i="87"/>
  <c r="BG56" i="87"/>
  <c r="BH56" i="87" s="1"/>
  <c r="BG57" i="87"/>
  <c r="BH57" i="87" s="1"/>
  <c r="BG58" i="87"/>
  <c r="BH58" i="87" s="1"/>
  <c r="BG59" i="87"/>
  <c r="BH59" i="87" s="1"/>
  <c r="BG60" i="87"/>
  <c r="BH60" i="87" s="1"/>
  <c r="BG61" i="87"/>
  <c r="BH61" i="87" s="1"/>
  <c r="BG62" i="87"/>
  <c r="BG63" i="87"/>
  <c r="BG64" i="87"/>
  <c r="BG65" i="87"/>
  <c r="BG66" i="87"/>
  <c r="BG67" i="87"/>
  <c r="BG68" i="87"/>
  <c r="BG69" i="87"/>
  <c r="BG54" i="87"/>
  <c r="BH54" i="87" s="1"/>
  <c r="BE55" i="87"/>
  <c r="BF55" i="87" s="1"/>
  <c r="BE56" i="87"/>
  <c r="BF56" i="87" s="1"/>
  <c r="BE57" i="87"/>
  <c r="BF57" i="87" s="1"/>
  <c r="BE58" i="87"/>
  <c r="BF58" i="87" s="1"/>
  <c r="BE59" i="87"/>
  <c r="BF59" i="87" s="1"/>
  <c r="BE60" i="87"/>
  <c r="BF60" i="87" s="1"/>
  <c r="BE61" i="87"/>
  <c r="BF61" i="87" s="1"/>
  <c r="BE62" i="87"/>
  <c r="BE63" i="87"/>
  <c r="BE64" i="87"/>
  <c r="BE65" i="87"/>
  <c r="BE66" i="87"/>
  <c r="BE67" i="87"/>
  <c r="BE68" i="87"/>
  <c r="BE69" i="87"/>
  <c r="BE54" i="87"/>
  <c r="BF54" i="87" s="1"/>
  <c r="BC55" i="87"/>
  <c r="BD55" i="87" s="1"/>
  <c r="BC56" i="87"/>
  <c r="BD56" i="87" s="1"/>
  <c r="BC57" i="87"/>
  <c r="BD57" i="87" s="1"/>
  <c r="BC58" i="87"/>
  <c r="BD58" i="87" s="1"/>
  <c r="BC59" i="87"/>
  <c r="BD59" i="87" s="1"/>
  <c r="BC60" i="87"/>
  <c r="BD60" i="87" s="1"/>
  <c r="BC61" i="87"/>
  <c r="BD61" i="87" s="1"/>
  <c r="BC62" i="87"/>
  <c r="BC63" i="87"/>
  <c r="BC64" i="87"/>
  <c r="BC65" i="87"/>
  <c r="BC66" i="87"/>
  <c r="BC67" i="87"/>
  <c r="BC68" i="87"/>
  <c r="BC69" i="87"/>
  <c r="BC54" i="87"/>
  <c r="BD54" i="87" s="1"/>
  <c r="BA55" i="87"/>
  <c r="BB55" i="87" s="1"/>
  <c r="BA56" i="87"/>
  <c r="BB56" i="87" s="1"/>
  <c r="BA57" i="87"/>
  <c r="BB57" i="87" s="1"/>
  <c r="BA58" i="87"/>
  <c r="BB58" i="87" s="1"/>
  <c r="BA59" i="87"/>
  <c r="BB59" i="87" s="1"/>
  <c r="BA60" i="87"/>
  <c r="BB60" i="87" s="1"/>
  <c r="BA61" i="87"/>
  <c r="BB61" i="87" s="1"/>
  <c r="BA62" i="87"/>
  <c r="BA63" i="87"/>
  <c r="BA64" i="87"/>
  <c r="BA65" i="87"/>
  <c r="BA66" i="87"/>
  <c r="BA67" i="87"/>
  <c r="BA68" i="87"/>
  <c r="BA69" i="87"/>
  <c r="BA54" i="87"/>
  <c r="BB54" i="87" s="1"/>
  <c r="AY55" i="87"/>
  <c r="AZ55" i="87" s="1"/>
  <c r="AY56" i="87"/>
  <c r="AZ56" i="87" s="1"/>
  <c r="AY57" i="87"/>
  <c r="AZ57" i="87" s="1"/>
  <c r="AY58" i="87"/>
  <c r="AZ58" i="87" s="1"/>
  <c r="AY59" i="87"/>
  <c r="AZ59" i="87" s="1"/>
  <c r="AY60" i="87"/>
  <c r="AZ60" i="87" s="1"/>
  <c r="AY61" i="87"/>
  <c r="AZ61" i="87" s="1"/>
  <c r="AY62" i="87"/>
  <c r="AY63" i="87"/>
  <c r="AY64" i="87"/>
  <c r="AY65" i="87"/>
  <c r="AY66" i="87"/>
  <c r="AY67" i="87"/>
  <c r="AY68" i="87"/>
  <c r="AY69" i="87"/>
  <c r="AY54" i="87"/>
  <c r="AZ54" i="87" s="1"/>
  <c r="AW55" i="87"/>
  <c r="AX55" i="87" s="1"/>
  <c r="AW56" i="87"/>
  <c r="AX56" i="87" s="1"/>
  <c r="AW57" i="87"/>
  <c r="AX57" i="87" s="1"/>
  <c r="AW58" i="87"/>
  <c r="AX58" i="87" s="1"/>
  <c r="AW59" i="87"/>
  <c r="AX59" i="87" s="1"/>
  <c r="AW60" i="87"/>
  <c r="AX60" i="87" s="1"/>
  <c r="AW61" i="87"/>
  <c r="AX61" i="87" s="1"/>
  <c r="AW62" i="87"/>
  <c r="AW63" i="87"/>
  <c r="AW64" i="87"/>
  <c r="AW65" i="87"/>
  <c r="AW66" i="87"/>
  <c r="AW67" i="87"/>
  <c r="AW68" i="87"/>
  <c r="AW69" i="87"/>
  <c r="AW54" i="87"/>
  <c r="AX54" i="87" s="1"/>
  <c r="BH55" i="87"/>
  <c r="AU55" i="87"/>
  <c r="AV55" i="87" s="1"/>
  <c r="AU56" i="87"/>
  <c r="AV56" i="87" s="1"/>
  <c r="AU57" i="87"/>
  <c r="AV57" i="87" s="1"/>
  <c r="AU58" i="87"/>
  <c r="AV58" i="87" s="1"/>
  <c r="AU59" i="87"/>
  <c r="AV59" i="87" s="1"/>
  <c r="AU60" i="87"/>
  <c r="AV60" i="87" s="1"/>
  <c r="AU61" i="87"/>
  <c r="AV61" i="87" s="1"/>
  <c r="AU62" i="87"/>
  <c r="AU63" i="87"/>
  <c r="AU64" i="87"/>
  <c r="AU65" i="87"/>
  <c r="AU66" i="87"/>
  <c r="AU67" i="87"/>
  <c r="AU68" i="87"/>
  <c r="AU69" i="87"/>
  <c r="AU54" i="87"/>
  <c r="AV54" i="87" s="1"/>
  <c r="AS55" i="87"/>
  <c r="AS56" i="87"/>
  <c r="AS57" i="87"/>
  <c r="AS58" i="87"/>
  <c r="AS59" i="87"/>
  <c r="AS60" i="87"/>
  <c r="AS61" i="87"/>
  <c r="AS62" i="87"/>
  <c r="AT62" i="87" s="1"/>
  <c r="AS63" i="87"/>
  <c r="AT63" i="87" s="1"/>
  <c r="AS64" i="87"/>
  <c r="AS65" i="87"/>
  <c r="AT65" i="87" s="1"/>
  <c r="AS66" i="87"/>
  <c r="AS67" i="87"/>
  <c r="AS68" i="87"/>
  <c r="AS69" i="87"/>
  <c r="AT69" i="87" s="1"/>
  <c r="AS54" i="87"/>
  <c r="AQ55" i="87"/>
  <c r="AQ56" i="87"/>
  <c r="AQ57" i="87"/>
  <c r="AR57" i="87" s="1"/>
  <c r="AQ58" i="87"/>
  <c r="AQ59" i="87"/>
  <c r="AQ60" i="87"/>
  <c r="AQ61" i="87"/>
  <c r="AQ62" i="87"/>
  <c r="AR62" i="87" s="1"/>
  <c r="AQ63" i="87"/>
  <c r="AR63" i="87" s="1"/>
  <c r="AQ64" i="87"/>
  <c r="AQ65" i="87"/>
  <c r="AR65" i="87" s="1"/>
  <c r="AQ66" i="87"/>
  <c r="AQ67" i="87"/>
  <c r="AQ68" i="87"/>
  <c r="AQ69" i="87"/>
  <c r="AR69" i="87" s="1"/>
  <c r="AQ54" i="87"/>
  <c r="AO55" i="87"/>
  <c r="AO56" i="87"/>
  <c r="AO57" i="87"/>
  <c r="AO58" i="87"/>
  <c r="AO59" i="87"/>
  <c r="AO60" i="87"/>
  <c r="AO61" i="87"/>
  <c r="AO62" i="87"/>
  <c r="AP62" i="87" s="1"/>
  <c r="AO63" i="87"/>
  <c r="AP63" i="87" s="1"/>
  <c r="AO64" i="87"/>
  <c r="AO65" i="87"/>
  <c r="AP65" i="87" s="1"/>
  <c r="AO66" i="87"/>
  <c r="AO67" i="87"/>
  <c r="AO68" i="87"/>
  <c r="AO69" i="87"/>
  <c r="AP69" i="87" s="1"/>
  <c r="AO54" i="87"/>
  <c r="AM55" i="87"/>
  <c r="AM56" i="87"/>
  <c r="AM57" i="87"/>
  <c r="AN57" i="87" s="1"/>
  <c r="AM58" i="87"/>
  <c r="AM59" i="87"/>
  <c r="AM60" i="87"/>
  <c r="AM61" i="87"/>
  <c r="AM62" i="87"/>
  <c r="AN62" i="87" s="1"/>
  <c r="AM63" i="87"/>
  <c r="AN63" i="87" s="1"/>
  <c r="AM64" i="87"/>
  <c r="AM65" i="87"/>
  <c r="AN65" i="87" s="1"/>
  <c r="AM66" i="87"/>
  <c r="AM67" i="87"/>
  <c r="AM68" i="87"/>
  <c r="AM69" i="87"/>
  <c r="AN69" i="87" s="1"/>
  <c r="AM54" i="87"/>
  <c r="AK55" i="87"/>
  <c r="AK56" i="87"/>
  <c r="AK57" i="87"/>
  <c r="AL57" i="87" s="1"/>
  <c r="AK58" i="87"/>
  <c r="AK59" i="87"/>
  <c r="AK60" i="87"/>
  <c r="AK61" i="87"/>
  <c r="AK62" i="87"/>
  <c r="AL62" i="87" s="1"/>
  <c r="AK63" i="87"/>
  <c r="AL63" i="87" s="1"/>
  <c r="AK64" i="87"/>
  <c r="AK65" i="87"/>
  <c r="AL65" i="87" s="1"/>
  <c r="AK66" i="87"/>
  <c r="AK67" i="87"/>
  <c r="AK68" i="87"/>
  <c r="AK69" i="87"/>
  <c r="AL69" i="87" s="1"/>
  <c r="AK54" i="87"/>
  <c r="AI55" i="87"/>
  <c r="AI56" i="87"/>
  <c r="AI57" i="87"/>
  <c r="AJ57" i="87" s="1"/>
  <c r="AI58" i="87"/>
  <c r="AI59" i="87"/>
  <c r="AI60" i="87"/>
  <c r="AI61" i="87"/>
  <c r="AI62" i="87"/>
  <c r="AJ62" i="87" s="1"/>
  <c r="AI63" i="87"/>
  <c r="AJ63" i="87" s="1"/>
  <c r="AI64" i="87"/>
  <c r="AI65" i="87"/>
  <c r="AJ65" i="87" s="1"/>
  <c r="AI66" i="87"/>
  <c r="AI67" i="87"/>
  <c r="AI68" i="87"/>
  <c r="AI69" i="87"/>
  <c r="AJ69" i="87" s="1"/>
  <c r="AI54" i="87"/>
  <c r="AG55" i="87"/>
  <c r="AG56" i="87"/>
  <c r="AG57" i="87"/>
  <c r="AH57" i="87" s="1"/>
  <c r="AG58" i="87"/>
  <c r="AG59" i="87"/>
  <c r="AG60" i="87"/>
  <c r="AG61" i="87"/>
  <c r="AG62" i="87"/>
  <c r="AH62" i="87" s="1"/>
  <c r="AG63" i="87"/>
  <c r="AH63" i="87" s="1"/>
  <c r="AG64" i="87"/>
  <c r="AG65" i="87"/>
  <c r="AH65" i="87" s="1"/>
  <c r="AG66" i="87"/>
  <c r="AG67" i="87"/>
  <c r="AG68" i="87"/>
  <c r="AG69" i="87"/>
  <c r="AH69" i="87" s="1"/>
  <c r="AG54" i="87"/>
  <c r="AT57" i="87"/>
  <c r="AP57" i="87"/>
  <c r="AE55" i="87"/>
  <c r="AE56" i="87"/>
  <c r="AE57" i="87"/>
  <c r="AF57" i="87" s="1"/>
  <c r="AE58" i="87"/>
  <c r="AE59" i="87"/>
  <c r="AE60" i="87"/>
  <c r="AE61" i="87"/>
  <c r="AE62" i="87"/>
  <c r="AF62" i="87" s="1"/>
  <c r="AE63" i="87"/>
  <c r="AF63" i="87" s="1"/>
  <c r="AE64" i="87"/>
  <c r="AE65" i="87"/>
  <c r="AF65" i="87" s="1"/>
  <c r="AE66" i="87"/>
  <c r="AE67" i="87"/>
  <c r="AE68" i="87"/>
  <c r="AE69" i="87"/>
  <c r="AF69" i="87" s="1"/>
  <c r="AE54" i="87"/>
  <c r="AC68" i="87"/>
  <c r="AC61" i="87"/>
  <c r="AC59" i="87"/>
  <c r="AC56" i="87"/>
  <c r="AC55" i="87"/>
  <c r="AC57" i="87"/>
  <c r="AD57" i="87" s="1"/>
  <c r="AC58" i="87"/>
  <c r="AC60" i="87"/>
  <c r="AC62" i="87"/>
  <c r="AD62" i="87" s="1"/>
  <c r="AC63" i="87"/>
  <c r="AD63" i="87" s="1"/>
  <c r="AC64" i="87"/>
  <c r="AC65" i="87"/>
  <c r="AD65" i="87" s="1"/>
  <c r="AC66" i="87"/>
  <c r="AC67" i="87"/>
  <c r="AC69" i="87"/>
  <c r="AD69" i="87" s="1"/>
  <c r="AC54" i="87"/>
  <c r="AA55" i="87"/>
  <c r="AA56" i="87"/>
  <c r="AB56" i="87" s="1"/>
  <c r="AA57" i="87"/>
  <c r="AB57" i="87" s="1"/>
  <c r="AA58" i="87"/>
  <c r="AA59" i="87"/>
  <c r="AB59" i="87" s="1"/>
  <c r="AA60" i="87"/>
  <c r="AA61" i="87"/>
  <c r="AB61" i="87" s="1"/>
  <c r="AA62" i="87"/>
  <c r="AB62" i="87" s="1"/>
  <c r="AA63" i="87"/>
  <c r="AB63" i="87" s="1"/>
  <c r="AA64" i="87"/>
  <c r="AB64" i="87" s="1"/>
  <c r="AA65" i="87"/>
  <c r="AB65" i="87" s="1"/>
  <c r="AA66" i="87"/>
  <c r="AA67" i="87"/>
  <c r="AA68" i="87"/>
  <c r="AB68" i="87" s="1"/>
  <c r="AA69" i="87"/>
  <c r="AB69" i="87" s="1"/>
  <c r="AA54" i="87"/>
  <c r="Y55" i="87"/>
  <c r="Y56" i="87"/>
  <c r="Z56" i="87" s="1"/>
  <c r="Y57" i="87"/>
  <c r="Z57" i="87" s="1"/>
  <c r="Y58" i="87"/>
  <c r="Y59" i="87"/>
  <c r="Z59" i="87" s="1"/>
  <c r="Y60" i="87"/>
  <c r="Y61" i="87"/>
  <c r="Z61" i="87" s="1"/>
  <c r="Y62" i="87"/>
  <c r="Z62" i="87" s="1"/>
  <c r="Y63" i="87"/>
  <c r="Z63" i="87" s="1"/>
  <c r="Y64" i="87"/>
  <c r="Z64" i="87" s="1"/>
  <c r="Y65" i="87"/>
  <c r="Z65" i="87" s="1"/>
  <c r="Y66" i="87"/>
  <c r="Y67" i="87"/>
  <c r="Y68" i="87"/>
  <c r="Z68" i="87" s="1"/>
  <c r="Y69" i="87"/>
  <c r="Z69" i="87" s="1"/>
  <c r="Y54" i="87"/>
  <c r="W55" i="87"/>
  <c r="W56" i="87"/>
  <c r="X56" i="87" s="1"/>
  <c r="W57" i="87"/>
  <c r="X57" i="87" s="1"/>
  <c r="W58" i="87"/>
  <c r="W59" i="87"/>
  <c r="X59" i="87" s="1"/>
  <c r="W60" i="87"/>
  <c r="W61" i="87"/>
  <c r="X61" i="87" s="1"/>
  <c r="W62" i="87"/>
  <c r="X62" i="87" s="1"/>
  <c r="W63" i="87"/>
  <c r="X63" i="87" s="1"/>
  <c r="W64" i="87"/>
  <c r="X64" i="87" s="1"/>
  <c r="W65" i="87"/>
  <c r="X65" i="87" s="1"/>
  <c r="W66" i="87"/>
  <c r="W67" i="87"/>
  <c r="W68" i="87"/>
  <c r="X68" i="87" s="1"/>
  <c r="W69" i="87"/>
  <c r="X69" i="87" s="1"/>
  <c r="W54" i="87"/>
  <c r="U55" i="87"/>
  <c r="U56" i="87"/>
  <c r="V56" i="87" s="1"/>
  <c r="U57" i="87"/>
  <c r="V57" i="87" s="1"/>
  <c r="U58" i="87"/>
  <c r="U59" i="87"/>
  <c r="V59" i="87" s="1"/>
  <c r="U60" i="87"/>
  <c r="U61" i="87"/>
  <c r="V61" i="87" s="1"/>
  <c r="U62" i="87"/>
  <c r="V62" i="87" s="1"/>
  <c r="U63" i="87"/>
  <c r="V63" i="87" s="1"/>
  <c r="U64" i="87"/>
  <c r="V64" i="87" s="1"/>
  <c r="U65" i="87"/>
  <c r="V65" i="87" s="1"/>
  <c r="U66" i="87"/>
  <c r="U67" i="87"/>
  <c r="U68" i="87"/>
  <c r="V68" i="87" s="1"/>
  <c r="U69" i="87"/>
  <c r="V69" i="87" s="1"/>
  <c r="U54" i="87"/>
  <c r="S55" i="87"/>
  <c r="S56" i="87"/>
  <c r="T56" i="87" s="1"/>
  <c r="S57" i="87"/>
  <c r="T57" i="87" s="1"/>
  <c r="S58" i="87"/>
  <c r="S59" i="87"/>
  <c r="T59" i="87" s="1"/>
  <c r="S60" i="87"/>
  <c r="S61" i="87"/>
  <c r="T61" i="87" s="1"/>
  <c r="S62" i="87"/>
  <c r="T62" i="87" s="1"/>
  <c r="S63" i="87"/>
  <c r="T63" i="87" s="1"/>
  <c r="S64" i="87"/>
  <c r="T64" i="87" s="1"/>
  <c r="S65" i="87"/>
  <c r="T65" i="87" s="1"/>
  <c r="S66" i="87"/>
  <c r="S67" i="87"/>
  <c r="S68" i="87"/>
  <c r="T68" i="87" s="1"/>
  <c r="S69" i="87"/>
  <c r="T69" i="87" s="1"/>
  <c r="S54" i="87"/>
  <c r="Q55" i="87"/>
  <c r="Q56" i="87"/>
  <c r="R56" i="87" s="1"/>
  <c r="Q57" i="87"/>
  <c r="R57" i="87" s="1"/>
  <c r="Q58" i="87"/>
  <c r="Q59" i="87"/>
  <c r="R59" i="87" s="1"/>
  <c r="Q60" i="87"/>
  <c r="Q61" i="87"/>
  <c r="R61" i="87" s="1"/>
  <c r="Q62" i="87"/>
  <c r="R62" i="87" s="1"/>
  <c r="Q63" i="87"/>
  <c r="R63" i="87" s="1"/>
  <c r="Q64" i="87"/>
  <c r="R64" i="87" s="1"/>
  <c r="Q65" i="87"/>
  <c r="R65" i="87" s="1"/>
  <c r="Q66" i="87"/>
  <c r="Q67" i="87"/>
  <c r="Q68" i="87"/>
  <c r="R68" i="87" s="1"/>
  <c r="Q69" i="87"/>
  <c r="R69" i="87" s="1"/>
  <c r="Q54" i="87"/>
  <c r="O55" i="87"/>
  <c r="O56" i="87"/>
  <c r="P56" i="87" s="1"/>
  <c r="O57" i="87"/>
  <c r="P57" i="87" s="1"/>
  <c r="O58" i="87"/>
  <c r="O59" i="87"/>
  <c r="P59" i="87" s="1"/>
  <c r="O60" i="87"/>
  <c r="O61" i="87"/>
  <c r="P61" i="87" s="1"/>
  <c r="O62" i="87"/>
  <c r="P62" i="87" s="1"/>
  <c r="O63" i="87"/>
  <c r="P63" i="87" s="1"/>
  <c r="O64" i="87"/>
  <c r="P64" i="87" s="1"/>
  <c r="O65" i="87"/>
  <c r="P65" i="87" s="1"/>
  <c r="O66" i="87"/>
  <c r="O67" i="87"/>
  <c r="O68" i="87"/>
  <c r="P68" i="87" s="1"/>
  <c r="O69" i="87"/>
  <c r="P69" i="87" s="1"/>
  <c r="O54" i="87"/>
  <c r="M55" i="87"/>
  <c r="M56" i="87"/>
  <c r="N56" i="87" s="1"/>
  <c r="M57" i="87"/>
  <c r="N57" i="87" s="1"/>
  <c r="M58" i="87"/>
  <c r="M59" i="87"/>
  <c r="N59" i="87" s="1"/>
  <c r="M60" i="87"/>
  <c r="M61" i="87"/>
  <c r="N61" i="87" s="1"/>
  <c r="M62" i="87"/>
  <c r="N62" i="87" s="1"/>
  <c r="M63" i="87"/>
  <c r="N63" i="87" s="1"/>
  <c r="M64" i="87"/>
  <c r="N64" i="87" s="1"/>
  <c r="M65" i="87"/>
  <c r="N65" i="87" s="1"/>
  <c r="M66" i="87"/>
  <c r="M67" i="87"/>
  <c r="M68" i="87"/>
  <c r="N68" i="87" s="1"/>
  <c r="M69" i="87"/>
  <c r="N69" i="87" s="1"/>
  <c r="M54" i="87"/>
  <c r="K55" i="87"/>
  <c r="K56" i="87"/>
  <c r="K57" i="87"/>
  <c r="K58" i="87"/>
  <c r="K59" i="87"/>
  <c r="K60" i="87"/>
  <c r="K61" i="87"/>
  <c r="K62" i="87"/>
  <c r="K63" i="87"/>
  <c r="K64" i="87"/>
  <c r="K65" i="87"/>
  <c r="K66" i="87"/>
  <c r="K67" i="87"/>
  <c r="K68" i="87"/>
  <c r="K69" i="87"/>
  <c r="K54" i="87"/>
  <c r="I55" i="87"/>
  <c r="I56" i="87"/>
  <c r="I57" i="87"/>
  <c r="I58" i="87"/>
  <c r="I59" i="87"/>
  <c r="I60" i="87"/>
  <c r="I61" i="87"/>
  <c r="I62" i="87"/>
  <c r="I63" i="87"/>
  <c r="I64" i="87"/>
  <c r="I65" i="87"/>
  <c r="I66" i="87"/>
  <c r="I67" i="87"/>
  <c r="I68" i="87"/>
  <c r="I69" i="87"/>
  <c r="I54" i="87"/>
  <c r="G55" i="87"/>
  <c r="G56" i="87"/>
  <c r="G57" i="87"/>
  <c r="G58" i="87"/>
  <c r="G59" i="87"/>
  <c r="G60" i="87"/>
  <c r="G61" i="87"/>
  <c r="G62" i="87"/>
  <c r="G63" i="87"/>
  <c r="G64" i="87"/>
  <c r="G65" i="87"/>
  <c r="G66" i="87"/>
  <c r="G67" i="87"/>
  <c r="G68" i="87"/>
  <c r="G69" i="87"/>
  <c r="G54" i="87"/>
  <c r="D55" i="87"/>
  <c r="D56" i="87"/>
  <c r="D57" i="87"/>
  <c r="D58" i="87"/>
  <c r="D59" i="87"/>
  <c r="D60" i="87"/>
  <c r="D61" i="87"/>
  <c r="D62" i="87"/>
  <c r="D63" i="87"/>
  <c r="D64" i="87"/>
  <c r="D65" i="87"/>
  <c r="D66" i="87"/>
  <c r="D67" i="87"/>
  <c r="D68" i="87"/>
  <c r="D69" i="87"/>
  <c r="D54" i="87"/>
  <c r="C69" i="87"/>
  <c r="C62" i="87"/>
  <c r="C63" i="87"/>
  <c r="C64" i="87"/>
  <c r="C65" i="87"/>
  <c r="C66" i="87"/>
  <c r="C67" i="87"/>
  <c r="C68" i="87"/>
  <c r="C55" i="87"/>
  <c r="C56" i="87"/>
  <c r="C57" i="87"/>
  <c r="C58" i="87"/>
  <c r="C59" i="87"/>
  <c r="C60" i="87"/>
  <c r="C61" i="87"/>
  <c r="C54" i="87"/>
  <c r="BI53" i="87"/>
  <c r="BI52" i="87"/>
  <c r="BI50" i="87"/>
  <c r="BI51" i="87"/>
  <c r="BI49" i="87"/>
  <c r="BJ49" i="87" s="1"/>
  <c r="C47" i="24" s="1"/>
  <c r="BG53" i="87"/>
  <c r="BG52" i="87"/>
  <c r="BG50" i="87"/>
  <c r="BG51" i="87"/>
  <c r="BG49" i="87"/>
  <c r="BH49" i="87" s="1"/>
  <c r="C46" i="24" s="1"/>
  <c r="BE53" i="87"/>
  <c r="BE52" i="87"/>
  <c r="BE50" i="87"/>
  <c r="BE51" i="87"/>
  <c r="BE49" i="87"/>
  <c r="BF49" i="87" s="1"/>
  <c r="C45" i="24" s="1"/>
  <c r="BC53" i="87"/>
  <c r="BC52" i="87"/>
  <c r="BC50" i="87"/>
  <c r="BC51" i="87"/>
  <c r="BC49" i="87"/>
  <c r="BD49" i="87" s="1"/>
  <c r="C44" i="24" s="1"/>
  <c r="BA53" i="87"/>
  <c r="BA52" i="87"/>
  <c r="BA50" i="87"/>
  <c r="BA51" i="87"/>
  <c r="BA49" i="87"/>
  <c r="BB49" i="87" s="1"/>
  <c r="C43" i="24" s="1"/>
  <c r="AY53" i="87"/>
  <c r="AY52" i="87"/>
  <c r="AY50" i="87"/>
  <c r="AY51" i="87"/>
  <c r="AY49" i="87"/>
  <c r="AZ49" i="87" s="1"/>
  <c r="C42" i="24" s="1"/>
  <c r="AW53" i="87"/>
  <c r="AW52" i="87"/>
  <c r="AW50" i="87"/>
  <c r="AW51" i="87"/>
  <c r="AW49" i="87"/>
  <c r="AX49" i="87" s="1"/>
  <c r="C41" i="24" s="1"/>
  <c r="AU53" i="87"/>
  <c r="AU52" i="87"/>
  <c r="AU50" i="87"/>
  <c r="AU51" i="87"/>
  <c r="AU49" i="87"/>
  <c r="AV49" i="87" s="1"/>
  <c r="C40" i="24" s="1"/>
  <c r="AS53" i="87"/>
  <c r="AS52" i="87"/>
  <c r="AS50" i="87"/>
  <c r="AS49" i="87"/>
  <c r="AT49" i="87" s="1"/>
  <c r="C39" i="24" s="1"/>
  <c r="AQ53" i="87"/>
  <c r="AQ52" i="87"/>
  <c r="AQ50" i="87"/>
  <c r="AQ49" i="87"/>
  <c r="AR49" i="87" s="1"/>
  <c r="C38" i="24" s="1"/>
  <c r="AO53" i="87"/>
  <c r="AO52" i="87"/>
  <c r="AO50" i="87"/>
  <c r="AO49" i="87"/>
  <c r="AP49" i="87" s="1"/>
  <c r="C37" i="24" s="1"/>
  <c r="AM53" i="87"/>
  <c r="AM52" i="87"/>
  <c r="AM50" i="87"/>
  <c r="AM49" i="87"/>
  <c r="AN49" i="87" s="1"/>
  <c r="C36" i="24" s="1"/>
  <c r="AK53" i="87"/>
  <c r="AK52" i="87"/>
  <c r="AK50" i="87"/>
  <c r="AK49" i="87"/>
  <c r="AL49" i="87" s="1"/>
  <c r="C35" i="24" s="1"/>
  <c r="AI53" i="87"/>
  <c r="AI52" i="87"/>
  <c r="AI50" i="87"/>
  <c r="AI49" i="87"/>
  <c r="AJ49" i="87" s="1"/>
  <c r="C34" i="24" s="1"/>
  <c r="AG53" i="87"/>
  <c r="AG52" i="87"/>
  <c r="AG50" i="87"/>
  <c r="AG49" i="87"/>
  <c r="AH49" i="87" s="1"/>
  <c r="C33" i="24" s="1"/>
  <c r="AE53" i="87"/>
  <c r="AE52" i="87"/>
  <c r="AE50" i="87"/>
  <c r="AE49" i="87"/>
  <c r="AF49" i="87" s="1"/>
  <c r="C32" i="24" s="1"/>
  <c r="AC53" i="87"/>
  <c r="AC52" i="87"/>
  <c r="AC50" i="87"/>
  <c r="AC49" i="87"/>
  <c r="AD49" i="87" s="1"/>
  <c r="C31" i="24" s="1"/>
  <c r="AA53" i="87"/>
  <c r="AA52" i="87"/>
  <c r="AB52" i="87" s="1"/>
  <c r="Y53" i="87"/>
  <c r="Y52" i="87"/>
  <c r="Z52" i="87" s="1"/>
  <c r="W53" i="87"/>
  <c r="W52" i="87"/>
  <c r="X52" i="87" s="1"/>
  <c r="U53" i="87"/>
  <c r="U52" i="87"/>
  <c r="V52" i="87" s="1"/>
  <c r="S53" i="87"/>
  <c r="S52" i="87"/>
  <c r="T52" i="87" s="1"/>
  <c r="Q53" i="87"/>
  <c r="Q52" i="87"/>
  <c r="R52" i="87" s="1"/>
  <c r="O53" i="87"/>
  <c r="O52" i="87"/>
  <c r="P52" i="87" s="1"/>
  <c r="M53" i="87"/>
  <c r="M52" i="87"/>
  <c r="N52" i="87" s="1"/>
  <c r="K53" i="87"/>
  <c r="K52" i="87"/>
  <c r="K50" i="87"/>
  <c r="K51" i="87"/>
  <c r="K49" i="87"/>
  <c r="I53" i="87"/>
  <c r="I52" i="87"/>
  <c r="I50" i="87"/>
  <c r="I51" i="87"/>
  <c r="I49" i="87"/>
  <c r="G53" i="87"/>
  <c r="G52" i="87"/>
  <c r="G51" i="87"/>
  <c r="G50" i="87"/>
  <c r="G49" i="87"/>
  <c r="D53" i="87"/>
  <c r="D52" i="87"/>
  <c r="D51" i="87"/>
  <c r="D50" i="87"/>
  <c r="D49" i="87"/>
  <c r="C53" i="87"/>
  <c r="C52" i="87"/>
  <c r="C51" i="87"/>
  <c r="C50" i="87"/>
  <c r="C49" i="87"/>
  <c r="C315" i="24" l="1"/>
  <c r="F315" i="24" s="1"/>
  <c r="C318" i="24"/>
  <c r="F318" i="24" s="1"/>
  <c r="C322" i="24"/>
  <c r="F322" i="24" s="1"/>
  <c r="C325" i="24"/>
  <c r="F325" i="24" s="1"/>
  <c r="C304" i="24"/>
  <c r="F304" i="24" s="1"/>
  <c r="C311" i="24"/>
  <c r="F311" i="24" s="1"/>
  <c r="C319" i="24"/>
  <c r="F319" i="24" s="1"/>
  <c r="C321" i="24"/>
  <c r="F321" i="24" s="1"/>
  <c r="C324" i="24"/>
  <c r="F324" i="24" s="1"/>
  <c r="C327" i="24"/>
  <c r="F327" i="24" s="1"/>
  <c r="C317" i="24"/>
  <c r="F317" i="24" s="1"/>
  <c r="C305" i="24"/>
  <c r="F305" i="24" s="1"/>
  <c r="C313" i="24"/>
  <c r="F313" i="24" s="1"/>
  <c r="C308" i="24"/>
  <c r="F308" i="24" s="1"/>
  <c r="C316" i="24"/>
  <c r="F316" i="24" s="1"/>
  <c r="C303" i="24"/>
  <c r="F303" i="24" s="1"/>
  <c r="C314" i="24"/>
  <c r="F314" i="24" s="1"/>
  <c r="C310" i="24"/>
  <c r="F310" i="24" s="1"/>
  <c r="C306" i="24"/>
  <c r="F306" i="24" s="1"/>
  <c r="C309" i="24"/>
  <c r="F309" i="24" s="1"/>
  <c r="C312" i="24"/>
  <c r="F312" i="24" s="1"/>
  <c r="C320" i="24"/>
  <c r="F320" i="24" s="1"/>
  <c r="C307" i="24"/>
  <c r="F307" i="24" s="1"/>
  <c r="C323" i="24"/>
  <c r="F323" i="24" s="1"/>
  <c r="C326" i="24"/>
  <c r="F326" i="24" s="1"/>
  <c r="G46" i="87"/>
  <c r="G47" i="87"/>
  <c r="G48" i="87"/>
  <c r="G45" i="87"/>
  <c r="G14" i="87"/>
  <c r="G15" i="87"/>
  <c r="G16" i="87"/>
  <c r="G17" i="87"/>
  <c r="G18" i="87"/>
  <c r="G19" i="87"/>
  <c r="G20" i="87"/>
  <c r="G21" i="87"/>
  <c r="G22" i="87"/>
  <c r="G23" i="87"/>
  <c r="G24" i="87"/>
  <c r="G25" i="87"/>
  <c r="G26" i="87"/>
  <c r="G27" i="87"/>
  <c r="G28" i="87"/>
  <c r="G29" i="87"/>
  <c r="G30" i="87"/>
  <c r="G31" i="87"/>
  <c r="G32" i="87"/>
  <c r="G33" i="87"/>
  <c r="H33" i="87" s="1"/>
  <c r="G34" i="87"/>
  <c r="G35" i="87"/>
  <c r="G36" i="87"/>
  <c r="G37" i="87"/>
  <c r="G38" i="87"/>
  <c r="G39" i="87"/>
  <c r="G40" i="87"/>
  <c r="G41" i="87"/>
  <c r="G42" i="87"/>
  <c r="G43" i="87"/>
  <c r="G44" i="87"/>
  <c r="G13" i="87"/>
  <c r="I46" i="87"/>
  <c r="I47" i="87"/>
  <c r="I48" i="87"/>
  <c r="I45" i="87"/>
  <c r="I14" i="87"/>
  <c r="I15" i="87"/>
  <c r="I16" i="87"/>
  <c r="I17" i="87"/>
  <c r="I18" i="87"/>
  <c r="I19" i="87"/>
  <c r="I20" i="87"/>
  <c r="I21" i="87"/>
  <c r="I22" i="87"/>
  <c r="I23" i="87"/>
  <c r="I24" i="87"/>
  <c r="I25" i="87"/>
  <c r="I26" i="87"/>
  <c r="I27" i="87"/>
  <c r="I28" i="87"/>
  <c r="I29" i="87"/>
  <c r="I30" i="87"/>
  <c r="I31" i="87"/>
  <c r="I32" i="87"/>
  <c r="I33" i="87"/>
  <c r="J33" i="87" s="1"/>
  <c r="C161" i="24" s="1"/>
  <c r="F161" i="24" s="1"/>
  <c r="I34" i="87"/>
  <c r="I35" i="87"/>
  <c r="I36" i="87"/>
  <c r="I37" i="87"/>
  <c r="I38" i="87"/>
  <c r="I39" i="87"/>
  <c r="I40" i="87"/>
  <c r="I41" i="87"/>
  <c r="I42" i="87"/>
  <c r="I43" i="87"/>
  <c r="I44" i="87"/>
  <c r="I13" i="87"/>
  <c r="K43" i="87"/>
  <c r="K44" i="87"/>
  <c r="K45" i="87"/>
  <c r="K46" i="87"/>
  <c r="K47" i="87"/>
  <c r="K17" i="87"/>
  <c r="K18" i="87"/>
  <c r="K19" i="87"/>
  <c r="K20" i="87"/>
  <c r="K21" i="87"/>
  <c r="K22" i="87"/>
  <c r="K23" i="87"/>
  <c r="K24" i="87"/>
  <c r="K25" i="87"/>
  <c r="K26" i="87"/>
  <c r="K27" i="87"/>
  <c r="K28" i="87"/>
  <c r="K29" i="87"/>
  <c r="K34" i="87"/>
  <c r="K35" i="87"/>
  <c r="K48" i="87"/>
  <c r="K14" i="87"/>
  <c r="K15" i="87"/>
  <c r="K16" i="87"/>
  <c r="K30" i="87"/>
  <c r="K31" i="87"/>
  <c r="K32" i="87"/>
  <c r="K33" i="87"/>
  <c r="L33" i="87" s="1"/>
  <c r="C162" i="24" s="1"/>
  <c r="F162" i="24" s="1"/>
  <c r="K36" i="87"/>
  <c r="K37" i="87"/>
  <c r="K38" i="87"/>
  <c r="K39" i="87"/>
  <c r="K40" i="87"/>
  <c r="K41" i="87"/>
  <c r="K42" i="87"/>
  <c r="K13" i="87"/>
  <c r="M47" i="87"/>
  <c r="N47" i="87" s="1"/>
  <c r="M48" i="87"/>
  <c r="M45" i="87"/>
  <c r="N45" i="87" s="1"/>
  <c r="M14" i="87"/>
  <c r="M15" i="87"/>
  <c r="M16" i="87"/>
  <c r="M17" i="87"/>
  <c r="M18" i="87"/>
  <c r="M19" i="87"/>
  <c r="N19" i="87" s="1"/>
  <c r="M20" i="87"/>
  <c r="M21" i="87"/>
  <c r="M22" i="87"/>
  <c r="N22" i="87" s="1"/>
  <c r="M23" i="87"/>
  <c r="M24" i="87"/>
  <c r="M25" i="87"/>
  <c r="M28" i="87"/>
  <c r="M30" i="87"/>
  <c r="M31" i="87"/>
  <c r="M32" i="87"/>
  <c r="M33" i="87"/>
  <c r="N33" i="87" s="1"/>
  <c r="M34" i="87"/>
  <c r="N34" i="87" s="1"/>
  <c r="M35" i="87"/>
  <c r="N35" i="87" s="1"/>
  <c r="M36" i="87"/>
  <c r="M37" i="87"/>
  <c r="M38" i="87"/>
  <c r="M39" i="87"/>
  <c r="M40" i="87"/>
  <c r="M41" i="87"/>
  <c r="M42" i="87"/>
  <c r="M43" i="87"/>
  <c r="N43" i="87" s="1"/>
  <c r="C233" i="24" s="1"/>
  <c r="F233" i="24" s="1"/>
  <c r="M13" i="87"/>
  <c r="O47" i="87"/>
  <c r="P47" i="87" s="1"/>
  <c r="O48" i="87"/>
  <c r="O45" i="87"/>
  <c r="P45" i="87" s="1"/>
  <c r="O14" i="87"/>
  <c r="O15" i="87"/>
  <c r="O16" i="87"/>
  <c r="O17" i="87"/>
  <c r="O18" i="87"/>
  <c r="O19" i="87"/>
  <c r="P19" i="87" s="1"/>
  <c r="O20" i="87"/>
  <c r="O21" i="87"/>
  <c r="O22" i="87"/>
  <c r="P22" i="87" s="1"/>
  <c r="O23" i="87"/>
  <c r="O24" i="87"/>
  <c r="O25" i="87"/>
  <c r="O28" i="87"/>
  <c r="O30" i="87"/>
  <c r="O31" i="87"/>
  <c r="O32" i="87"/>
  <c r="O33" i="87"/>
  <c r="P33" i="87" s="1"/>
  <c r="O34" i="87"/>
  <c r="P34" i="87" s="1"/>
  <c r="O35" i="87"/>
  <c r="P35" i="87" s="1"/>
  <c r="O36" i="87"/>
  <c r="O37" i="87"/>
  <c r="O38" i="87"/>
  <c r="O39" i="87"/>
  <c r="O40" i="87"/>
  <c r="O41" i="87"/>
  <c r="O42" i="87"/>
  <c r="O43" i="87"/>
  <c r="P43" i="87" s="1"/>
  <c r="C234" i="24" s="1"/>
  <c r="F234" i="24" s="1"/>
  <c r="O13" i="87"/>
  <c r="Q15" i="87"/>
  <c r="Q16" i="87"/>
  <c r="Q17" i="87"/>
  <c r="Q47" i="87"/>
  <c r="R47" i="87" s="1"/>
  <c r="Q48" i="87"/>
  <c r="Q45" i="87"/>
  <c r="R45" i="87" s="1"/>
  <c r="Q14" i="87"/>
  <c r="Q18" i="87"/>
  <c r="Q19" i="87"/>
  <c r="R19" i="87" s="1"/>
  <c r="Q20" i="87"/>
  <c r="Q21" i="87"/>
  <c r="Q22" i="87"/>
  <c r="R22" i="87" s="1"/>
  <c r="Q23" i="87"/>
  <c r="Q24" i="87"/>
  <c r="Q25" i="87"/>
  <c r="Q28" i="87"/>
  <c r="Q30" i="87"/>
  <c r="Q31" i="87"/>
  <c r="Q32" i="87"/>
  <c r="Q33" i="87"/>
  <c r="R33" i="87" s="1"/>
  <c r="Q34" i="87"/>
  <c r="R34" i="87" s="1"/>
  <c r="Q35" i="87"/>
  <c r="R35" i="87" s="1"/>
  <c r="C200" i="24" s="1"/>
  <c r="Q36" i="87"/>
  <c r="Q37" i="87"/>
  <c r="Q38" i="87"/>
  <c r="Q39" i="87"/>
  <c r="Q40" i="87"/>
  <c r="Q41" i="87"/>
  <c r="Q42" i="87"/>
  <c r="Q43" i="87"/>
  <c r="R43" i="87" s="1"/>
  <c r="C235" i="24" s="1"/>
  <c r="F235" i="24" s="1"/>
  <c r="Q13" i="87"/>
  <c r="S47" i="87"/>
  <c r="T47" i="87" s="1"/>
  <c r="S45" i="87"/>
  <c r="T45" i="87" s="1"/>
  <c r="S14" i="87"/>
  <c r="S18" i="87"/>
  <c r="S19" i="87"/>
  <c r="T19" i="87" s="1"/>
  <c r="S20" i="87"/>
  <c r="S21" i="87"/>
  <c r="S22" i="87"/>
  <c r="T22" i="87" s="1"/>
  <c r="S23" i="87"/>
  <c r="S24" i="87"/>
  <c r="S25" i="87"/>
  <c r="S28" i="87"/>
  <c r="S30" i="87"/>
  <c r="S31" i="87"/>
  <c r="S32" i="87"/>
  <c r="S33" i="87"/>
  <c r="T33" i="87" s="1"/>
  <c r="S34" i="87"/>
  <c r="T34" i="87" s="1"/>
  <c r="S35" i="87"/>
  <c r="T35" i="87" s="1"/>
  <c r="S36" i="87"/>
  <c r="S37" i="87"/>
  <c r="S38" i="87"/>
  <c r="S39" i="87"/>
  <c r="S40" i="87"/>
  <c r="S41" i="87"/>
  <c r="S42" i="87"/>
  <c r="S43" i="87"/>
  <c r="T43" i="87" s="1"/>
  <c r="C236" i="24" s="1"/>
  <c r="F236" i="24" s="1"/>
  <c r="S13" i="87"/>
  <c r="U47" i="87"/>
  <c r="V47" i="87" s="1"/>
  <c r="U45" i="87"/>
  <c r="V45" i="87" s="1"/>
  <c r="U14" i="87"/>
  <c r="U18" i="87"/>
  <c r="U19" i="87"/>
  <c r="V19" i="87" s="1"/>
  <c r="U20" i="87"/>
  <c r="U21" i="87"/>
  <c r="U22" i="87"/>
  <c r="V22" i="87" s="1"/>
  <c r="U23" i="87"/>
  <c r="U24" i="87"/>
  <c r="U25" i="87"/>
  <c r="U28" i="87"/>
  <c r="U30" i="87"/>
  <c r="U31" i="87"/>
  <c r="U32" i="87"/>
  <c r="U33" i="87"/>
  <c r="V33" i="87" s="1"/>
  <c r="U34" i="87"/>
  <c r="V34" i="87" s="1"/>
  <c r="U35" i="87"/>
  <c r="V35" i="87" s="1"/>
  <c r="U36" i="87"/>
  <c r="U37" i="87"/>
  <c r="U38" i="87"/>
  <c r="U39" i="87"/>
  <c r="U40" i="87"/>
  <c r="U41" i="87"/>
  <c r="U42" i="87"/>
  <c r="U43" i="87"/>
  <c r="V43" i="87" s="1"/>
  <c r="C237" i="24" s="1"/>
  <c r="F237" i="24" s="1"/>
  <c r="U13" i="87"/>
  <c r="W47" i="87"/>
  <c r="X47" i="87" s="1"/>
  <c r="W45" i="87"/>
  <c r="X45" i="87" s="1"/>
  <c r="W14" i="87"/>
  <c r="W18" i="87"/>
  <c r="W19" i="87"/>
  <c r="X19" i="87" s="1"/>
  <c r="W20" i="87"/>
  <c r="W21" i="87"/>
  <c r="W22" i="87"/>
  <c r="X22" i="87" s="1"/>
  <c r="W23" i="87"/>
  <c r="W24" i="87"/>
  <c r="W25" i="87"/>
  <c r="W28" i="87"/>
  <c r="W30" i="87"/>
  <c r="W31" i="87"/>
  <c r="W32" i="87"/>
  <c r="W33" i="87"/>
  <c r="X33" i="87" s="1"/>
  <c r="W34" i="87"/>
  <c r="X34" i="87" s="1"/>
  <c r="W35" i="87"/>
  <c r="X35" i="87" s="1"/>
  <c r="W36" i="87"/>
  <c r="W37" i="87"/>
  <c r="W38" i="87"/>
  <c r="W39" i="87"/>
  <c r="W40" i="87"/>
  <c r="W41" i="87"/>
  <c r="W42" i="87"/>
  <c r="W43" i="87"/>
  <c r="X43" i="87" s="1"/>
  <c r="C238" i="24" s="1"/>
  <c r="F238" i="24" s="1"/>
  <c r="W13" i="87"/>
  <c r="Y47" i="87"/>
  <c r="Z47" i="87" s="1"/>
  <c r="Y45" i="87"/>
  <c r="Z45" i="87" s="1"/>
  <c r="Y14" i="87"/>
  <c r="Y18" i="87"/>
  <c r="Y19" i="87"/>
  <c r="Z19" i="87" s="1"/>
  <c r="Y20" i="87"/>
  <c r="Y21" i="87"/>
  <c r="Y22" i="87"/>
  <c r="Z22" i="87" s="1"/>
  <c r="Y23" i="87"/>
  <c r="Y24" i="87"/>
  <c r="Y25" i="87"/>
  <c r="Y28" i="87"/>
  <c r="Y30" i="87"/>
  <c r="Y31" i="87"/>
  <c r="Y32" i="87"/>
  <c r="Y33" i="87"/>
  <c r="Z33" i="87" s="1"/>
  <c r="Y34" i="87"/>
  <c r="Z34" i="87" s="1"/>
  <c r="Y35" i="87"/>
  <c r="Z35" i="87" s="1"/>
  <c r="Y36" i="87"/>
  <c r="Y37" i="87"/>
  <c r="Y38" i="87"/>
  <c r="Y39" i="87"/>
  <c r="Y40" i="87"/>
  <c r="Y41" i="87"/>
  <c r="Y42" i="87"/>
  <c r="Y43" i="87"/>
  <c r="Z43" i="87" s="1"/>
  <c r="C239" i="24" s="1"/>
  <c r="F239" i="24" s="1"/>
  <c r="Y13" i="87"/>
  <c r="AA47" i="87"/>
  <c r="AB47" i="87" s="1"/>
  <c r="AA45" i="87"/>
  <c r="AB45" i="87" s="1"/>
  <c r="AA14" i="87"/>
  <c r="AA18" i="87"/>
  <c r="AA19" i="87"/>
  <c r="AB19" i="87" s="1"/>
  <c r="AA20" i="87"/>
  <c r="AA21" i="87"/>
  <c r="AA22" i="87"/>
  <c r="AB22" i="87" s="1"/>
  <c r="AA23" i="87"/>
  <c r="AA24" i="87"/>
  <c r="AA25" i="87"/>
  <c r="AA28" i="87"/>
  <c r="AA30" i="87"/>
  <c r="AA31" i="87"/>
  <c r="AA32" i="87"/>
  <c r="AA33" i="87"/>
  <c r="AB33" i="87" s="1"/>
  <c r="AA34" i="87"/>
  <c r="AB34" i="87" s="1"/>
  <c r="AA35" i="87"/>
  <c r="AB35" i="87" s="1"/>
  <c r="AA36" i="87"/>
  <c r="AA37" i="87"/>
  <c r="AA38" i="87"/>
  <c r="AA39" i="87"/>
  <c r="AA40" i="87"/>
  <c r="AA41" i="87"/>
  <c r="AA42" i="87"/>
  <c r="AA43" i="87"/>
  <c r="AB43" i="87" s="1"/>
  <c r="C240" i="24" s="1"/>
  <c r="F240" i="24" s="1"/>
  <c r="AA13" i="87"/>
  <c r="AC46" i="87"/>
  <c r="AD46" i="87" s="1"/>
  <c r="AC47" i="87"/>
  <c r="AC48" i="87"/>
  <c r="AD48" i="87" s="1"/>
  <c r="AC45" i="87"/>
  <c r="AC14" i="87"/>
  <c r="AC15" i="87"/>
  <c r="AD15" i="87" s="1"/>
  <c r="AC16" i="87"/>
  <c r="AD16" i="87" s="1"/>
  <c r="AC17" i="87"/>
  <c r="AD17" i="87" s="1"/>
  <c r="AC18" i="87"/>
  <c r="AC19" i="87"/>
  <c r="AD19" i="87" s="1"/>
  <c r="AC20" i="87"/>
  <c r="AC21" i="87"/>
  <c r="AC22" i="87"/>
  <c r="AD22" i="87" s="1"/>
  <c r="AC23" i="87"/>
  <c r="AC24" i="87"/>
  <c r="AC25" i="87"/>
  <c r="AC26" i="87"/>
  <c r="AD26" i="87" s="1"/>
  <c r="AC27" i="87"/>
  <c r="AD27" i="87" s="1"/>
  <c r="AC28" i="87"/>
  <c r="AC29" i="87"/>
  <c r="AD29" i="87" s="1"/>
  <c r="AC30" i="87"/>
  <c r="AC31" i="87"/>
  <c r="AC32" i="87"/>
  <c r="AC33" i="87"/>
  <c r="AD33" i="87" s="1"/>
  <c r="AC34" i="87"/>
  <c r="AD34" i="87" s="1"/>
  <c r="AC35" i="87"/>
  <c r="AD35" i="87" s="1"/>
  <c r="AC36" i="87"/>
  <c r="AD36" i="87" s="1"/>
  <c r="AC37" i="87"/>
  <c r="AC38" i="87"/>
  <c r="AC39" i="87"/>
  <c r="AC40" i="87"/>
  <c r="AC41" i="87"/>
  <c r="AC42" i="87"/>
  <c r="AC43" i="87"/>
  <c r="AD43" i="87" s="1"/>
  <c r="C241" i="24" s="1"/>
  <c r="F241" i="24" s="1"/>
  <c r="AC44" i="87"/>
  <c r="AC13" i="87"/>
  <c r="AE46" i="87"/>
  <c r="AF46" i="87" s="1"/>
  <c r="AE47" i="87"/>
  <c r="AE48" i="87"/>
  <c r="AF48" i="87" s="1"/>
  <c r="AE45" i="87"/>
  <c r="AE14" i="87"/>
  <c r="AE15" i="87"/>
  <c r="AF15" i="87" s="1"/>
  <c r="AE16" i="87"/>
  <c r="AF16" i="87" s="1"/>
  <c r="AE17" i="87"/>
  <c r="AF17" i="87" s="1"/>
  <c r="AE18" i="87"/>
  <c r="AE19" i="87"/>
  <c r="AF19" i="87" s="1"/>
  <c r="AE20" i="87"/>
  <c r="AE21" i="87"/>
  <c r="AE22" i="87"/>
  <c r="AF22" i="87" s="1"/>
  <c r="AE23" i="87"/>
  <c r="AE24" i="87"/>
  <c r="AE25" i="87"/>
  <c r="AE26" i="87"/>
  <c r="AF26" i="87" s="1"/>
  <c r="AE27" i="87"/>
  <c r="AF27" i="87" s="1"/>
  <c r="AE28" i="87"/>
  <c r="AE29" i="87"/>
  <c r="AF29" i="87" s="1"/>
  <c r="AE30" i="87"/>
  <c r="AE31" i="87"/>
  <c r="AE32" i="87"/>
  <c r="AE33" i="87"/>
  <c r="AF33" i="87" s="1"/>
  <c r="AE34" i="87"/>
  <c r="AF34" i="87" s="1"/>
  <c r="AE35" i="87"/>
  <c r="AF35" i="87" s="1"/>
  <c r="AE36" i="87"/>
  <c r="AF36" i="87" s="1"/>
  <c r="AE37" i="87"/>
  <c r="AE38" i="87"/>
  <c r="AE39" i="87"/>
  <c r="AE40" i="87"/>
  <c r="AE41" i="87"/>
  <c r="AE42" i="87"/>
  <c r="AE43" i="87"/>
  <c r="AF43" i="87" s="1"/>
  <c r="C242" i="24" s="1"/>
  <c r="F242" i="24" s="1"/>
  <c r="AE44" i="87"/>
  <c r="AE13" i="87"/>
  <c r="AG46" i="87"/>
  <c r="AH46" i="87" s="1"/>
  <c r="AG47" i="87"/>
  <c r="AG48" i="87"/>
  <c r="AH48" i="87" s="1"/>
  <c r="AG45" i="87"/>
  <c r="AG14" i="87"/>
  <c r="AG15" i="87"/>
  <c r="AH15" i="87" s="1"/>
  <c r="AG16" i="87"/>
  <c r="AH16" i="87" s="1"/>
  <c r="AG17" i="87"/>
  <c r="AH17" i="87" s="1"/>
  <c r="AG18" i="87"/>
  <c r="AG19" i="87"/>
  <c r="AH19" i="87" s="1"/>
  <c r="AG20" i="87"/>
  <c r="AG21" i="87"/>
  <c r="AG22" i="87"/>
  <c r="AH22" i="87" s="1"/>
  <c r="AG23" i="87"/>
  <c r="AG24" i="87"/>
  <c r="AG25" i="87"/>
  <c r="AG26" i="87"/>
  <c r="AH26" i="87" s="1"/>
  <c r="AG27" i="87"/>
  <c r="AH27" i="87" s="1"/>
  <c r="AG28" i="87"/>
  <c r="AG29" i="87"/>
  <c r="AH29" i="87" s="1"/>
  <c r="AG30" i="87"/>
  <c r="AG31" i="87"/>
  <c r="AG32" i="87"/>
  <c r="AG33" i="87"/>
  <c r="AH33" i="87" s="1"/>
  <c r="AG34" i="87"/>
  <c r="AH34" i="87" s="1"/>
  <c r="AG35" i="87"/>
  <c r="AH35" i="87" s="1"/>
  <c r="AG36" i="87"/>
  <c r="AH36" i="87" s="1"/>
  <c r="AG37" i="87"/>
  <c r="AG38" i="87"/>
  <c r="AG39" i="87"/>
  <c r="AG40" i="87"/>
  <c r="AG41" i="87"/>
  <c r="AG42" i="87"/>
  <c r="AG43" i="87"/>
  <c r="AH43" i="87" s="1"/>
  <c r="C243" i="24" s="1"/>
  <c r="F243" i="24" s="1"/>
  <c r="AG44" i="87"/>
  <c r="AG13" i="87"/>
  <c r="AI46" i="87"/>
  <c r="AJ46" i="87" s="1"/>
  <c r="AI47" i="87"/>
  <c r="AI48" i="87"/>
  <c r="AJ48" i="87" s="1"/>
  <c r="AI45" i="87"/>
  <c r="AI14" i="87"/>
  <c r="AI15" i="87"/>
  <c r="AJ15" i="87" s="1"/>
  <c r="AI16" i="87"/>
  <c r="AJ16" i="87" s="1"/>
  <c r="AI17" i="87"/>
  <c r="AJ17" i="87" s="1"/>
  <c r="AI18" i="87"/>
  <c r="AI19" i="87"/>
  <c r="AJ19" i="87" s="1"/>
  <c r="AI20" i="87"/>
  <c r="AI21" i="87"/>
  <c r="AI22" i="87"/>
  <c r="AJ22" i="87" s="1"/>
  <c r="AI23" i="87"/>
  <c r="AI24" i="87"/>
  <c r="AI25" i="87"/>
  <c r="AI26" i="87"/>
  <c r="AJ26" i="87" s="1"/>
  <c r="AI27" i="87"/>
  <c r="AJ27" i="87" s="1"/>
  <c r="AI28" i="87"/>
  <c r="AI29" i="87"/>
  <c r="AJ29" i="87" s="1"/>
  <c r="AI30" i="87"/>
  <c r="AI31" i="87"/>
  <c r="AI32" i="87"/>
  <c r="AI33" i="87"/>
  <c r="AJ33" i="87" s="1"/>
  <c r="AI34" i="87"/>
  <c r="AJ34" i="87" s="1"/>
  <c r="AI35" i="87"/>
  <c r="AJ35" i="87" s="1"/>
  <c r="AI36" i="87"/>
  <c r="AJ36" i="87" s="1"/>
  <c r="AI37" i="87"/>
  <c r="AI38" i="87"/>
  <c r="AI39" i="87"/>
  <c r="AI40" i="87"/>
  <c r="AI41" i="87"/>
  <c r="AI42" i="87"/>
  <c r="AI43" i="87"/>
  <c r="AJ43" i="87" s="1"/>
  <c r="C244" i="24" s="1"/>
  <c r="F244" i="24" s="1"/>
  <c r="AI44" i="87"/>
  <c r="AI13" i="87"/>
  <c r="AK46" i="87"/>
  <c r="AL46" i="87" s="1"/>
  <c r="AK47" i="87"/>
  <c r="AK48" i="87"/>
  <c r="AL48" i="87" s="1"/>
  <c r="AK45" i="87"/>
  <c r="AK14" i="87"/>
  <c r="AK15" i="87"/>
  <c r="AL15" i="87" s="1"/>
  <c r="AK16" i="87"/>
  <c r="AL16" i="87" s="1"/>
  <c r="AK17" i="87"/>
  <c r="AL17" i="87" s="1"/>
  <c r="AK18" i="87"/>
  <c r="AK19" i="87"/>
  <c r="AL19" i="87" s="1"/>
  <c r="AK20" i="87"/>
  <c r="AK21" i="87"/>
  <c r="AK22" i="87"/>
  <c r="AL22" i="87" s="1"/>
  <c r="AK23" i="87"/>
  <c r="AK24" i="87"/>
  <c r="AK25" i="87"/>
  <c r="AK26" i="87"/>
  <c r="AL26" i="87" s="1"/>
  <c r="AK27" i="87"/>
  <c r="AL27" i="87" s="1"/>
  <c r="AK28" i="87"/>
  <c r="AK29" i="87"/>
  <c r="AL29" i="87" s="1"/>
  <c r="AK30" i="87"/>
  <c r="AK31" i="87"/>
  <c r="AK32" i="87"/>
  <c r="AK33" i="87"/>
  <c r="AL33" i="87" s="1"/>
  <c r="AK34" i="87"/>
  <c r="AL34" i="87" s="1"/>
  <c r="AK35" i="87"/>
  <c r="AL35" i="87" s="1"/>
  <c r="AK36" i="87"/>
  <c r="AL36" i="87" s="1"/>
  <c r="AK37" i="87"/>
  <c r="AK38" i="87"/>
  <c r="AK39" i="87"/>
  <c r="AK40" i="87"/>
  <c r="AK41" i="87"/>
  <c r="AK42" i="87"/>
  <c r="AK43" i="87"/>
  <c r="AL43" i="87" s="1"/>
  <c r="C245" i="24" s="1"/>
  <c r="F245" i="24" s="1"/>
  <c r="AK44" i="87"/>
  <c r="AK13" i="87"/>
  <c r="AM46" i="87"/>
  <c r="AN46" i="87" s="1"/>
  <c r="AM47" i="87"/>
  <c r="AM48" i="87"/>
  <c r="AN48" i="87" s="1"/>
  <c r="AM45" i="87"/>
  <c r="AM14" i="87"/>
  <c r="AM15" i="87"/>
  <c r="AN15" i="87" s="1"/>
  <c r="AM16" i="87"/>
  <c r="AN16" i="87" s="1"/>
  <c r="AM17" i="87"/>
  <c r="AN17" i="87" s="1"/>
  <c r="AM18" i="87"/>
  <c r="AM19" i="87"/>
  <c r="AN19" i="87" s="1"/>
  <c r="AM20" i="87"/>
  <c r="AM21" i="87"/>
  <c r="AM22" i="87"/>
  <c r="AN22" i="87" s="1"/>
  <c r="AM23" i="87"/>
  <c r="AM24" i="87"/>
  <c r="AM25" i="87"/>
  <c r="AM26" i="87"/>
  <c r="AN26" i="87" s="1"/>
  <c r="AM27" i="87"/>
  <c r="AN27" i="87" s="1"/>
  <c r="AM28" i="87"/>
  <c r="AM29" i="87"/>
  <c r="AN29" i="87" s="1"/>
  <c r="AM30" i="87"/>
  <c r="AM31" i="87"/>
  <c r="AM32" i="87"/>
  <c r="AM33" i="87"/>
  <c r="AN33" i="87" s="1"/>
  <c r="AM34" i="87"/>
  <c r="AN34" i="87" s="1"/>
  <c r="AM35" i="87"/>
  <c r="AN35" i="87" s="1"/>
  <c r="AM36" i="87"/>
  <c r="AN36" i="87" s="1"/>
  <c r="AM37" i="87"/>
  <c r="AM38" i="87"/>
  <c r="AM39" i="87"/>
  <c r="AM40" i="87"/>
  <c r="AM41" i="87"/>
  <c r="AM42" i="87"/>
  <c r="AM43" i="87"/>
  <c r="AN43" i="87" s="1"/>
  <c r="C246" i="24" s="1"/>
  <c r="F246" i="24" s="1"/>
  <c r="AM44" i="87"/>
  <c r="AM13" i="87"/>
  <c r="AO46" i="87"/>
  <c r="AP46" i="87" s="1"/>
  <c r="AO47" i="87"/>
  <c r="AO48" i="87"/>
  <c r="AP48" i="87" s="1"/>
  <c r="AO45" i="87"/>
  <c r="AO14" i="87"/>
  <c r="AO15" i="87"/>
  <c r="AP15" i="87" s="1"/>
  <c r="AO16" i="87"/>
  <c r="AP16" i="87" s="1"/>
  <c r="AO17" i="87"/>
  <c r="AP17" i="87" s="1"/>
  <c r="AO18" i="87"/>
  <c r="AO19" i="87"/>
  <c r="AP19" i="87" s="1"/>
  <c r="AO20" i="87"/>
  <c r="AO21" i="87"/>
  <c r="AO22" i="87"/>
  <c r="AP22" i="87" s="1"/>
  <c r="AO23" i="87"/>
  <c r="AO24" i="87"/>
  <c r="AO25" i="87"/>
  <c r="AO26" i="87"/>
  <c r="AP26" i="87" s="1"/>
  <c r="AO27" i="87"/>
  <c r="AP27" i="87" s="1"/>
  <c r="AO28" i="87"/>
  <c r="AO29" i="87"/>
  <c r="AP29" i="87" s="1"/>
  <c r="AO30" i="87"/>
  <c r="AO31" i="87"/>
  <c r="AO32" i="87"/>
  <c r="AO33" i="87"/>
  <c r="AP33" i="87" s="1"/>
  <c r="AO34" i="87"/>
  <c r="AP34" i="87" s="1"/>
  <c r="AO35" i="87"/>
  <c r="AP35" i="87" s="1"/>
  <c r="AO36" i="87"/>
  <c r="AP36" i="87" s="1"/>
  <c r="AO37" i="87"/>
  <c r="AO38" i="87"/>
  <c r="AO39" i="87"/>
  <c r="AO40" i="87"/>
  <c r="AO41" i="87"/>
  <c r="AO42" i="87"/>
  <c r="AO43" i="87"/>
  <c r="AP43" i="87" s="1"/>
  <c r="C247" i="24" s="1"/>
  <c r="F247" i="24" s="1"/>
  <c r="AO44" i="87"/>
  <c r="AO13" i="87"/>
  <c r="AQ46" i="87"/>
  <c r="AR46" i="87" s="1"/>
  <c r="AQ47" i="87"/>
  <c r="AQ48" i="87"/>
  <c r="AR48" i="87" s="1"/>
  <c r="AQ45" i="87"/>
  <c r="AQ14" i="87"/>
  <c r="AQ15" i="87"/>
  <c r="AR15" i="87" s="1"/>
  <c r="AQ16" i="87"/>
  <c r="AR16" i="87" s="1"/>
  <c r="AQ17" i="87"/>
  <c r="AR17" i="87" s="1"/>
  <c r="AQ18" i="87"/>
  <c r="AQ19" i="87"/>
  <c r="AR19" i="87" s="1"/>
  <c r="AQ20" i="87"/>
  <c r="AQ21" i="87"/>
  <c r="AQ22" i="87"/>
  <c r="AR22" i="87" s="1"/>
  <c r="AQ23" i="87"/>
  <c r="AQ24" i="87"/>
  <c r="AQ25" i="87"/>
  <c r="AQ26" i="87"/>
  <c r="AR26" i="87" s="1"/>
  <c r="AQ27" i="87"/>
  <c r="AR27" i="87" s="1"/>
  <c r="AQ28" i="87"/>
  <c r="AQ29" i="87"/>
  <c r="AR29" i="87" s="1"/>
  <c r="AQ30" i="87"/>
  <c r="AQ31" i="87"/>
  <c r="AQ32" i="87"/>
  <c r="AQ33" i="87"/>
  <c r="AR33" i="87" s="1"/>
  <c r="AQ34" i="87"/>
  <c r="AR34" i="87" s="1"/>
  <c r="AQ35" i="87"/>
  <c r="AR35" i="87" s="1"/>
  <c r="AQ36" i="87"/>
  <c r="AR36" i="87" s="1"/>
  <c r="AQ37" i="87"/>
  <c r="AQ38" i="87"/>
  <c r="AQ39" i="87"/>
  <c r="AQ40" i="87"/>
  <c r="AQ41" i="87"/>
  <c r="AQ42" i="87"/>
  <c r="AQ43" i="87"/>
  <c r="AR43" i="87" s="1"/>
  <c r="C248" i="24" s="1"/>
  <c r="F248" i="24" s="1"/>
  <c r="AQ44" i="87"/>
  <c r="AQ13" i="87"/>
  <c r="AS46" i="87"/>
  <c r="AT46" i="87" s="1"/>
  <c r="AS47" i="87"/>
  <c r="AS48" i="87"/>
  <c r="AT48" i="87" s="1"/>
  <c r="AS45" i="87"/>
  <c r="AS14" i="87"/>
  <c r="AS15" i="87"/>
  <c r="AT15" i="87" s="1"/>
  <c r="AS16" i="87"/>
  <c r="AT16" i="87" s="1"/>
  <c r="AS17" i="87"/>
  <c r="AT17" i="87" s="1"/>
  <c r="AS18" i="87"/>
  <c r="AS19" i="87"/>
  <c r="AT19" i="87" s="1"/>
  <c r="AS20" i="87"/>
  <c r="AS21" i="87"/>
  <c r="AS22" i="87"/>
  <c r="AT22" i="87" s="1"/>
  <c r="AS23" i="87"/>
  <c r="AS24" i="87"/>
  <c r="AS25" i="87"/>
  <c r="AS26" i="87"/>
  <c r="AT26" i="87" s="1"/>
  <c r="AS27" i="87"/>
  <c r="AT27" i="87" s="1"/>
  <c r="AS28" i="87"/>
  <c r="AS29" i="87"/>
  <c r="AT29" i="87" s="1"/>
  <c r="AS30" i="87"/>
  <c r="AS31" i="87"/>
  <c r="AS32" i="87"/>
  <c r="AS33" i="87"/>
  <c r="AT33" i="87" s="1"/>
  <c r="AS34" i="87"/>
  <c r="AT34" i="87" s="1"/>
  <c r="AS35" i="87"/>
  <c r="AT35" i="87" s="1"/>
  <c r="AS36" i="87"/>
  <c r="AT36" i="87" s="1"/>
  <c r="AS37" i="87"/>
  <c r="AS38" i="87"/>
  <c r="AS39" i="87"/>
  <c r="AS40" i="87"/>
  <c r="AS41" i="87"/>
  <c r="AS42" i="87"/>
  <c r="AS43" i="87"/>
  <c r="AT43" i="87" s="1"/>
  <c r="C249" i="24" s="1"/>
  <c r="F249" i="24" s="1"/>
  <c r="AS44" i="87"/>
  <c r="AS13" i="87"/>
  <c r="AU46" i="87"/>
  <c r="AU47" i="87"/>
  <c r="AU48" i="87"/>
  <c r="AU45" i="87"/>
  <c r="AU14" i="87"/>
  <c r="AV14" i="87" s="1"/>
  <c r="AU15" i="87"/>
  <c r="AV15" i="87" s="1"/>
  <c r="AU16" i="87"/>
  <c r="AV16" i="87" s="1"/>
  <c r="AU17" i="87"/>
  <c r="AV17" i="87" s="1"/>
  <c r="AU18" i="87"/>
  <c r="AV18" i="87" s="1"/>
  <c r="AU19" i="87"/>
  <c r="AV19" i="87" s="1"/>
  <c r="AU20" i="87"/>
  <c r="AV20" i="87" s="1"/>
  <c r="AU21" i="87"/>
  <c r="AV21" i="87" s="1"/>
  <c r="AU22" i="87"/>
  <c r="AV22" i="87" s="1"/>
  <c r="AU23" i="87"/>
  <c r="AV23" i="87" s="1"/>
  <c r="AU24" i="87"/>
  <c r="AV24" i="87" s="1"/>
  <c r="AU25" i="87"/>
  <c r="AV25" i="87" s="1"/>
  <c r="AU26" i="87"/>
  <c r="AV26" i="87" s="1"/>
  <c r="AU27" i="87"/>
  <c r="AV27" i="87" s="1"/>
  <c r="AU28" i="87"/>
  <c r="AV28" i="87" s="1"/>
  <c r="AU29" i="87"/>
  <c r="AV29" i="87" s="1"/>
  <c r="AU30" i="87"/>
  <c r="AV30" i="87" s="1"/>
  <c r="AU31" i="87"/>
  <c r="AV31" i="87" s="1"/>
  <c r="AU32" i="87"/>
  <c r="AV32" i="87" s="1"/>
  <c r="AU33" i="87"/>
  <c r="AV33" i="87" s="1"/>
  <c r="AU34" i="87"/>
  <c r="AV34" i="87" s="1"/>
  <c r="AU35" i="87"/>
  <c r="AV35" i="87" s="1"/>
  <c r="AU36" i="87"/>
  <c r="AV36" i="87" s="1"/>
  <c r="AU37" i="87"/>
  <c r="AV37" i="87" s="1"/>
  <c r="AU38" i="87"/>
  <c r="AV38" i="87" s="1"/>
  <c r="AU39" i="87"/>
  <c r="AV39" i="87" s="1"/>
  <c r="AU40" i="87"/>
  <c r="AV40" i="87" s="1"/>
  <c r="AU41" i="87"/>
  <c r="AV41" i="87" s="1"/>
  <c r="AU42" i="87"/>
  <c r="AV42" i="87" s="1"/>
  <c r="AU43" i="87"/>
  <c r="AV43" i="87" s="1"/>
  <c r="C250" i="24" s="1"/>
  <c r="F250" i="24" s="1"/>
  <c r="AU44" i="87"/>
  <c r="AV44" i="87" s="1"/>
  <c r="AU13" i="87"/>
  <c r="AV13" i="87" s="1"/>
  <c r="AW46" i="87"/>
  <c r="AW47" i="87"/>
  <c r="AW48" i="87"/>
  <c r="AW45" i="87"/>
  <c r="AW14" i="87"/>
  <c r="AX14" i="87" s="1"/>
  <c r="AW15" i="87"/>
  <c r="AX15" i="87" s="1"/>
  <c r="AW16" i="87"/>
  <c r="AX16" i="87" s="1"/>
  <c r="AW17" i="87"/>
  <c r="AX17" i="87" s="1"/>
  <c r="AW18" i="87"/>
  <c r="AX18" i="87" s="1"/>
  <c r="AW19" i="87"/>
  <c r="AX19" i="87" s="1"/>
  <c r="AW20" i="87"/>
  <c r="AX20" i="87" s="1"/>
  <c r="AW21" i="87"/>
  <c r="AX21" i="87" s="1"/>
  <c r="AW22" i="87"/>
  <c r="AX22" i="87" s="1"/>
  <c r="AW23" i="87"/>
  <c r="AX23" i="87" s="1"/>
  <c r="AW24" i="87"/>
  <c r="AX24" i="87" s="1"/>
  <c r="AW25" i="87"/>
  <c r="AX25" i="87" s="1"/>
  <c r="AW26" i="87"/>
  <c r="AX26" i="87" s="1"/>
  <c r="AW27" i="87"/>
  <c r="AX27" i="87" s="1"/>
  <c r="AW28" i="87"/>
  <c r="AX28" i="87" s="1"/>
  <c r="AW29" i="87"/>
  <c r="AX29" i="87" s="1"/>
  <c r="AW30" i="87"/>
  <c r="AX30" i="87" s="1"/>
  <c r="AW31" i="87"/>
  <c r="AX31" i="87" s="1"/>
  <c r="AW32" i="87"/>
  <c r="AX32" i="87" s="1"/>
  <c r="AW33" i="87"/>
  <c r="AX33" i="87" s="1"/>
  <c r="AW34" i="87"/>
  <c r="AX34" i="87" s="1"/>
  <c r="AW35" i="87"/>
  <c r="AX35" i="87" s="1"/>
  <c r="AW36" i="87"/>
  <c r="AX36" i="87" s="1"/>
  <c r="AW37" i="87"/>
  <c r="AX37" i="87" s="1"/>
  <c r="AW38" i="87"/>
  <c r="AX38" i="87" s="1"/>
  <c r="AW39" i="87"/>
  <c r="AX39" i="87" s="1"/>
  <c r="AW40" i="87"/>
  <c r="AX40" i="87" s="1"/>
  <c r="AW41" i="87"/>
  <c r="AX41" i="87" s="1"/>
  <c r="AW42" i="87"/>
  <c r="AX42" i="87" s="1"/>
  <c r="AW43" i="87"/>
  <c r="AX43" i="87" s="1"/>
  <c r="C251" i="24" s="1"/>
  <c r="F251" i="24" s="1"/>
  <c r="AW44" i="87"/>
  <c r="AX44" i="87" s="1"/>
  <c r="AW13" i="87"/>
  <c r="AX13" i="87" s="1"/>
  <c r="AY46" i="87"/>
  <c r="AY47" i="87"/>
  <c r="AY48" i="87"/>
  <c r="AY45" i="87"/>
  <c r="AY14" i="87"/>
  <c r="AZ14" i="87" s="1"/>
  <c r="AY15" i="87"/>
  <c r="AZ15" i="87" s="1"/>
  <c r="AY16" i="87"/>
  <c r="AZ16" i="87" s="1"/>
  <c r="AY17" i="87"/>
  <c r="AZ17" i="87" s="1"/>
  <c r="AY18" i="87"/>
  <c r="AZ18" i="87" s="1"/>
  <c r="AY19" i="87"/>
  <c r="AZ19" i="87" s="1"/>
  <c r="AY20" i="87"/>
  <c r="AZ20" i="87" s="1"/>
  <c r="AY21" i="87"/>
  <c r="AZ21" i="87" s="1"/>
  <c r="AY22" i="87"/>
  <c r="AZ22" i="87" s="1"/>
  <c r="AY23" i="87"/>
  <c r="AZ23" i="87" s="1"/>
  <c r="AY24" i="87"/>
  <c r="AZ24" i="87" s="1"/>
  <c r="AY25" i="87"/>
  <c r="AZ25" i="87" s="1"/>
  <c r="AY26" i="87"/>
  <c r="AZ26" i="87" s="1"/>
  <c r="AY27" i="87"/>
  <c r="AZ27" i="87" s="1"/>
  <c r="AY28" i="87"/>
  <c r="AZ28" i="87" s="1"/>
  <c r="AY29" i="87"/>
  <c r="AZ29" i="87" s="1"/>
  <c r="AY30" i="87"/>
  <c r="AZ30" i="87" s="1"/>
  <c r="AY31" i="87"/>
  <c r="AZ31" i="87" s="1"/>
  <c r="AY32" i="87"/>
  <c r="AZ32" i="87" s="1"/>
  <c r="AY33" i="87"/>
  <c r="AZ33" i="87" s="1"/>
  <c r="AY34" i="87"/>
  <c r="AZ34" i="87" s="1"/>
  <c r="AY35" i="87"/>
  <c r="AZ35" i="87" s="1"/>
  <c r="AY36" i="87"/>
  <c r="AZ36" i="87" s="1"/>
  <c r="AY37" i="87"/>
  <c r="AZ37" i="87" s="1"/>
  <c r="AY38" i="87"/>
  <c r="AZ38" i="87" s="1"/>
  <c r="AY39" i="87"/>
  <c r="AZ39" i="87" s="1"/>
  <c r="AY40" i="87"/>
  <c r="AZ40" i="87" s="1"/>
  <c r="AY41" i="87"/>
  <c r="AZ41" i="87" s="1"/>
  <c r="AY42" i="87"/>
  <c r="AZ42" i="87" s="1"/>
  <c r="AY43" i="87"/>
  <c r="AZ43" i="87" s="1"/>
  <c r="AY44" i="87"/>
  <c r="AZ44" i="87" s="1"/>
  <c r="AY13" i="87"/>
  <c r="AZ13" i="87" s="1"/>
  <c r="BA46" i="87"/>
  <c r="BA47" i="87"/>
  <c r="BA48" i="87"/>
  <c r="BA45" i="87"/>
  <c r="BA14" i="87"/>
  <c r="BB14" i="87" s="1"/>
  <c r="BA15" i="87"/>
  <c r="BB15" i="87" s="1"/>
  <c r="BA16" i="87"/>
  <c r="BB16" i="87" s="1"/>
  <c r="BA17" i="87"/>
  <c r="BB17" i="87" s="1"/>
  <c r="BA18" i="87"/>
  <c r="BB18" i="87" s="1"/>
  <c r="BA19" i="87"/>
  <c r="BB19" i="87" s="1"/>
  <c r="BA20" i="87"/>
  <c r="BB20" i="87" s="1"/>
  <c r="BA21" i="87"/>
  <c r="BB21" i="87" s="1"/>
  <c r="BA22" i="87"/>
  <c r="BB22" i="87" s="1"/>
  <c r="BA23" i="87"/>
  <c r="BB23" i="87" s="1"/>
  <c r="BA24" i="87"/>
  <c r="BB24" i="87" s="1"/>
  <c r="BA25" i="87"/>
  <c r="BB25" i="87" s="1"/>
  <c r="BA26" i="87"/>
  <c r="BB26" i="87" s="1"/>
  <c r="BA27" i="87"/>
  <c r="BB27" i="87" s="1"/>
  <c r="BA28" i="87"/>
  <c r="BB28" i="87" s="1"/>
  <c r="BA29" i="87"/>
  <c r="BB29" i="87" s="1"/>
  <c r="BA30" i="87"/>
  <c r="BB30" i="87" s="1"/>
  <c r="BA31" i="87"/>
  <c r="BB31" i="87" s="1"/>
  <c r="BA32" i="87"/>
  <c r="BB32" i="87" s="1"/>
  <c r="BA33" i="87"/>
  <c r="BB33" i="87" s="1"/>
  <c r="BA34" i="87"/>
  <c r="BB34" i="87" s="1"/>
  <c r="BA35" i="87"/>
  <c r="BB35" i="87" s="1"/>
  <c r="BA36" i="87"/>
  <c r="BB36" i="87" s="1"/>
  <c r="BA37" i="87"/>
  <c r="BB37" i="87" s="1"/>
  <c r="BA38" i="87"/>
  <c r="BB38" i="87" s="1"/>
  <c r="BA39" i="87"/>
  <c r="BB39" i="87" s="1"/>
  <c r="BA40" i="87"/>
  <c r="BB40" i="87" s="1"/>
  <c r="BA41" i="87"/>
  <c r="BB41" i="87" s="1"/>
  <c r="BA42" i="87"/>
  <c r="BB42" i="87" s="1"/>
  <c r="BA43" i="87"/>
  <c r="BB43" i="87" s="1"/>
  <c r="C253" i="24" s="1"/>
  <c r="F253" i="24" s="1"/>
  <c r="BA44" i="87"/>
  <c r="BB44" i="87" s="1"/>
  <c r="BA13" i="87"/>
  <c r="BB13" i="87" s="1"/>
  <c r="BC46" i="87"/>
  <c r="BC47" i="87"/>
  <c r="BC48" i="87"/>
  <c r="BC45" i="87"/>
  <c r="BC14" i="87"/>
  <c r="BD14" i="87" s="1"/>
  <c r="BC15" i="87"/>
  <c r="BD15" i="87" s="1"/>
  <c r="BC16" i="87"/>
  <c r="BD16" i="87" s="1"/>
  <c r="BC17" i="87"/>
  <c r="BD17" i="87" s="1"/>
  <c r="BC18" i="87"/>
  <c r="BD18" i="87" s="1"/>
  <c r="BC19" i="87"/>
  <c r="BD19" i="87" s="1"/>
  <c r="BC20" i="87"/>
  <c r="BD20" i="87" s="1"/>
  <c r="BC21" i="87"/>
  <c r="BD21" i="87" s="1"/>
  <c r="BC22" i="87"/>
  <c r="BD22" i="87" s="1"/>
  <c r="BC23" i="87"/>
  <c r="BD23" i="87" s="1"/>
  <c r="BC24" i="87"/>
  <c r="BD24" i="87" s="1"/>
  <c r="BC25" i="87"/>
  <c r="BD25" i="87" s="1"/>
  <c r="BC26" i="87"/>
  <c r="BD26" i="87" s="1"/>
  <c r="BC27" i="87"/>
  <c r="BD27" i="87" s="1"/>
  <c r="BC28" i="87"/>
  <c r="BD28" i="87" s="1"/>
  <c r="BC29" i="87"/>
  <c r="BD29" i="87" s="1"/>
  <c r="BC30" i="87"/>
  <c r="BD30" i="87" s="1"/>
  <c r="BC31" i="87"/>
  <c r="BD31" i="87" s="1"/>
  <c r="BC32" i="87"/>
  <c r="BD32" i="87" s="1"/>
  <c r="BC33" i="87"/>
  <c r="BD33" i="87" s="1"/>
  <c r="BC34" i="87"/>
  <c r="BD34" i="87" s="1"/>
  <c r="BC35" i="87"/>
  <c r="BD35" i="87" s="1"/>
  <c r="BC36" i="87"/>
  <c r="BD36" i="87" s="1"/>
  <c r="BC37" i="87"/>
  <c r="BD37" i="87" s="1"/>
  <c r="BC38" i="87"/>
  <c r="BD38" i="87" s="1"/>
  <c r="BC39" i="87"/>
  <c r="BD39" i="87" s="1"/>
  <c r="BC40" i="87"/>
  <c r="BD40" i="87" s="1"/>
  <c r="BC41" i="87"/>
  <c r="BD41" i="87" s="1"/>
  <c r="BC42" i="87"/>
  <c r="BD42" i="87" s="1"/>
  <c r="BC43" i="87"/>
  <c r="BD43" i="87" s="1"/>
  <c r="C254" i="24" s="1"/>
  <c r="F254" i="24" s="1"/>
  <c r="BC44" i="87"/>
  <c r="BD44" i="87" s="1"/>
  <c r="BC13" i="87"/>
  <c r="BD13" i="87" s="1"/>
  <c r="BE46" i="87"/>
  <c r="BE47" i="87"/>
  <c r="BE48" i="87"/>
  <c r="BE45" i="87"/>
  <c r="BE14" i="87"/>
  <c r="BF14" i="87" s="1"/>
  <c r="BE15" i="87"/>
  <c r="BF15" i="87" s="1"/>
  <c r="BE16" i="87"/>
  <c r="BF16" i="87" s="1"/>
  <c r="BE17" i="87"/>
  <c r="BF17" i="87" s="1"/>
  <c r="BE18" i="87"/>
  <c r="BF18" i="87" s="1"/>
  <c r="BE19" i="87"/>
  <c r="BF19" i="87" s="1"/>
  <c r="BE20" i="87"/>
  <c r="BF20" i="87" s="1"/>
  <c r="BE21" i="87"/>
  <c r="BF21" i="87" s="1"/>
  <c r="BE22" i="87"/>
  <c r="BF22" i="87" s="1"/>
  <c r="BE23" i="87"/>
  <c r="BF23" i="87" s="1"/>
  <c r="BE24" i="87"/>
  <c r="BF24" i="87" s="1"/>
  <c r="BE25" i="87"/>
  <c r="BF25" i="87" s="1"/>
  <c r="BE26" i="87"/>
  <c r="BF26" i="87" s="1"/>
  <c r="BE27" i="87"/>
  <c r="BF27" i="87" s="1"/>
  <c r="BE28" i="87"/>
  <c r="BF28" i="87" s="1"/>
  <c r="BE29" i="87"/>
  <c r="BF29" i="87" s="1"/>
  <c r="BE30" i="87"/>
  <c r="BF30" i="87" s="1"/>
  <c r="BE31" i="87"/>
  <c r="BF31" i="87" s="1"/>
  <c r="BE32" i="87"/>
  <c r="BF32" i="87" s="1"/>
  <c r="BE33" i="87"/>
  <c r="BF33" i="87" s="1"/>
  <c r="BE34" i="87"/>
  <c r="BF34" i="87" s="1"/>
  <c r="BE35" i="87"/>
  <c r="BF35" i="87" s="1"/>
  <c r="BE36" i="87"/>
  <c r="BF36" i="87" s="1"/>
  <c r="BE37" i="87"/>
  <c r="BF37" i="87" s="1"/>
  <c r="BE38" i="87"/>
  <c r="BF38" i="87" s="1"/>
  <c r="BE39" i="87"/>
  <c r="BF39" i="87" s="1"/>
  <c r="BE40" i="87"/>
  <c r="BF40" i="87" s="1"/>
  <c r="BE41" i="87"/>
  <c r="BF41" i="87" s="1"/>
  <c r="BE42" i="87"/>
  <c r="BF42" i="87" s="1"/>
  <c r="BE43" i="87"/>
  <c r="BF43" i="87" s="1"/>
  <c r="C255" i="24" s="1"/>
  <c r="F255" i="24" s="1"/>
  <c r="BE44" i="87"/>
  <c r="BF44" i="87" s="1"/>
  <c r="BE13" i="87"/>
  <c r="BF13" i="87" s="1"/>
  <c r="BG46" i="87"/>
  <c r="BG47" i="87"/>
  <c r="BG48" i="87"/>
  <c r="BG45" i="87"/>
  <c r="BG14" i="87"/>
  <c r="BH14" i="87" s="1"/>
  <c r="BG15" i="87"/>
  <c r="BH15" i="87" s="1"/>
  <c r="BG16" i="87"/>
  <c r="BH16" i="87" s="1"/>
  <c r="BG17" i="87"/>
  <c r="BH17" i="87" s="1"/>
  <c r="BG18" i="87"/>
  <c r="BH18" i="87" s="1"/>
  <c r="BG19" i="87"/>
  <c r="BH19" i="87" s="1"/>
  <c r="BG20" i="87"/>
  <c r="BH20" i="87" s="1"/>
  <c r="BG21" i="87"/>
  <c r="BH21" i="87" s="1"/>
  <c r="BG22" i="87"/>
  <c r="BH22" i="87" s="1"/>
  <c r="BG23" i="87"/>
  <c r="BH23" i="87" s="1"/>
  <c r="BG24" i="87"/>
  <c r="BH24" i="87" s="1"/>
  <c r="BG25" i="87"/>
  <c r="BH25" i="87" s="1"/>
  <c r="BG26" i="87"/>
  <c r="BH26" i="87" s="1"/>
  <c r="BG27" i="87"/>
  <c r="BH27" i="87" s="1"/>
  <c r="BG28" i="87"/>
  <c r="BH28" i="87" s="1"/>
  <c r="BG29" i="87"/>
  <c r="BH29" i="87" s="1"/>
  <c r="BG30" i="87"/>
  <c r="BH30" i="87" s="1"/>
  <c r="BG31" i="87"/>
  <c r="BH31" i="87" s="1"/>
  <c r="BG32" i="87"/>
  <c r="BH32" i="87" s="1"/>
  <c r="BG33" i="87"/>
  <c r="BH33" i="87" s="1"/>
  <c r="BG34" i="87"/>
  <c r="BH34" i="87" s="1"/>
  <c r="BG35" i="87"/>
  <c r="BH35" i="87" s="1"/>
  <c r="BG36" i="87"/>
  <c r="BH36" i="87" s="1"/>
  <c r="BG37" i="87"/>
  <c r="BH37" i="87" s="1"/>
  <c r="BG38" i="87"/>
  <c r="BH38" i="87" s="1"/>
  <c r="BG39" i="87"/>
  <c r="BH39" i="87" s="1"/>
  <c r="BG40" i="87"/>
  <c r="BH40" i="87" s="1"/>
  <c r="BG41" i="87"/>
  <c r="BH41" i="87" s="1"/>
  <c r="BG42" i="87"/>
  <c r="BH42" i="87" s="1"/>
  <c r="BG43" i="87"/>
  <c r="BH43" i="87" s="1"/>
  <c r="C256" i="24" s="1"/>
  <c r="F256" i="24" s="1"/>
  <c r="BG44" i="87"/>
  <c r="BH44" i="87" s="1"/>
  <c r="BG13" i="87"/>
  <c r="BH13" i="87" s="1"/>
  <c r="BI46" i="87"/>
  <c r="BI47" i="87"/>
  <c r="BI48" i="87"/>
  <c r="BI45" i="87"/>
  <c r="BI14" i="87"/>
  <c r="BJ14" i="87" s="1"/>
  <c r="BI15" i="87"/>
  <c r="BJ15" i="87" s="1"/>
  <c r="BI16" i="87"/>
  <c r="BJ16" i="87" s="1"/>
  <c r="BI17" i="87"/>
  <c r="BJ17" i="87" s="1"/>
  <c r="BI18" i="87"/>
  <c r="BJ18" i="87" s="1"/>
  <c r="BI19" i="87"/>
  <c r="BJ19" i="87" s="1"/>
  <c r="BI20" i="87"/>
  <c r="BJ20" i="87" s="1"/>
  <c r="BI21" i="87"/>
  <c r="BJ21" i="87" s="1"/>
  <c r="BI22" i="87"/>
  <c r="BJ22" i="87" s="1"/>
  <c r="BI23" i="87"/>
  <c r="BJ23" i="87" s="1"/>
  <c r="BI24" i="87"/>
  <c r="BJ24" i="87" s="1"/>
  <c r="BI25" i="87"/>
  <c r="BJ25" i="87" s="1"/>
  <c r="BI26" i="87"/>
  <c r="BJ26" i="87" s="1"/>
  <c r="BI27" i="87"/>
  <c r="BJ27" i="87" s="1"/>
  <c r="BI28" i="87"/>
  <c r="BJ28" i="87" s="1"/>
  <c r="BI29" i="87"/>
  <c r="BJ29" i="87" s="1"/>
  <c r="BI30" i="87"/>
  <c r="BJ30" i="87" s="1"/>
  <c r="BI31" i="87"/>
  <c r="BJ31" i="87" s="1"/>
  <c r="BI32" i="87"/>
  <c r="BJ32" i="87" s="1"/>
  <c r="BI33" i="87"/>
  <c r="BJ33" i="87" s="1"/>
  <c r="BI34" i="87"/>
  <c r="BJ34" i="87" s="1"/>
  <c r="BI35" i="87"/>
  <c r="BJ35" i="87" s="1"/>
  <c r="BI36" i="87"/>
  <c r="BJ36" i="87" s="1"/>
  <c r="BI37" i="87"/>
  <c r="BJ37" i="87" s="1"/>
  <c r="BI38" i="87"/>
  <c r="BJ38" i="87" s="1"/>
  <c r="BI39" i="87"/>
  <c r="BJ39" i="87" s="1"/>
  <c r="BI40" i="87"/>
  <c r="BJ40" i="87" s="1"/>
  <c r="BI41" i="87"/>
  <c r="BJ41" i="87" s="1"/>
  <c r="BI42" i="87"/>
  <c r="BJ42" i="87" s="1"/>
  <c r="BI43" i="87"/>
  <c r="BJ43" i="87" s="1"/>
  <c r="C257" i="24" s="1"/>
  <c r="F257" i="24" s="1"/>
  <c r="BI44" i="87"/>
  <c r="BJ44" i="87" s="1"/>
  <c r="BI13" i="87"/>
  <c r="BJ13" i="87" s="1"/>
  <c r="D46" i="87"/>
  <c r="D47" i="87"/>
  <c r="D48" i="87"/>
  <c r="D45" i="87"/>
  <c r="D43" i="87"/>
  <c r="D44" i="87"/>
  <c r="D42" i="87"/>
  <c r="D36" i="87"/>
  <c r="D37" i="87"/>
  <c r="D38" i="87"/>
  <c r="D39" i="87"/>
  <c r="D40" i="87"/>
  <c r="D41" i="87"/>
  <c r="D32" i="87"/>
  <c r="D33" i="87"/>
  <c r="D34" i="87"/>
  <c r="D35" i="87"/>
  <c r="D26" i="87"/>
  <c r="D27" i="87"/>
  <c r="D28" i="87"/>
  <c r="D29" i="87"/>
  <c r="D30" i="87"/>
  <c r="D31" i="87"/>
  <c r="D19" i="87"/>
  <c r="D20" i="87"/>
  <c r="D21" i="87"/>
  <c r="D22" i="87"/>
  <c r="D23" i="87"/>
  <c r="D24" i="87"/>
  <c r="D25" i="87"/>
  <c r="D14" i="87"/>
  <c r="D15" i="87"/>
  <c r="D16" i="87"/>
  <c r="D17" i="87"/>
  <c r="D18" i="87"/>
  <c r="C46" i="87"/>
  <c r="C47" i="87"/>
  <c r="C48" i="87"/>
  <c r="C45" i="87"/>
  <c r="C44" i="87"/>
  <c r="C43" i="87"/>
  <c r="C42" i="87"/>
  <c r="C41" i="87"/>
  <c r="C40" i="87"/>
  <c r="C39" i="87"/>
  <c r="C38" i="87"/>
  <c r="C37" i="87"/>
  <c r="C36" i="87"/>
  <c r="C35" i="87"/>
  <c r="C34" i="87"/>
  <c r="C33" i="87"/>
  <c r="C32" i="87"/>
  <c r="C31" i="87"/>
  <c r="C30" i="87"/>
  <c r="C29" i="87"/>
  <c r="C28" i="87"/>
  <c r="C27" i="87"/>
  <c r="C26" i="87"/>
  <c r="C24" i="87"/>
  <c r="C25" i="87"/>
  <c r="C22" i="87"/>
  <c r="C23" i="87"/>
  <c r="C19" i="87"/>
  <c r="C20" i="87"/>
  <c r="C21" i="87"/>
  <c r="C15" i="87"/>
  <c r="C16" i="87"/>
  <c r="C17" i="87"/>
  <c r="C18" i="87"/>
  <c r="C14" i="87"/>
  <c r="D13" i="87"/>
  <c r="C13" i="87"/>
  <c r="P104" i="86"/>
  <c r="AA76" i="87" s="1"/>
  <c r="AB76" i="87" s="1"/>
  <c r="P103" i="86"/>
  <c r="AA75" i="87" s="1"/>
  <c r="AB75" i="87" s="1"/>
  <c r="O104" i="86"/>
  <c r="Y76" i="87" s="1"/>
  <c r="Z76" i="87" s="1"/>
  <c r="O103" i="86"/>
  <c r="Y75" i="87" s="1"/>
  <c r="Z75" i="87" s="1"/>
  <c r="N104" i="86"/>
  <c r="W76" i="87" s="1"/>
  <c r="X76" i="87" s="1"/>
  <c r="N103" i="86"/>
  <c r="W75" i="87" s="1"/>
  <c r="X75" i="87" s="1"/>
  <c r="M104" i="86"/>
  <c r="U76" i="87" s="1"/>
  <c r="V76" i="87" s="1"/>
  <c r="M103" i="86"/>
  <c r="U75" i="87" s="1"/>
  <c r="V75" i="87" s="1"/>
  <c r="L104" i="86"/>
  <c r="S76" i="87" s="1"/>
  <c r="T76" i="87" s="1"/>
  <c r="L103" i="86"/>
  <c r="S75" i="87" s="1"/>
  <c r="T75" i="87" s="1"/>
  <c r="K104" i="86"/>
  <c r="Q76" i="87" s="1"/>
  <c r="R76" i="87" s="1"/>
  <c r="K103" i="86"/>
  <c r="Q75" i="87" s="1"/>
  <c r="R75" i="87" s="1"/>
  <c r="J104" i="86"/>
  <c r="O76" i="87" s="1"/>
  <c r="P76" i="87" s="1"/>
  <c r="J103" i="86"/>
  <c r="O75" i="87" s="1"/>
  <c r="P75" i="87" s="1"/>
  <c r="I104" i="86"/>
  <c r="M76" i="87" s="1"/>
  <c r="N76" i="87" s="1"/>
  <c r="I103" i="86"/>
  <c r="M75" i="87" s="1"/>
  <c r="N75" i="87" s="1"/>
  <c r="P90" i="86"/>
  <c r="AA72" i="87" s="1"/>
  <c r="O90" i="86"/>
  <c r="Y72" i="87" s="1"/>
  <c r="N90" i="86"/>
  <c r="W72" i="87" s="1"/>
  <c r="M90" i="86"/>
  <c r="U72" i="87" s="1"/>
  <c r="L90" i="86"/>
  <c r="S72" i="87" s="1"/>
  <c r="K90" i="86"/>
  <c r="Q72" i="87" s="1"/>
  <c r="J90" i="86"/>
  <c r="O72" i="87" s="1"/>
  <c r="I90" i="86"/>
  <c r="M72" i="87" s="1"/>
  <c r="P66" i="86"/>
  <c r="O66" i="86"/>
  <c r="N66" i="86"/>
  <c r="M66" i="86"/>
  <c r="L66" i="86"/>
  <c r="K66" i="86"/>
  <c r="J66" i="86"/>
  <c r="I66" i="86"/>
  <c r="P60" i="86"/>
  <c r="P59" i="86"/>
  <c r="O60" i="86"/>
  <c r="O59" i="86"/>
  <c r="N60" i="86"/>
  <c r="N59" i="86"/>
  <c r="M60" i="86"/>
  <c r="M59" i="86"/>
  <c r="L60" i="86"/>
  <c r="L59" i="86"/>
  <c r="K60" i="86"/>
  <c r="K59" i="86"/>
  <c r="J60" i="86"/>
  <c r="J59" i="86"/>
  <c r="I60" i="86"/>
  <c r="I59" i="86"/>
  <c r="P58" i="86"/>
  <c r="AA51" i="87" s="1"/>
  <c r="P57" i="86"/>
  <c r="AA50" i="87" s="1"/>
  <c r="P56" i="86"/>
  <c r="AA49" i="87" s="1"/>
  <c r="AB49" i="87" s="1"/>
  <c r="C30" i="24" s="1"/>
  <c r="O58" i="86"/>
  <c r="Y51" i="87" s="1"/>
  <c r="O57" i="86"/>
  <c r="Y50" i="87" s="1"/>
  <c r="O56" i="86"/>
  <c r="Y49" i="87" s="1"/>
  <c r="Z49" i="87" s="1"/>
  <c r="C29" i="24" s="1"/>
  <c r="N58" i="86"/>
  <c r="W51" i="87" s="1"/>
  <c r="N57" i="86"/>
  <c r="W50" i="87" s="1"/>
  <c r="N56" i="86"/>
  <c r="W49" i="87" s="1"/>
  <c r="X49" i="87" s="1"/>
  <c r="C28" i="24" s="1"/>
  <c r="M58" i="86"/>
  <c r="U51" i="87" s="1"/>
  <c r="M57" i="86"/>
  <c r="U50" i="87" s="1"/>
  <c r="M56" i="86"/>
  <c r="U49" i="87" s="1"/>
  <c r="V49" i="87" s="1"/>
  <c r="C27" i="24" s="1"/>
  <c r="L58" i="86"/>
  <c r="S51" i="87" s="1"/>
  <c r="L57" i="86"/>
  <c r="S50" i="87" s="1"/>
  <c r="L56" i="86"/>
  <c r="S49" i="87" s="1"/>
  <c r="T49" i="87" s="1"/>
  <c r="C26" i="24" s="1"/>
  <c r="K58" i="86"/>
  <c r="Q51" i="87" s="1"/>
  <c r="K57" i="86"/>
  <c r="Q50" i="87" s="1"/>
  <c r="K56" i="86"/>
  <c r="Q49" i="87" s="1"/>
  <c r="R49" i="87" s="1"/>
  <c r="C25" i="24" s="1"/>
  <c r="J58" i="86"/>
  <c r="O51" i="87" s="1"/>
  <c r="J57" i="86"/>
  <c r="O50" i="87" s="1"/>
  <c r="J56" i="86"/>
  <c r="O49" i="87" s="1"/>
  <c r="P49" i="87" s="1"/>
  <c r="C24" i="24" s="1"/>
  <c r="I58" i="86"/>
  <c r="M51" i="87" s="1"/>
  <c r="I57" i="86"/>
  <c r="M50" i="87" s="1"/>
  <c r="I56" i="86"/>
  <c r="M49" i="87" s="1"/>
  <c r="N49" i="87" s="1"/>
  <c r="C23" i="24" s="1"/>
  <c r="P55" i="86"/>
  <c r="AA48" i="87" s="1"/>
  <c r="AB48" i="87" s="1"/>
  <c r="O55" i="86"/>
  <c r="Y48" i="87" s="1"/>
  <c r="Z48" i="87" s="1"/>
  <c r="N55" i="86"/>
  <c r="W48" i="87" s="1"/>
  <c r="X48" i="87" s="1"/>
  <c r="M55" i="86"/>
  <c r="U48" i="87" s="1"/>
  <c r="V48" i="87" s="1"/>
  <c r="L55" i="86"/>
  <c r="S48" i="87" s="1"/>
  <c r="T48" i="87" s="1"/>
  <c r="P53" i="86"/>
  <c r="AA46" i="87" s="1"/>
  <c r="AB46" i="87" s="1"/>
  <c r="O53" i="86"/>
  <c r="Y46" i="87" s="1"/>
  <c r="Z46" i="87" s="1"/>
  <c r="N53" i="86"/>
  <c r="W46" i="87" s="1"/>
  <c r="X46" i="87" s="1"/>
  <c r="M53" i="86"/>
  <c r="U46" i="87" s="1"/>
  <c r="V46" i="87" s="1"/>
  <c r="L53" i="86"/>
  <c r="S46" i="87" s="1"/>
  <c r="T46" i="87" s="1"/>
  <c r="K53" i="86"/>
  <c r="Q46" i="87" s="1"/>
  <c r="R46" i="87" s="1"/>
  <c r="J53" i="86"/>
  <c r="O46" i="87" s="1"/>
  <c r="P46" i="87" s="1"/>
  <c r="I53" i="86"/>
  <c r="M46" i="87" s="1"/>
  <c r="N46" i="87" s="1"/>
  <c r="P46" i="86"/>
  <c r="AA44" i="87" s="1"/>
  <c r="AB44" i="87" s="1"/>
  <c r="O46" i="86"/>
  <c r="Y44" i="87" s="1"/>
  <c r="Z44" i="87" s="1"/>
  <c r="N46" i="86"/>
  <c r="W44" i="87" s="1"/>
  <c r="X44" i="87" s="1"/>
  <c r="M46" i="86"/>
  <c r="U44" i="87" s="1"/>
  <c r="V44" i="87" s="1"/>
  <c r="L46" i="86"/>
  <c r="S44" i="87" s="1"/>
  <c r="T44" i="87" s="1"/>
  <c r="K46" i="86"/>
  <c r="Q44" i="87" s="1"/>
  <c r="R44" i="87" s="1"/>
  <c r="J46" i="86"/>
  <c r="O44" i="87" s="1"/>
  <c r="P44" i="87" s="1"/>
  <c r="I46" i="86"/>
  <c r="M44" i="87" s="1"/>
  <c r="N44" i="87" s="1"/>
  <c r="P28" i="86"/>
  <c r="AA26" i="87" s="1"/>
  <c r="AB26" i="87" s="1"/>
  <c r="P29" i="86"/>
  <c r="AA27" i="87" s="1"/>
  <c r="AB27" i="87" s="1"/>
  <c r="P31" i="86"/>
  <c r="AA29" i="87" s="1"/>
  <c r="AB29" i="87" s="1"/>
  <c r="O28" i="86"/>
  <c r="Y26" i="87" s="1"/>
  <c r="Z26" i="87" s="1"/>
  <c r="O29" i="86"/>
  <c r="Y27" i="87" s="1"/>
  <c r="Z27" i="87" s="1"/>
  <c r="O31" i="86"/>
  <c r="Y29" i="87" s="1"/>
  <c r="Z29" i="87" s="1"/>
  <c r="N31" i="86"/>
  <c r="W29" i="87" s="1"/>
  <c r="X29" i="87" s="1"/>
  <c r="N29" i="86"/>
  <c r="W27" i="87" s="1"/>
  <c r="X27" i="87" s="1"/>
  <c r="N28" i="86"/>
  <c r="W26" i="87" s="1"/>
  <c r="X26" i="87" s="1"/>
  <c r="M31" i="86"/>
  <c r="U29" i="87" s="1"/>
  <c r="V29" i="87" s="1"/>
  <c r="M29" i="86"/>
  <c r="U27" i="87" s="1"/>
  <c r="V27" i="87" s="1"/>
  <c r="M28" i="86"/>
  <c r="U26" i="87" s="1"/>
  <c r="V26" i="87" s="1"/>
  <c r="L31" i="86"/>
  <c r="S29" i="87" s="1"/>
  <c r="T29" i="87" s="1"/>
  <c r="L29" i="86"/>
  <c r="S27" i="87" s="1"/>
  <c r="T27" i="87" s="1"/>
  <c r="L28" i="86"/>
  <c r="S26" i="87" s="1"/>
  <c r="T26" i="87" s="1"/>
  <c r="K31" i="86"/>
  <c r="Q29" i="87" s="1"/>
  <c r="R29" i="87" s="1"/>
  <c r="K29" i="86"/>
  <c r="Q27" i="87" s="1"/>
  <c r="R27" i="87" s="1"/>
  <c r="K28" i="86"/>
  <c r="Q26" i="87" s="1"/>
  <c r="R26" i="87" s="1"/>
  <c r="J31" i="86"/>
  <c r="O29" i="87" s="1"/>
  <c r="P29" i="87" s="1"/>
  <c r="J29" i="86"/>
  <c r="O27" i="87" s="1"/>
  <c r="P27" i="87" s="1"/>
  <c r="J28" i="86"/>
  <c r="O26" i="87" s="1"/>
  <c r="P26" i="87" s="1"/>
  <c r="I31" i="86"/>
  <c r="M29" i="87" s="1"/>
  <c r="N29" i="87" s="1"/>
  <c r="I29" i="86"/>
  <c r="M27" i="87" s="1"/>
  <c r="N27" i="87" s="1"/>
  <c r="I28" i="86"/>
  <c r="M26" i="87" s="1"/>
  <c r="N26" i="87" s="1"/>
  <c r="P19" i="86"/>
  <c r="AA17" i="87" s="1"/>
  <c r="AB17" i="87" s="1"/>
  <c r="P18" i="86"/>
  <c r="AA16" i="87" s="1"/>
  <c r="AB16" i="87" s="1"/>
  <c r="O19" i="86"/>
  <c r="Y17" i="87" s="1"/>
  <c r="Z17" i="87" s="1"/>
  <c r="O18" i="86"/>
  <c r="Y16" i="87" s="1"/>
  <c r="Z16" i="87" s="1"/>
  <c r="N19" i="86"/>
  <c r="W17" i="87" s="1"/>
  <c r="X17" i="87" s="1"/>
  <c r="N18" i="86"/>
  <c r="W16" i="87" s="1"/>
  <c r="X16" i="87" s="1"/>
  <c r="M19" i="86"/>
  <c r="U17" i="87" s="1"/>
  <c r="V17" i="87" s="1"/>
  <c r="M18" i="86"/>
  <c r="U16" i="87" s="1"/>
  <c r="V16" i="87" s="1"/>
  <c r="L19" i="86"/>
  <c r="S17" i="87" s="1"/>
  <c r="T17" i="87" s="1"/>
  <c r="L18" i="86"/>
  <c r="S16" i="87" s="1"/>
  <c r="T16" i="87" s="1"/>
  <c r="P17" i="86"/>
  <c r="AA15" i="87" s="1"/>
  <c r="AB15" i="87" s="1"/>
  <c r="O17" i="86"/>
  <c r="Y15" i="87" s="1"/>
  <c r="Z15" i="87" s="1"/>
  <c r="N17" i="86"/>
  <c r="W15" i="87" s="1"/>
  <c r="X15" i="87" s="1"/>
  <c r="M17" i="86"/>
  <c r="U15" i="87" s="1"/>
  <c r="V15" i="87" s="1"/>
  <c r="L17" i="86"/>
  <c r="S15" i="87" s="1"/>
  <c r="T15" i="87" s="1"/>
  <c r="C213" i="24" l="1"/>
  <c r="C211" i="24"/>
  <c r="F211" i="24" s="1"/>
  <c r="C221" i="24"/>
  <c r="C214" i="24"/>
  <c r="C212" i="24"/>
  <c r="C210" i="24"/>
  <c r="C208" i="24"/>
  <c r="F208" i="24" s="1"/>
  <c r="C206" i="24"/>
  <c r="F206" i="24" s="1"/>
  <c r="C219" i="24"/>
  <c r="C215" i="24"/>
  <c r="C209" i="24"/>
  <c r="F209" i="24" s="1"/>
  <c r="C207" i="24"/>
  <c r="F207" i="24" s="1"/>
  <c r="C217" i="24"/>
  <c r="C202" i="24"/>
  <c r="F202" i="24" s="1"/>
  <c r="C204" i="24"/>
  <c r="F204" i="24" s="1"/>
  <c r="C218" i="24"/>
  <c r="C216" i="24"/>
  <c r="C201" i="24"/>
  <c r="F201" i="24" s="1"/>
  <c r="C220" i="24"/>
  <c r="F220" i="24" s="1"/>
  <c r="C198" i="24"/>
  <c r="F198" i="24" s="1"/>
  <c r="C203" i="24"/>
  <c r="F203" i="24" s="1"/>
  <c r="C199" i="24"/>
  <c r="F199" i="24" s="1"/>
  <c r="C205" i="24"/>
  <c r="F205" i="24" s="1"/>
  <c r="C179" i="24"/>
  <c r="F179" i="24" s="1"/>
  <c r="C177" i="24"/>
  <c r="F177" i="24" s="1"/>
  <c r="C175" i="24"/>
  <c r="F175" i="24" s="1"/>
  <c r="C173" i="24"/>
  <c r="F173" i="24" s="1"/>
  <c r="C171" i="24"/>
  <c r="F171" i="24" s="1"/>
  <c r="C409" i="24"/>
  <c r="F409" i="24" s="1"/>
  <c r="C413" i="24"/>
  <c r="F413" i="24" s="1"/>
  <c r="C167" i="24"/>
  <c r="F167" i="24" s="1"/>
  <c r="C410" i="24"/>
  <c r="F410" i="24" s="1"/>
  <c r="C169" i="24"/>
  <c r="F169" i="24" s="1"/>
  <c r="C415" i="24"/>
  <c r="F415" i="24" s="1"/>
  <c r="F210" i="24"/>
  <c r="C128" i="24"/>
  <c r="F128" i="24" s="1"/>
  <c r="C130" i="24"/>
  <c r="F130" i="24" s="1"/>
  <c r="F200" i="24"/>
  <c r="C134" i="24"/>
  <c r="F134" i="24" s="1"/>
  <c r="C408" i="24"/>
  <c r="F408" i="24" s="1"/>
  <c r="C414" i="24"/>
  <c r="F414" i="24" s="1"/>
  <c r="C222" i="24"/>
  <c r="F222" i="24" s="1"/>
  <c r="F221" i="24"/>
  <c r="F219" i="24"/>
  <c r="F214" i="24"/>
  <c r="F213" i="24"/>
  <c r="F212" i="24"/>
  <c r="C112" i="24"/>
  <c r="F112" i="24" s="1"/>
  <c r="C110" i="24"/>
  <c r="F110" i="24" s="1"/>
  <c r="F218" i="24"/>
  <c r="C166" i="24"/>
  <c r="F166" i="24" s="1"/>
  <c r="C411" i="24"/>
  <c r="F411" i="24" s="1"/>
  <c r="C252" i="24"/>
  <c r="F252" i="24" s="1"/>
  <c r="F217" i="24"/>
  <c r="F216" i="24"/>
  <c r="C95" i="24"/>
  <c r="F95" i="24" s="1"/>
  <c r="C93" i="24"/>
  <c r="F93" i="24" s="1"/>
  <c r="C412" i="24"/>
  <c r="F412" i="24" s="1"/>
  <c r="F215" i="24"/>
  <c r="C116" i="24"/>
  <c r="F116" i="24" s="1"/>
  <c r="C144" i="24"/>
  <c r="F144" i="24" s="1"/>
  <c r="C142" i="24"/>
  <c r="F142" i="24" s="1"/>
  <c r="C140" i="24"/>
  <c r="F140" i="24" s="1"/>
  <c r="C138" i="24"/>
  <c r="F138" i="24" s="1"/>
  <c r="C136" i="24"/>
  <c r="F136" i="24" s="1"/>
  <c r="C114" i="24"/>
  <c r="F114" i="24" s="1"/>
  <c r="C107" i="24"/>
  <c r="F107" i="24" s="1"/>
  <c r="C105" i="24"/>
  <c r="F105" i="24" s="1"/>
  <c r="C101" i="24"/>
  <c r="F101" i="24" s="1"/>
  <c r="C137" i="24"/>
  <c r="F137" i="24" s="1"/>
  <c r="C135" i="24"/>
  <c r="F135" i="24" s="1"/>
  <c r="C133" i="24"/>
  <c r="F133" i="24" s="1"/>
  <c r="C117" i="24"/>
  <c r="F117" i="24" s="1"/>
  <c r="C115" i="24"/>
  <c r="F115" i="24" s="1"/>
  <c r="C113" i="24"/>
  <c r="F113" i="24" s="1"/>
  <c r="C111" i="24"/>
  <c r="F111" i="24" s="1"/>
  <c r="C178" i="24"/>
  <c r="F178" i="24" s="1"/>
  <c r="C176" i="24"/>
  <c r="F176" i="24" s="1"/>
  <c r="C174" i="24"/>
  <c r="F174" i="24" s="1"/>
  <c r="C172" i="24"/>
  <c r="F172" i="24" s="1"/>
  <c r="C170" i="24"/>
  <c r="F170" i="24" s="1"/>
  <c r="C168" i="24"/>
  <c r="F168" i="24" s="1"/>
  <c r="C131" i="24"/>
  <c r="F131" i="24" s="1"/>
  <c r="C129" i="24"/>
  <c r="F129" i="24" s="1"/>
  <c r="C185" i="24"/>
  <c r="F185" i="24" s="1"/>
  <c r="C183" i="24"/>
  <c r="F183" i="24" s="1"/>
  <c r="C165" i="24"/>
  <c r="F165" i="24" s="1"/>
  <c r="C163" i="24"/>
  <c r="F163" i="24" s="1"/>
  <c r="C103" i="24"/>
  <c r="F103" i="24" s="1"/>
  <c r="C151" i="24"/>
  <c r="F151" i="24" s="1"/>
  <c r="C145" i="24"/>
  <c r="F145" i="24" s="1"/>
  <c r="C139" i="24"/>
  <c r="F139" i="24" s="1"/>
  <c r="C186" i="24"/>
  <c r="F186" i="24" s="1"/>
  <c r="C184" i="24"/>
  <c r="F184" i="24" s="1"/>
  <c r="C182" i="24"/>
  <c r="F182" i="24" s="1"/>
  <c r="C180" i="24"/>
  <c r="F180" i="24" s="1"/>
  <c r="C164" i="24"/>
  <c r="F164" i="24" s="1"/>
  <c r="E33" i="87"/>
  <c r="C158" i="24" s="1"/>
  <c r="F158" i="24" s="1"/>
  <c r="F33" i="87"/>
  <c r="C159" i="24" s="1"/>
  <c r="F159" i="24" s="1"/>
  <c r="C160" i="24"/>
  <c r="F160" i="24" s="1"/>
  <c r="C109" i="24"/>
  <c r="F109" i="24" s="1"/>
  <c r="C99" i="24"/>
  <c r="F99" i="24" s="1"/>
  <c r="C97" i="24"/>
  <c r="F97" i="24" s="1"/>
  <c r="C149" i="24"/>
  <c r="F149" i="24" s="1"/>
  <c r="C147" i="24"/>
  <c r="F147" i="24" s="1"/>
  <c r="C143" i="24"/>
  <c r="F143" i="24" s="1"/>
  <c r="C141" i="24"/>
  <c r="F141" i="24" s="1"/>
  <c r="C94" i="24"/>
  <c r="F94" i="24" s="1"/>
  <c r="C108" i="24"/>
  <c r="F108" i="24" s="1"/>
  <c r="C106" i="24"/>
  <c r="F106" i="24" s="1"/>
  <c r="C104" i="24"/>
  <c r="F104" i="24" s="1"/>
  <c r="C102" i="24"/>
  <c r="F102" i="24" s="1"/>
  <c r="C100" i="24"/>
  <c r="F100" i="24" s="1"/>
  <c r="C98" i="24"/>
  <c r="F98" i="24" s="1"/>
  <c r="C187" i="24"/>
  <c r="F187" i="24" s="1"/>
  <c r="C181" i="24"/>
  <c r="F181" i="24" s="1"/>
  <c r="C152" i="24"/>
  <c r="F152" i="24" s="1"/>
  <c r="C150" i="24"/>
  <c r="F150" i="24" s="1"/>
  <c r="C148" i="24"/>
  <c r="F148" i="24" s="1"/>
  <c r="C146" i="24"/>
  <c r="F146" i="24" s="1"/>
  <c r="C132" i="24"/>
  <c r="F132" i="24" s="1"/>
  <c r="C96" i="24"/>
  <c r="F96" i="24" s="1"/>
  <c r="Y109" i="86"/>
  <c r="AS81" i="87" s="1"/>
  <c r="AT81" i="87" s="1"/>
  <c r="X109" i="86"/>
  <c r="AQ81" i="87" s="1"/>
  <c r="AR81" i="87" s="1"/>
  <c r="W109" i="86"/>
  <c r="AO81" i="87" s="1"/>
  <c r="AP81" i="87" s="1"/>
  <c r="V109" i="86"/>
  <c r="AM81" i="87" s="1"/>
  <c r="AN81" i="87" s="1"/>
  <c r="U109" i="86"/>
  <c r="AK81" i="87" s="1"/>
  <c r="AL81" i="87" s="1"/>
  <c r="T109" i="86"/>
  <c r="AI81" i="87" s="1"/>
  <c r="AJ81" i="87" s="1"/>
  <c r="S109" i="86"/>
  <c r="AG81" i="87" s="1"/>
  <c r="AH81" i="87" s="1"/>
  <c r="R109" i="86"/>
  <c r="AE81" i="87" s="1"/>
  <c r="AF81" i="87" s="1"/>
  <c r="Q109" i="86"/>
  <c r="AC81" i="87" s="1"/>
  <c r="AD81" i="87" s="1"/>
  <c r="Y108" i="86"/>
  <c r="AS80" i="87" s="1"/>
  <c r="AT80" i="87" s="1"/>
  <c r="S108" i="86"/>
  <c r="AG80" i="87" s="1"/>
  <c r="AH80" i="87" s="1"/>
  <c r="X108" i="86"/>
  <c r="AQ80" i="87" s="1"/>
  <c r="AR80" i="87" s="1"/>
  <c r="W108" i="86"/>
  <c r="AO80" i="87" s="1"/>
  <c r="AP80" i="87" s="1"/>
  <c r="V108" i="86"/>
  <c r="AM80" i="87" s="1"/>
  <c r="AN80" i="87" s="1"/>
  <c r="U108" i="86"/>
  <c r="AK80" i="87" s="1"/>
  <c r="AL80" i="87" s="1"/>
  <c r="T108" i="86"/>
  <c r="AI80" i="87" s="1"/>
  <c r="AJ80" i="87" s="1"/>
  <c r="R108" i="86"/>
  <c r="AE80" i="87" s="1"/>
  <c r="AF80" i="87" s="1"/>
  <c r="Q108" i="86"/>
  <c r="AC80" i="87" s="1"/>
  <c r="AD80" i="87" s="1"/>
  <c r="Y104" i="86"/>
  <c r="AS76" i="87" s="1"/>
  <c r="AT76" i="87" s="1"/>
  <c r="X104" i="86"/>
  <c r="AQ76" i="87" s="1"/>
  <c r="AR76" i="87" s="1"/>
  <c r="W104" i="86"/>
  <c r="AO76" i="87" s="1"/>
  <c r="AP76" i="87" s="1"/>
  <c r="V104" i="86"/>
  <c r="AM76" i="87" s="1"/>
  <c r="AN76" i="87" s="1"/>
  <c r="U104" i="86"/>
  <c r="AK76" i="87" s="1"/>
  <c r="AL76" i="87" s="1"/>
  <c r="T104" i="86"/>
  <c r="AI76" i="87" s="1"/>
  <c r="AJ76" i="87" s="1"/>
  <c r="S104" i="86"/>
  <c r="AG76" i="87" s="1"/>
  <c r="AH76" i="87" s="1"/>
  <c r="R104" i="86"/>
  <c r="AE76" i="87" s="1"/>
  <c r="AF76" i="87" s="1"/>
  <c r="Q104" i="86"/>
  <c r="AC76" i="87" s="1"/>
  <c r="AD76" i="87" s="1"/>
  <c r="Y103" i="86"/>
  <c r="AS75" i="87" s="1"/>
  <c r="AT75" i="87" s="1"/>
  <c r="X103" i="86"/>
  <c r="AQ75" i="87" s="1"/>
  <c r="AR75" i="87" s="1"/>
  <c r="W103" i="86"/>
  <c r="AO75" i="87" s="1"/>
  <c r="AP75" i="87" s="1"/>
  <c r="V103" i="86"/>
  <c r="AM75" i="87" s="1"/>
  <c r="AN75" i="87" s="1"/>
  <c r="U103" i="86"/>
  <c r="AK75" i="87" s="1"/>
  <c r="AL75" i="87" s="1"/>
  <c r="T103" i="86"/>
  <c r="AI75" i="87" s="1"/>
  <c r="AJ75" i="87" s="1"/>
  <c r="S103" i="86"/>
  <c r="AG75" i="87" s="1"/>
  <c r="AH75" i="87" s="1"/>
  <c r="R103" i="86"/>
  <c r="AE75" i="87" s="1"/>
  <c r="AF75" i="87" s="1"/>
  <c r="Q103" i="86"/>
  <c r="AC75" i="87" s="1"/>
  <c r="AD75" i="87" s="1"/>
  <c r="Y90" i="86"/>
  <c r="AS72" i="87" s="1"/>
  <c r="X90" i="86"/>
  <c r="AQ72" i="87" s="1"/>
  <c r="W90" i="86"/>
  <c r="AO72" i="87" s="1"/>
  <c r="V90" i="86"/>
  <c r="AM72" i="87" s="1"/>
  <c r="U90" i="86"/>
  <c r="AK72" i="87" s="1"/>
  <c r="T90" i="86"/>
  <c r="AI72" i="87" s="1"/>
  <c r="S90" i="86"/>
  <c r="AG72" i="87" s="1"/>
  <c r="R90" i="86"/>
  <c r="AE72" i="87" s="1"/>
  <c r="Q90" i="86"/>
  <c r="AC72" i="87" s="1"/>
  <c r="Y66" i="86"/>
  <c r="X66" i="86"/>
  <c r="W66" i="86"/>
  <c r="V66" i="86"/>
  <c r="U66" i="86"/>
  <c r="T66" i="86"/>
  <c r="S66" i="86"/>
  <c r="R66" i="86"/>
  <c r="Q66" i="86"/>
  <c r="X58" i="86"/>
  <c r="AQ51" i="87" s="1"/>
  <c r="W58" i="86"/>
  <c r="AO51" i="87" s="1"/>
  <c r="V58" i="86"/>
  <c r="AM51" i="87" s="1"/>
  <c r="U58" i="86"/>
  <c r="AK51" i="87" s="1"/>
  <c r="T58" i="86"/>
  <c r="AI51" i="87" s="1"/>
  <c r="S58" i="86"/>
  <c r="AG51" i="87" s="1"/>
  <c r="R58" i="86"/>
  <c r="AE51" i="87" s="1"/>
  <c r="Q58" i="86"/>
  <c r="AC51" i="87" s="1"/>
  <c r="Y58" i="86"/>
  <c r="AS51" i="87" s="1"/>
  <c r="C416" i="24" l="1"/>
  <c r="F416" i="24" s="1"/>
  <c r="C418" i="24"/>
  <c r="F418" i="24" s="1"/>
  <c r="C417" i="24"/>
  <c r="F417" i="24" s="1"/>
  <c r="C420" i="24"/>
  <c r="F420" i="24" s="1"/>
  <c r="C421" i="24"/>
  <c r="F421" i="24" s="1"/>
  <c r="C419" i="24"/>
  <c r="F419" i="24" s="1"/>
  <c r="C422" i="24"/>
  <c r="F422" i="24" s="1"/>
  <c r="C424" i="24"/>
  <c r="F424" i="24" s="1"/>
  <c r="C423" i="24"/>
  <c r="F423" i="24" s="1"/>
  <c r="F11" i="88"/>
  <c r="E470" i="24" l="1"/>
  <c r="D470" i="24"/>
  <c r="E435" i="24"/>
  <c r="D435" i="24"/>
  <c r="E400" i="24"/>
  <c r="D400" i="24"/>
  <c r="E365" i="24"/>
  <c r="D365" i="24"/>
  <c r="E330" i="24"/>
  <c r="D330" i="24"/>
  <c r="E295" i="24"/>
  <c r="D295" i="24"/>
  <c r="E260" i="24"/>
  <c r="D260" i="24"/>
  <c r="E225" i="24"/>
  <c r="D225" i="24"/>
  <c r="E190" i="24"/>
  <c r="D190" i="24"/>
  <c r="E155" i="24"/>
  <c r="D155" i="24"/>
  <c r="E120" i="24"/>
  <c r="D120" i="24"/>
  <c r="E85" i="24"/>
  <c r="D85" i="24"/>
  <c r="E48" i="24"/>
  <c r="E49" i="24"/>
  <c r="E50" i="24"/>
  <c r="D48" i="24"/>
  <c r="D49" i="24"/>
  <c r="D50" i="24"/>
  <c r="BO97" i="87" l="1"/>
  <c r="BP97" i="87" s="1"/>
  <c r="BO96" i="87"/>
  <c r="BP96" i="87" s="1"/>
  <c r="BO95" i="87"/>
  <c r="BP95" i="87" s="1"/>
  <c r="BO94" i="87"/>
  <c r="BP94" i="87" s="1"/>
  <c r="BO93" i="87"/>
  <c r="BP93" i="87" s="1"/>
  <c r="BO92" i="87"/>
  <c r="BO91" i="87"/>
  <c r="BO90" i="87"/>
  <c r="BO89" i="87"/>
  <c r="BO88" i="87"/>
  <c r="BO87" i="87"/>
  <c r="BO86" i="87"/>
  <c r="BO85" i="87"/>
  <c r="BO84" i="87"/>
  <c r="BO83" i="87"/>
  <c r="BO82" i="87"/>
  <c r="BO81" i="87"/>
  <c r="BP81" i="87" s="1"/>
  <c r="BO80" i="87"/>
  <c r="BP80" i="87" s="1"/>
  <c r="BO79" i="87"/>
  <c r="BP79" i="87" s="1"/>
  <c r="BO78" i="87"/>
  <c r="BP78" i="87" s="1"/>
  <c r="BO77" i="87"/>
  <c r="BP77" i="87" s="1"/>
  <c r="BO76" i="87"/>
  <c r="BP76" i="87" s="1"/>
  <c r="BO75" i="87"/>
  <c r="BP75" i="87" s="1"/>
  <c r="BO74" i="87"/>
  <c r="BP74" i="87" s="1"/>
  <c r="BO73" i="87"/>
  <c r="BO72" i="87"/>
  <c r="BO71" i="87"/>
  <c r="BO70" i="87"/>
  <c r="BO69" i="87"/>
  <c r="BO68" i="87"/>
  <c r="BO67" i="87"/>
  <c r="BO66" i="87"/>
  <c r="BO65" i="87"/>
  <c r="BO64" i="87"/>
  <c r="BO63" i="87"/>
  <c r="BO62" i="87"/>
  <c r="BO61" i="87"/>
  <c r="BO60" i="87"/>
  <c r="BP60" i="87" s="1"/>
  <c r="BO59" i="87"/>
  <c r="BP59" i="87" s="1"/>
  <c r="BO58" i="87"/>
  <c r="BP58" i="87" s="1"/>
  <c r="BO57" i="87"/>
  <c r="BP57" i="87" s="1"/>
  <c r="BO56" i="87"/>
  <c r="BP56" i="87" s="1"/>
  <c r="BO55" i="87"/>
  <c r="BP55" i="87" s="1"/>
  <c r="BO54" i="87"/>
  <c r="BP54" i="87" s="1"/>
  <c r="BO53" i="87"/>
  <c r="BO52" i="87"/>
  <c r="BO51" i="87"/>
  <c r="BO50" i="87"/>
  <c r="BO49" i="87"/>
  <c r="BO48" i="87"/>
  <c r="BO47" i="87"/>
  <c r="BO46" i="87"/>
  <c r="BO45" i="87"/>
  <c r="BO14" i="87"/>
  <c r="BP14" i="87" s="1"/>
  <c r="BO15" i="87"/>
  <c r="BP15" i="87" s="1"/>
  <c r="BO16" i="87"/>
  <c r="BP16" i="87" s="1"/>
  <c r="BO17" i="87"/>
  <c r="BP17" i="87" s="1"/>
  <c r="BO18" i="87"/>
  <c r="BP18" i="87" s="1"/>
  <c r="BO19" i="87"/>
  <c r="BP19" i="87" s="1"/>
  <c r="BO20" i="87"/>
  <c r="BP20" i="87" s="1"/>
  <c r="BO21" i="87"/>
  <c r="BP21" i="87" s="1"/>
  <c r="BO22" i="87"/>
  <c r="BP22" i="87" s="1"/>
  <c r="BO23" i="87"/>
  <c r="BP23" i="87" s="1"/>
  <c r="BO24" i="87"/>
  <c r="BP24" i="87" s="1"/>
  <c r="BO25" i="87"/>
  <c r="BP25" i="87" s="1"/>
  <c r="BO26" i="87"/>
  <c r="BP26" i="87" s="1"/>
  <c r="BO27" i="87"/>
  <c r="BP27" i="87" s="1"/>
  <c r="BO28" i="87"/>
  <c r="BP28" i="87" s="1"/>
  <c r="BO29" i="87"/>
  <c r="BP29" i="87" s="1"/>
  <c r="BO30" i="87"/>
  <c r="BP30" i="87" s="1"/>
  <c r="BO31" i="87"/>
  <c r="BP31" i="87" s="1"/>
  <c r="BO32" i="87"/>
  <c r="BP32" i="87" s="1"/>
  <c r="BO33" i="87"/>
  <c r="BP33" i="87" s="1"/>
  <c r="BO34" i="87"/>
  <c r="BP34" i="87" s="1"/>
  <c r="BO35" i="87"/>
  <c r="BP35" i="87" s="1"/>
  <c r="BO36" i="87"/>
  <c r="BP36" i="87" s="1"/>
  <c r="BO37" i="87"/>
  <c r="BP37" i="87" s="1"/>
  <c r="BO38" i="87"/>
  <c r="BP38" i="87" s="1"/>
  <c r="BO39" i="87"/>
  <c r="BP39" i="87" s="1"/>
  <c r="BO40" i="87"/>
  <c r="BP40" i="87" s="1"/>
  <c r="BO41" i="87"/>
  <c r="BP41" i="87" s="1"/>
  <c r="BO42" i="87"/>
  <c r="BP42" i="87" s="1"/>
  <c r="BO43" i="87"/>
  <c r="BP43" i="87" s="1"/>
  <c r="C260" i="24" s="1"/>
  <c r="F260" i="24" s="1"/>
  <c r="BO44" i="87"/>
  <c r="BP44" i="87" s="1"/>
  <c r="BO13" i="87"/>
  <c r="BP13" i="87" s="1"/>
  <c r="BM97" i="87"/>
  <c r="BN97" i="87" s="1"/>
  <c r="BM96" i="87"/>
  <c r="BN96" i="87" s="1"/>
  <c r="BM95" i="87"/>
  <c r="BN95" i="87" s="1"/>
  <c r="BM94" i="87"/>
  <c r="BN94" i="87" s="1"/>
  <c r="BM93" i="87"/>
  <c r="BN93" i="87" s="1"/>
  <c r="BM92" i="87"/>
  <c r="BM91" i="87"/>
  <c r="BM90" i="87"/>
  <c r="BM89" i="87"/>
  <c r="BM88" i="87"/>
  <c r="BM87" i="87"/>
  <c r="BM86" i="87"/>
  <c r="BM85" i="87"/>
  <c r="BM84" i="87"/>
  <c r="BM83" i="87"/>
  <c r="BM82" i="87"/>
  <c r="BM81" i="87"/>
  <c r="BN81" i="87" s="1"/>
  <c r="BM80" i="87"/>
  <c r="BN80" i="87" s="1"/>
  <c r="BM79" i="87"/>
  <c r="BN79" i="87" s="1"/>
  <c r="BM78" i="87"/>
  <c r="BN78" i="87" s="1"/>
  <c r="BM77" i="87"/>
  <c r="BN77" i="87" s="1"/>
  <c r="BM76" i="87"/>
  <c r="BN76" i="87" s="1"/>
  <c r="BM75" i="87"/>
  <c r="BN75" i="87" s="1"/>
  <c r="BM74" i="87"/>
  <c r="BN74" i="87" s="1"/>
  <c r="BM73" i="87"/>
  <c r="BM72" i="87"/>
  <c r="BM71" i="87"/>
  <c r="BM70" i="87"/>
  <c r="BM69" i="87"/>
  <c r="BM68" i="87"/>
  <c r="BM67" i="87"/>
  <c r="BM66" i="87"/>
  <c r="BM65" i="87"/>
  <c r="BM64" i="87"/>
  <c r="BM63" i="87"/>
  <c r="BM62" i="87"/>
  <c r="BM61" i="87"/>
  <c r="BM60" i="87"/>
  <c r="BN60" i="87" s="1"/>
  <c r="BM59" i="87"/>
  <c r="BN59" i="87" s="1"/>
  <c r="BM58" i="87"/>
  <c r="BN58" i="87" s="1"/>
  <c r="BM57" i="87"/>
  <c r="BN57" i="87" s="1"/>
  <c r="BM56" i="87"/>
  <c r="BN56" i="87" s="1"/>
  <c r="BM55" i="87"/>
  <c r="BN55" i="87" s="1"/>
  <c r="BM54" i="87"/>
  <c r="BN54" i="87" s="1"/>
  <c r="BM53" i="87"/>
  <c r="BM52" i="87"/>
  <c r="BM51" i="87"/>
  <c r="BM50" i="87"/>
  <c r="BM49" i="87"/>
  <c r="BM46" i="87"/>
  <c r="BM47" i="87"/>
  <c r="BM48" i="87"/>
  <c r="BM45" i="87"/>
  <c r="BM36" i="87"/>
  <c r="BN36" i="87" s="1"/>
  <c r="BM37" i="87"/>
  <c r="BN37" i="87" s="1"/>
  <c r="BM38" i="87"/>
  <c r="BN38" i="87" s="1"/>
  <c r="BM39" i="87"/>
  <c r="BN39" i="87" s="1"/>
  <c r="BM40" i="87"/>
  <c r="BN40" i="87" s="1"/>
  <c r="BM41" i="87"/>
  <c r="BN41" i="87" s="1"/>
  <c r="BM42" i="87"/>
  <c r="BN42" i="87" s="1"/>
  <c r="BM43" i="87"/>
  <c r="BN43" i="87" s="1"/>
  <c r="C259" i="24" s="1"/>
  <c r="F259" i="24" s="1"/>
  <c r="BM44" i="87"/>
  <c r="BN44" i="87" s="1"/>
  <c r="BM15" i="87"/>
  <c r="BN15" i="87" s="1"/>
  <c r="BM16" i="87"/>
  <c r="BN16" i="87" s="1"/>
  <c r="BM17" i="87"/>
  <c r="BN17" i="87" s="1"/>
  <c r="BM18" i="87"/>
  <c r="BN18" i="87" s="1"/>
  <c r="BM19" i="87"/>
  <c r="BN19" i="87" s="1"/>
  <c r="BM20" i="87"/>
  <c r="BN20" i="87" s="1"/>
  <c r="BM21" i="87"/>
  <c r="BN21" i="87" s="1"/>
  <c r="BM22" i="87"/>
  <c r="BN22" i="87" s="1"/>
  <c r="BM23" i="87"/>
  <c r="BN23" i="87" s="1"/>
  <c r="BM24" i="87"/>
  <c r="BN24" i="87" s="1"/>
  <c r="BM25" i="87"/>
  <c r="BN25" i="87" s="1"/>
  <c r="BM26" i="87"/>
  <c r="BN26" i="87" s="1"/>
  <c r="BM27" i="87"/>
  <c r="BN27" i="87" s="1"/>
  <c r="BM28" i="87"/>
  <c r="BN28" i="87" s="1"/>
  <c r="BM29" i="87"/>
  <c r="BN29" i="87" s="1"/>
  <c r="BM30" i="87"/>
  <c r="BN30" i="87" s="1"/>
  <c r="BM31" i="87"/>
  <c r="BN31" i="87" s="1"/>
  <c r="BM32" i="87"/>
  <c r="BN32" i="87" s="1"/>
  <c r="BM33" i="87"/>
  <c r="BN33" i="87" s="1"/>
  <c r="BM34" i="87"/>
  <c r="BN34" i="87" s="1"/>
  <c r="BM35" i="87"/>
  <c r="BN35" i="87" s="1"/>
  <c r="BM14" i="87"/>
  <c r="BN14" i="87" s="1"/>
  <c r="BM13" i="87"/>
  <c r="BN13" i="87" s="1"/>
  <c r="BK94" i="87"/>
  <c r="BL94" i="87" s="1"/>
  <c r="BK95" i="87"/>
  <c r="BL95" i="87" s="1"/>
  <c r="BK96" i="87"/>
  <c r="BL96" i="87" s="1"/>
  <c r="BK97" i="87"/>
  <c r="BL97" i="87" s="1"/>
  <c r="BK93" i="87"/>
  <c r="BL93" i="87" s="1"/>
  <c r="BK83" i="87"/>
  <c r="BK84" i="87"/>
  <c r="BK85" i="87"/>
  <c r="BK86" i="87"/>
  <c r="BK87" i="87"/>
  <c r="BK88" i="87"/>
  <c r="BK89" i="87"/>
  <c r="BK90" i="87"/>
  <c r="BK91" i="87"/>
  <c r="BK92" i="87"/>
  <c r="BK82" i="87"/>
  <c r="BK76" i="87"/>
  <c r="BL76" i="87" s="1"/>
  <c r="BK77" i="87"/>
  <c r="BL77" i="87" s="1"/>
  <c r="BK78" i="87"/>
  <c r="BL78" i="87" s="1"/>
  <c r="BK79" i="87"/>
  <c r="BL79" i="87" s="1"/>
  <c r="BK80" i="87"/>
  <c r="BL80" i="87" s="1"/>
  <c r="BK81" i="87"/>
  <c r="BL81" i="87" s="1"/>
  <c r="BK75" i="87"/>
  <c r="BL75" i="87" s="1"/>
  <c r="BK74" i="87"/>
  <c r="BL74" i="87" s="1"/>
  <c r="BK73" i="87"/>
  <c r="BK71" i="87"/>
  <c r="BK72" i="87"/>
  <c r="BK70" i="87"/>
  <c r="BK63" i="87"/>
  <c r="BK64" i="87"/>
  <c r="BK65" i="87"/>
  <c r="BK66" i="87"/>
  <c r="BK67" i="87"/>
  <c r="BK68" i="87"/>
  <c r="BK69" i="87"/>
  <c r="BK62" i="87"/>
  <c r="BK55" i="87"/>
  <c r="BL55" i="87" s="1"/>
  <c r="BK56" i="87"/>
  <c r="BL56" i="87" s="1"/>
  <c r="BK57" i="87"/>
  <c r="BL57" i="87" s="1"/>
  <c r="BK58" i="87"/>
  <c r="BL58" i="87" s="1"/>
  <c r="BK59" i="87"/>
  <c r="BL59" i="87" s="1"/>
  <c r="BK60" i="87"/>
  <c r="BL60" i="87" s="1"/>
  <c r="BK61" i="87"/>
  <c r="BK54" i="87"/>
  <c r="BL54" i="87" s="1"/>
  <c r="BK53" i="87"/>
  <c r="BK52" i="87"/>
  <c r="BK50" i="87"/>
  <c r="BK51" i="87"/>
  <c r="BK49" i="87"/>
  <c r="BK46" i="87"/>
  <c r="BK47" i="87"/>
  <c r="BK48" i="87"/>
  <c r="BK45" i="87"/>
  <c r="BK14" i="87"/>
  <c r="BL14" i="87" s="1"/>
  <c r="BK15" i="87"/>
  <c r="BL15" i="87" s="1"/>
  <c r="BK16" i="87"/>
  <c r="BL16" i="87" s="1"/>
  <c r="BK17" i="87"/>
  <c r="BL17" i="87" s="1"/>
  <c r="BK18" i="87"/>
  <c r="BL18" i="87" s="1"/>
  <c r="BK19" i="87"/>
  <c r="BL19" i="87" s="1"/>
  <c r="BK20" i="87"/>
  <c r="BL20" i="87" s="1"/>
  <c r="BK21" i="87"/>
  <c r="BL21" i="87" s="1"/>
  <c r="BK22" i="87"/>
  <c r="BL22" i="87" s="1"/>
  <c r="BK23" i="87"/>
  <c r="BL23" i="87" s="1"/>
  <c r="BK24" i="87"/>
  <c r="BL24" i="87" s="1"/>
  <c r="BK25" i="87"/>
  <c r="BL25" i="87" s="1"/>
  <c r="BK26" i="87"/>
  <c r="BL26" i="87" s="1"/>
  <c r="BK27" i="87"/>
  <c r="BL27" i="87" s="1"/>
  <c r="BK28" i="87"/>
  <c r="BL28" i="87" s="1"/>
  <c r="BK29" i="87"/>
  <c r="BL29" i="87" s="1"/>
  <c r="BK30" i="87"/>
  <c r="BL30" i="87" s="1"/>
  <c r="BK31" i="87"/>
  <c r="BL31" i="87" s="1"/>
  <c r="BK32" i="87"/>
  <c r="BL32" i="87" s="1"/>
  <c r="BK33" i="87"/>
  <c r="BL33" i="87" s="1"/>
  <c r="BK34" i="87"/>
  <c r="BL34" i="87" s="1"/>
  <c r="BK35" i="87"/>
  <c r="BL35" i="87" s="1"/>
  <c r="BK36" i="87"/>
  <c r="BL36" i="87" s="1"/>
  <c r="BK37" i="87"/>
  <c r="BL37" i="87" s="1"/>
  <c r="BK38" i="87"/>
  <c r="BL38" i="87" s="1"/>
  <c r="BK39" i="87"/>
  <c r="BL39" i="87" s="1"/>
  <c r="BK40" i="87"/>
  <c r="BL40" i="87" s="1"/>
  <c r="BK41" i="87"/>
  <c r="BL41" i="87" s="1"/>
  <c r="BK42" i="87"/>
  <c r="BL42" i="87" s="1"/>
  <c r="BK43" i="87"/>
  <c r="BL43" i="87" s="1"/>
  <c r="C258" i="24" s="1"/>
  <c r="F258" i="24" s="1"/>
  <c r="BK44" i="87"/>
  <c r="BL44" i="87" s="1"/>
  <c r="BK13" i="87"/>
  <c r="BL13" i="87" s="1"/>
  <c r="BS97" i="87"/>
  <c r="BR97" i="87"/>
  <c r="BT97" i="87" s="1"/>
  <c r="BS96" i="87"/>
  <c r="BR96" i="87"/>
  <c r="BT96" i="87" s="1"/>
  <c r="BS95" i="87"/>
  <c r="BR95" i="87"/>
  <c r="BT95" i="87" s="1"/>
  <c r="BS94" i="87"/>
  <c r="BR94" i="87"/>
  <c r="BT94" i="87" s="1"/>
  <c r="BS93" i="87"/>
  <c r="BR93" i="87"/>
  <c r="BT93" i="87" s="1"/>
  <c r="BR92" i="87"/>
  <c r="BT92" i="87" s="1"/>
  <c r="BR91" i="87"/>
  <c r="BS91" i="87" s="1"/>
  <c r="BR90" i="87"/>
  <c r="BT90" i="87" s="1"/>
  <c r="BR89" i="87"/>
  <c r="BS89" i="87" s="1"/>
  <c r="BR88" i="87"/>
  <c r="BT88" i="87" s="1"/>
  <c r="BR87" i="87"/>
  <c r="BT87" i="87" s="1"/>
  <c r="BR86" i="87"/>
  <c r="BT86" i="87" s="1"/>
  <c r="BR85" i="87"/>
  <c r="BT85" i="87" s="1"/>
  <c r="BR84" i="87"/>
  <c r="BT84" i="87" s="1"/>
  <c r="BR83" i="87"/>
  <c r="BS83" i="87" s="1"/>
  <c r="BR82" i="87"/>
  <c r="BT82" i="87" s="1"/>
  <c r="BT81" i="87"/>
  <c r="BS81" i="87"/>
  <c r="BR81" i="87"/>
  <c r="BT80" i="87"/>
  <c r="BS80" i="87"/>
  <c r="BR80" i="87"/>
  <c r="BT79" i="87"/>
  <c r="BS79" i="87"/>
  <c r="BR79" i="87"/>
  <c r="BT78" i="87"/>
  <c r="BS78" i="87"/>
  <c r="BR78" i="87"/>
  <c r="BT77" i="87"/>
  <c r="BS77" i="87"/>
  <c r="BR77" i="87"/>
  <c r="BT76" i="87"/>
  <c r="BS76" i="87"/>
  <c r="BR76" i="87"/>
  <c r="BT75" i="87"/>
  <c r="BS75" i="87"/>
  <c r="BR75" i="87"/>
  <c r="BR74" i="87"/>
  <c r="BT74" i="87" s="1"/>
  <c r="BR73" i="87"/>
  <c r="BS73" i="87" s="1"/>
  <c r="BR72" i="87"/>
  <c r="BS72" i="87" s="1"/>
  <c r="BR71" i="87"/>
  <c r="BT71" i="87" s="1"/>
  <c r="BR70" i="87"/>
  <c r="BT70" i="87" s="1"/>
  <c r="BR69" i="87"/>
  <c r="BT69" i="87" s="1"/>
  <c r="BR68" i="87"/>
  <c r="BT68" i="87" s="1"/>
  <c r="BR67" i="87"/>
  <c r="BT67" i="87" s="1"/>
  <c r="BR66" i="87"/>
  <c r="BS66" i="87" s="1"/>
  <c r="BR65" i="87"/>
  <c r="BT65" i="87" s="1"/>
  <c r="BR64" i="87"/>
  <c r="BS64" i="87" s="1"/>
  <c r="BR63" i="87"/>
  <c r="BT63" i="87" s="1"/>
  <c r="BR62" i="87"/>
  <c r="BT62" i="87" s="1"/>
  <c r="BR61" i="87"/>
  <c r="BS61" i="87" s="1"/>
  <c r="BR60" i="87"/>
  <c r="BT60" i="87" s="1"/>
  <c r="BR59" i="87"/>
  <c r="BT59" i="87" s="1"/>
  <c r="BR58" i="87"/>
  <c r="BS58" i="87" s="1"/>
  <c r="BR57" i="87"/>
  <c r="BS57" i="87" s="1"/>
  <c r="BR56" i="87"/>
  <c r="BT56" i="87" s="1"/>
  <c r="BR55" i="87"/>
  <c r="BT55" i="87" s="1"/>
  <c r="BR54" i="87"/>
  <c r="BS54" i="87" s="1"/>
  <c r="BR53" i="87"/>
  <c r="BS53" i="87" s="1"/>
  <c r="BR52" i="87"/>
  <c r="BT52" i="87" s="1"/>
  <c r="BR51" i="87"/>
  <c r="BS51" i="87" s="1"/>
  <c r="BR50" i="87"/>
  <c r="BS50" i="87" s="1"/>
  <c r="BR49" i="87"/>
  <c r="BT49" i="87" s="1"/>
  <c r="BR48" i="87"/>
  <c r="BT48" i="87" s="1"/>
  <c r="BR47" i="87"/>
  <c r="BT47" i="87" s="1"/>
  <c r="BR46" i="87"/>
  <c r="BT46" i="87" s="1"/>
  <c r="BR45" i="87"/>
  <c r="BT45" i="87" s="1"/>
  <c r="BR44" i="87"/>
  <c r="BS44" i="87" s="1"/>
  <c r="BS43" i="87"/>
  <c r="BR43" i="87"/>
  <c r="BT43" i="87" s="1"/>
  <c r="BR42" i="87"/>
  <c r="BT42" i="87" s="1"/>
  <c r="BR41" i="87"/>
  <c r="BS41" i="87" s="1"/>
  <c r="BR40" i="87"/>
  <c r="BS40" i="87" s="1"/>
  <c r="BR39" i="87"/>
  <c r="BT39" i="87" s="1"/>
  <c r="BR38" i="87"/>
  <c r="BT38" i="87" s="1"/>
  <c r="BR37" i="87"/>
  <c r="BS37" i="87" s="1"/>
  <c r="BR36" i="87"/>
  <c r="BS36" i="87" s="1"/>
  <c r="BR35" i="87"/>
  <c r="BT35" i="87" s="1"/>
  <c r="BT34" i="87"/>
  <c r="BR34" i="87"/>
  <c r="BS34" i="87" s="1"/>
  <c r="BT33" i="87"/>
  <c r="BR33" i="87"/>
  <c r="BS33" i="87" s="1"/>
  <c r="BT32" i="87"/>
  <c r="BR32" i="87"/>
  <c r="BS32" i="87" s="1"/>
  <c r="BR25" i="87"/>
  <c r="BS25" i="87" s="1"/>
  <c r="BR24" i="87"/>
  <c r="BS24" i="87" s="1"/>
  <c r="BR23" i="87"/>
  <c r="BS23" i="87" s="1"/>
  <c r="BR22" i="87"/>
  <c r="BT22" i="87" s="1"/>
  <c r="BR21" i="87"/>
  <c r="BS21" i="87" s="1"/>
  <c r="BR20" i="87"/>
  <c r="BS20" i="87" s="1"/>
  <c r="BR19" i="87"/>
  <c r="BT19" i="87" s="1"/>
  <c r="BR18" i="87"/>
  <c r="BT18" i="87" s="1"/>
  <c r="BR17" i="87"/>
  <c r="BS17" i="87" s="1"/>
  <c r="BR16" i="87"/>
  <c r="BS16" i="87" s="1"/>
  <c r="BR15" i="87"/>
  <c r="BS15" i="87" s="1"/>
  <c r="BR14" i="87"/>
  <c r="BT14" i="87" s="1"/>
  <c r="BR13" i="87"/>
  <c r="BS13" i="87" s="1"/>
  <c r="C154" i="24" l="1"/>
  <c r="F154" i="24" s="1"/>
  <c r="C118" i="24"/>
  <c r="F118" i="24" s="1"/>
  <c r="C153" i="24"/>
  <c r="F153" i="24" s="1"/>
  <c r="C155" i="24"/>
  <c r="F155" i="24" s="1"/>
  <c r="BS49" i="87"/>
  <c r="BS48" i="87"/>
  <c r="BL49" i="87"/>
  <c r="BN49" i="87"/>
  <c r="C49" i="24" s="1"/>
  <c r="F49" i="24" s="1"/>
  <c r="BP49" i="87"/>
  <c r="C50" i="24" s="1"/>
  <c r="F50" i="24" s="1"/>
  <c r="BT54" i="87"/>
  <c r="BS56" i="87"/>
  <c r="BS55" i="87"/>
  <c r="C189" i="24"/>
  <c r="F189" i="24" s="1"/>
  <c r="C470" i="24"/>
  <c r="F470" i="24" s="1"/>
  <c r="C190" i="24"/>
  <c r="F190" i="24" s="1"/>
  <c r="C188" i="24"/>
  <c r="F188" i="24" s="1"/>
  <c r="C224" i="24"/>
  <c r="F224" i="24" s="1"/>
  <c r="C469" i="24"/>
  <c r="F469" i="24" s="1"/>
  <c r="C435" i="24"/>
  <c r="F435" i="24" s="1"/>
  <c r="C225" i="24"/>
  <c r="F225" i="24" s="1"/>
  <c r="C328" i="24"/>
  <c r="F328" i="24" s="1"/>
  <c r="C433" i="24"/>
  <c r="F433" i="24" s="1"/>
  <c r="C329" i="24"/>
  <c r="F329" i="24" s="1"/>
  <c r="C119" i="24"/>
  <c r="F119" i="24" s="1"/>
  <c r="C330" i="24"/>
  <c r="F330" i="24" s="1"/>
  <c r="C468" i="24"/>
  <c r="F468" i="24" s="1"/>
  <c r="C223" i="24"/>
  <c r="F223" i="24" s="1"/>
  <c r="C434" i="24"/>
  <c r="F434" i="24" s="1"/>
  <c r="C120" i="24"/>
  <c r="F120" i="24" s="1"/>
  <c r="BT37" i="87"/>
  <c r="BS38" i="87"/>
  <c r="BS39" i="87"/>
  <c r="BT15" i="87"/>
  <c r="BS68" i="87"/>
  <c r="BT23" i="87"/>
  <c r="BT61" i="87"/>
  <c r="BS62" i="87"/>
  <c r="BT25" i="87"/>
  <c r="BT73" i="87"/>
  <c r="BT51" i="87"/>
  <c r="BS85" i="87"/>
  <c r="BT17" i="87"/>
  <c r="BS18" i="87"/>
  <c r="BS19" i="87"/>
  <c r="BT64" i="87"/>
  <c r="BT21" i="87"/>
  <c r="BT41" i="87"/>
  <c r="BS46" i="87"/>
  <c r="BT58" i="87"/>
  <c r="BS69" i="87"/>
  <c r="BS74" i="87"/>
  <c r="BS86" i="87"/>
  <c r="BT89" i="87"/>
  <c r="BS90" i="87"/>
  <c r="BT13" i="87"/>
  <c r="BS14" i="87"/>
  <c r="BS22" i="87"/>
  <c r="BS35" i="87"/>
  <c r="BS42" i="87"/>
  <c r="BS47" i="87"/>
  <c r="BS59" i="87"/>
  <c r="BS60" i="87"/>
  <c r="BS87" i="87"/>
  <c r="BT16" i="87"/>
  <c r="BT20" i="87"/>
  <c r="BT24" i="87"/>
  <c r="BT36" i="87"/>
  <c r="BT40" i="87"/>
  <c r="BT44" i="87"/>
  <c r="BT50" i="87"/>
  <c r="BT53" i="87"/>
  <c r="BT57" i="87"/>
  <c r="BS63" i="87"/>
  <c r="BT66" i="87"/>
  <c r="BT72" i="87"/>
  <c r="BT83" i="87"/>
  <c r="BS88" i="87"/>
  <c r="BT91" i="87"/>
  <c r="BS52" i="87"/>
  <c r="BS65" i="87"/>
  <c r="BS71" i="87"/>
  <c r="BS82" i="87"/>
  <c r="BS45" i="87"/>
  <c r="BS70" i="87"/>
  <c r="BS84" i="87"/>
  <c r="BS92" i="87"/>
  <c r="BS67" i="87"/>
  <c r="C48" i="24" l="1"/>
  <c r="F48" i="24" s="1"/>
  <c r="B65" i="79"/>
  <c r="K65" i="79" s="1"/>
  <c r="B66" i="79"/>
  <c r="K66" i="79" s="1"/>
  <c r="I66" i="79" l="1"/>
  <c r="O66" i="79" s="1"/>
  <c r="O65" i="79"/>
  <c r="V8" i="2"/>
  <c r="P65" i="79" l="1"/>
  <c r="M66" i="79"/>
  <c r="N65" i="79"/>
  <c r="P66" i="79"/>
  <c r="M65" i="79"/>
  <c r="L65" i="79"/>
  <c r="N66" i="79"/>
  <c r="L66" i="79"/>
  <c r="V7" i="2"/>
  <c r="E102" i="22"/>
  <c r="J11" i="79" s="1"/>
  <c r="E100" i="22"/>
  <c r="K10" i="2"/>
  <c r="H10" i="2"/>
  <c r="H9" i="2"/>
  <c r="K9" i="2"/>
  <c r="G73" i="24" l="1"/>
  <c r="G74" i="24"/>
  <c r="G70" i="24"/>
  <c r="G62" i="24"/>
  <c r="G63" i="24"/>
  <c r="G75" i="24"/>
  <c r="G82" i="24"/>
  <c r="G83" i="24"/>
  <c r="G64" i="24"/>
  <c r="G76" i="24"/>
  <c r="G53" i="24"/>
  <c r="H53" i="24" s="1"/>
  <c r="L18" i="24" s="1"/>
  <c r="G77" i="24"/>
  <c r="G71" i="24"/>
  <c r="G65" i="24"/>
  <c r="G58" i="24"/>
  <c r="G54" i="24"/>
  <c r="H54" i="24" s="1"/>
  <c r="L19" i="24" s="1"/>
  <c r="G66" i="24"/>
  <c r="G78" i="24"/>
  <c r="G68" i="24"/>
  <c r="G55" i="24"/>
  <c r="H55" i="24" s="1"/>
  <c r="L20" i="24" s="1"/>
  <c r="G67" i="24"/>
  <c r="G79" i="24"/>
  <c r="G80" i="24"/>
  <c r="G56" i="24"/>
  <c r="H56" i="24" s="1"/>
  <c r="L21" i="24" s="1"/>
  <c r="G57" i="24"/>
  <c r="H57" i="24" s="1"/>
  <c r="G69" i="24"/>
  <c r="G81" i="24"/>
  <c r="G60" i="24"/>
  <c r="G72" i="24"/>
  <c r="G84" i="24"/>
  <c r="G61" i="24"/>
  <c r="G59" i="24"/>
  <c r="G85" i="24"/>
  <c r="Q66" i="79"/>
  <c r="Q65" i="79"/>
  <c r="H33" i="79"/>
  <c r="F33" i="79" l="1"/>
  <c r="E33" i="79"/>
  <c r="C33" i="79"/>
  <c r="D33" i="79"/>
  <c r="G33" i="79"/>
  <c r="M33" i="79"/>
  <c r="P33" i="79"/>
  <c r="L33" i="79"/>
  <c r="R35" i="79" s="1"/>
  <c r="O33" i="79"/>
  <c r="N33" i="79"/>
  <c r="K32" i="79"/>
  <c r="R37" i="79" l="1"/>
  <c r="S37" i="79" s="1"/>
  <c r="R43" i="79"/>
  <c r="S43" i="79" s="1"/>
  <c r="R42" i="79"/>
  <c r="S42" i="79" s="1"/>
  <c r="R40" i="79"/>
  <c r="S40" i="79" s="1"/>
  <c r="S35" i="79"/>
  <c r="R67" i="79"/>
  <c r="S67" i="79" s="1"/>
  <c r="R41" i="79"/>
  <c r="S41" i="79" s="1"/>
  <c r="R44" i="79"/>
  <c r="S44" i="79" s="1"/>
  <c r="R38" i="79"/>
  <c r="S38" i="79" s="1"/>
  <c r="R36" i="79"/>
  <c r="S36" i="79" s="1"/>
  <c r="R39" i="79"/>
  <c r="S39" i="79" s="1"/>
  <c r="R65" i="79"/>
  <c r="S65" i="79" s="1"/>
  <c r="R66" i="79"/>
  <c r="S66" i="79" s="1"/>
  <c r="E32" i="79"/>
  <c r="F32" i="79"/>
  <c r="G32" i="79"/>
  <c r="D32" i="79"/>
  <c r="H32" i="79"/>
  <c r="B45" i="79"/>
  <c r="K45" i="79" s="1"/>
  <c r="B62" i="79"/>
  <c r="K62" i="79" s="1"/>
  <c r="B63" i="79"/>
  <c r="K63" i="79" s="1"/>
  <c r="B64" i="79"/>
  <c r="K64" i="79" s="1"/>
  <c r="G398" i="24" l="1"/>
  <c r="G258" i="24"/>
  <c r="H258" i="24" s="1"/>
  <c r="Q48" i="24" s="1"/>
  <c r="G433" i="24"/>
  <c r="H433" i="24" s="1"/>
  <c r="V48" i="24" s="1"/>
  <c r="G363" i="24"/>
  <c r="G48" i="24"/>
  <c r="H48" i="24" s="1"/>
  <c r="K48" i="24" s="1"/>
  <c r="G293" i="24"/>
  <c r="G153" i="24"/>
  <c r="H153" i="24" s="1"/>
  <c r="N48" i="24" s="1"/>
  <c r="G400" i="24"/>
  <c r="G260" i="24"/>
  <c r="H260" i="24" s="1"/>
  <c r="Q50" i="24" s="1"/>
  <c r="G365" i="24"/>
  <c r="G435" i="24"/>
  <c r="H435" i="24" s="1"/>
  <c r="V50" i="24" s="1"/>
  <c r="G50" i="24"/>
  <c r="H50" i="24" s="1"/>
  <c r="K50" i="24" s="1"/>
  <c r="G295" i="24"/>
  <c r="G155" i="24"/>
  <c r="H155" i="24" s="1"/>
  <c r="N50" i="24" s="1"/>
  <c r="G403" i="24"/>
  <c r="H403" i="24" s="1"/>
  <c r="V18" i="24" s="1"/>
  <c r="G333" i="24"/>
  <c r="H333" i="24" s="1"/>
  <c r="T18" i="24" s="1"/>
  <c r="G368" i="24"/>
  <c r="H368" i="24" s="1"/>
  <c r="U18" i="24" s="1"/>
  <c r="G228" i="24"/>
  <c r="H228" i="24" s="1"/>
  <c r="Q18" i="24" s="1"/>
  <c r="G263" i="24"/>
  <c r="H263" i="24" s="1"/>
  <c r="R18" i="24" s="1"/>
  <c r="G18" i="24"/>
  <c r="G123" i="24"/>
  <c r="H123" i="24" s="1"/>
  <c r="N18" i="24" s="1"/>
  <c r="G404" i="24"/>
  <c r="H404" i="24" s="1"/>
  <c r="V19" i="24" s="1"/>
  <c r="G334" i="24"/>
  <c r="H334" i="24" s="1"/>
  <c r="T19" i="24" s="1"/>
  <c r="G369" i="24"/>
  <c r="H369" i="24" s="1"/>
  <c r="U19" i="24" s="1"/>
  <c r="G229" i="24"/>
  <c r="H229" i="24" s="1"/>
  <c r="Q19" i="24" s="1"/>
  <c r="G124" i="24"/>
  <c r="H124" i="24" s="1"/>
  <c r="N19" i="24" s="1"/>
  <c r="G19" i="24"/>
  <c r="H19" i="24" s="1"/>
  <c r="K19" i="24" s="1"/>
  <c r="G264" i="24"/>
  <c r="H264" i="24" s="1"/>
  <c r="R19" i="24" s="1"/>
  <c r="G374" i="24"/>
  <c r="H374" i="24" s="1"/>
  <c r="U24" i="24" s="1"/>
  <c r="G234" i="24"/>
  <c r="H234" i="24" s="1"/>
  <c r="Q24" i="24" s="1"/>
  <c r="G409" i="24"/>
  <c r="H409" i="24" s="1"/>
  <c r="V24" i="24" s="1"/>
  <c r="G339" i="24"/>
  <c r="G24" i="24"/>
  <c r="G269" i="24"/>
  <c r="G129" i="24"/>
  <c r="H129" i="24" s="1"/>
  <c r="N24" i="24" s="1"/>
  <c r="G373" i="24"/>
  <c r="H373" i="24" s="1"/>
  <c r="U23" i="24" s="1"/>
  <c r="G233" i="24"/>
  <c r="H233" i="24" s="1"/>
  <c r="Q23" i="24" s="1"/>
  <c r="G408" i="24"/>
  <c r="H408" i="24" s="1"/>
  <c r="V23" i="24" s="1"/>
  <c r="G338" i="24"/>
  <c r="G23" i="24"/>
  <c r="G268" i="24"/>
  <c r="G128" i="24"/>
  <c r="H128" i="24" s="1"/>
  <c r="N23" i="24" s="1"/>
  <c r="G377" i="24"/>
  <c r="H377" i="24" s="1"/>
  <c r="U27" i="24" s="1"/>
  <c r="G237" i="24"/>
  <c r="H237" i="24" s="1"/>
  <c r="Q27" i="24" s="1"/>
  <c r="G412" i="24"/>
  <c r="H412" i="24" s="1"/>
  <c r="V27" i="24" s="1"/>
  <c r="G342" i="24"/>
  <c r="G27" i="24"/>
  <c r="G272" i="24"/>
  <c r="G132" i="24"/>
  <c r="H132" i="24" s="1"/>
  <c r="N27" i="24" s="1"/>
  <c r="G375" i="24"/>
  <c r="H375" i="24" s="1"/>
  <c r="U25" i="24" s="1"/>
  <c r="G235" i="24"/>
  <c r="H235" i="24" s="1"/>
  <c r="Q25" i="24" s="1"/>
  <c r="G340" i="24"/>
  <c r="G410" i="24"/>
  <c r="H410" i="24" s="1"/>
  <c r="V25" i="24" s="1"/>
  <c r="G25" i="24"/>
  <c r="G270" i="24"/>
  <c r="G130" i="24"/>
  <c r="H130" i="24" s="1"/>
  <c r="N25" i="24" s="1"/>
  <c r="G406" i="24"/>
  <c r="H406" i="24" s="1"/>
  <c r="V21" i="24" s="1"/>
  <c r="G336" i="24"/>
  <c r="H336" i="24" s="1"/>
  <c r="T21" i="24" s="1"/>
  <c r="G231" i="24"/>
  <c r="H231" i="24" s="1"/>
  <c r="Q21" i="24" s="1"/>
  <c r="G371" i="24"/>
  <c r="H371" i="24" s="1"/>
  <c r="U21" i="24" s="1"/>
  <c r="G21" i="24"/>
  <c r="H21" i="24" s="1"/>
  <c r="K21" i="24" s="1"/>
  <c r="G266" i="24"/>
  <c r="H266" i="24" s="1"/>
  <c r="R21" i="24" s="1"/>
  <c r="G126" i="24"/>
  <c r="H126" i="24" s="1"/>
  <c r="N21" i="24" s="1"/>
  <c r="G341" i="24"/>
  <c r="G376" i="24"/>
  <c r="H376" i="24" s="1"/>
  <c r="U26" i="24" s="1"/>
  <c r="G236" i="24"/>
  <c r="H236" i="24" s="1"/>
  <c r="Q26" i="24" s="1"/>
  <c r="G411" i="24"/>
  <c r="H411" i="24" s="1"/>
  <c r="V26" i="24" s="1"/>
  <c r="G26" i="24"/>
  <c r="G271" i="24"/>
  <c r="G131" i="24"/>
  <c r="H131" i="24" s="1"/>
  <c r="N26" i="24" s="1"/>
  <c r="G232" i="24"/>
  <c r="H232" i="24" s="1"/>
  <c r="Q22" i="24" s="1"/>
  <c r="G407" i="24"/>
  <c r="H407" i="24" s="1"/>
  <c r="V22" i="24" s="1"/>
  <c r="G337" i="24"/>
  <c r="H337" i="24" s="1"/>
  <c r="T22" i="24" s="1"/>
  <c r="G372" i="24"/>
  <c r="H372" i="24" s="1"/>
  <c r="U22" i="24" s="1"/>
  <c r="G22" i="24"/>
  <c r="G267" i="24"/>
  <c r="H267" i="24" s="1"/>
  <c r="R22" i="24" s="1"/>
  <c r="G127" i="24"/>
  <c r="H127" i="24" s="1"/>
  <c r="N22" i="24" s="1"/>
  <c r="G364" i="24"/>
  <c r="G399" i="24"/>
  <c r="G259" i="24"/>
  <c r="G434" i="24"/>
  <c r="H434" i="24" s="1"/>
  <c r="V49" i="24" s="1"/>
  <c r="G294" i="24"/>
  <c r="G154" i="24"/>
  <c r="H154" i="24" s="1"/>
  <c r="N49" i="24" s="1"/>
  <c r="L63" i="24" s="1"/>
  <c r="G405" i="24"/>
  <c r="H405" i="24" s="1"/>
  <c r="V20" i="24" s="1"/>
  <c r="G335" i="24"/>
  <c r="H335" i="24" s="1"/>
  <c r="T20" i="24" s="1"/>
  <c r="G370" i="24"/>
  <c r="H370" i="24" s="1"/>
  <c r="U20" i="24" s="1"/>
  <c r="G230" i="24"/>
  <c r="H230" i="24" s="1"/>
  <c r="Q20" i="24" s="1"/>
  <c r="G265" i="24"/>
  <c r="H265" i="24" s="1"/>
  <c r="R20" i="24" s="1"/>
  <c r="G125" i="24"/>
  <c r="H125" i="24" s="1"/>
  <c r="N20" i="24" s="1"/>
  <c r="G20" i="24"/>
  <c r="H20" i="24" s="1"/>
  <c r="K20" i="24" s="1"/>
  <c r="G49" i="24"/>
  <c r="H259" i="24"/>
  <c r="O45" i="79"/>
  <c r="O58" i="79"/>
  <c r="N59" i="79"/>
  <c r="N51" i="79"/>
  <c r="L60" i="79"/>
  <c r="O52" i="79"/>
  <c r="P61" i="79"/>
  <c r="L57" i="79"/>
  <c r="M53" i="79"/>
  <c r="M49" i="79"/>
  <c r="M62" i="79"/>
  <c r="L54" i="79"/>
  <c r="O46" i="79"/>
  <c r="N63" i="79"/>
  <c r="M55" i="79"/>
  <c r="P47" i="79"/>
  <c r="O64" i="79"/>
  <c r="N56" i="79"/>
  <c r="L48" i="79"/>
  <c r="H18" i="24" l="1"/>
  <c r="K18" i="24" s="1"/>
  <c r="Q49" i="24"/>
  <c r="L71" i="24"/>
  <c r="H49" i="24"/>
  <c r="K49" i="24" s="1"/>
  <c r="J15" i="79"/>
  <c r="J12" i="79"/>
  <c r="J14" i="79"/>
  <c r="N48" i="79"/>
  <c r="P45" i="79"/>
  <c r="O56" i="79"/>
  <c r="O59" i="79"/>
  <c r="P51" i="79"/>
  <c r="P59" i="79"/>
  <c r="L59" i="79"/>
  <c r="N47" i="79"/>
  <c r="N62" i="79"/>
  <c r="L62" i="79"/>
  <c r="L46" i="79"/>
  <c r="N61" i="79"/>
  <c r="L45" i="79"/>
  <c r="O62" i="79"/>
  <c r="L51" i="79"/>
  <c r="P49" i="79"/>
  <c r="N53" i="79"/>
  <c r="N49" i="79"/>
  <c r="L64" i="79"/>
  <c r="O50" i="79"/>
  <c r="L50" i="79"/>
  <c r="O49" i="79"/>
  <c r="M58" i="79"/>
  <c r="L58" i="79"/>
  <c r="P58" i="79"/>
  <c r="P53" i="79"/>
  <c r="M47" i="79"/>
  <c r="L47" i="79"/>
  <c r="L61" i="79"/>
  <c r="L53" i="79"/>
  <c r="M59" i="79"/>
  <c r="M45" i="79"/>
  <c r="L55" i="79"/>
  <c r="L52" i="79"/>
  <c r="P50" i="79"/>
  <c r="P46" i="79"/>
  <c r="L49" i="79"/>
  <c r="O60" i="79"/>
  <c r="N58" i="79"/>
  <c r="L63" i="79"/>
  <c r="L56" i="79"/>
  <c r="O57" i="79"/>
  <c r="M60" i="79"/>
  <c r="P57" i="79"/>
  <c r="P63" i="79"/>
  <c r="O48" i="79"/>
  <c r="N54" i="79"/>
  <c r="P64" i="79"/>
  <c r="O54" i="79"/>
  <c r="M64" i="79"/>
  <c r="O61" i="79"/>
  <c r="N50" i="79"/>
  <c r="P60" i="79"/>
  <c r="M52" i="79"/>
  <c r="N55" i="79"/>
  <c r="M51" i="79"/>
  <c r="O55" i="79"/>
  <c r="P55" i="79"/>
  <c r="M46" i="79"/>
  <c r="N52" i="79"/>
  <c r="P62" i="79"/>
  <c r="O51" i="79"/>
  <c r="M61" i="79"/>
  <c r="O63" i="79"/>
  <c r="N64" i="79"/>
  <c r="M50" i="79"/>
  <c r="N46" i="79"/>
  <c r="P56" i="79"/>
  <c r="M56" i="79"/>
  <c r="O53" i="79"/>
  <c r="M63" i="79"/>
  <c r="P52" i="79"/>
  <c r="N60" i="79"/>
  <c r="O47" i="79"/>
  <c r="M57" i="79"/>
  <c r="P54" i="79"/>
  <c r="N57" i="79"/>
  <c r="M54" i="79"/>
  <c r="P48" i="79"/>
  <c r="M48" i="79"/>
  <c r="E45" i="24"/>
  <c r="E46" i="24"/>
  <c r="E47" i="24"/>
  <c r="D45" i="24"/>
  <c r="D46" i="24"/>
  <c r="D47" i="24"/>
  <c r="G195" i="24" l="1"/>
  <c r="H195" i="24" s="1"/>
  <c r="P20" i="24" s="1"/>
  <c r="G207" i="24"/>
  <c r="H207" i="24" s="1"/>
  <c r="P32" i="24" s="1"/>
  <c r="G219" i="24"/>
  <c r="H219" i="24" s="1"/>
  <c r="P44" i="24" s="1"/>
  <c r="G204" i="24"/>
  <c r="H204" i="24" s="1"/>
  <c r="P29" i="24" s="1"/>
  <c r="G196" i="24"/>
  <c r="H196" i="24" s="1"/>
  <c r="P21" i="24" s="1"/>
  <c r="G208" i="24"/>
  <c r="H208" i="24" s="1"/>
  <c r="P33" i="24" s="1"/>
  <c r="G220" i="24"/>
  <c r="H220" i="24" s="1"/>
  <c r="P45" i="24" s="1"/>
  <c r="G197" i="24"/>
  <c r="H197" i="24" s="1"/>
  <c r="P22" i="24" s="1"/>
  <c r="G209" i="24"/>
  <c r="H209" i="24" s="1"/>
  <c r="P34" i="24" s="1"/>
  <c r="G221" i="24"/>
  <c r="H221" i="24" s="1"/>
  <c r="P46" i="24" s="1"/>
  <c r="G198" i="24"/>
  <c r="H198" i="24" s="1"/>
  <c r="P23" i="24" s="1"/>
  <c r="G210" i="24"/>
  <c r="H210" i="24" s="1"/>
  <c r="P35" i="24" s="1"/>
  <c r="G222" i="24"/>
  <c r="H222" i="24" s="1"/>
  <c r="P47" i="24" s="1"/>
  <c r="G199" i="24"/>
  <c r="H199" i="24" s="1"/>
  <c r="P24" i="24" s="1"/>
  <c r="G211" i="24"/>
  <c r="H211" i="24" s="1"/>
  <c r="P36" i="24" s="1"/>
  <c r="G223" i="24"/>
  <c r="H223" i="24" s="1"/>
  <c r="P48" i="24" s="1"/>
  <c r="G200" i="24"/>
  <c r="H200" i="24" s="1"/>
  <c r="P25" i="24" s="1"/>
  <c r="G212" i="24"/>
  <c r="H212" i="24" s="1"/>
  <c r="P37" i="24" s="1"/>
  <c r="G224" i="24"/>
  <c r="H224" i="24" s="1"/>
  <c r="P49" i="24" s="1"/>
  <c r="L65" i="24" s="1"/>
  <c r="G201" i="24"/>
  <c r="H201" i="24" s="1"/>
  <c r="P26" i="24" s="1"/>
  <c r="G213" i="24"/>
  <c r="H213" i="24" s="1"/>
  <c r="P38" i="24" s="1"/>
  <c r="G216" i="24"/>
  <c r="H216" i="24" s="1"/>
  <c r="P41" i="24" s="1"/>
  <c r="G205" i="24"/>
  <c r="H205" i="24" s="1"/>
  <c r="P30" i="24" s="1"/>
  <c r="G202" i="24"/>
  <c r="H202" i="24" s="1"/>
  <c r="P27" i="24" s="1"/>
  <c r="G214" i="24"/>
  <c r="H214" i="24" s="1"/>
  <c r="P39" i="24" s="1"/>
  <c r="G193" i="24"/>
  <c r="H193" i="24" s="1"/>
  <c r="P18" i="24" s="1"/>
  <c r="G203" i="24"/>
  <c r="H203" i="24" s="1"/>
  <c r="P28" i="24" s="1"/>
  <c r="G215" i="24"/>
  <c r="H215" i="24" s="1"/>
  <c r="P40" i="24" s="1"/>
  <c r="G217" i="24"/>
  <c r="H217" i="24" s="1"/>
  <c r="P42" i="24" s="1"/>
  <c r="G194" i="24"/>
  <c r="H194" i="24" s="1"/>
  <c r="P19" i="24" s="1"/>
  <c r="G206" i="24"/>
  <c r="H206" i="24" s="1"/>
  <c r="P31" i="24" s="1"/>
  <c r="G218" i="24"/>
  <c r="H218" i="24" s="1"/>
  <c r="P43" i="24" s="1"/>
  <c r="G159" i="24"/>
  <c r="H159" i="24" s="1"/>
  <c r="O19" i="24" s="1"/>
  <c r="G171" i="24"/>
  <c r="H171" i="24" s="1"/>
  <c r="O31" i="24" s="1"/>
  <c r="G183" i="24"/>
  <c r="H183" i="24" s="1"/>
  <c r="O43" i="24" s="1"/>
  <c r="G160" i="24"/>
  <c r="H160" i="24" s="1"/>
  <c r="O20" i="24" s="1"/>
  <c r="G172" i="24"/>
  <c r="H172" i="24" s="1"/>
  <c r="O32" i="24" s="1"/>
  <c r="G184" i="24"/>
  <c r="H184" i="24" s="1"/>
  <c r="O44" i="24" s="1"/>
  <c r="G180" i="24"/>
  <c r="H180" i="24" s="1"/>
  <c r="O40" i="24" s="1"/>
  <c r="G161" i="24"/>
  <c r="H161" i="24" s="1"/>
  <c r="O21" i="24" s="1"/>
  <c r="G173" i="24"/>
  <c r="H173" i="24" s="1"/>
  <c r="O33" i="24" s="1"/>
  <c r="G185" i="24"/>
  <c r="H185" i="24" s="1"/>
  <c r="O45" i="24" s="1"/>
  <c r="G162" i="24"/>
  <c r="H162" i="24" s="1"/>
  <c r="O22" i="24" s="1"/>
  <c r="G174" i="24"/>
  <c r="H174" i="24" s="1"/>
  <c r="O34" i="24" s="1"/>
  <c r="G186" i="24"/>
  <c r="H186" i="24" s="1"/>
  <c r="O46" i="24" s="1"/>
  <c r="G163" i="24"/>
  <c r="H163" i="24" s="1"/>
  <c r="O23" i="24" s="1"/>
  <c r="G175" i="24"/>
  <c r="H175" i="24" s="1"/>
  <c r="O35" i="24" s="1"/>
  <c r="G187" i="24"/>
  <c r="H187" i="24" s="1"/>
  <c r="O47" i="24" s="1"/>
  <c r="G164" i="24"/>
  <c r="H164" i="24" s="1"/>
  <c r="O24" i="24" s="1"/>
  <c r="G176" i="24"/>
  <c r="H176" i="24" s="1"/>
  <c r="O36" i="24" s="1"/>
  <c r="G188" i="24"/>
  <c r="H188" i="24" s="1"/>
  <c r="O48" i="24" s="1"/>
  <c r="G181" i="24"/>
  <c r="H181" i="24" s="1"/>
  <c r="O41" i="24" s="1"/>
  <c r="G165" i="24"/>
  <c r="H165" i="24" s="1"/>
  <c r="O25" i="24" s="1"/>
  <c r="G177" i="24"/>
  <c r="H177" i="24" s="1"/>
  <c r="O37" i="24" s="1"/>
  <c r="G189" i="24"/>
  <c r="H189" i="24" s="1"/>
  <c r="O49" i="24" s="1"/>
  <c r="L64" i="24" s="1"/>
  <c r="G166" i="24"/>
  <c r="H166" i="24" s="1"/>
  <c r="O26" i="24" s="1"/>
  <c r="G178" i="24"/>
  <c r="H178" i="24" s="1"/>
  <c r="O38" i="24" s="1"/>
  <c r="G167" i="24"/>
  <c r="H167" i="24" s="1"/>
  <c r="O27" i="24" s="1"/>
  <c r="G179" i="24"/>
  <c r="H179" i="24" s="1"/>
  <c r="O39" i="24" s="1"/>
  <c r="G168" i="24"/>
  <c r="H168" i="24" s="1"/>
  <c r="O28" i="24" s="1"/>
  <c r="G169" i="24"/>
  <c r="H169" i="24" s="1"/>
  <c r="O29" i="24" s="1"/>
  <c r="G158" i="24"/>
  <c r="H158" i="24" s="1"/>
  <c r="O18" i="24" s="1"/>
  <c r="G170" i="24"/>
  <c r="H170" i="24" s="1"/>
  <c r="O30" i="24" s="1"/>
  <c r="G182" i="24"/>
  <c r="H182" i="24" s="1"/>
  <c r="O42" i="24" s="1"/>
  <c r="G95" i="24"/>
  <c r="H95" i="24" s="1"/>
  <c r="M25" i="24" s="1"/>
  <c r="G107" i="24"/>
  <c r="H107" i="24" s="1"/>
  <c r="M37" i="24" s="1"/>
  <c r="G119" i="24"/>
  <c r="H119" i="24" s="1"/>
  <c r="M49" i="24" s="1"/>
  <c r="G104" i="24"/>
  <c r="H104" i="24" s="1"/>
  <c r="M34" i="24" s="1"/>
  <c r="G105" i="24"/>
  <c r="H105" i="24" s="1"/>
  <c r="M35" i="24" s="1"/>
  <c r="G108" i="24"/>
  <c r="H108" i="24" s="1"/>
  <c r="M38" i="24" s="1"/>
  <c r="G97" i="24"/>
  <c r="H97" i="24" s="1"/>
  <c r="M27" i="24" s="1"/>
  <c r="G109" i="24"/>
  <c r="H109" i="24" s="1"/>
  <c r="M39" i="24" s="1"/>
  <c r="G116" i="24"/>
  <c r="H116" i="24" s="1"/>
  <c r="M46" i="24" s="1"/>
  <c r="G98" i="24"/>
  <c r="H98" i="24" s="1"/>
  <c r="M28" i="24" s="1"/>
  <c r="G110" i="24"/>
  <c r="H110" i="24" s="1"/>
  <c r="M40" i="24" s="1"/>
  <c r="G92" i="24"/>
  <c r="H92" i="24" s="1"/>
  <c r="M22" i="24" s="1"/>
  <c r="G99" i="24"/>
  <c r="H99" i="24" s="1"/>
  <c r="M29" i="24" s="1"/>
  <c r="G111" i="24"/>
  <c r="H111" i="24" s="1"/>
  <c r="M41" i="24" s="1"/>
  <c r="G93" i="24"/>
  <c r="H93" i="24" s="1"/>
  <c r="M23" i="24" s="1"/>
  <c r="G88" i="24"/>
  <c r="H88" i="24" s="1"/>
  <c r="M18" i="24" s="1"/>
  <c r="G100" i="24"/>
  <c r="H100" i="24" s="1"/>
  <c r="M30" i="24" s="1"/>
  <c r="G112" i="24"/>
  <c r="H112" i="24" s="1"/>
  <c r="M42" i="24" s="1"/>
  <c r="G89" i="24"/>
  <c r="H89" i="24" s="1"/>
  <c r="M19" i="24" s="1"/>
  <c r="G101" i="24"/>
  <c r="H101" i="24" s="1"/>
  <c r="M31" i="24" s="1"/>
  <c r="G113" i="24"/>
  <c r="H113" i="24" s="1"/>
  <c r="M43" i="24" s="1"/>
  <c r="G90" i="24"/>
  <c r="H90" i="24" s="1"/>
  <c r="M20" i="24" s="1"/>
  <c r="G102" i="24"/>
  <c r="H102" i="24" s="1"/>
  <c r="M32" i="24" s="1"/>
  <c r="G114" i="24"/>
  <c r="H114" i="24" s="1"/>
  <c r="M44" i="24" s="1"/>
  <c r="G117" i="24"/>
  <c r="H117" i="24" s="1"/>
  <c r="M47" i="24" s="1"/>
  <c r="G91" i="24"/>
  <c r="H91" i="24" s="1"/>
  <c r="M21" i="24" s="1"/>
  <c r="G103" i="24"/>
  <c r="H103" i="24" s="1"/>
  <c r="M33" i="24" s="1"/>
  <c r="G115" i="24"/>
  <c r="H115" i="24" s="1"/>
  <c r="M45" i="24" s="1"/>
  <c r="G94" i="24"/>
  <c r="H94" i="24" s="1"/>
  <c r="M24" i="24" s="1"/>
  <c r="G106" i="24"/>
  <c r="H106" i="24" s="1"/>
  <c r="M36" i="24" s="1"/>
  <c r="G118" i="24"/>
  <c r="H118" i="24" s="1"/>
  <c r="M48" i="24" s="1"/>
  <c r="G96" i="24"/>
  <c r="H96" i="24" s="1"/>
  <c r="M26" i="24" s="1"/>
  <c r="L60" i="24"/>
  <c r="L66" i="24"/>
  <c r="G190" i="24"/>
  <c r="H190" i="24" s="1"/>
  <c r="O50" i="24" s="1"/>
  <c r="G120" i="24"/>
  <c r="H120" i="24" s="1"/>
  <c r="M50" i="24" s="1"/>
  <c r="G225" i="24"/>
  <c r="H225" i="24" s="1"/>
  <c r="P50" i="24" s="1"/>
  <c r="R57" i="79"/>
  <c r="S57" i="79" s="1"/>
  <c r="Q59" i="79"/>
  <c r="R63" i="79"/>
  <c r="S63" i="79" s="1"/>
  <c r="R58" i="79"/>
  <c r="S58" i="79" s="1"/>
  <c r="Q49" i="79"/>
  <c r="R54" i="79"/>
  <c r="S54" i="79" s="1"/>
  <c r="R48" i="79"/>
  <c r="S48" i="79" s="1"/>
  <c r="R61" i="79"/>
  <c r="S61" i="79" s="1"/>
  <c r="R60" i="79"/>
  <c r="S60" i="79" s="1"/>
  <c r="R51" i="79"/>
  <c r="S51" i="79" s="1"/>
  <c r="R59" i="79"/>
  <c r="S59" i="79" s="1"/>
  <c r="R53" i="79"/>
  <c r="S53" i="79" s="1"/>
  <c r="R49" i="79"/>
  <c r="S49" i="79" s="1"/>
  <c r="R50" i="79"/>
  <c r="S50" i="79" s="1"/>
  <c r="R45" i="79"/>
  <c r="S45" i="79" s="1"/>
  <c r="R47" i="79"/>
  <c r="S47" i="79" s="1"/>
  <c r="R64" i="79"/>
  <c r="S64" i="79" s="1"/>
  <c r="R46" i="79"/>
  <c r="S46" i="79" s="1"/>
  <c r="R52" i="79"/>
  <c r="S52" i="79" s="1"/>
  <c r="R62" i="79"/>
  <c r="S62" i="79" s="1"/>
  <c r="R56" i="79"/>
  <c r="S56" i="79" s="1"/>
  <c r="R55" i="79"/>
  <c r="S55" i="79" s="1"/>
  <c r="Q58" i="79"/>
  <c r="Q45" i="79"/>
  <c r="Q46" i="79"/>
  <c r="Q56" i="79"/>
  <c r="Q62" i="79"/>
  <c r="Q54" i="79"/>
  <c r="Q63" i="79"/>
  <c r="Q48" i="79"/>
  <c r="Q47" i="79"/>
  <c r="Q53" i="79"/>
  <c r="Q51" i="79"/>
  <c r="Q60" i="79"/>
  <c r="Q64" i="79"/>
  <c r="Q57" i="79"/>
  <c r="Q55" i="79"/>
  <c r="Q61" i="79"/>
  <c r="Q50" i="79"/>
  <c r="Q52" i="79"/>
  <c r="F47" i="24"/>
  <c r="E5" i="82"/>
  <c r="H8" i="81" s="1"/>
  <c r="E10" i="82"/>
  <c r="I8" i="81" s="1"/>
  <c r="G415" i="24" l="1"/>
  <c r="H415" i="24" s="1"/>
  <c r="V30" i="24" s="1"/>
  <c r="G345" i="24"/>
  <c r="G380" i="24"/>
  <c r="H380" i="24" s="1"/>
  <c r="U30" i="24" s="1"/>
  <c r="G240" i="24"/>
  <c r="H240" i="24" s="1"/>
  <c r="Q30" i="24" s="1"/>
  <c r="G30" i="24"/>
  <c r="G135" i="24"/>
  <c r="H135" i="24" s="1"/>
  <c r="N30" i="24" s="1"/>
  <c r="G275" i="24"/>
  <c r="G356" i="24"/>
  <c r="G391" i="24"/>
  <c r="G251" i="24"/>
  <c r="H251" i="24" s="1"/>
  <c r="Q41" i="24" s="1"/>
  <c r="G426" i="24"/>
  <c r="H426" i="24" s="1"/>
  <c r="V41" i="24" s="1"/>
  <c r="G286" i="24"/>
  <c r="G146" i="24"/>
  <c r="H146" i="24" s="1"/>
  <c r="N41" i="24" s="1"/>
  <c r="G41" i="24"/>
  <c r="G418" i="24"/>
  <c r="H418" i="24" s="1"/>
  <c r="V33" i="24" s="1"/>
  <c r="G383" i="24"/>
  <c r="H383" i="24" s="1"/>
  <c r="U33" i="24" s="1"/>
  <c r="G348" i="24"/>
  <c r="G243" i="24"/>
  <c r="H243" i="24" s="1"/>
  <c r="Q33" i="24" s="1"/>
  <c r="G138" i="24"/>
  <c r="H138" i="24" s="1"/>
  <c r="N33" i="24" s="1"/>
  <c r="G33" i="24"/>
  <c r="G278" i="24"/>
  <c r="G386" i="24"/>
  <c r="H386" i="24" s="1"/>
  <c r="U36" i="24" s="1"/>
  <c r="G246" i="24"/>
  <c r="H246" i="24" s="1"/>
  <c r="Q36" i="24" s="1"/>
  <c r="G421" i="24"/>
  <c r="H421" i="24" s="1"/>
  <c r="V36" i="24" s="1"/>
  <c r="G351" i="24"/>
  <c r="G36" i="24"/>
  <c r="G281" i="24"/>
  <c r="G141" i="24"/>
  <c r="H141" i="24" s="1"/>
  <c r="N36" i="24" s="1"/>
  <c r="G388" i="24"/>
  <c r="H388" i="24" s="1"/>
  <c r="U38" i="24" s="1"/>
  <c r="G248" i="24"/>
  <c r="H248" i="24" s="1"/>
  <c r="Q38" i="24" s="1"/>
  <c r="G353" i="24"/>
  <c r="G423" i="24"/>
  <c r="H423" i="24" s="1"/>
  <c r="V38" i="24" s="1"/>
  <c r="G38" i="24"/>
  <c r="G283" i="24"/>
  <c r="G143" i="24"/>
  <c r="H143" i="24" s="1"/>
  <c r="N38" i="24" s="1"/>
  <c r="G244" i="24"/>
  <c r="H244" i="24" s="1"/>
  <c r="Q34" i="24" s="1"/>
  <c r="G419" i="24"/>
  <c r="H419" i="24" s="1"/>
  <c r="V34" i="24" s="1"/>
  <c r="G349" i="24"/>
  <c r="G384" i="24"/>
  <c r="H384" i="24" s="1"/>
  <c r="U34" i="24" s="1"/>
  <c r="G34" i="24"/>
  <c r="G279" i="24"/>
  <c r="G139" i="24"/>
  <c r="H139" i="24" s="1"/>
  <c r="N34" i="24" s="1"/>
  <c r="G389" i="24"/>
  <c r="H389" i="24" s="1"/>
  <c r="U39" i="24" s="1"/>
  <c r="G249" i="24"/>
  <c r="H249" i="24" s="1"/>
  <c r="Q39" i="24" s="1"/>
  <c r="G424" i="24"/>
  <c r="H424" i="24" s="1"/>
  <c r="V39" i="24" s="1"/>
  <c r="G354" i="24"/>
  <c r="G284" i="24"/>
  <c r="G39" i="24"/>
  <c r="G144" i="24"/>
  <c r="H144" i="24" s="1"/>
  <c r="N39" i="24" s="1"/>
  <c r="G256" i="24"/>
  <c r="H256" i="24" s="1"/>
  <c r="Q46" i="24" s="1"/>
  <c r="G431" i="24"/>
  <c r="H431" i="24" s="1"/>
  <c r="V46" i="24" s="1"/>
  <c r="G361" i="24"/>
  <c r="G396" i="24"/>
  <c r="G46" i="24"/>
  <c r="G291" i="24"/>
  <c r="G151" i="24"/>
  <c r="H151" i="24" s="1"/>
  <c r="N46" i="24" s="1"/>
  <c r="G427" i="24"/>
  <c r="H427" i="24" s="1"/>
  <c r="V42" i="24" s="1"/>
  <c r="G357" i="24"/>
  <c r="G392" i="24"/>
  <c r="G252" i="24"/>
  <c r="H252" i="24" s="1"/>
  <c r="Q42" i="24" s="1"/>
  <c r="G42" i="24"/>
  <c r="G287" i="24"/>
  <c r="G147" i="24"/>
  <c r="H147" i="24" s="1"/>
  <c r="N42" i="24" s="1"/>
  <c r="G430" i="24"/>
  <c r="H430" i="24" s="1"/>
  <c r="V45" i="24" s="1"/>
  <c r="G360" i="24"/>
  <c r="G395" i="24"/>
  <c r="G255" i="24"/>
  <c r="H255" i="24" s="1"/>
  <c r="Q45" i="24" s="1"/>
  <c r="G290" i="24"/>
  <c r="G150" i="24"/>
  <c r="H150" i="24" s="1"/>
  <c r="N45" i="24" s="1"/>
  <c r="G45" i="24"/>
  <c r="G394" i="24"/>
  <c r="G429" i="24"/>
  <c r="H429" i="24" s="1"/>
  <c r="V44" i="24" s="1"/>
  <c r="G254" i="24"/>
  <c r="H254" i="24" s="1"/>
  <c r="Q44" i="24" s="1"/>
  <c r="G359" i="24"/>
  <c r="G289" i="24"/>
  <c r="G149" i="24"/>
  <c r="H149" i="24" s="1"/>
  <c r="N44" i="24" s="1"/>
  <c r="G44" i="24"/>
  <c r="G343" i="24"/>
  <c r="G413" i="24"/>
  <c r="H413" i="24" s="1"/>
  <c r="V28" i="24" s="1"/>
  <c r="G378" i="24"/>
  <c r="H378" i="24" s="1"/>
  <c r="U28" i="24" s="1"/>
  <c r="G238" i="24"/>
  <c r="H238" i="24" s="1"/>
  <c r="Q28" i="24" s="1"/>
  <c r="G28" i="24"/>
  <c r="G273" i="24"/>
  <c r="G133" i="24"/>
  <c r="H133" i="24" s="1"/>
  <c r="N28" i="24" s="1"/>
  <c r="G355" i="24"/>
  <c r="G390" i="24"/>
  <c r="G250" i="24"/>
  <c r="H250" i="24" s="1"/>
  <c r="Q40" i="24" s="1"/>
  <c r="G425" i="24"/>
  <c r="H425" i="24" s="1"/>
  <c r="V40" i="24" s="1"/>
  <c r="G145" i="24"/>
  <c r="H145" i="24" s="1"/>
  <c r="N40" i="24" s="1"/>
  <c r="G40" i="24"/>
  <c r="G285" i="24"/>
  <c r="G253" i="24"/>
  <c r="H253" i="24" s="1"/>
  <c r="Q43" i="24" s="1"/>
  <c r="G428" i="24"/>
  <c r="H428" i="24" s="1"/>
  <c r="V43" i="24" s="1"/>
  <c r="G358" i="24"/>
  <c r="G393" i="24"/>
  <c r="G148" i="24"/>
  <c r="H148" i="24" s="1"/>
  <c r="N43" i="24" s="1"/>
  <c r="G43" i="24"/>
  <c r="G288" i="24"/>
  <c r="G385" i="24"/>
  <c r="H385" i="24" s="1"/>
  <c r="U35" i="24" s="1"/>
  <c r="G245" i="24"/>
  <c r="H245" i="24" s="1"/>
  <c r="Q35" i="24" s="1"/>
  <c r="G420" i="24"/>
  <c r="H420" i="24" s="1"/>
  <c r="V35" i="24" s="1"/>
  <c r="G350" i="24"/>
  <c r="G280" i="24"/>
  <c r="G140" i="24"/>
  <c r="H140" i="24" s="1"/>
  <c r="N35" i="24" s="1"/>
  <c r="G35" i="24"/>
  <c r="G416" i="24"/>
  <c r="H416" i="24" s="1"/>
  <c r="V31" i="24" s="1"/>
  <c r="G346" i="24"/>
  <c r="G241" i="24"/>
  <c r="H241" i="24" s="1"/>
  <c r="Q31" i="24" s="1"/>
  <c r="G381" i="24"/>
  <c r="H381" i="24" s="1"/>
  <c r="U31" i="24" s="1"/>
  <c r="G136" i="24"/>
  <c r="H136" i="24" s="1"/>
  <c r="N31" i="24" s="1"/>
  <c r="G31" i="24"/>
  <c r="G276" i="24"/>
  <c r="G352" i="24"/>
  <c r="G387" i="24"/>
  <c r="H387" i="24" s="1"/>
  <c r="U37" i="24" s="1"/>
  <c r="G247" i="24"/>
  <c r="H247" i="24" s="1"/>
  <c r="Q37" i="24" s="1"/>
  <c r="G422" i="24"/>
  <c r="H422" i="24" s="1"/>
  <c r="V37" i="24" s="1"/>
  <c r="G37" i="24"/>
  <c r="G282" i="24"/>
  <c r="G142" i="24"/>
  <c r="H142" i="24" s="1"/>
  <c r="N37" i="24" s="1"/>
  <c r="G417" i="24"/>
  <c r="H417" i="24" s="1"/>
  <c r="V32" i="24" s="1"/>
  <c r="G347" i="24"/>
  <c r="G382" i="24"/>
  <c r="H382" i="24" s="1"/>
  <c r="U32" i="24" s="1"/>
  <c r="G242" i="24"/>
  <c r="H242" i="24" s="1"/>
  <c r="Q32" i="24" s="1"/>
  <c r="G277" i="24"/>
  <c r="G137" i="24"/>
  <c r="H137" i="24" s="1"/>
  <c r="N32" i="24" s="1"/>
  <c r="G32" i="24"/>
  <c r="G344" i="24"/>
  <c r="G379" i="24"/>
  <c r="H379" i="24" s="1"/>
  <c r="U29" i="24" s="1"/>
  <c r="G239" i="24"/>
  <c r="H239" i="24" s="1"/>
  <c r="Q29" i="24" s="1"/>
  <c r="G414" i="24"/>
  <c r="H414" i="24" s="1"/>
  <c r="V29" i="24" s="1"/>
  <c r="G134" i="24"/>
  <c r="H134" i="24" s="1"/>
  <c r="N29" i="24" s="1"/>
  <c r="G274" i="24"/>
  <c r="G29" i="24"/>
  <c r="G397" i="24"/>
  <c r="G257" i="24"/>
  <c r="H257" i="24" s="1"/>
  <c r="Q47" i="24" s="1"/>
  <c r="G432" i="24"/>
  <c r="H432" i="24" s="1"/>
  <c r="V47" i="24" s="1"/>
  <c r="G362" i="24"/>
  <c r="G47" i="24"/>
  <c r="H47" i="24" s="1"/>
  <c r="K47" i="24" s="1"/>
  <c r="G292" i="24"/>
  <c r="G152" i="24"/>
  <c r="H152" i="24" s="1"/>
  <c r="N47" i="24" s="1"/>
  <c r="L62" i="24"/>
  <c r="J8" i="81"/>
  <c r="D22" i="24" l="1"/>
  <c r="E22" i="24"/>
  <c r="D23" i="24"/>
  <c r="E23" i="24"/>
  <c r="D24" i="24"/>
  <c r="E24" i="24"/>
  <c r="D25" i="24"/>
  <c r="E25" i="24"/>
  <c r="D26" i="24"/>
  <c r="E26" i="24"/>
  <c r="D27" i="24"/>
  <c r="E27" i="24"/>
  <c r="F23" i="24" l="1"/>
  <c r="H23" i="24" s="1"/>
  <c r="K23" i="24" s="1"/>
  <c r="F22" i="24"/>
  <c r="H22" i="24" s="1"/>
  <c r="K22" i="24" s="1"/>
  <c r="D28" i="24"/>
  <c r="W14" i="24" l="1"/>
  <c r="J72" i="24" s="1"/>
  <c r="V14" i="24"/>
  <c r="J71" i="24" s="1"/>
  <c r="U14" i="24"/>
  <c r="J70" i="24" s="1"/>
  <c r="T14" i="24"/>
  <c r="J69" i="24" s="1"/>
  <c r="S14" i="24"/>
  <c r="J68" i="24" s="1"/>
  <c r="R14" i="24"/>
  <c r="J67" i="24" s="1"/>
  <c r="Q14" i="24"/>
  <c r="J66" i="24" s="1"/>
  <c r="P14" i="24"/>
  <c r="J65" i="24" s="1"/>
  <c r="O14" i="24"/>
  <c r="J64" i="24" s="1"/>
  <c r="N14" i="24"/>
  <c r="J63" i="24" s="1"/>
  <c r="M14" i="24"/>
  <c r="J62" i="24" s="1"/>
  <c r="L14" i="24"/>
  <c r="J61" i="24" s="1"/>
  <c r="K14" i="24"/>
  <c r="J60" i="24" s="1"/>
  <c r="D29" i="24"/>
  <c r="E29" i="24"/>
  <c r="D30" i="24"/>
  <c r="E30" i="24"/>
  <c r="D31" i="24"/>
  <c r="E31" i="24"/>
  <c r="D32" i="24"/>
  <c r="E32" i="24"/>
  <c r="D33" i="24"/>
  <c r="E33" i="24"/>
  <c r="D34" i="24"/>
  <c r="E34" i="24"/>
  <c r="D35" i="24"/>
  <c r="E35" i="24"/>
  <c r="D36" i="24"/>
  <c r="E36" i="24"/>
  <c r="D37" i="24"/>
  <c r="E37" i="24"/>
  <c r="D38" i="24"/>
  <c r="E38" i="24"/>
  <c r="D39" i="24"/>
  <c r="E39" i="24"/>
  <c r="D40" i="24"/>
  <c r="E40" i="24"/>
  <c r="D41" i="24"/>
  <c r="E41" i="24"/>
  <c r="D42" i="24"/>
  <c r="E42" i="24"/>
  <c r="D43" i="24"/>
  <c r="E43" i="24"/>
  <c r="D44" i="24"/>
  <c r="E44" i="24"/>
  <c r="E28" i="24"/>
  <c r="B11" i="79" l="1"/>
  <c r="D11" i="79"/>
  <c r="B12" i="79"/>
  <c r="D12" i="79"/>
  <c r="B13" i="79"/>
  <c r="D13" i="79"/>
  <c r="B14" i="79"/>
  <c r="D14" i="79"/>
  <c r="B15" i="79"/>
  <c r="D15" i="79"/>
  <c r="B16" i="79"/>
  <c r="D16" i="79"/>
  <c r="B17" i="79"/>
  <c r="D17" i="79"/>
  <c r="B18" i="79"/>
  <c r="B19" i="79"/>
  <c r="D19" i="79"/>
  <c r="B20" i="79"/>
  <c r="D20" i="79"/>
  <c r="B21" i="79"/>
  <c r="D21" i="79"/>
  <c r="B22" i="79"/>
  <c r="D22" i="79"/>
  <c r="D10" i="79"/>
  <c r="B10" i="79"/>
  <c r="B50" i="78"/>
  <c r="B51" i="78" l="1"/>
  <c r="B46" i="79"/>
  <c r="K46" i="79" s="1"/>
  <c r="B52" i="78" l="1"/>
  <c r="B47" i="79"/>
  <c r="K47" i="79" s="1"/>
  <c r="B53" i="78" l="1"/>
  <c r="B48" i="79"/>
  <c r="K48" i="79" s="1"/>
  <c r="B54" i="78" l="1"/>
  <c r="B49" i="79"/>
  <c r="K49" i="79" s="1"/>
  <c r="B55" i="78" l="1"/>
  <c r="B50" i="79"/>
  <c r="K50" i="79" s="1"/>
  <c r="B56" i="78" l="1"/>
  <c r="B51" i="79"/>
  <c r="K51" i="79" s="1"/>
  <c r="D29" i="22"/>
  <c r="D30" i="22"/>
  <c r="D28" i="22"/>
  <c r="F40" i="24" l="1"/>
  <c r="H40" i="24" s="1"/>
  <c r="K40" i="24" s="1"/>
  <c r="B57" i="78"/>
  <c r="B52" i="79"/>
  <c r="K52" i="79" s="1"/>
  <c r="F42" i="24"/>
  <c r="H42" i="24" s="1"/>
  <c r="K42" i="24" s="1"/>
  <c r="F41" i="24" l="1"/>
  <c r="H41" i="24" s="1"/>
  <c r="K41" i="24" s="1"/>
  <c r="B58" i="78"/>
  <c r="B53" i="79"/>
  <c r="K53" i="79" s="1"/>
  <c r="F28" i="24"/>
  <c r="H28" i="24" s="1"/>
  <c r="K28" i="24" s="1"/>
  <c r="F27" i="24"/>
  <c r="H27" i="24" s="1"/>
  <c r="K27" i="24" s="1"/>
  <c r="B59" i="78" l="1"/>
  <c r="B54" i="79"/>
  <c r="K54" i="79" s="1"/>
  <c r="F26" i="24"/>
  <c r="H26" i="24" s="1"/>
  <c r="K26" i="24" s="1"/>
  <c r="B60" i="78" l="1"/>
  <c r="B55" i="79"/>
  <c r="K55" i="79" s="1"/>
  <c r="F25" i="24"/>
  <c r="H25" i="24" s="1"/>
  <c r="K25" i="24" s="1"/>
  <c r="E106" i="22"/>
  <c r="E105" i="22"/>
  <c r="E104" i="22"/>
  <c r="E103" i="22"/>
  <c r="E101" i="22"/>
  <c r="J22" i="79" l="1"/>
  <c r="J18" i="79"/>
  <c r="B61" i="78"/>
  <c r="B56" i="79"/>
  <c r="K56" i="79" s="1"/>
  <c r="F24" i="24"/>
  <c r="H24" i="24" s="1"/>
  <c r="K24" i="24" s="1"/>
  <c r="C91" i="22"/>
  <c r="C92" i="22"/>
  <c r="C93" i="22"/>
  <c r="C94" i="22"/>
  <c r="E91" i="22"/>
  <c r="E92" i="22"/>
  <c r="E93" i="22"/>
  <c r="E94" i="22"/>
  <c r="E90" i="22"/>
  <c r="C90" i="22"/>
  <c r="D80" i="22"/>
  <c r="E80" i="22"/>
  <c r="D81" i="22"/>
  <c r="E81" i="22"/>
  <c r="D82" i="22"/>
  <c r="E82" i="22"/>
  <c r="D83" i="22"/>
  <c r="E83" i="22"/>
  <c r="D84" i="22"/>
  <c r="E84" i="22"/>
  <c r="D85" i="22"/>
  <c r="E85" i="22"/>
  <c r="D86" i="22"/>
  <c r="E86" i="22"/>
  <c r="D87" i="22"/>
  <c r="E87" i="22"/>
  <c r="D88" i="22"/>
  <c r="E88" i="22"/>
  <c r="D89" i="22"/>
  <c r="E89" i="22"/>
  <c r="C80" i="22"/>
  <c r="C81" i="22"/>
  <c r="C82" i="22"/>
  <c r="C83" i="22"/>
  <c r="C84" i="22"/>
  <c r="C85" i="22"/>
  <c r="C86" i="22"/>
  <c r="C87" i="22"/>
  <c r="C88" i="22"/>
  <c r="C89" i="22"/>
  <c r="E79" i="22"/>
  <c r="D79" i="22"/>
  <c r="C79" i="22"/>
  <c r="C73" i="22"/>
  <c r="C74" i="22"/>
  <c r="C75" i="22"/>
  <c r="C76" i="22"/>
  <c r="C77" i="22"/>
  <c r="C78" i="22"/>
  <c r="C72" i="22"/>
  <c r="D70" i="22"/>
  <c r="E70" i="22"/>
  <c r="D71" i="22"/>
  <c r="E71" i="22"/>
  <c r="C70" i="22"/>
  <c r="C71" i="22"/>
  <c r="E69" i="22"/>
  <c r="D69" i="22"/>
  <c r="C69" i="22"/>
  <c r="D67" i="22"/>
  <c r="E67" i="22"/>
  <c r="D68" i="22"/>
  <c r="E68" i="22"/>
  <c r="C67" i="22"/>
  <c r="C68" i="22"/>
  <c r="C66" i="22"/>
  <c r="E66" i="22"/>
  <c r="D66" i="22"/>
  <c r="D51" i="22"/>
  <c r="E51" i="22"/>
  <c r="D52" i="22"/>
  <c r="E52" i="22"/>
  <c r="D53" i="22"/>
  <c r="E53" i="22"/>
  <c r="D54" i="22"/>
  <c r="E54" i="22"/>
  <c r="D55" i="22"/>
  <c r="E55" i="22"/>
  <c r="D56" i="22"/>
  <c r="E56" i="22"/>
  <c r="D57" i="22"/>
  <c r="E57" i="22"/>
  <c r="D58" i="22"/>
  <c r="E58" i="22"/>
  <c r="D59" i="22"/>
  <c r="E59" i="22"/>
  <c r="D60" i="22"/>
  <c r="E60" i="22"/>
  <c r="D61" i="22"/>
  <c r="E61" i="22"/>
  <c r="D62" i="22"/>
  <c r="E62" i="22"/>
  <c r="D63" i="22"/>
  <c r="E63" i="22"/>
  <c r="D64" i="22"/>
  <c r="E64" i="22"/>
  <c r="D65" i="22"/>
  <c r="E65" i="22"/>
  <c r="C51" i="22"/>
  <c r="C52" i="22"/>
  <c r="C53" i="22"/>
  <c r="C54" i="22"/>
  <c r="C55" i="22"/>
  <c r="C56" i="22"/>
  <c r="C57" i="22"/>
  <c r="C58" i="22"/>
  <c r="C59" i="22"/>
  <c r="C60" i="22"/>
  <c r="C61" i="22"/>
  <c r="C62" i="22"/>
  <c r="C63" i="22"/>
  <c r="C64" i="22"/>
  <c r="C65" i="22"/>
  <c r="E50" i="22"/>
  <c r="D50" i="22"/>
  <c r="C50" i="22"/>
  <c r="E49" i="22"/>
  <c r="D49" i="22"/>
  <c r="C49" i="22"/>
  <c r="E48" i="22"/>
  <c r="D48" i="22"/>
  <c r="C48" i="22"/>
  <c r="C45" i="22"/>
  <c r="E47" i="22"/>
  <c r="D47" i="22"/>
  <c r="C47" i="22"/>
  <c r="E46" i="22"/>
  <c r="D46" i="22"/>
  <c r="C46" i="22"/>
  <c r="E45" i="22"/>
  <c r="D45" i="22"/>
  <c r="E44" i="22"/>
  <c r="D44" i="22"/>
  <c r="C44" i="22"/>
  <c r="E43" i="22"/>
  <c r="D43" i="22"/>
  <c r="E42" i="22"/>
  <c r="D42" i="22"/>
  <c r="E41" i="22"/>
  <c r="D41" i="22"/>
  <c r="C43" i="22"/>
  <c r="C42" i="22"/>
  <c r="C41" i="22"/>
  <c r="E40" i="22"/>
  <c r="C40" i="22"/>
  <c r="E39" i="22"/>
  <c r="C39" i="22"/>
  <c r="D32" i="22"/>
  <c r="E32" i="22"/>
  <c r="D33" i="22"/>
  <c r="E33" i="22"/>
  <c r="D34" i="22"/>
  <c r="E34" i="22"/>
  <c r="D35" i="22"/>
  <c r="E35" i="22"/>
  <c r="D36" i="22"/>
  <c r="E36" i="22"/>
  <c r="D37" i="22"/>
  <c r="E37" i="22"/>
  <c r="D38" i="22"/>
  <c r="E38" i="22"/>
  <c r="D31" i="22"/>
  <c r="E31" i="22"/>
  <c r="C32" i="22"/>
  <c r="C33" i="22"/>
  <c r="C34" i="22"/>
  <c r="C35" i="22"/>
  <c r="C36" i="22"/>
  <c r="C37" i="22"/>
  <c r="C38" i="22"/>
  <c r="C31" i="22"/>
  <c r="C29" i="22"/>
  <c r="C30" i="22"/>
  <c r="C28" i="22"/>
  <c r="D23" i="22"/>
  <c r="E23" i="22"/>
  <c r="D24" i="22"/>
  <c r="E24" i="22"/>
  <c r="D25" i="22"/>
  <c r="E25" i="22"/>
  <c r="D26" i="22"/>
  <c r="E26" i="22"/>
  <c r="D27" i="22"/>
  <c r="E27" i="22"/>
  <c r="E22" i="22"/>
  <c r="D22" i="22"/>
  <c r="C23" i="22"/>
  <c r="C24" i="22"/>
  <c r="C25" i="22"/>
  <c r="C26" i="22"/>
  <c r="C27" i="22"/>
  <c r="C22" i="22"/>
  <c r="C10" i="22"/>
  <c r="C11" i="22"/>
  <c r="C12" i="22"/>
  <c r="C13" i="22"/>
  <c r="C14" i="22"/>
  <c r="C15" i="22"/>
  <c r="C16" i="22"/>
  <c r="C17" i="22"/>
  <c r="C18" i="22"/>
  <c r="C19" i="22"/>
  <c r="C20" i="22"/>
  <c r="C21" i="22"/>
  <c r="C9" i="22"/>
  <c r="D10" i="22"/>
  <c r="E10" i="22"/>
  <c r="D11" i="22"/>
  <c r="E11" i="22"/>
  <c r="D12" i="22"/>
  <c r="E12" i="22"/>
  <c r="D13" i="22"/>
  <c r="E13" i="22"/>
  <c r="D14" i="22"/>
  <c r="E14" i="22"/>
  <c r="D15" i="22"/>
  <c r="E15" i="22"/>
  <c r="D16" i="22"/>
  <c r="E16" i="22"/>
  <c r="D17" i="22"/>
  <c r="E17" i="22"/>
  <c r="D18" i="22"/>
  <c r="E18" i="22"/>
  <c r="D19" i="22"/>
  <c r="E19" i="22"/>
  <c r="D20" i="22"/>
  <c r="E20" i="22"/>
  <c r="D21" i="22"/>
  <c r="E21" i="22"/>
  <c r="E9" i="22"/>
  <c r="D9" i="22"/>
  <c r="G301" i="24" l="1"/>
  <c r="H301" i="24" s="1"/>
  <c r="S21" i="24" s="1"/>
  <c r="G313" i="24"/>
  <c r="H313" i="24" s="1"/>
  <c r="S33" i="24" s="1"/>
  <c r="G325" i="24"/>
  <c r="H325" i="24" s="1"/>
  <c r="S45" i="24" s="1"/>
  <c r="G311" i="24"/>
  <c r="H311" i="24" s="1"/>
  <c r="S31" i="24" s="1"/>
  <c r="G302" i="24"/>
  <c r="H302" i="24" s="1"/>
  <c r="S22" i="24" s="1"/>
  <c r="G314" i="24"/>
  <c r="H314" i="24" s="1"/>
  <c r="S34" i="24" s="1"/>
  <c r="G326" i="24"/>
  <c r="H326" i="24" s="1"/>
  <c r="S46" i="24" s="1"/>
  <c r="G310" i="24"/>
  <c r="H310" i="24" s="1"/>
  <c r="S30" i="24" s="1"/>
  <c r="G323" i="24"/>
  <c r="H323" i="24" s="1"/>
  <c r="S43" i="24" s="1"/>
  <c r="G303" i="24"/>
  <c r="H303" i="24" s="1"/>
  <c r="S23" i="24" s="1"/>
  <c r="G315" i="24"/>
  <c r="H315" i="24" s="1"/>
  <c r="S35" i="24" s="1"/>
  <c r="G327" i="24"/>
  <c r="H327" i="24" s="1"/>
  <c r="S47" i="24" s="1"/>
  <c r="G304" i="24"/>
  <c r="H304" i="24" s="1"/>
  <c r="S24" i="24" s="1"/>
  <c r="G316" i="24"/>
  <c r="H316" i="24" s="1"/>
  <c r="S36" i="24" s="1"/>
  <c r="G328" i="24"/>
  <c r="H328" i="24" s="1"/>
  <c r="S48" i="24" s="1"/>
  <c r="G305" i="24"/>
  <c r="H305" i="24" s="1"/>
  <c r="S25" i="24" s="1"/>
  <c r="G317" i="24"/>
  <c r="H317" i="24" s="1"/>
  <c r="S37" i="24" s="1"/>
  <c r="G329" i="24"/>
  <c r="H329" i="24" s="1"/>
  <c r="S49" i="24" s="1"/>
  <c r="G306" i="24"/>
  <c r="H306" i="24" s="1"/>
  <c r="S26" i="24" s="1"/>
  <c r="G318" i="24"/>
  <c r="H318" i="24" s="1"/>
  <c r="S38" i="24" s="1"/>
  <c r="G298" i="24"/>
  <c r="H298" i="24" s="1"/>
  <c r="S18" i="24" s="1"/>
  <c r="G307" i="24"/>
  <c r="H307" i="24" s="1"/>
  <c r="S27" i="24" s="1"/>
  <c r="G319" i="24"/>
  <c r="H319" i="24" s="1"/>
  <c r="S39" i="24" s="1"/>
  <c r="G308" i="24"/>
  <c r="H308" i="24" s="1"/>
  <c r="S28" i="24" s="1"/>
  <c r="G320" i="24"/>
  <c r="H320" i="24" s="1"/>
  <c r="S40" i="24" s="1"/>
  <c r="G322" i="24"/>
  <c r="H322" i="24" s="1"/>
  <c r="S42" i="24" s="1"/>
  <c r="G309" i="24"/>
  <c r="H309" i="24" s="1"/>
  <c r="S29" i="24" s="1"/>
  <c r="G321" i="24"/>
  <c r="H321" i="24" s="1"/>
  <c r="S41" i="24" s="1"/>
  <c r="G299" i="24"/>
  <c r="H299" i="24" s="1"/>
  <c r="S19" i="24" s="1"/>
  <c r="G300" i="24"/>
  <c r="H300" i="24" s="1"/>
  <c r="S20" i="24" s="1"/>
  <c r="G312" i="24"/>
  <c r="H312" i="24" s="1"/>
  <c r="S32" i="24" s="1"/>
  <c r="G324" i="24"/>
  <c r="H324" i="24" s="1"/>
  <c r="S44" i="24" s="1"/>
  <c r="G443" i="24"/>
  <c r="H443" i="24" s="1"/>
  <c r="W23" i="24" s="1"/>
  <c r="G455" i="24"/>
  <c r="H455" i="24" s="1"/>
  <c r="W35" i="24" s="1"/>
  <c r="G467" i="24"/>
  <c r="H467" i="24" s="1"/>
  <c r="W47" i="24" s="1"/>
  <c r="G465" i="24"/>
  <c r="H465" i="24" s="1"/>
  <c r="W45" i="24" s="1"/>
  <c r="G444" i="24"/>
  <c r="H444" i="24" s="1"/>
  <c r="W24" i="24" s="1"/>
  <c r="G456" i="24"/>
  <c r="H456" i="24" s="1"/>
  <c r="W36" i="24" s="1"/>
  <c r="G468" i="24"/>
  <c r="H468" i="24" s="1"/>
  <c r="W48" i="24" s="1"/>
  <c r="G445" i="24"/>
  <c r="H445" i="24" s="1"/>
  <c r="W25" i="24" s="1"/>
  <c r="G457" i="24"/>
  <c r="H457" i="24" s="1"/>
  <c r="W37" i="24" s="1"/>
  <c r="G469" i="24"/>
  <c r="G464" i="24"/>
  <c r="H464" i="24" s="1"/>
  <c r="W44" i="24" s="1"/>
  <c r="G446" i="24"/>
  <c r="H446" i="24" s="1"/>
  <c r="W26" i="24" s="1"/>
  <c r="G458" i="24"/>
  <c r="H458" i="24" s="1"/>
  <c r="W38" i="24" s="1"/>
  <c r="G470" i="24"/>
  <c r="H470" i="24" s="1"/>
  <c r="W50" i="24" s="1"/>
  <c r="G452" i="24"/>
  <c r="H452" i="24" s="1"/>
  <c r="W32" i="24" s="1"/>
  <c r="G453" i="24"/>
  <c r="H453" i="24" s="1"/>
  <c r="W33" i="24" s="1"/>
  <c r="G447" i="24"/>
  <c r="H447" i="24" s="1"/>
  <c r="W27" i="24" s="1"/>
  <c r="G459" i="24"/>
  <c r="H459" i="24" s="1"/>
  <c r="W39" i="24" s="1"/>
  <c r="G448" i="24"/>
  <c r="H448" i="24" s="1"/>
  <c r="W28" i="24" s="1"/>
  <c r="G460" i="24"/>
  <c r="H460" i="24" s="1"/>
  <c r="W40" i="24" s="1"/>
  <c r="G449" i="24"/>
  <c r="H449" i="24" s="1"/>
  <c r="W29" i="24" s="1"/>
  <c r="G461" i="24"/>
  <c r="H461" i="24" s="1"/>
  <c r="W41" i="24" s="1"/>
  <c r="G438" i="24"/>
  <c r="H438" i="24" s="1"/>
  <c r="W18" i="24" s="1"/>
  <c r="G450" i="24"/>
  <c r="H450" i="24" s="1"/>
  <c r="W30" i="24" s="1"/>
  <c r="G462" i="24"/>
  <c r="H462" i="24" s="1"/>
  <c r="W42" i="24" s="1"/>
  <c r="G439" i="24"/>
  <c r="H439" i="24" s="1"/>
  <c r="W19" i="24" s="1"/>
  <c r="G451" i="24"/>
  <c r="H451" i="24" s="1"/>
  <c r="W31" i="24" s="1"/>
  <c r="G463" i="24"/>
  <c r="H463" i="24" s="1"/>
  <c r="W43" i="24" s="1"/>
  <c r="G441" i="24"/>
  <c r="H441" i="24" s="1"/>
  <c r="W21" i="24" s="1"/>
  <c r="G442" i="24"/>
  <c r="H442" i="24" s="1"/>
  <c r="W22" i="24" s="1"/>
  <c r="G454" i="24"/>
  <c r="H454" i="24" s="1"/>
  <c r="W34" i="24" s="1"/>
  <c r="G466" i="24"/>
  <c r="H466" i="24" s="1"/>
  <c r="W46" i="24" s="1"/>
  <c r="G440" i="24"/>
  <c r="H440" i="24" s="1"/>
  <c r="W20" i="24" s="1"/>
  <c r="G330" i="24"/>
  <c r="H330" i="24" s="1"/>
  <c r="S50" i="24" s="1"/>
  <c r="H469" i="24"/>
  <c r="W49" i="24" s="1"/>
  <c r="BR27" i="87"/>
  <c r="BR26" i="87"/>
  <c r="BR31" i="87"/>
  <c r="BR30" i="87"/>
  <c r="BR28" i="87"/>
  <c r="BR29" i="87"/>
  <c r="B62" i="78"/>
  <c r="B57" i="79"/>
  <c r="K57" i="79" s="1"/>
  <c r="X20" i="24" l="1"/>
  <c r="Y20" i="24" s="1"/>
  <c r="X18" i="24"/>
  <c r="Y18" i="24" s="1"/>
  <c r="X19" i="24"/>
  <c r="Y19" i="24" s="1"/>
  <c r="X21" i="24"/>
  <c r="Y21" i="24" s="1"/>
  <c r="L72" i="24"/>
  <c r="L68" i="24"/>
  <c r="BT30" i="87"/>
  <c r="BS30" i="87"/>
  <c r="BT31" i="87"/>
  <c r="BS31" i="87"/>
  <c r="BS29" i="87"/>
  <c r="BT29" i="87"/>
  <c r="BT26" i="87"/>
  <c r="BS26" i="87"/>
  <c r="BS28" i="87"/>
  <c r="BT28" i="87"/>
  <c r="BT27" i="87"/>
  <c r="BS27" i="87"/>
  <c r="B63" i="78"/>
  <c r="B58" i="79"/>
  <c r="K58" i="79" s="1"/>
  <c r="B64" i="78" l="1"/>
  <c r="B59" i="79"/>
  <c r="K59" i="79" s="1"/>
  <c r="B65" i="78" l="1"/>
  <c r="B61" i="79" s="1"/>
  <c r="K61" i="79" s="1"/>
  <c r="B60" i="79"/>
  <c r="K60" i="79" s="1"/>
  <c r="D39" i="22"/>
  <c r="D94" i="22" l="1"/>
  <c r="D93" i="22"/>
  <c r="D92" i="22"/>
  <c r="D91" i="22"/>
  <c r="D90" i="22"/>
  <c r="D78" i="22"/>
  <c r="D77" i="22"/>
  <c r="D76" i="22"/>
  <c r="D75" i="22"/>
  <c r="D74" i="22"/>
  <c r="D73" i="22"/>
  <c r="D72" i="22"/>
  <c r="E77" i="22"/>
  <c r="E76" i="22"/>
  <c r="E75" i="22"/>
  <c r="E74" i="22"/>
  <c r="E73" i="22"/>
  <c r="E72" i="22"/>
  <c r="E30" i="22"/>
  <c r="E29" i="22"/>
  <c r="E28" i="22"/>
  <c r="F46" i="24" l="1"/>
  <c r="H46" i="24" s="1"/>
  <c r="K46" i="24" s="1"/>
  <c r="F45" i="24"/>
  <c r="H45" i="24" s="1"/>
  <c r="K45" i="24" s="1"/>
  <c r="F44" i="24"/>
  <c r="H44" i="24" s="1"/>
  <c r="K44" i="24" s="1"/>
  <c r="F43" i="24"/>
  <c r="H43" i="24" s="1"/>
  <c r="K43" i="24" s="1"/>
  <c r="C153" i="22" l="1"/>
  <c r="C139" i="22"/>
  <c r="D134" i="22"/>
  <c r="D133" i="22"/>
  <c r="D132" i="22"/>
  <c r="D131" i="22"/>
  <c r="D130" i="22"/>
  <c r="D129" i="22"/>
  <c r="C125" i="22"/>
  <c r="AZ70" i="87" l="1"/>
  <c r="AV71" i="87"/>
  <c r="BF71" i="87"/>
  <c r="BB70" i="87"/>
  <c r="BD71" i="87"/>
  <c r="AZ71" i="87"/>
  <c r="BH70" i="87"/>
  <c r="BJ70" i="87"/>
  <c r="BH71" i="87"/>
  <c r="BF70" i="87"/>
  <c r="AX71" i="87"/>
  <c r="BD70" i="87"/>
  <c r="AV70" i="87"/>
  <c r="BJ71" i="87"/>
  <c r="AX70" i="87"/>
  <c r="BB71" i="87"/>
  <c r="N72" i="87"/>
  <c r="C338" i="24" s="1"/>
  <c r="F338" i="24" s="1"/>
  <c r="H338" i="24" s="1"/>
  <c r="T23" i="24" s="1"/>
  <c r="T72" i="87"/>
  <c r="C341" i="24" s="1"/>
  <c r="F341" i="24" s="1"/>
  <c r="H341" i="24" s="1"/>
  <c r="T26" i="24" s="1"/>
  <c r="R72" i="87"/>
  <c r="C340" i="24" s="1"/>
  <c r="F340" i="24" s="1"/>
  <c r="H340" i="24" s="1"/>
  <c r="T25" i="24" s="1"/>
  <c r="V72" i="87"/>
  <c r="C342" i="24" s="1"/>
  <c r="F342" i="24" s="1"/>
  <c r="H342" i="24" s="1"/>
  <c r="T27" i="24" s="1"/>
  <c r="Z72" i="87"/>
  <c r="C344" i="24" s="1"/>
  <c r="F344" i="24" s="1"/>
  <c r="H344" i="24" s="1"/>
  <c r="T29" i="24" s="1"/>
  <c r="AB72" i="87"/>
  <c r="C345" i="24" s="1"/>
  <c r="F345" i="24" s="1"/>
  <c r="H345" i="24" s="1"/>
  <c r="T30" i="24" s="1"/>
  <c r="X72" i="87"/>
  <c r="C343" i="24" s="1"/>
  <c r="F343" i="24" s="1"/>
  <c r="H343" i="24" s="1"/>
  <c r="T28" i="24" s="1"/>
  <c r="P72" i="87"/>
  <c r="C339" i="24" s="1"/>
  <c r="F339" i="24" s="1"/>
  <c r="H339" i="24" s="1"/>
  <c r="T24" i="24" s="1"/>
  <c r="AH72" i="87"/>
  <c r="C348" i="24" s="1"/>
  <c r="F348" i="24" s="1"/>
  <c r="H348" i="24" s="1"/>
  <c r="T33" i="24" s="1"/>
  <c r="AJ72" i="87"/>
  <c r="C349" i="24" s="1"/>
  <c r="F349" i="24" s="1"/>
  <c r="H349" i="24" s="1"/>
  <c r="T34" i="24" s="1"/>
  <c r="AN72" i="87"/>
  <c r="C351" i="24" s="1"/>
  <c r="F351" i="24" s="1"/>
  <c r="H351" i="24" s="1"/>
  <c r="T36" i="24" s="1"/>
  <c r="AT72" i="87"/>
  <c r="C354" i="24" s="1"/>
  <c r="F354" i="24" s="1"/>
  <c r="H354" i="24" s="1"/>
  <c r="T39" i="24" s="1"/>
  <c r="AP72" i="87"/>
  <c r="C352" i="24" s="1"/>
  <c r="F352" i="24" s="1"/>
  <c r="H352" i="24" s="1"/>
  <c r="T37" i="24" s="1"/>
  <c r="AF72" i="87"/>
  <c r="C347" i="24" s="1"/>
  <c r="F347" i="24" s="1"/>
  <c r="H347" i="24" s="1"/>
  <c r="T32" i="24" s="1"/>
  <c r="AR72" i="87"/>
  <c r="C353" i="24" s="1"/>
  <c r="F353" i="24" s="1"/>
  <c r="H353" i="24" s="1"/>
  <c r="T38" i="24" s="1"/>
  <c r="AD72" i="87"/>
  <c r="C346" i="24" s="1"/>
  <c r="F346" i="24" s="1"/>
  <c r="H346" i="24" s="1"/>
  <c r="T31" i="24" s="1"/>
  <c r="AL72" i="87"/>
  <c r="C350" i="24" s="1"/>
  <c r="F350" i="24" s="1"/>
  <c r="H350" i="24" s="1"/>
  <c r="T35" i="24" s="1"/>
  <c r="BL70" i="87"/>
  <c r="BN70" i="87"/>
  <c r="BL71" i="87"/>
  <c r="BN71" i="87"/>
  <c r="BP70" i="87"/>
  <c r="BP71" i="87"/>
  <c r="BJ73" i="87"/>
  <c r="C397" i="24" s="1"/>
  <c r="F397" i="24" s="1"/>
  <c r="H397" i="24" s="1"/>
  <c r="U47" i="24" s="1"/>
  <c r="BF73" i="87"/>
  <c r="C395" i="24" s="1"/>
  <c r="F395" i="24" s="1"/>
  <c r="H395" i="24" s="1"/>
  <c r="U45" i="24" s="1"/>
  <c r="AZ73" i="87"/>
  <c r="C392" i="24" s="1"/>
  <c r="F392" i="24" s="1"/>
  <c r="H392" i="24" s="1"/>
  <c r="U42" i="24" s="1"/>
  <c r="BH73" i="87"/>
  <c r="C396" i="24" s="1"/>
  <c r="F396" i="24" s="1"/>
  <c r="H396" i="24" s="1"/>
  <c r="U46" i="24" s="1"/>
  <c r="BD73" i="87"/>
  <c r="C394" i="24" s="1"/>
  <c r="F394" i="24" s="1"/>
  <c r="H394" i="24" s="1"/>
  <c r="U44" i="24" s="1"/>
  <c r="BB73" i="87"/>
  <c r="C393" i="24" s="1"/>
  <c r="F393" i="24" s="1"/>
  <c r="H393" i="24" s="1"/>
  <c r="U43" i="24" s="1"/>
  <c r="AX73" i="87"/>
  <c r="C391" i="24" s="1"/>
  <c r="F391" i="24" s="1"/>
  <c r="H391" i="24" s="1"/>
  <c r="U41" i="24" s="1"/>
  <c r="AV73" i="87"/>
  <c r="C390" i="24" s="1"/>
  <c r="F390" i="24" s="1"/>
  <c r="H390" i="24" s="1"/>
  <c r="U40" i="24" s="1"/>
  <c r="N51" i="87"/>
  <c r="AT51" i="87"/>
  <c r="C74" i="24" s="1"/>
  <c r="AV51" i="87"/>
  <c r="C75" i="24" s="1"/>
  <c r="T53" i="87"/>
  <c r="AD51" i="87"/>
  <c r="C66" i="24" s="1"/>
  <c r="AB53" i="87"/>
  <c r="Z53" i="87"/>
  <c r="P53" i="87"/>
  <c r="T51" i="87"/>
  <c r="X51" i="87"/>
  <c r="BJ51" i="87"/>
  <c r="C82" i="24" s="1"/>
  <c r="BH51" i="87"/>
  <c r="C81" i="24" s="1"/>
  <c r="AJ51" i="87"/>
  <c r="C69" i="24" s="1"/>
  <c r="AR51" i="87"/>
  <c r="C73" i="24" s="1"/>
  <c r="P51" i="87"/>
  <c r="AF51" i="87"/>
  <c r="C67" i="24" s="1"/>
  <c r="N53" i="87"/>
  <c r="V51" i="87"/>
  <c r="AP51" i="87"/>
  <c r="C72" i="24" s="1"/>
  <c r="X53" i="87"/>
  <c r="BD51" i="87"/>
  <c r="C79" i="24" s="1"/>
  <c r="BF51" i="87"/>
  <c r="C80" i="24" s="1"/>
  <c r="BB51" i="87"/>
  <c r="C78" i="24" s="1"/>
  <c r="AH51" i="87"/>
  <c r="C68" i="24" s="1"/>
  <c r="V53" i="87"/>
  <c r="AL51" i="87"/>
  <c r="C70" i="24" s="1"/>
  <c r="R51" i="87"/>
  <c r="AB51" i="87"/>
  <c r="R53" i="87"/>
  <c r="Z51" i="87"/>
  <c r="AX51" i="87"/>
  <c r="C76" i="24" s="1"/>
  <c r="AN51" i="87"/>
  <c r="C71" i="24" s="1"/>
  <c r="AZ51" i="87"/>
  <c r="C77" i="24" s="1"/>
  <c r="BN73" i="87"/>
  <c r="C399" i="24" s="1"/>
  <c r="F399" i="24" s="1"/>
  <c r="H399" i="24" s="1"/>
  <c r="U49" i="24" s="1"/>
  <c r="BL73" i="87"/>
  <c r="C398" i="24" s="1"/>
  <c r="F398" i="24" s="1"/>
  <c r="H398" i="24" s="1"/>
  <c r="U48" i="24" s="1"/>
  <c r="BP73" i="87"/>
  <c r="C400" i="24" s="1"/>
  <c r="F400" i="24" s="1"/>
  <c r="H400" i="24" s="1"/>
  <c r="U50" i="24" s="1"/>
  <c r="N50" i="87"/>
  <c r="C268" i="24" s="1"/>
  <c r="F268" i="24" s="1"/>
  <c r="H268" i="24" s="1"/>
  <c r="R23" i="24" s="1"/>
  <c r="AD50" i="87"/>
  <c r="C276" i="24" s="1"/>
  <c r="F276" i="24" s="1"/>
  <c r="H276" i="24" s="1"/>
  <c r="R31" i="24" s="1"/>
  <c r="BB50" i="87"/>
  <c r="C288" i="24" s="1"/>
  <c r="F288" i="24" s="1"/>
  <c r="H288" i="24" s="1"/>
  <c r="R43" i="24" s="1"/>
  <c r="BD50" i="87"/>
  <c r="C289" i="24" s="1"/>
  <c r="F289" i="24" s="1"/>
  <c r="H289" i="24" s="1"/>
  <c r="R44" i="24" s="1"/>
  <c r="AL50" i="87"/>
  <c r="C280" i="24" s="1"/>
  <c r="F280" i="24" s="1"/>
  <c r="H280" i="24" s="1"/>
  <c r="R35" i="24" s="1"/>
  <c r="BF50" i="87"/>
  <c r="C290" i="24" s="1"/>
  <c r="F290" i="24" s="1"/>
  <c r="H290" i="24" s="1"/>
  <c r="R45" i="24" s="1"/>
  <c r="T50" i="87"/>
  <c r="C271" i="24" s="1"/>
  <c r="F271" i="24" s="1"/>
  <c r="H271" i="24" s="1"/>
  <c r="R26" i="24" s="1"/>
  <c r="AZ50" i="87"/>
  <c r="C287" i="24" s="1"/>
  <c r="F287" i="24" s="1"/>
  <c r="H287" i="24" s="1"/>
  <c r="R42" i="24" s="1"/>
  <c r="X50" i="87"/>
  <c r="C273" i="24" s="1"/>
  <c r="F273" i="24" s="1"/>
  <c r="H273" i="24" s="1"/>
  <c r="R28" i="24" s="1"/>
  <c r="AV50" i="87"/>
  <c r="C285" i="24" s="1"/>
  <c r="F285" i="24" s="1"/>
  <c r="H285" i="24" s="1"/>
  <c r="R40" i="24" s="1"/>
  <c r="BH50" i="87"/>
  <c r="C291" i="24" s="1"/>
  <c r="F291" i="24" s="1"/>
  <c r="H291" i="24" s="1"/>
  <c r="R46" i="24" s="1"/>
  <c r="Z50" i="87"/>
  <c r="C274" i="24" s="1"/>
  <c r="F274" i="24" s="1"/>
  <c r="H274" i="24" s="1"/>
  <c r="R29" i="24" s="1"/>
  <c r="AX50" i="87"/>
  <c r="C286" i="24" s="1"/>
  <c r="F286" i="24" s="1"/>
  <c r="H286" i="24" s="1"/>
  <c r="R41" i="24" s="1"/>
  <c r="AF50" i="87"/>
  <c r="C277" i="24" s="1"/>
  <c r="F277" i="24" s="1"/>
  <c r="H277" i="24" s="1"/>
  <c r="R32" i="24" s="1"/>
  <c r="P50" i="87"/>
  <c r="C269" i="24" s="1"/>
  <c r="F269" i="24" s="1"/>
  <c r="H269" i="24" s="1"/>
  <c r="R24" i="24" s="1"/>
  <c r="R50" i="87"/>
  <c r="C270" i="24" s="1"/>
  <c r="F270" i="24" s="1"/>
  <c r="H270" i="24" s="1"/>
  <c r="R25" i="24" s="1"/>
  <c r="AJ50" i="87"/>
  <c r="C279" i="24" s="1"/>
  <c r="F279" i="24" s="1"/>
  <c r="H279" i="24" s="1"/>
  <c r="R34" i="24" s="1"/>
  <c r="BJ50" i="87"/>
  <c r="C292" i="24" s="1"/>
  <c r="F292" i="24" s="1"/>
  <c r="H292" i="24" s="1"/>
  <c r="R47" i="24" s="1"/>
  <c r="AN50" i="87"/>
  <c r="C281" i="24" s="1"/>
  <c r="F281" i="24" s="1"/>
  <c r="H281" i="24" s="1"/>
  <c r="R36" i="24" s="1"/>
  <c r="V50" i="87"/>
  <c r="C272" i="24" s="1"/>
  <c r="F272" i="24" s="1"/>
  <c r="H272" i="24" s="1"/>
  <c r="R27" i="24" s="1"/>
  <c r="AP50" i="87"/>
  <c r="C282" i="24" s="1"/>
  <c r="F282" i="24" s="1"/>
  <c r="H282" i="24" s="1"/>
  <c r="R37" i="24" s="1"/>
  <c r="AH50" i="87"/>
  <c r="C278" i="24" s="1"/>
  <c r="F278" i="24" s="1"/>
  <c r="H278" i="24" s="1"/>
  <c r="R33" i="24" s="1"/>
  <c r="AR50" i="87"/>
  <c r="C283" i="24" s="1"/>
  <c r="F283" i="24" s="1"/>
  <c r="H283" i="24" s="1"/>
  <c r="R38" i="24" s="1"/>
  <c r="AT50" i="87"/>
  <c r="C284" i="24" s="1"/>
  <c r="F284" i="24" s="1"/>
  <c r="H284" i="24" s="1"/>
  <c r="R39" i="24" s="1"/>
  <c r="AB50" i="87"/>
  <c r="C275" i="24" s="1"/>
  <c r="F275" i="24" s="1"/>
  <c r="H275" i="24" s="1"/>
  <c r="R30" i="24" s="1"/>
  <c r="BN50" i="87"/>
  <c r="BP50" i="87"/>
  <c r="BL50" i="87"/>
  <c r="C293" i="24" s="1"/>
  <c r="F293" i="24" s="1"/>
  <c r="H293" i="24" s="1"/>
  <c r="R48" i="24" s="1"/>
  <c r="BP51" i="87"/>
  <c r="C85" i="24" s="1"/>
  <c r="F85" i="24" s="1"/>
  <c r="H85" i="24" s="1"/>
  <c r="L50" i="24" s="1"/>
  <c r="BN51" i="87"/>
  <c r="C84" i="24" s="1"/>
  <c r="BL51" i="87"/>
  <c r="C363" i="24" l="1"/>
  <c r="F363" i="24" s="1"/>
  <c r="H363" i="24" s="1"/>
  <c r="T48" i="24" s="1"/>
  <c r="C365" i="24"/>
  <c r="F365" i="24" s="1"/>
  <c r="H365" i="24" s="1"/>
  <c r="T50" i="24" s="1"/>
  <c r="C360" i="24"/>
  <c r="F360" i="24" s="1"/>
  <c r="H360" i="24" s="1"/>
  <c r="T45" i="24" s="1"/>
  <c r="C362" i="24"/>
  <c r="F362" i="24" s="1"/>
  <c r="H362" i="24" s="1"/>
  <c r="T47" i="24" s="1"/>
  <c r="C359" i="24"/>
  <c r="F359" i="24" s="1"/>
  <c r="H359" i="24" s="1"/>
  <c r="T44" i="24" s="1"/>
  <c r="C364" i="24"/>
  <c r="F364" i="24" s="1"/>
  <c r="H364" i="24" s="1"/>
  <c r="T49" i="24" s="1"/>
  <c r="L69" i="24" s="1"/>
  <c r="C361" i="24"/>
  <c r="F361" i="24" s="1"/>
  <c r="H361" i="24" s="1"/>
  <c r="T46" i="24" s="1"/>
  <c r="C358" i="24"/>
  <c r="F358" i="24" s="1"/>
  <c r="H358" i="24" s="1"/>
  <c r="T43" i="24" s="1"/>
  <c r="C356" i="24"/>
  <c r="F356" i="24" s="1"/>
  <c r="H356" i="24" s="1"/>
  <c r="T41" i="24" s="1"/>
  <c r="C355" i="24"/>
  <c r="F355" i="24" s="1"/>
  <c r="H355" i="24" s="1"/>
  <c r="T40" i="24" s="1"/>
  <c r="C357" i="24"/>
  <c r="F357" i="24" s="1"/>
  <c r="H357" i="24" s="1"/>
  <c r="T42" i="24" s="1"/>
  <c r="L70" i="24"/>
  <c r="C65" i="24"/>
  <c r="F65" i="24" s="1"/>
  <c r="C60" i="24"/>
  <c r="C59" i="24"/>
  <c r="C64" i="24"/>
  <c r="F64" i="24" s="1"/>
  <c r="C62" i="24"/>
  <c r="F62" i="24" s="1"/>
  <c r="C63" i="24"/>
  <c r="F63" i="24" s="1"/>
  <c r="C83" i="24"/>
  <c r="F83" i="24" s="1"/>
  <c r="H83" i="24" s="1"/>
  <c r="L48" i="24" s="1"/>
  <c r="X48" i="24" s="1"/>
  <c r="Y48" i="24" s="1"/>
  <c r="C61" i="24"/>
  <c r="C58" i="24"/>
  <c r="C294" i="24"/>
  <c r="C295" i="24"/>
  <c r="F295" i="24" s="1"/>
  <c r="H295" i="24" s="1"/>
  <c r="R50" i="24" s="1"/>
  <c r="F84" i="24"/>
  <c r="H84" i="24" s="1"/>
  <c r="F33" i="24"/>
  <c r="H33" i="24" s="1"/>
  <c r="K33" i="24" s="1"/>
  <c r="F38" i="24"/>
  <c r="H38" i="24" s="1"/>
  <c r="K38" i="24" s="1"/>
  <c r="F80" i="24"/>
  <c r="F79" i="24"/>
  <c r="F74" i="24"/>
  <c r="F73" i="24"/>
  <c r="F78" i="24"/>
  <c r="F77" i="24"/>
  <c r="F67" i="24"/>
  <c r="F66" i="24"/>
  <c r="F76" i="24"/>
  <c r="F75" i="24"/>
  <c r="F72" i="24"/>
  <c r="F71" i="24"/>
  <c r="F69" i="24"/>
  <c r="F70" i="24"/>
  <c r="F68" i="24"/>
  <c r="X50" i="24" l="1"/>
  <c r="Y50" i="24" s="1"/>
  <c r="F294" i="24"/>
  <c r="H294" i="24" s="1"/>
  <c r="H68" i="24"/>
  <c r="L33" i="24" s="1"/>
  <c r="X33" i="24" s="1"/>
  <c r="Y33" i="24" s="1"/>
  <c r="H65" i="24"/>
  <c r="L30" i="24" s="1"/>
  <c r="H70" i="24"/>
  <c r="L35" i="24" s="1"/>
  <c r="H64" i="24"/>
  <c r="L29" i="24" s="1"/>
  <c r="H75" i="24"/>
  <c r="L40" i="24" s="1"/>
  <c r="X40" i="24" s="1"/>
  <c r="Y40" i="24" s="1"/>
  <c r="H77" i="24"/>
  <c r="L42" i="24" s="1"/>
  <c r="X42" i="24" s="1"/>
  <c r="Y42" i="24" s="1"/>
  <c r="H66" i="24"/>
  <c r="L31" i="24" s="1"/>
  <c r="H62" i="24"/>
  <c r="L27" i="24" s="1"/>
  <c r="X27" i="24" s="1"/>
  <c r="Y27" i="24" s="1"/>
  <c r="H71" i="24"/>
  <c r="L36" i="24" s="1"/>
  <c r="H67" i="24"/>
  <c r="L32" i="24" s="1"/>
  <c r="H73" i="24"/>
  <c r="L38" i="24" s="1"/>
  <c r="X38" i="24" s="1"/>
  <c r="Y38" i="24" s="1"/>
  <c r="F8" i="81" s="1"/>
  <c r="H79" i="24"/>
  <c r="L44" i="24" s="1"/>
  <c r="X44" i="24" s="1"/>
  <c r="Y44" i="24" s="1"/>
  <c r="H76" i="24"/>
  <c r="L41" i="24" s="1"/>
  <c r="X41" i="24" s="1"/>
  <c r="Y41" i="24" s="1"/>
  <c r="H63" i="24"/>
  <c r="L28" i="24" s="1"/>
  <c r="X28" i="24" s="1"/>
  <c r="Y28" i="24" s="1"/>
  <c r="H69" i="24"/>
  <c r="L34" i="24" s="1"/>
  <c r="H78" i="24"/>
  <c r="L43" i="24" s="1"/>
  <c r="X43" i="24" s="1"/>
  <c r="Y43" i="24" s="1"/>
  <c r="H72" i="24"/>
  <c r="L37" i="24" s="1"/>
  <c r="H74" i="24"/>
  <c r="L39" i="24" s="1"/>
  <c r="H80" i="24"/>
  <c r="L45" i="24" s="1"/>
  <c r="X45" i="24" s="1"/>
  <c r="Y45" i="24" s="1"/>
  <c r="E11" i="88"/>
  <c r="E12" i="88" s="1"/>
  <c r="C11" i="90"/>
  <c r="L49" i="24"/>
  <c r="F82" i="24"/>
  <c r="F81" i="24"/>
  <c r="F36" i="24"/>
  <c r="F31" i="24"/>
  <c r="H31" i="24" s="1"/>
  <c r="K31" i="24" s="1"/>
  <c r="F30" i="24"/>
  <c r="H30" i="24" s="1"/>
  <c r="K30" i="24" s="1"/>
  <c r="X30" i="24" s="1"/>
  <c r="Y30" i="24" s="1"/>
  <c r="F32" i="24"/>
  <c r="H32" i="24" s="1"/>
  <c r="K32" i="24" s="1"/>
  <c r="F39" i="24"/>
  <c r="F37" i="24"/>
  <c r="F29" i="24"/>
  <c r="H29" i="24" s="1"/>
  <c r="K29" i="24" s="1"/>
  <c r="F34" i="24"/>
  <c r="F61" i="24"/>
  <c r="F35" i="24"/>
  <c r="X32" i="24" l="1"/>
  <c r="Y32" i="24" s="1"/>
  <c r="X29" i="24"/>
  <c r="Y29" i="24" s="1"/>
  <c r="X31" i="24"/>
  <c r="Y31" i="24" s="1"/>
  <c r="R49" i="24"/>
  <c r="X49" i="24" s="1"/>
  <c r="Y49" i="24" s="1"/>
  <c r="H61" i="24"/>
  <c r="L26" i="24" s="1"/>
  <c r="X26" i="24" s="1"/>
  <c r="Y26" i="24" s="1"/>
  <c r="H81" i="24"/>
  <c r="L46" i="24" s="1"/>
  <c r="X46" i="24" s="1"/>
  <c r="Y46" i="24" s="1"/>
  <c r="H82" i="24"/>
  <c r="L47" i="24" s="1"/>
  <c r="X47" i="24" s="1"/>
  <c r="Y47" i="24" s="1"/>
  <c r="H39" i="24"/>
  <c r="K39" i="24" s="1"/>
  <c r="X39" i="24" s="1"/>
  <c r="Y39" i="24" s="1"/>
  <c r="H35" i="24"/>
  <c r="K35" i="24" s="1"/>
  <c r="X35" i="24" s="1"/>
  <c r="Y35" i="24" s="1"/>
  <c r="H37" i="24"/>
  <c r="K37" i="24" s="1"/>
  <c r="X37" i="24" s="1"/>
  <c r="Y37" i="24" s="1"/>
  <c r="H34" i="24"/>
  <c r="K34" i="24" s="1"/>
  <c r="X34" i="24" s="1"/>
  <c r="Y34" i="24" s="1"/>
  <c r="H36" i="24"/>
  <c r="K36" i="24" s="1"/>
  <c r="X36" i="24" s="1"/>
  <c r="Y36" i="24" s="1"/>
  <c r="G11" i="88"/>
  <c r="G12" i="88" s="1"/>
  <c r="J5" i="11" s="1"/>
  <c r="L61" i="24"/>
  <c r="F60" i="24"/>
  <c r="P52" i="24" l="1"/>
  <c r="T52" i="24"/>
  <c r="V52" i="24"/>
  <c r="Q52" i="24"/>
  <c r="W52" i="24"/>
  <c r="S52" i="24"/>
  <c r="U52" i="24"/>
  <c r="L67" i="24"/>
  <c r="L73" i="24" s="1"/>
  <c r="M71" i="24" s="1"/>
  <c r="R52" i="24"/>
  <c r="N52" i="24"/>
  <c r="O52" i="24"/>
  <c r="K52" i="24"/>
  <c r="M52" i="24"/>
  <c r="L52" i="24"/>
  <c r="H60" i="24"/>
  <c r="L25" i="24" s="1"/>
  <c r="X25" i="24" s="1"/>
  <c r="Y25" i="24" s="1"/>
  <c r="D5" i="11"/>
  <c r="F59" i="24"/>
  <c r="M73" i="24" l="1"/>
  <c r="M69" i="24"/>
  <c r="M70" i="24"/>
  <c r="M60" i="24"/>
  <c r="M66" i="24"/>
  <c r="M65" i="24"/>
  <c r="M67" i="24"/>
  <c r="M63" i="24"/>
  <c r="M62" i="24"/>
  <c r="M68" i="24"/>
  <c r="M72" i="24"/>
  <c r="M61" i="24"/>
  <c r="M64" i="24"/>
  <c r="H59" i="24"/>
  <c r="L24" i="24" s="1"/>
  <c r="X24" i="24" s="1"/>
  <c r="Y24" i="24" s="1"/>
  <c r="H11" i="90"/>
  <c r="F11" i="90" s="1"/>
  <c r="E5" i="11"/>
  <c r="L5" i="11" s="1"/>
  <c r="F58" i="24"/>
  <c r="H58" i="24" l="1"/>
  <c r="L23" i="24" s="1"/>
  <c r="X23" i="24" s="1"/>
  <c r="Y23" i="24" s="1"/>
  <c r="G8" i="81"/>
  <c r="L22" i="24"/>
  <c r="X22" i="24" s="1"/>
  <c r="Y22" i="24" s="1"/>
  <c r="G9" i="81" l="1"/>
  <c r="K8" i="81"/>
  <c r="K9" i="81" s="1"/>
  <c r="F9" i="81" l="1"/>
  <c r="M8" i="81" s="1"/>
  <c r="O8" i="81" s="1"/>
  <c r="L8" i="81" l="1"/>
  <c r="N8" i="81" s="1"/>
  <c r="P8" i="81" l="1"/>
  <c r="P9"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Hilda Evita Mendoza Soto</author>
  </authors>
  <commentList>
    <comment ref="E17" authorId="0" shapeId="0" xr:uid="{00000000-0006-0000-0200-000001000000}">
      <text>
        <r>
          <rPr>
            <b/>
            <sz val="9"/>
            <color indexed="81"/>
            <rFont val="Tahoma"/>
            <family val="2"/>
          </rPr>
          <t>Hilda Evita Mendoza Soto:</t>
        </r>
        <r>
          <rPr>
            <sz val="9"/>
            <color indexed="81"/>
            <rFont val="Tahoma"/>
            <family val="2"/>
          </rPr>
          <t xml:space="preserve">
Los valores del año 1998 al 2002 estan en TM</t>
        </r>
      </text>
    </comment>
    <comment ref="E18" authorId="0" shapeId="0" xr:uid="{00000000-0006-0000-0200-000002000000}">
      <text>
        <r>
          <rPr>
            <b/>
            <sz val="9"/>
            <color indexed="81"/>
            <rFont val="Tahoma"/>
            <family val="2"/>
          </rPr>
          <t>Hilda Evita Mendoza Soto:</t>
        </r>
        <r>
          <rPr>
            <sz val="9"/>
            <color indexed="81"/>
            <rFont val="Tahoma"/>
            <family val="2"/>
          </rPr>
          <t xml:space="preserve">
Los valores del año 1998 al 2002 estan en TM</t>
        </r>
      </text>
    </comment>
    <comment ref="E19" authorId="0" shapeId="0" xr:uid="{00000000-0006-0000-0200-000003000000}">
      <text>
        <r>
          <rPr>
            <b/>
            <sz val="9"/>
            <color indexed="81"/>
            <rFont val="Tahoma"/>
            <family val="2"/>
          </rPr>
          <t>Hilda Evita Mendoza Soto:</t>
        </r>
        <r>
          <rPr>
            <sz val="9"/>
            <color indexed="81"/>
            <rFont val="Tahoma"/>
            <family val="2"/>
          </rPr>
          <t xml:space="preserve">
Los valores del año 1998 al 2002 estan en TM</t>
        </r>
      </text>
    </comment>
    <comment ref="E28" authorId="0" shapeId="0" xr:uid="{00000000-0006-0000-0200-000004000000}">
      <text>
        <r>
          <rPr>
            <b/>
            <sz val="9"/>
            <color indexed="81"/>
            <rFont val="Tahoma"/>
            <family val="2"/>
          </rPr>
          <t>Hilda Evita Mendoza Soto:</t>
        </r>
        <r>
          <rPr>
            <sz val="9"/>
            <color indexed="81"/>
            <rFont val="Tahoma"/>
            <family val="2"/>
          </rPr>
          <t xml:space="preserve">
Los valores del año 1995 al 2002 estan en TM</t>
        </r>
      </text>
    </comment>
    <comment ref="E29" authorId="0" shapeId="0" xr:uid="{00000000-0006-0000-0200-000005000000}">
      <text>
        <r>
          <rPr>
            <b/>
            <sz val="9"/>
            <color indexed="81"/>
            <rFont val="Tahoma"/>
            <family val="2"/>
          </rPr>
          <t>Hilda Evita Mendoza Soto:</t>
        </r>
        <r>
          <rPr>
            <sz val="9"/>
            <color indexed="81"/>
            <rFont val="Tahoma"/>
            <family val="2"/>
          </rPr>
          <t xml:space="preserve">
Los valores del año 1995 al 2002 estan en TM</t>
        </r>
      </text>
    </comment>
    <comment ref="E31" authorId="0" shapeId="0" xr:uid="{00000000-0006-0000-0200-000006000000}">
      <text>
        <r>
          <rPr>
            <b/>
            <sz val="9"/>
            <color indexed="81"/>
            <rFont val="Tahoma"/>
            <family val="2"/>
          </rPr>
          <t>Hilda Evita Mendoza Soto:</t>
        </r>
        <r>
          <rPr>
            <sz val="9"/>
            <color indexed="81"/>
            <rFont val="Tahoma"/>
            <family val="2"/>
          </rPr>
          <t xml:space="preserve">
Los valores del año 1995 al 2002 estan en TM</t>
        </r>
      </text>
    </comment>
    <comment ref="E46" authorId="0" shapeId="0" xr:uid="{00000000-0006-0000-0200-000007000000}">
      <text>
        <r>
          <rPr>
            <b/>
            <sz val="9"/>
            <color indexed="81"/>
            <rFont val="Tahoma"/>
            <family val="2"/>
          </rPr>
          <t>Hilda Evita Mendoza Soto:</t>
        </r>
        <r>
          <rPr>
            <sz val="9"/>
            <color indexed="81"/>
            <rFont val="Tahoma"/>
            <family val="2"/>
          </rPr>
          <t xml:space="preserve">
Los valores del año 1995 al 2002 estan en TM</t>
        </r>
      </text>
    </comment>
    <comment ref="E53" authorId="0" shapeId="0" xr:uid="{00000000-0006-0000-0200-000008000000}">
      <text>
        <r>
          <rPr>
            <b/>
            <sz val="9"/>
            <color indexed="81"/>
            <rFont val="Tahoma"/>
            <family val="2"/>
          </rPr>
          <t>Hilda Evita Mendoza Soto:</t>
        </r>
        <r>
          <rPr>
            <sz val="9"/>
            <color indexed="81"/>
            <rFont val="Tahoma"/>
            <family val="2"/>
          </rPr>
          <t xml:space="preserve">
Los valores del año 1995 al 2002 estan en TM</t>
        </r>
      </text>
    </comment>
    <comment ref="E55" authorId="0" shapeId="0" xr:uid="{00000000-0006-0000-0200-000009000000}">
      <text>
        <r>
          <rPr>
            <b/>
            <sz val="9"/>
            <color indexed="81"/>
            <rFont val="Tahoma"/>
            <family val="2"/>
          </rPr>
          <t>Hilda Evita Mendoza Soto:</t>
        </r>
        <r>
          <rPr>
            <sz val="9"/>
            <color indexed="81"/>
            <rFont val="Tahoma"/>
            <family val="2"/>
          </rPr>
          <t xml:space="preserve">
Los valores del año 1998 al 2002 estan en TM</t>
        </r>
      </text>
    </comment>
    <comment ref="E56" authorId="0" shapeId="0" xr:uid="{00000000-0006-0000-0200-00000A000000}">
      <text>
        <r>
          <rPr>
            <b/>
            <sz val="9"/>
            <color indexed="81"/>
            <rFont val="Tahoma"/>
            <family val="2"/>
          </rPr>
          <t>Hilda Evita Mendoza Soto:</t>
        </r>
        <r>
          <rPr>
            <sz val="9"/>
            <color indexed="81"/>
            <rFont val="Tahoma"/>
            <family val="2"/>
          </rPr>
          <t xml:space="preserve">
Los valores del año 1995 al 2002 estan en ML.LT</t>
        </r>
      </text>
    </comment>
    <comment ref="E57" authorId="0" shapeId="0" xr:uid="{00000000-0006-0000-0200-00000B000000}">
      <text>
        <r>
          <rPr>
            <b/>
            <sz val="9"/>
            <color indexed="81"/>
            <rFont val="Tahoma"/>
            <family val="2"/>
          </rPr>
          <t>Hilda Evita Mendoza Soto:</t>
        </r>
        <r>
          <rPr>
            <sz val="9"/>
            <color indexed="81"/>
            <rFont val="Tahoma"/>
            <family val="2"/>
          </rPr>
          <t xml:space="preserve">
Los valores del año 1995 al 2002 estan en ML.LT</t>
        </r>
      </text>
    </comment>
    <comment ref="E58" authorId="0" shapeId="0" xr:uid="{00000000-0006-0000-0200-00000C000000}">
      <text>
        <r>
          <rPr>
            <b/>
            <sz val="9"/>
            <color indexed="81"/>
            <rFont val="Tahoma"/>
            <family val="2"/>
          </rPr>
          <t>Hilda Evita Mendoza Soto:</t>
        </r>
        <r>
          <rPr>
            <sz val="9"/>
            <color indexed="81"/>
            <rFont val="Tahoma"/>
            <family val="2"/>
          </rPr>
          <t xml:space="preserve">
Los valores del año 1995 al 2002 estan en ML.LT</t>
        </r>
      </text>
    </comment>
    <comment ref="D59" authorId="0" shapeId="0" xr:uid="{00000000-0006-0000-0200-00000D000000}">
      <text>
        <r>
          <rPr>
            <b/>
            <sz val="9"/>
            <color indexed="81"/>
            <rFont val="Tahoma"/>
            <family val="2"/>
          </rPr>
          <t>Hilda Evita Mendoza Soto:</t>
        </r>
        <r>
          <rPr>
            <sz val="9"/>
            <color indexed="81"/>
            <rFont val="Tahoma"/>
            <family val="2"/>
          </rPr>
          <t xml:space="preserve">
Bebidas gasesosas con dulce durante el periodo del 2003 al 2011. Del 2012 en adelante se reporta todo junto, con y sin dulce.</t>
        </r>
      </text>
    </comment>
    <comment ref="E59" authorId="0" shapeId="0" xr:uid="{00000000-0006-0000-0200-00000E000000}">
      <text>
        <r>
          <rPr>
            <b/>
            <sz val="9"/>
            <color indexed="81"/>
            <rFont val="Tahoma"/>
            <family val="2"/>
          </rPr>
          <t>Hilda Evita Mendoza Soto:</t>
        </r>
        <r>
          <rPr>
            <sz val="9"/>
            <color indexed="81"/>
            <rFont val="Tahoma"/>
            <family val="2"/>
          </rPr>
          <t xml:space="preserve">
Los valores del año 1995 al 2002 estan en ML.LT</t>
        </r>
      </text>
    </comment>
    <comment ref="D60" authorId="0" shapeId="0" xr:uid="{00000000-0006-0000-0200-00000F000000}">
      <text>
        <r>
          <rPr>
            <b/>
            <sz val="9"/>
            <color indexed="81"/>
            <rFont val="Tahoma"/>
            <family val="2"/>
          </rPr>
          <t>Hilda Evita Mendoza Soto:</t>
        </r>
        <r>
          <rPr>
            <sz val="9"/>
            <color indexed="81"/>
            <rFont val="Tahoma"/>
            <family val="2"/>
          </rPr>
          <t xml:space="preserve">
Bebidas gasesosas sin dulce durante el periodo del 2003 al 2011. Del 2012 en adelante se reporta todo junto, con y sin dulce.</t>
        </r>
      </text>
    </comment>
    <comment ref="E60" authorId="0" shapeId="0" xr:uid="{00000000-0006-0000-0200-000010000000}">
      <text>
        <r>
          <rPr>
            <b/>
            <sz val="9"/>
            <color indexed="81"/>
            <rFont val="Tahoma"/>
            <family val="2"/>
          </rPr>
          <t>Hilda Evita Mendoza Soto:</t>
        </r>
        <r>
          <rPr>
            <sz val="9"/>
            <color indexed="81"/>
            <rFont val="Tahoma"/>
            <family val="2"/>
          </rPr>
          <t xml:space="preserve">
Los valores del año 1995 al 2002 estan en ML.LT</t>
        </r>
      </text>
    </comment>
    <comment ref="E66" authorId="0" shapeId="0" xr:uid="{00000000-0006-0000-0200-000011000000}">
      <text>
        <r>
          <rPr>
            <b/>
            <sz val="9"/>
            <color indexed="81"/>
            <rFont val="Tahoma"/>
            <family val="2"/>
          </rPr>
          <t>Hilda Evita Mendoza Soto:</t>
        </r>
        <r>
          <rPr>
            <sz val="9"/>
            <color indexed="81"/>
            <rFont val="Tahoma"/>
            <family val="2"/>
          </rPr>
          <t xml:space="preserve">
Los valores del año 1995 al 2002 estan en TM</t>
        </r>
      </text>
    </comment>
    <comment ref="E79" authorId="0" shapeId="0" xr:uid="{00000000-0006-0000-0200-000012000000}">
      <text>
        <r>
          <rPr>
            <b/>
            <sz val="9"/>
            <color indexed="81"/>
            <rFont val="Tahoma"/>
            <family val="2"/>
          </rPr>
          <t>Hilda Evita Mendoza Soto:</t>
        </r>
        <r>
          <rPr>
            <sz val="9"/>
            <color indexed="81"/>
            <rFont val="Tahoma"/>
            <family val="2"/>
          </rPr>
          <t xml:space="preserve">
Los valores de 1995 al 2002 se encuentran en unidades de TM. Del 2003 en adelante, en unidades de CIENTO.</t>
        </r>
      </text>
    </comment>
    <comment ref="E90" authorId="0" shapeId="0" xr:uid="{00000000-0006-0000-0200-000013000000}">
      <text>
        <r>
          <rPr>
            <b/>
            <sz val="9"/>
            <color indexed="81"/>
            <rFont val="Tahoma"/>
            <family val="2"/>
          </rPr>
          <t>Hilda Evita Mendoza Soto:</t>
        </r>
        <r>
          <rPr>
            <sz val="9"/>
            <color indexed="81"/>
            <rFont val="Tahoma"/>
            <family val="2"/>
          </rPr>
          <t xml:space="preserve">
Los valores del año 1995 al 2002 estan en Miles de Barriles</t>
        </r>
      </text>
    </comment>
    <comment ref="E103" authorId="0" shapeId="0" xr:uid="{00000000-0006-0000-0200-000014000000}">
      <text>
        <r>
          <rPr>
            <b/>
            <sz val="9"/>
            <color indexed="81"/>
            <rFont val="Tahoma"/>
            <family val="2"/>
          </rPr>
          <t>Hilda Evita Mendoza Soto:</t>
        </r>
        <r>
          <rPr>
            <sz val="9"/>
            <color indexed="81"/>
            <rFont val="Tahoma"/>
            <family val="2"/>
          </rPr>
          <t xml:space="preserve">
Los valores del año 1995 al 2002 estan en TM</t>
        </r>
      </text>
    </comment>
    <comment ref="E104" authorId="0" shapeId="0" xr:uid="{00000000-0006-0000-0200-000015000000}">
      <text>
        <r>
          <rPr>
            <b/>
            <sz val="9"/>
            <color indexed="81"/>
            <rFont val="Tahoma"/>
            <family val="2"/>
          </rPr>
          <t>Hilda Evita Mendoza Soto:</t>
        </r>
        <r>
          <rPr>
            <sz val="9"/>
            <color indexed="81"/>
            <rFont val="Tahoma"/>
            <family val="2"/>
          </rPr>
          <t xml:space="preserve">
Los valores del año 1995 al 2002 estan en TM</t>
        </r>
      </text>
    </comment>
    <comment ref="E108" authorId="0" shapeId="0" xr:uid="{00000000-0006-0000-0200-000016000000}">
      <text>
        <r>
          <rPr>
            <b/>
            <sz val="9"/>
            <color indexed="81"/>
            <rFont val="Tahoma"/>
            <family val="2"/>
          </rPr>
          <t>Hilda Evita Mendoza Soto:</t>
        </r>
        <r>
          <rPr>
            <sz val="9"/>
            <color indexed="81"/>
            <rFont val="Tahoma"/>
            <family val="2"/>
          </rPr>
          <t xml:space="preserve">
Los valores desde 1995 al 2011 estan en unidades de Toneladas. Del 2012 al 2022 están en Litros.</t>
        </r>
      </text>
    </comment>
    <comment ref="E109" authorId="0" shapeId="0" xr:uid="{00000000-0006-0000-0200-000017000000}">
      <text>
        <r>
          <rPr>
            <b/>
            <sz val="9"/>
            <color indexed="81"/>
            <rFont val="Tahoma"/>
            <family val="2"/>
          </rPr>
          <t>Hilda Evita Mendoza Soto:</t>
        </r>
        <r>
          <rPr>
            <sz val="9"/>
            <color indexed="81"/>
            <rFont val="Tahoma"/>
            <family val="2"/>
          </rPr>
          <t xml:space="preserve">
Los valores desde 1995 al 2011 estan en unidades de Toneladas. Del 2012 al 2022 están en Litros.</t>
        </r>
      </text>
    </comment>
    <comment ref="E136" authorId="0" shapeId="0" xr:uid="{00000000-0006-0000-0200-000018000000}">
      <text>
        <r>
          <rPr>
            <b/>
            <sz val="9"/>
            <color indexed="81"/>
            <rFont val="Tahoma"/>
            <family val="2"/>
          </rPr>
          <t>Hilda Evita Mendoza Soto:</t>
        </r>
        <r>
          <rPr>
            <sz val="9"/>
            <color indexed="81"/>
            <rFont val="Tahoma"/>
            <family val="2"/>
          </rPr>
          <t xml:space="preserve">
Los valores del año 1992 al 2002 estan en unidades de "Miles de toneladas métricas brutas". Del año 2003 en adelante estan en unidades de toneladas métricas (TM)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Paloma Oviedo</author>
  </authors>
  <commentList>
    <comment ref="B93" authorId="0" shapeId="0" xr:uid="{00000000-0006-0000-0400-000001000000}">
      <text>
        <r>
          <rPr>
            <b/>
            <sz val="9"/>
            <color indexed="81"/>
            <rFont val="Tahoma"/>
            <family val="2"/>
          </rPr>
          <t>Fabricación 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Paloma Oviedo</author>
  </authors>
  <commentList>
    <comment ref="E28" authorId="0" shapeId="0" xr:uid="{00000000-0006-0000-0600-000001000000}">
      <text>
        <r>
          <rPr>
            <sz val="9"/>
            <color indexed="81"/>
            <rFont val="Tahoma"/>
            <family val="2"/>
          </rPr>
          <t>Valor medio del rango</t>
        </r>
      </text>
    </comment>
    <comment ref="E29" authorId="0" shapeId="0" xr:uid="{00000000-0006-0000-0600-000002000000}">
      <text>
        <r>
          <rPr>
            <sz val="9"/>
            <color indexed="81"/>
            <rFont val="Tahoma"/>
            <family val="2"/>
          </rPr>
          <t>Valor medio del rango</t>
        </r>
      </text>
    </comment>
    <comment ref="E30" authorId="0" shapeId="0" xr:uid="{00000000-0006-0000-0600-000003000000}">
      <text>
        <r>
          <rPr>
            <sz val="9"/>
            <color indexed="81"/>
            <rFont val="Tahoma"/>
            <family val="2"/>
          </rPr>
          <t>Valor medio del rango</t>
        </r>
      </text>
    </comment>
    <comment ref="D39" authorId="0" shapeId="0" xr:uid="{00000000-0006-0000-0600-000004000000}">
      <text>
        <r>
          <rPr>
            <sz val="9"/>
            <color indexed="81"/>
            <rFont val="Tahoma"/>
            <family val="2"/>
          </rPr>
          <t>Valor medio del rango</t>
        </r>
      </text>
    </comment>
    <comment ref="D40" authorId="0" shapeId="0" xr:uid="{00000000-0006-0000-0600-000005000000}">
      <text>
        <r>
          <rPr>
            <sz val="9"/>
            <color indexed="81"/>
            <rFont val="Tahoma"/>
            <family val="2"/>
          </rPr>
          <t>no hay valor por defecto ni rango</t>
        </r>
      </text>
    </comment>
    <comment ref="D72" authorId="0" shapeId="0" xr:uid="{00000000-0006-0000-0600-000006000000}">
      <text>
        <r>
          <rPr>
            <sz val="9"/>
            <color indexed="81"/>
            <rFont val="Tahoma"/>
            <family val="2"/>
          </rPr>
          <t>Valor medio del rango</t>
        </r>
      </text>
    </comment>
    <comment ref="E72" authorId="0" shapeId="0" xr:uid="{00000000-0006-0000-0600-000007000000}">
      <text>
        <r>
          <rPr>
            <sz val="9"/>
            <color indexed="81"/>
            <rFont val="Tahoma"/>
            <family val="2"/>
          </rPr>
          <t>Valor medio del rango</t>
        </r>
      </text>
    </comment>
    <comment ref="D73" authorId="0" shapeId="0" xr:uid="{00000000-0006-0000-0600-000008000000}">
      <text>
        <r>
          <rPr>
            <sz val="9"/>
            <color indexed="81"/>
            <rFont val="Tahoma"/>
            <family val="2"/>
          </rPr>
          <t>Valor medio del rango</t>
        </r>
      </text>
    </comment>
    <comment ref="E73" authorId="0" shapeId="0" xr:uid="{00000000-0006-0000-0600-000009000000}">
      <text>
        <r>
          <rPr>
            <sz val="9"/>
            <color indexed="81"/>
            <rFont val="Tahoma"/>
            <family val="2"/>
          </rPr>
          <t>Valor medio del rango</t>
        </r>
      </text>
    </comment>
    <comment ref="D74" authorId="0" shapeId="0" xr:uid="{00000000-0006-0000-0600-00000A000000}">
      <text>
        <r>
          <rPr>
            <sz val="9"/>
            <color indexed="81"/>
            <rFont val="Tahoma"/>
            <family val="2"/>
          </rPr>
          <t>Valor medio del rango</t>
        </r>
      </text>
    </comment>
    <comment ref="E74" authorId="0" shapeId="0" xr:uid="{00000000-0006-0000-0600-00000B000000}">
      <text>
        <r>
          <rPr>
            <sz val="9"/>
            <color indexed="81"/>
            <rFont val="Tahoma"/>
            <family val="2"/>
          </rPr>
          <t>Valor medio del rango</t>
        </r>
      </text>
    </comment>
    <comment ref="D75" authorId="0" shapeId="0" xr:uid="{00000000-0006-0000-0600-00000C000000}">
      <text>
        <r>
          <rPr>
            <sz val="9"/>
            <color indexed="81"/>
            <rFont val="Tahoma"/>
            <family val="2"/>
          </rPr>
          <t>Valor medio del rango</t>
        </r>
      </text>
    </comment>
    <comment ref="E75" authorId="0" shapeId="0" xr:uid="{00000000-0006-0000-0600-00000D000000}">
      <text>
        <r>
          <rPr>
            <sz val="9"/>
            <color indexed="81"/>
            <rFont val="Tahoma"/>
            <family val="2"/>
          </rPr>
          <t>Valor medio del rango</t>
        </r>
      </text>
    </comment>
    <comment ref="D76" authorId="0" shapeId="0" xr:uid="{00000000-0006-0000-0600-00000E000000}">
      <text>
        <r>
          <rPr>
            <sz val="9"/>
            <color indexed="81"/>
            <rFont val="Tahoma"/>
            <family val="2"/>
          </rPr>
          <t>Valor medio del rango</t>
        </r>
      </text>
    </comment>
    <comment ref="E76" authorId="0" shapeId="0" xr:uid="{00000000-0006-0000-0600-00000F000000}">
      <text>
        <r>
          <rPr>
            <sz val="9"/>
            <color indexed="81"/>
            <rFont val="Tahoma"/>
            <family val="2"/>
          </rPr>
          <t>Valor medio del rango</t>
        </r>
      </text>
    </comment>
    <comment ref="D77" authorId="0" shapeId="0" xr:uid="{00000000-0006-0000-0600-000010000000}">
      <text>
        <r>
          <rPr>
            <sz val="9"/>
            <color indexed="81"/>
            <rFont val="Tahoma"/>
            <family val="2"/>
          </rPr>
          <t>Valor medio del rango</t>
        </r>
      </text>
    </comment>
    <comment ref="E77" authorId="0" shapeId="0" xr:uid="{00000000-0006-0000-0600-000011000000}">
      <text>
        <r>
          <rPr>
            <sz val="9"/>
            <color indexed="81"/>
            <rFont val="Tahoma"/>
            <family val="2"/>
          </rPr>
          <t>Valor medio del rango</t>
        </r>
      </text>
    </comment>
    <comment ref="D78" authorId="0" shapeId="0" xr:uid="{00000000-0006-0000-0600-000012000000}">
      <text>
        <r>
          <rPr>
            <sz val="9"/>
            <color indexed="81"/>
            <rFont val="Tahoma"/>
            <family val="2"/>
          </rPr>
          <t>Valor medio del rango</t>
        </r>
      </text>
    </comment>
    <comment ref="E78" authorId="0" shapeId="0" xr:uid="{00000000-0006-0000-0600-000013000000}">
      <text>
        <r>
          <rPr>
            <sz val="9"/>
            <color indexed="81"/>
            <rFont val="Tahoma"/>
            <family val="2"/>
          </rPr>
          <t>Valor medio del rango</t>
        </r>
      </text>
    </comment>
    <comment ref="D90" authorId="0" shapeId="0" xr:uid="{00000000-0006-0000-0600-000014000000}">
      <text>
        <r>
          <rPr>
            <sz val="9"/>
            <color indexed="81"/>
            <rFont val="Tahoma"/>
            <family val="2"/>
          </rPr>
          <t>Valor medio del rango</t>
        </r>
      </text>
    </comment>
    <comment ref="D91" authorId="0" shapeId="0" xr:uid="{00000000-0006-0000-0600-000015000000}">
      <text>
        <r>
          <rPr>
            <sz val="9"/>
            <color indexed="81"/>
            <rFont val="Tahoma"/>
            <family val="2"/>
          </rPr>
          <t>Valor medio del rango</t>
        </r>
      </text>
    </comment>
    <comment ref="D92" authorId="0" shapeId="0" xr:uid="{00000000-0006-0000-0600-000016000000}">
      <text>
        <r>
          <rPr>
            <sz val="9"/>
            <color indexed="81"/>
            <rFont val="Tahoma"/>
            <family val="2"/>
          </rPr>
          <t>Valor medio del rango</t>
        </r>
      </text>
    </comment>
    <comment ref="D93" authorId="0" shapeId="0" xr:uid="{00000000-0006-0000-0600-000017000000}">
      <text>
        <r>
          <rPr>
            <sz val="9"/>
            <color indexed="81"/>
            <rFont val="Tahoma"/>
            <family val="2"/>
          </rPr>
          <t>Valor medio del rango</t>
        </r>
      </text>
    </comment>
    <comment ref="D94" authorId="0" shapeId="0" xr:uid="{00000000-0006-0000-0600-000018000000}">
      <text>
        <r>
          <rPr>
            <sz val="9"/>
            <color indexed="81"/>
            <rFont val="Tahoma"/>
            <family val="2"/>
          </rPr>
          <t>Valor medio del rango</t>
        </r>
      </text>
    </comment>
  </commentList>
</comments>
</file>

<file path=xl/sharedStrings.xml><?xml version="1.0" encoding="utf-8"?>
<sst xmlns="http://schemas.openxmlformats.org/spreadsheetml/2006/main" count="3001" uniqueCount="721">
  <si>
    <t>SECTOR DESECHOS. CATEGORÍA: TRATAMIENTO Y ELIMINACIÓN DE AGUAS RESIDUALES</t>
  </si>
  <si>
    <t>SUB CATEGORÍA: TRATAMIENTO Y ELIMINACIÓN DE AGUAS RESIDUALES INDUSTRIALES</t>
  </si>
  <si>
    <t xml:space="preserve">INSTRUCCIONES </t>
  </si>
  <si>
    <t>ALCANCE</t>
  </si>
  <si>
    <r>
      <t xml:space="preserve">El </t>
    </r>
    <r>
      <rPr>
        <b/>
        <sz val="10"/>
        <color rgb="FF7030A0"/>
        <rFont val="Calibri"/>
        <family val="2"/>
        <scheme val="minor"/>
      </rPr>
      <t>Sector Desechos</t>
    </r>
    <r>
      <rPr>
        <sz val="10"/>
        <rFont val="Calibri"/>
        <family val="2"/>
        <scheme val="minor"/>
      </rPr>
      <t xml:space="preserve">, en la sub categoría </t>
    </r>
    <r>
      <rPr>
        <b/>
        <sz val="10"/>
        <color rgb="FF7030A0"/>
        <rFont val="Calibri"/>
        <family val="2"/>
        <scheme val="minor"/>
      </rPr>
      <t>Tratamiento y Eliminación de Aguas residuales industriales</t>
    </r>
    <r>
      <rPr>
        <sz val="10"/>
        <rFont val="Calibri"/>
        <family val="2"/>
        <scheme val="minor"/>
      </rPr>
      <t xml:space="preserve">, involucra a todas las emisiones de gases de efecto invernadero que se generan por el tratamiento y la descomposición de las aguas residuales industriales en condiciones anaeróbicas. </t>
    </r>
  </si>
  <si>
    <r>
      <rPr>
        <b/>
        <sz val="10"/>
        <color rgb="FF7030A0"/>
        <rFont val="Calibri"/>
        <family val="2"/>
        <scheme val="minor"/>
      </rPr>
      <t>Tratamiento y Eliminación de Aguas residuales industriales</t>
    </r>
    <r>
      <rPr>
        <sz val="10"/>
        <rFont val="Calibri"/>
        <family val="2"/>
        <scheme val="minor"/>
      </rPr>
      <t xml:space="preserve">, comprende solo una fuente:
- Descomposición de la materia orgánica del tratamiento y eliminación de aguas residuales industriales
</t>
    </r>
  </si>
  <si>
    <t>METODOLOGÍA DE CÁLCULO</t>
  </si>
  <si>
    <t>Directrices del IPCC de 2006 para los inventarios nacionales de gases de efecto invernadero (Directrices del IPCC de 2006)</t>
  </si>
  <si>
    <t>Volumen 5 Desechos - Capítulo 6 - Tratamiento y Eliminación de Aguas Residuales</t>
  </si>
  <si>
    <t>Para el cálculo de Emisiones GEI:</t>
  </si>
  <si>
    <r>
      <t xml:space="preserve">Nivel 1: </t>
    </r>
    <r>
      <rPr>
        <sz val="10"/>
        <color indexed="8"/>
        <rFont val="Calibri"/>
        <family val="2"/>
      </rPr>
      <t>Factores de emisión y parámetros por defecto (disponibles en las guías del IPCC); datos de actividad estadísticos, por defecto o nacionales.</t>
    </r>
  </si>
  <si>
    <r>
      <t xml:space="preserve">Nivel 2: </t>
    </r>
    <r>
      <rPr>
        <sz val="10"/>
        <color indexed="8"/>
        <rFont val="Calibri"/>
        <family val="2"/>
      </rPr>
      <t>Factores de emisión y/o parámetros país-específicos y datos de actividad estadísticos.</t>
    </r>
  </si>
  <si>
    <r>
      <t xml:space="preserve">Nivel 3: </t>
    </r>
    <r>
      <rPr>
        <sz val="10"/>
        <color indexed="8"/>
        <rFont val="Calibri"/>
        <family val="2"/>
      </rPr>
      <t>Cuantificaciones resultado de modelos, encuestas, mediciones directas</t>
    </r>
  </si>
  <si>
    <t xml:space="preserve">ESTRUCTURA DE LA PLANILLA DE CÁLCULO </t>
  </si>
  <si>
    <t>Las hojas de cálculo, en este libro, están agrupadas por los siguientes colores:</t>
  </si>
  <si>
    <t>Color de hoja</t>
  </si>
  <si>
    <t>Descripción</t>
  </si>
  <si>
    <t>Caracterización de datos</t>
  </si>
  <si>
    <t>Información base de nivel de actividad</t>
  </si>
  <si>
    <t>Información procesada de nivel de actividad</t>
  </si>
  <si>
    <t>Factores de emisión y de conversión</t>
  </si>
  <si>
    <t>Hojas de cálculo de emisiones GEI</t>
  </si>
  <si>
    <t>Resultados</t>
  </si>
  <si>
    <t>Los grupos de hojas se relacionan como se muestra en el diagrama:</t>
  </si>
  <si>
    <t xml:space="preserve">ABREVIATURAS </t>
  </si>
  <si>
    <t>ANA</t>
  </si>
  <si>
    <t>: Autoridad Nacional del Agua</t>
  </si>
  <si>
    <t>Bl</t>
  </si>
  <si>
    <t>: Barril</t>
  </si>
  <si>
    <r>
      <t>B</t>
    </r>
    <r>
      <rPr>
        <vertAlign val="subscript"/>
        <sz val="10"/>
        <color theme="1"/>
        <rFont val="Calibri"/>
        <family val="2"/>
        <scheme val="minor"/>
      </rPr>
      <t>o</t>
    </r>
  </si>
  <si>
    <t>: Capacidad máxima de producción de metano para los efluentes</t>
  </si>
  <si>
    <t>C</t>
  </si>
  <si>
    <t>: Información confidencial</t>
  </si>
  <si>
    <t>CD</t>
  </si>
  <si>
    <t>: Componente degradable (DC, por sus siglas en inglés)</t>
  </si>
  <si>
    <r>
      <t>CH</t>
    </r>
    <r>
      <rPr>
        <vertAlign val="subscript"/>
        <sz val="10"/>
        <color theme="1"/>
        <rFont val="Calibri"/>
        <family val="2"/>
        <scheme val="minor"/>
      </rPr>
      <t>4</t>
    </r>
  </si>
  <si>
    <t>: Metano</t>
  </si>
  <si>
    <r>
      <t>CO</t>
    </r>
    <r>
      <rPr>
        <vertAlign val="subscript"/>
        <sz val="10"/>
        <color theme="1"/>
        <rFont val="Calibri"/>
        <family val="2"/>
        <scheme val="minor"/>
      </rPr>
      <t>2</t>
    </r>
  </si>
  <si>
    <t xml:space="preserve">: Dióxido de carbono </t>
  </si>
  <si>
    <r>
      <t>CO</t>
    </r>
    <r>
      <rPr>
        <vertAlign val="subscript"/>
        <sz val="10"/>
        <color theme="1"/>
        <rFont val="Calibri"/>
        <family val="2"/>
        <scheme val="minor"/>
      </rPr>
      <t>2</t>
    </r>
    <r>
      <rPr>
        <sz val="10"/>
        <color theme="1"/>
        <rFont val="Calibri"/>
        <family val="2"/>
        <scheme val="minor"/>
      </rPr>
      <t xml:space="preserve"> eq</t>
    </r>
  </si>
  <si>
    <t>: Dióxido de carbono equivalente</t>
  </si>
  <si>
    <t>COVDM</t>
  </si>
  <si>
    <t>: Compuesto orgánico volátil distinto al metano</t>
  </si>
  <si>
    <t>CTO</t>
  </si>
  <si>
    <t>: Ciento</t>
  </si>
  <si>
    <t>DBO</t>
  </si>
  <si>
    <t>: Demanda bioquímica de oxígeno</t>
  </si>
  <si>
    <t>DGSP</t>
  </si>
  <si>
    <t>: Dirección de Sostenibilidad Pesquera</t>
  </si>
  <si>
    <t>DGAAMI</t>
  </si>
  <si>
    <t>: Dirección General de Asuntos Ambientales de Industria</t>
  </si>
  <si>
    <t>DQO</t>
  </si>
  <si>
    <t>: Demanda química de oxígeno</t>
  </si>
  <si>
    <t>FCM</t>
  </si>
  <si>
    <t xml:space="preserve">: Factor de conversión en metano </t>
  </si>
  <si>
    <t>FE</t>
  </si>
  <si>
    <t>: Factor de Emisión</t>
  </si>
  <si>
    <t>gal</t>
  </si>
  <si>
    <t xml:space="preserve">: Galón </t>
  </si>
  <si>
    <t>GEI</t>
  </si>
  <si>
    <t>: Gases de Efecto Invernadero</t>
  </si>
  <si>
    <t>Gg</t>
  </si>
  <si>
    <t>: Gigagramos</t>
  </si>
  <si>
    <t>Directrices del IPCC de 2006</t>
  </si>
  <si>
    <t>: Directrices del IPCC para los Inventarios Nacionales de Gases de Efecto Invernadero – Versión Revisada en 2006</t>
  </si>
  <si>
    <t>GWP</t>
  </si>
  <si>
    <t>: Global Warming Potential (PCA, por sus siglas en español)</t>
  </si>
  <si>
    <t>IB</t>
  </si>
  <si>
    <t xml:space="preserve">: Información de Base </t>
  </si>
  <si>
    <t>IE</t>
  </si>
  <si>
    <t>: Incluida en otro lugar</t>
  </si>
  <si>
    <t>INGEI</t>
  </si>
  <si>
    <t xml:space="preserve">: Inventario Nacional de Gases de Efecto Invernadero </t>
  </si>
  <si>
    <t>IP</t>
  </si>
  <si>
    <t>: Información procesada</t>
  </si>
  <si>
    <t>IPCC</t>
  </si>
  <si>
    <t>: Panel Intergubernamental sobre cambio climático</t>
  </si>
  <si>
    <t>kg</t>
  </si>
  <si>
    <t>: kilogramo</t>
  </si>
  <si>
    <t>L</t>
  </si>
  <si>
    <t>:litros</t>
  </si>
  <si>
    <t>Mg</t>
  </si>
  <si>
    <t>: Miligramo</t>
  </si>
  <si>
    <t>ML</t>
  </si>
  <si>
    <t>: Miles</t>
  </si>
  <si>
    <t>m</t>
  </si>
  <si>
    <t>: metro</t>
  </si>
  <si>
    <t>MYPE</t>
  </si>
  <si>
    <t>: Mediana y Pequeña Empresa</t>
  </si>
  <si>
    <r>
      <t>N</t>
    </r>
    <r>
      <rPr>
        <vertAlign val="subscript"/>
        <sz val="10"/>
        <color theme="1"/>
        <rFont val="Calibri"/>
        <family val="2"/>
        <scheme val="minor"/>
      </rPr>
      <t>2</t>
    </r>
    <r>
      <rPr>
        <sz val="10"/>
        <color theme="1"/>
        <rFont val="Calibri"/>
        <family val="2"/>
        <scheme val="minor"/>
      </rPr>
      <t>O</t>
    </r>
  </si>
  <si>
    <t>: Oxido Nitroso</t>
  </si>
  <si>
    <t>NA</t>
  </si>
  <si>
    <t>: No aplicable</t>
  </si>
  <si>
    <t>NE</t>
  </si>
  <si>
    <t>: No estimada</t>
  </si>
  <si>
    <t>NO</t>
  </si>
  <si>
    <t>: No ocurre</t>
  </si>
  <si>
    <t>PCG</t>
  </si>
  <si>
    <t>: Potencial de Calentamiento Global (GWP, por sus siglas en inglés)</t>
  </si>
  <si>
    <t>PRODUCE</t>
  </si>
  <si>
    <t xml:space="preserve">: Ministerio de la Producción
</t>
  </si>
  <si>
    <t>RAGEI</t>
  </si>
  <si>
    <t xml:space="preserve">: Reporte Anual de Gases de Efecto Invernadero </t>
  </si>
  <si>
    <t>t</t>
  </si>
  <si>
    <t>: toneladas</t>
  </si>
  <si>
    <t>Tg</t>
  </si>
  <si>
    <t>: Teragramo</t>
  </si>
  <si>
    <t>TM</t>
  </si>
  <si>
    <t>: Toneladas Métricas</t>
  </si>
  <si>
    <t>TMB</t>
  </si>
  <si>
    <t>: Toneladas Métricas Brutas</t>
  </si>
  <si>
    <t>COD</t>
  </si>
  <si>
    <t>: Contenido orgánico degradable en el agua (TOW, por sus siglas en inglés)</t>
  </si>
  <si>
    <t>Características de datos - Sector Desechos - Subcategoría Tratamiento y Eliminación de Aguas Residuales Industriales</t>
  </si>
  <si>
    <t>Clasificación</t>
  </si>
  <si>
    <t>Fuente de emisión</t>
  </si>
  <si>
    <t>Definición IPCC</t>
  </si>
  <si>
    <t>Dato de actividad IPCC</t>
  </si>
  <si>
    <t>Dato Nacional</t>
  </si>
  <si>
    <t>Unidad</t>
  </si>
  <si>
    <t>TIER / Nivel</t>
  </si>
  <si>
    <t>Fuente de información</t>
  </si>
  <si>
    <t>Uso de la información</t>
  </si>
  <si>
    <t>GEI generados por el nivel de actividad</t>
  </si>
  <si>
    <t>Comentarios</t>
  </si>
  <si>
    <t xml:space="preserve">Fuente de emisión </t>
  </si>
  <si>
    <t>Factores de conversión utilizados</t>
  </si>
  <si>
    <t>calculado (C)/
por defecto (D)</t>
  </si>
  <si>
    <t>DESECHOS</t>
  </si>
  <si>
    <t>Desechos</t>
  </si>
  <si>
    <t>Tratamiento y eliminación de aguas residuales</t>
  </si>
  <si>
    <t>Las aguas residuales se originan en una variedad de fuentes domésticas, comerciales e industriales y pueden tratarse in situ (no recolectadas), transferirse por alcantarillado a una instalación central (recolectadas), o eliminarse sin tratamiento en las cercanías o por medio de desagües.</t>
  </si>
  <si>
    <t>Tratamiento y eliminación de aguas residuales industriales</t>
  </si>
  <si>
    <r>
      <t>Las aguas residuales industriales pueden tratarse in situ o evacuarse hacia los sistemas de cloacas o alcantarillados domésticos. Si se las evacua hacia el sistema de alcantarillado doméstico, las emisiones deben incluirse en las emisiones de aguas servidas domésticas. Esta sección trata de las estimaciones de las emisiones de CH</t>
    </r>
    <r>
      <rPr>
        <vertAlign val="subscript"/>
        <sz val="9"/>
        <rFont val="Calibri"/>
        <family val="2"/>
        <scheme val="minor"/>
      </rPr>
      <t>4</t>
    </r>
    <r>
      <rPr>
        <sz val="9"/>
        <rFont val="Calibri"/>
        <family val="2"/>
        <scheme val="minor"/>
      </rPr>
      <t xml:space="preserve"> procedentes del tratamiento in situ de aguas residuales industriales. </t>
    </r>
  </si>
  <si>
    <t>Producción industrial (P)</t>
  </si>
  <si>
    <t>Masa (Toneladas, Kilogramos), Volumen (Litros, Galones, Barriles) / año</t>
  </si>
  <si>
    <t>Para estimar el contenido orgánico degradable en el agua</t>
  </si>
  <si>
    <r>
      <t>CH</t>
    </r>
    <r>
      <rPr>
        <vertAlign val="subscript"/>
        <sz val="9"/>
        <rFont val="Calibri"/>
        <family val="2"/>
        <scheme val="minor"/>
      </rPr>
      <t>4</t>
    </r>
  </si>
  <si>
    <t>Factor de conversión en metano  - FCM (relación, adimensional), por tipo de tratamiento</t>
  </si>
  <si>
    <t>D</t>
  </si>
  <si>
    <r>
      <t>Capacidad máxima de producción de metano - Bo
(kg CH</t>
    </r>
    <r>
      <rPr>
        <vertAlign val="subscript"/>
        <sz val="9"/>
        <color theme="1"/>
        <rFont val="Calibri"/>
        <family val="2"/>
        <scheme val="minor"/>
      </rPr>
      <t>4</t>
    </r>
    <r>
      <rPr>
        <sz val="9"/>
        <color theme="1"/>
        <rFont val="Calibri"/>
        <family val="2"/>
        <scheme val="minor"/>
      </rPr>
      <t>/kg DQO)</t>
    </r>
  </si>
  <si>
    <r>
      <t>Demanda Química de Oxígeno (DQO) (Kg DQO/m</t>
    </r>
    <r>
      <rPr>
        <vertAlign val="superscript"/>
        <sz val="9"/>
        <color theme="1"/>
        <rFont val="Calibri"/>
        <family val="2"/>
        <scheme val="minor"/>
      </rPr>
      <t>3</t>
    </r>
    <r>
      <rPr>
        <sz val="9"/>
        <color theme="1"/>
        <rFont val="Calibri"/>
        <family val="2"/>
        <scheme val="minor"/>
      </rPr>
      <t xml:space="preserve"> agua residual), por tipo de industria</t>
    </r>
  </si>
  <si>
    <t>The Intergovernmental Panel on Climate Change. (2006). Directrices del IPCC de 2006 para los inventarios nacionales de gases de efecto invernadero. Obtenido de The Intergovernmental Panel on Climate Change: https://www.ipcc-nggip.iges.or.jp/public/2006gl/
( Volumen 5: Desechos - Pag 6.25 - Cuadro 6.9)</t>
  </si>
  <si>
    <r>
      <t>Agua residual generada, por tipo de industria (m</t>
    </r>
    <r>
      <rPr>
        <vertAlign val="superscript"/>
        <sz val="9"/>
        <color theme="1"/>
        <rFont val="Calibri"/>
        <family val="2"/>
        <scheme val="minor"/>
      </rPr>
      <t>3</t>
    </r>
    <r>
      <rPr>
        <sz val="9"/>
        <color theme="1"/>
        <rFont val="Calibri"/>
        <family val="2"/>
        <scheme val="minor"/>
      </rPr>
      <t>/tonelada de producto)</t>
    </r>
  </si>
  <si>
    <t>Masa (Toneladas) / año</t>
  </si>
  <si>
    <t>Tipos de tratamiento</t>
  </si>
  <si>
    <t>tipos (descriptivo)</t>
  </si>
  <si>
    <t>Porcentaje (%)</t>
  </si>
  <si>
    <t>TRATAMIENTO Y ELIMINACIÓN DE AGUAS RESIDUALES INDUSTRIALES</t>
  </si>
  <si>
    <t>Producción industrial según tipo de industria en el subsector de MYPE e Industria</t>
  </si>
  <si>
    <t>DATOS DE LA INFORMACIÓN BASE</t>
  </si>
  <si>
    <t>Relación de esta hoja, con otras:</t>
  </si>
  <si>
    <t>Código</t>
  </si>
  <si>
    <t>Dato nacional</t>
  </si>
  <si>
    <t>Producción industrial según tipo de industria  (MYPE e Industria)</t>
  </si>
  <si>
    <t>Fuente</t>
  </si>
  <si>
    <t>Enlace en web</t>
  </si>
  <si>
    <t xml:space="preserve">Comentario </t>
  </si>
  <si>
    <t>AÑO 2019</t>
  </si>
  <si>
    <t>CLASIFICACIÓN DE LA FUENTE DE INFORMACIÓN</t>
  </si>
  <si>
    <t>DESCRIPCIÓN</t>
  </si>
  <si>
    <t xml:space="preserve">UNIDAD </t>
  </si>
  <si>
    <t>VALOR</t>
  </si>
  <si>
    <t>PRODUCCIÓN, PROCESAMIENTO Y CONSERVACIÓN DE PRODUCTOS ALIMENTICIOS</t>
  </si>
  <si>
    <t>Carnes ahumadas</t>
  </si>
  <si>
    <t>KG</t>
  </si>
  <si>
    <t>Chorizos</t>
  </si>
  <si>
    <t>Hot dog - salchichas</t>
  </si>
  <si>
    <t>Jamón</t>
  </si>
  <si>
    <t>Jamonada</t>
  </si>
  <si>
    <t>Paté</t>
  </si>
  <si>
    <t>Carne de Ave Beneficiada</t>
  </si>
  <si>
    <t>Carne de caprino beneficiada</t>
  </si>
  <si>
    <t>Carne de porcino beneficiada</t>
  </si>
  <si>
    <t>Carne de Vacuno Beneficiada</t>
  </si>
  <si>
    <t>Carne de llama beneficiada</t>
  </si>
  <si>
    <t>Carne de ovino beneficiada</t>
  </si>
  <si>
    <t>Carne de alpaca beneficiada</t>
  </si>
  <si>
    <t>Esparragos Congelados</t>
  </si>
  <si>
    <r>
      <t>Esparragos en conserva</t>
    </r>
    <r>
      <rPr>
        <sz val="10"/>
        <color rgb="FF0070C0"/>
        <rFont val="Calibri"/>
        <family val="2"/>
        <scheme val="minor"/>
      </rPr>
      <t xml:space="preserve"> </t>
    </r>
    <r>
      <rPr>
        <sz val="10"/>
        <color theme="0" tint="-0.34998626667073579"/>
        <rFont val="Calibri"/>
        <family val="2"/>
        <scheme val="minor"/>
      </rPr>
      <t>(también como conservas de espárragos)</t>
    </r>
  </si>
  <si>
    <t>Alcachofa</t>
  </si>
  <si>
    <r>
      <t>Jugos y néctares</t>
    </r>
    <r>
      <rPr>
        <sz val="10"/>
        <color theme="0" tint="-0.34998626667073579"/>
        <rFont val="Calibri"/>
        <family val="2"/>
        <scheme val="minor"/>
      </rPr>
      <t xml:space="preserve"> (también como jugos y refrescos diversos)</t>
    </r>
  </si>
  <si>
    <t>Pimiento (conserva, deshidratado)</t>
  </si>
  <si>
    <t>Mango (congelado, conserva)</t>
  </si>
  <si>
    <t>Manteca diversas</t>
  </si>
  <si>
    <t>Margarina</t>
  </si>
  <si>
    <r>
      <t>Aceite vegetal</t>
    </r>
    <r>
      <rPr>
        <sz val="10"/>
        <color rgb="FF0070C0"/>
        <rFont val="Calibri"/>
        <family val="2"/>
        <scheme val="minor"/>
      </rPr>
      <t xml:space="preserve"> </t>
    </r>
    <r>
      <rPr>
        <sz val="10"/>
        <color theme="0" tint="-0.34998626667073579"/>
        <rFont val="Calibri"/>
        <family val="2"/>
        <scheme val="minor"/>
      </rPr>
      <t>(también como aceites vegetal y compuesto)</t>
    </r>
  </si>
  <si>
    <t>Leche Evaporada</t>
  </si>
  <si>
    <t>Yogurt</t>
  </si>
  <si>
    <t>Leche fresca (pasteurizada)</t>
  </si>
  <si>
    <t>Helados</t>
  </si>
  <si>
    <t>Quesos maduros</t>
  </si>
  <si>
    <t>Quesos frescos</t>
  </si>
  <si>
    <t>Mantequilla</t>
  </si>
  <si>
    <t>Crema de leche</t>
  </si>
  <si>
    <t>LT</t>
  </si>
  <si>
    <r>
      <t>Azúcar</t>
    </r>
    <r>
      <rPr>
        <sz val="10"/>
        <color rgb="FF0070C0"/>
        <rFont val="Calibri"/>
        <family val="2"/>
        <scheme val="minor"/>
      </rPr>
      <t xml:space="preserve"> </t>
    </r>
    <r>
      <rPr>
        <sz val="10"/>
        <color theme="0" tint="-0.34998626667073579"/>
        <rFont val="Calibri"/>
        <family val="2"/>
        <scheme val="minor"/>
      </rPr>
      <t>(también como azúcar refinada)</t>
    </r>
  </si>
  <si>
    <r>
      <t>Café (tostado y molido)</t>
    </r>
    <r>
      <rPr>
        <sz val="10"/>
        <color rgb="FF0070C0"/>
        <rFont val="Calibri"/>
        <family val="2"/>
        <scheme val="minor"/>
      </rPr>
      <t xml:space="preserve"> </t>
    </r>
    <r>
      <rPr>
        <sz val="10"/>
        <color theme="0" tint="-0.34998626667073579"/>
        <rFont val="Calibri"/>
        <family val="2"/>
        <scheme val="minor"/>
      </rPr>
      <t>(también como Café soluble)</t>
    </r>
  </si>
  <si>
    <t>Alimento balanceado para ave</t>
  </si>
  <si>
    <t xml:space="preserve">(*) </t>
  </si>
  <si>
    <t>Alimento balanceado para peces - crustáceos</t>
  </si>
  <si>
    <t>Alimento balanceado para mascota</t>
  </si>
  <si>
    <t>Alimento balanceado para ganado (también como alimento balanceado para vacuno)</t>
  </si>
  <si>
    <t>Alimento balanceado para cerdo (también como alimento balanceado para cerdo)</t>
  </si>
  <si>
    <t>mermeladas de frutas diversas</t>
  </si>
  <si>
    <t>-</t>
  </si>
  <si>
    <t>(no reporta)</t>
  </si>
  <si>
    <t>tomate cátchup / kétchup</t>
  </si>
  <si>
    <t>pasta de tomate</t>
  </si>
  <si>
    <t>quesos</t>
  </si>
  <si>
    <t>ELABORACION DE BEBIDAS</t>
  </si>
  <si>
    <t>Piscos</t>
  </si>
  <si>
    <r>
      <t>Vinos</t>
    </r>
    <r>
      <rPr>
        <sz val="10"/>
        <color rgb="FF0070C0"/>
        <rFont val="Calibri"/>
        <family val="2"/>
        <scheme val="minor"/>
      </rPr>
      <t xml:space="preserve"> </t>
    </r>
    <r>
      <rPr>
        <sz val="10"/>
        <color theme="0" tint="-0.34998626667073579"/>
        <rFont val="Calibri"/>
        <family val="2"/>
        <scheme val="minor"/>
      </rPr>
      <t>(también como vinos y espumantes)</t>
    </r>
  </si>
  <si>
    <t>Cerveza blanca</t>
  </si>
  <si>
    <t>Bebidas gaseosas (o también dividida en bebidas gaseosas sin dulce y con dulce)</t>
  </si>
  <si>
    <t>Refrescos (líquido)</t>
  </si>
  <si>
    <t>Bebidas hidratantes</t>
  </si>
  <si>
    <t>Bebidas Energizantes</t>
  </si>
  <si>
    <t>ron</t>
  </si>
  <si>
    <t>cerveza negra</t>
  </si>
  <si>
    <t>HILATURA, TEJEDURA Y ACABADOS DE PRODUCTOS TEXTILES</t>
  </si>
  <si>
    <t>Hilo e hilado de algodón</t>
  </si>
  <si>
    <t>Telas de algodón  (también como tejidos de algodón)</t>
  </si>
  <si>
    <t>MT</t>
  </si>
  <si>
    <t>Telas de algodón (en unidades de masa)</t>
  </si>
  <si>
    <t>hilos e hilados de pelos de alpaca</t>
  </si>
  <si>
    <t>tops de pelo de alpaca</t>
  </si>
  <si>
    <t>hilos e hilados de lana de oveja</t>
  </si>
  <si>
    <t>FABRICACION DE PAPEL Y DE PRODUCTOS DE PAPEL</t>
  </si>
  <si>
    <t>Papel corrugado</t>
  </si>
  <si>
    <t>Cartones diversos</t>
  </si>
  <si>
    <t xml:space="preserve">Papel higiénico                                 </t>
  </si>
  <si>
    <r>
      <t>Papel Bond</t>
    </r>
    <r>
      <rPr>
        <sz val="10"/>
        <color rgb="FF0070C0"/>
        <rFont val="Calibri"/>
        <family val="2"/>
        <scheme val="minor"/>
      </rPr>
      <t xml:space="preserve"> </t>
    </r>
    <r>
      <rPr>
        <sz val="10"/>
        <color theme="0" tint="-0.34998626667073579"/>
        <rFont val="Calibri"/>
        <family val="2"/>
        <scheme val="minor"/>
      </rPr>
      <t>(también como papel bond y similares)</t>
    </r>
  </si>
  <si>
    <t xml:space="preserve">Servilleta                                     </t>
  </si>
  <si>
    <t xml:space="preserve">Papel toalla                       </t>
  </si>
  <si>
    <t xml:space="preserve">Papeles diversos                  </t>
  </si>
  <si>
    <t>Cartulina</t>
  </si>
  <si>
    <t>papel Kraft y similares</t>
  </si>
  <si>
    <t>cartón liner</t>
  </si>
  <si>
    <t>cartón dúplex</t>
  </si>
  <si>
    <t>cartón corrugado</t>
  </si>
  <si>
    <t>sacos multipliegos</t>
  </si>
  <si>
    <t>cajas de cartón corrugado</t>
  </si>
  <si>
    <t>toallas higiénicas</t>
  </si>
  <si>
    <t>pañales tipo calzón</t>
  </si>
  <si>
    <t>PRODUCTOS DE LA REFINACIÓN DEL PETRÓLEO</t>
  </si>
  <si>
    <t>Petróleo (Diesel)</t>
  </si>
  <si>
    <t>BL</t>
  </si>
  <si>
    <t>Petróleo industrial</t>
  </si>
  <si>
    <t>GL</t>
  </si>
  <si>
    <t>petrodiésel 2</t>
  </si>
  <si>
    <t>FABRICACIÓN DE SUSTANCIAS QUÍMICAS BÁSICAS</t>
  </si>
  <si>
    <r>
      <t xml:space="preserve">Alcohol etílico </t>
    </r>
    <r>
      <rPr>
        <sz val="10"/>
        <color theme="0" tint="-0.34998626667073579"/>
        <rFont val="Calibri"/>
        <family val="2"/>
        <scheme val="minor"/>
      </rPr>
      <t xml:space="preserve">(también como alcohol etílico rectificado)                                  </t>
    </r>
  </si>
  <si>
    <t xml:space="preserve">Acetileno                                                              </t>
  </si>
  <si>
    <t>FABRICACION DE OTROS PRODUCTOS QUIMICOS</t>
  </si>
  <si>
    <t>carmín de cochinilla</t>
  </si>
  <si>
    <t>dinamita</t>
  </si>
  <si>
    <t>productos de limpieza del hogar en litro</t>
  </si>
  <si>
    <t>productos de limpieza del hogar en kilogramo</t>
  </si>
  <si>
    <t>pintura látex</t>
  </si>
  <si>
    <t>pinturas industriales</t>
  </si>
  <si>
    <t>pinturas automotrices</t>
  </si>
  <si>
    <t>pinturas acuosas</t>
  </si>
  <si>
    <t>esmaltes convencionales</t>
  </si>
  <si>
    <t>barnices convencionales</t>
  </si>
  <si>
    <t>Detergente</t>
  </si>
  <si>
    <t>Jabón para Lavar Ropa</t>
  </si>
  <si>
    <t>Lavavajillas</t>
  </si>
  <si>
    <t>Desengrasante</t>
  </si>
  <si>
    <t>Limpiador</t>
  </si>
  <si>
    <r>
      <t>Shampoo</t>
    </r>
    <r>
      <rPr>
        <sz val="10"/>
        <color theme="0" tint="-0.34998626667073579"/>
        <rFont val="Calibri"/>
        <family val="2"/>
        <scheme val="minor"/>
      </rPr>
      <t xml:space="preserve"> (también como champú)</t>
    </r>
  </si>
  <si>
    <t>Jabón de Tocador</t>
  </si>
  <si>
    <t>FABRICACION DE PRODUCTOS DE PLÁSTICO</t>
  </si>
  <si>
    <t>Producción de llantas (autos, camionetas)</t>
  </si>
  <si>
    <t>Producción de llantas (tractor y fuera de carretera)</t>
  </si>
  <si>
    <t>Producción de llantas (camión)</t>
  </si>
  <si>
    <t>Polietileno (Consumo de)</t>
  </si>
  <si>
    <t>Poliestireno (Consumo de)</t>
  </si>
  <si>
    <t>Polipropileno (Consumo de)</t>
  </si>
  <si>
    <t>P V C (Consumo de)</t>
  </si>
  <si>
    <t>Plastificantes D O P (Consumo de)</t>
  </si>
  <si>
    <t>Masterbatch (Consumo de)</t>
  </si>
  <si>
    <t>Resina Pet para Envases (Consumo de)</t>
  </si>
  <si>
    <t>sulfato tribásico de plomo (Consumo de)</t>
  </si>
  <si>
    <t xml:space="preserve">NOTA 1: Para completar la serie de tiempo se han utilizado dos tipos de fuentes de información: i) los Anuarios Estadísticos de PRODUCE y ii) las Series Nacionales de INEI.  Los anuarios estadísticos se utilizan para completar la información de los años del 2000 al 2019, mientras que las Series Nacionales de INEI se utilizan solo para el año 2000. Como en la fuente de Series Nacionales de INEI usada para el año 2000  algunos de los nombres de los ítems producidos se redactan diferente a las otras dos fuentes, se ha decidido utilizar en las planillas de todos los años de la serie los nombres de los ítems que se usan en los anuarios estadísticos (fuente de información de datos nacionales para los años 2019, 2016, 2014, 2012, 2010 y 2005) e  indicar los nombres de las Series Nacionales de INEI en letras grises. Asimismo, en esta lista se integran el total de ítems considerados de todas las fuentes.  Se puede observar que en algunos casos el indicador no se reporta.  </t>
  </si>
  <si>
    <r>
      <t xml:space="preserve">NOTA 2: Las Directrices del IPCC de 2006, no cuenta con valores por defecto para la estimación de los ítems con la </t>
    </r>
    <r>
      <rPr>
        <u/>
        <sz val="10"/>
        <color theme="1"/>
        <rFont val="Calibri"/>
        <family val="2"/>
        <scheme val="minor"/>
      </rPr>
      <t>nota (*)</t>
    </r>
    <r>
      <rPr>
        <sz val="10"/>
        <color theme="1"/>
        <rFont val="Calibri"/>
        <family val="2"/>
        <scheme val="minor"/>
      </rPr>
      <t>. Anteriormente, cuando se utilizaba la OBP 2000 del IPCC, si se consideraba aquellos ítems donde se tenía algunos valores por defecto.</t>
    </r>
  </si>
  <si>
    <t>Producción industrial según tipo de industria en el subsector de Pesca y Acuicultura</t>
  </si>
  <si>
    <t>Producción de recursos hidrobiológicos según giro industrial</t>
  </si>
  <si>
    <t>PRODUCCIÓN DE RECURSOS HIDROBIOLÓGICOS SEGÚN GIRO INDUSTRIAL</t>
  </si>
  <si>
    <r>
      <t xml:space="preserve">Producción de Enlatado </t>
    </r>
    <r>
      <rPr>
        <sz val="10"/>
        <color theme="0" tint="-0.34998626667073579"/>
        <rFont val="Calibri"/>
        <family val="2"/>
        <scheme val="minor"/>
      </rPr>
      <t>(también como transformación de la pesca marítima para enlatado)</t>
    </r>
  </si>
  <si>
    <r>
      <t xml:space="preserve">Producción de Congelado </t>
    </r>
    <r>
      <rPr>
        <sz val="10"/>
        <color theme="0" tint="-0.34998626667073579"/>
        <rFont val="Calibri"/>
        <family val="2"/>
        <scheme val="minor"/>
      </rPr>
      <t>(también como transformación de la pesca marítima para congelado)</t>
    </r>
  </si>
  <si>
    <r>
      <t xml:space="preserve">Producción de Curado </t>
    </r>
    <r>
      <rPr>
        <sz val="10"/>
        <color theme="0" tint="-0.34998626667073579"/>
        <rFont val="Calibri"/>
        <family val="2"/>
        <scheme val="minor"/>
      </rPr>
      <t>(transformación de la pesca marítima para curado)</t>
    </r>
  </si>
  <si>
    <r>
      <t xml:space="preserve">Producción de Harina </t>
    </r>
    <r>
      <rPr>
        <sz val="10"/>
        <color theme="0" tint="-0.34998626667073579"/>
        <rFont val="Calibri"/>
        <family val="2"/>
        <scheme val="minor"/>
      </rPr>
      <t>(también como transformación de la pesca marítima para harina de pescado)</t>
    </r>
  </si>
  <si>
    <r>
      <t xml:space="preserve">Producción de Aceite crudo </t>
    </r>
    <r>
      <rPr>
        <sz val="10"/>
        <color theme="0" tint="-0.34998626667073579"/>
        <rFont val="Calibri"/>
        <family val="2"/>
        <scheme val="minor"/>
      </rPr>
      <t>(también como transformación de la pesca marítima para aceite crudo de pescado)</t>
    </r>
  </si>
  <si>
    <t>NOTA 2: El valor del dato sobre producción de  harina no incluye la harina residual. Aunque esta diferenciación se encuentra disponible para el año 2019, no se describe para los otros años. Por lo tanto, para mantener la coherencia del dato en la serie de tiempo no se ha incluido la harina residual, aunque idealmente la harina residual también se debería incluir.</t>
  </si>
  <si>
    <t>AÑO 2016</t>
  </si>
  <si>
    <t>AÑO 2014</t>
  </si>
  <si>
    <t>AÑO 2012</t>
  </si>
  <si>
    <t>AÑO 2010</t>
  </si>
  <si>
    <t>ML.LT</t>
  </si>
  <si>
    <t>papel kraft y similares</t>
  </si>
  <si>
    <t>AÑO 2005</t>
  </si>
  <si>
    <t>Petroleo industrial</t>
  </si>
  <si>
    <t>AÑO 2000</t>
  </si>
  <si>
    <t xml:space="preserve">DATO DE ACTIVIDAD: 
- Tipos de tratamiento de las aguas residuales industriales </t>
  </si>
  <si>
    <t>Tipos de tratamiento de las aguas residuales industriales previos a su vertimiento al cuerpo de agua natural</t>
  </si>
  <si>
    <t xml:space="preserve">Autoridad Nacional del Agua. (2020). Autorizaciones de vertimientos de aguas residuales tratadas (2009-2020) - Registro administrativo de vertimientos y reusos de aguas residuales tratadas. Información reportada por la Autoridad Nacional del Agua, en el marco de la elaboración del RAGEI 2016 (por Jorge Silva Morán). 
Ministerio del Ambiente - Ministerio de la Producción. (2021). Evaluación de tratamientos de efluentes industriales (para RAGEI 2016, por Inés Mendoza) a partir de información reportada por la Autoridad Nacional del Agua, en el marco de la elaboración del RAGEI 2016, de " autorizaciones de vertimientos de aguas residuales tratadas" de su "Registro administrativo de vertimientos y reusos de aguas residuales tratadas". </t>
  </si>
  <si>
    <t>(no está publicado en web)</t>
  </si>
  <si>
    <t>Rubro</t>
  </si>
  <si>
    <t>Tipo de tratamiento de acuerdo a ANA</t>
  </si>
  <si>
    <t>Refinado de alcohol</t>
  </si>
  <si>
    <t>Se desconoce</t>
  </si>
  <si>
    <t>Malta y cerveza</t>
  </si>
  <si>
    <t>Tratamiento biológico</t>
  </si>
  <si>
    <t>Hortalizas, frutas y jugos</t>
  </si>
  <si>
    <t>Aceites vegetales</t>
  </si>
  <si>
    <t>Productos lácteos</t>
  </si>
  <si>
    <t>Refinación de azúcar</t>
  </si>
  <si>
    <t>Vinos y vinagres</t>
  </si>
  <si>
    <t>Pulpa y papel (combinados)</t>
  </si>
  <si>
    <t>Físico químico</t>
  </si>
  <si>
    <t>Refinerías de petróleo</t>
  </si>
  <si>
    <t>Sustancias químicas orgánicas</t>
  </si>
  <si>
    <t>Jabón y detergentes</t>
  </si>
  <si>
    <t>Elaboración de pescado</t>
  </si>
  <si>
    <r>
      <t xml:space="preserve">Grado de utilización de tecnologías de tratamiento de las </t>
    </r>
    <r>
      <rPr>
        <b/>
        <u/>
        <sz val="10"/>
        <rFont val="Calibri"/>
        <family val="2"/>
        <scheme val="minor"/>
      </rPr>
      <t>aguas residuales domésticas</t>
    </r>
  </si>
  <si>
    <t>Año</t>
  </si>
  <si>
    <t>Laguna anaeróbica profunda</t>
  </si>
  <si>
    <t>Laguna anaeróbica poco profunda</t>
  </si>
  <si>
    <t>Sistema séptico</t>
  </si>
  <si>
    <t>Nota 2: "Eliminación en río, lago y mar" según la clasificación IPCC, que corresponde a la clasificación nacional "Emisor submarino": Tratamiento físico químico con descarga al mar.</t>
  </si>
  <si>
    <t xml:space="preserve">FACTORES DE CONVERSIÓN </t>
  </si>
  <si>
    <t>Demanda Química de Oxígeno (DQO) y Generación de Efluentes</t>
  </si>
  <si>
    <t>Correspondencia a valores por defecto de la metodología (Directrices del IPCC de 2006)</t>
  </si>
  <si>
    <t>Datos sobre efluentes industriales</t>
  </si>
  <si>
    <r>
      <t>Generación de efluenes</t>
    </r>
    <r>
      <rPr>
        <sz val="10"/>
        <color theme="0"/>
        <rFont val="Calibri"/>
        <family val="2"/>
        <scheme val="minor"/>
      </rPr>
      <t xml:space="preserve"> 
(m</t>
    </r>
    <r>
      <rPr>
        <vertAlign val="superscript"/>
        <sz val="10"/>
        <color theme="0"/>
        <rFont val="Calibri"/>
        <family val="2"/>
        <scheme val="minor"/>
      </rPr>
      <t>3</t>
    </r>
    <r>
      <rPr>
        <sz val="10"/>
        <color theme="0"/>
        <rFont val="Calibri"/>
        <family val="2"/>
        <scheme val="minor"/>
      </rPr>
      <t>/t)</t>
    </r>
  </si>
  <si>
    <r>
      <t xml:space="preserve">DQO
</t>
    </r>
    <r>
      <rPr>
        <sz val="10"/>
        <color theme="0"/>
        <rFont val="Calibri"/>
        <family val="2"/>
        <scheme val="minor"/>
      </rPr>
      <t>(g/l)</t>
    </r>
  </si>
  <si>
    <t>Tipo de industria</t>
  </si>
  <si>
    <r>
      <t>Generación de efluentes (m</t>
    </r>
    <r>
      <rPr>
        <vertAlign val="superscript"/>
        <sz val="10"/>
        <color theme="1"/>
        <rFont val="Calibri"/>
        <family val="2"/>
        <scheme val="minor"/>
      </rPr>
      <t>3</t>
    </r>
    <r>
      <rPr>
        <sz val="10"/>
        <color theme="1"/>
        <rFont val="Calibri"/>
        <family val="2"/>
        <scheme val="minor"/>
      </rPr>
      <t>/t)</t>
    </r>
  </si>
  <si>
    <r>
      <t>Rango de generación de efluentes (m</t>
    </r>
    <r>
      <rPr>
        <vertAlign val="superscript"/>
        <sz val="10"/>
        <color theme="1"/>
        <rFont val="Calibri"/>
        <family val="2"/>
        <scheme val="minor"/>
      </rPr>
      <t>3</t>
    </r>
    <r>
      <rPr>
        <sz val="10"/>
        <color theme="1"/>
        <rFont val="Calibri"/>
        <family val="2"/>
        <scheme val="minor"/>
      </rPr>
      <t xml:space="preserve"> / t)</t>
    </r>
  </si>
  <si>
    <t>DQO (kg/m3)</t>
  </si>
  <si>
    <r>
      <t>Rango de DQO (kg/m</t>
    </r>
    <r>
      <rPr>
        <vertAlign val="superscript"/>
        <sz val="10"/>
        <color theme="1"/>
        <rFont val="Calibri"/>
        <family val="2"/>
        <scheme val="minor"/>
      </rPr>
      <t>3</t>
    </r>
    <r>
      <rPr>
        <sz val="10"/>
        <color theme="1"/>
        <rFont val="Calibri"/>
        <family val="2"/>
        <scheme val="minor"/>
      </rPr>
      <t>)</t>
    </r>
  </si>
  <si>
    <t>Refinación de alcoholes</t>
  </si>
  <si>
    <t>Cerveza y malta</t>
  </si>
  <si>
    <t>Café</t>
  </si>
  <si>
    <t>ND</t>
  </si>
  <si>
    <t>Carnes y aves</t>
  </si>
  <si>
    <t>Refinarías de petróleo</t>
  </si>
  <si>
    <t>Plásticos y resinas</t>
  </si>
  <si>
    <t>Producción de almidón</t>
  </si>
  <si>
    <t>Esparragos en conserva (también como conservas de espárragos)</t>
  </si>
  <si>
    <t>Verduras, frutas y jugos</t>
  </si>
  <si>
    <t>Jugos y néctares (también como jugos y refrescos diversos)</t>
  </si>
  <si>
    <t xml:space="preserve">Notas: ND = no se dispone de datos </t>
  </si>
  <si>
    <t xml:space="preserve">                Cuando se dispone de pocos datos, se supone que el rango varía entre -50 % y + 100 %</t>
  </si>
  <si>
    <t>Fuente: Doorn y otros (1997)</t>
  </si>
  <si>
    <t>FUENTE: Directrices del IPCC de 2006, Volúmen 5, Capítulo 6, página 6.25, Cuadro 6.9</t>
  </si>
  <si>
    <t>Aceite vegetal (también como aceites vegetal y compuesto)</t>
  </si>
  <si>
    <t>Azúcar (también como azucar refinada)</t>
  </si>
  <si>
    <t>Café (tostado y molido) (también como Café soluble)</t>
  </si>
  <si>
    <t>tomate catchup / ketchup</t>
  </si>
  <si>
    <t>Vinos (también como vinos y espumantes)</t>
  </si>
  <si>
    <t>Papel Bond (también como papel bond y similares)</t>
  </si>
  <si>
    <t>Petroleo (diesel)</t>
  </si>
  <si>
    <t xml:space="preserve">Alcohol etílico (también como alcohol etílico rectificado)                                  </t>
  </si>
  <si>
    <t>Shampoo (también como champú)</t>
  </si>
  <si>
    <t>Producción de Enlatado (también como transformación de la pesca marítima para enlatado)</t>
  </si>
  <si>
    <t>Producción de Congelado (también como transformación de la pesca marítima para congelado)</t>
  </si>
  <si>
    <t>Producción de Curado (transformación de la pesca marítima para curado)</t>
  </si>
  <si>
    <t>Producción de Harina (también como transformación de la pesca marítima para harina de pescado)</t>
  </si>
  <si>
    <t>Producción de Aceite crudo (también como transformación de la pesca marítima para aceite crudo de pescado)</t>
  </si>
  <si>
    <t>Factores de emisión para el tratamiento de aguas industriales</t>
  </si>
  <si>
    <t>Tipo de vía o sistema de tratamiento y eliminación (1)</t>
  </si>
  <si>
    <t>Factor de corrección de metano (1)</t>
  </si>
  <si>
    <r>
      <t>Capacidad máxima de producción de CH</t>
    </r>
    <r>
      <rPr>
        <b/>
        <vertAlign val="subscript"/>
        <sz val="10"/>
        <color theme="1"/>
        <rFont val="Calibri"/>
        <family val="2"/>
        <scheme val="minor"/>
      </rPr>
      <t>4</t>
    </r>
    <r>
      <rPr>
        <b/>
        <sz val="10"/>
        <color theme="1"/>
        <rFont val="Calibri"/>
        <family val="2"/>
        <scheme val="minor"/>
      </rPr>
      <t xml:space="preserve"> (kg. de CH</t>
    </r>
    <r>
      <rPr>
        <b/>
        <vertAlign val="subscript"/>
        <sz val="10"/>
        <color theme="1"/>
        <rFont val="Calibri"/>
        <family val="2"/>
        <scheme val="minor"/>
      </rPr>
      <t>4</t>
    </r>
    <r>
      <rPr>
        <b/>
        <sz val="10"/>
        <color theme="1"/>
        <rFont val="Calibri"/>
        <family val="2"/>
        <scheme val="minor"/>
      </rPr>
      <t>/kg. de DQO)  (2)</t>
    </r>
  </si>
  <si>
    <r>
      <t>Factor de emisión  (kg CH</t>
    </r>
    <r>
      <rPr>
        <b/>
        <vertAlign val="subscript"/>
        <sz val="10"/>
        <color theme="1"/>
        <rFont val="Calibri"/>
        <family val="2"/>
        <scheme val="minor"/>
      </rPr>
      <t>4</t>
    </r>
    <r>
      <rPr>
        <b/>
        <sz val="10"/>
        <color theme="1"/>
        <rFont val="Calibri"/>
        <family val="2"/>
        <scheme val="minor"/>
      </rPr>
      <t>/kg DQO) (3)</t>
    </r>
  </si>
  <si>
    <t>Eliminación en agua, río o mar</t>
  </si>
  <si>
    <t>Planta de tratamiento centralizado aeróbico – bien operada</t>
  </si>
  <si>
    <t>Planta de tratamiento centralizado aeróbico – gestión deficiente</t>
  </si>
  <si>
    <t>Digestor anaeróbico para lodos</t>
  </si>
  <si>
    <t>Reactor anaeróbico</t>
  </si>
  <si>
    <t>(1)  VALORES DE FCM POR DEFECTO PARA LAS AGUAS RESIDUALES INDUSTRIALES:</t>
  </si>
  <si>
    <t>FUENTE: Directrices del IPCC de 2006, Volúmen 5, Capítulo 6, página 6.23, Cuadro 6.8</t>
  </si>
  <si>
    <t>The Intergovernmental Panel on Climate Change. (2006). Directrices del IPCC de 2006 para los inventarios nacionales de gases de efecto invernadero. Obtenido de The Intergovernmental Panel on Climate Change: https://www.ipcc-nggip.iges.or.jp/public/2006gl/
( Volumen 5: Desechos - Pag 6.23 - Cuadro 6.8)</t>
  </si>
  <si>
    <t>(2) CAPACIDAD MÁXIMA DE PRODUCCIÓN DE METANO, kg. de CH4/kg. de COD, Valor por defecto</t>
  </si>
  <si>
    <t>FUENTE: Directrices del IPCC de 2006, Volúmen 5, Capítulo 6, página 6.23</t>
  </si>
  <si>
    <t>The Intergovernmental Panel on Climate Change. (2006). Directrices del IPCC de 2006 para los inventarios nacionales de gases de efecto invernadero. Obtenido de The Intergovernmental Panel on Climate Change: https://www.ipcc-nggip.iges.or.jp/public/2006gl/
( Volumen 5: Desechos - Pag 6.23)</t>
  </si>
  <si>
    <r>
      <t>(3) FACTOR DE EMISIÓN DE CH</t>
    </r>
    <r>
      <rPr>
        <vertAlign val="subscript"/>
        <sz val="10"/>
        <color theme="1"/>
        <rFont val="Calibri"/>
        <family val="2"/>
        <scheme val="minor"/>
      </rPr>
      <t>4</t>
    </r>
    <r>
      <rPr>
        <sz val="10"/>
        <color theme="1"/>
        <rFont val="Calibri"/>
        <family val="2"/>
        <scheme val="minor"/>
      </rPr>
      <t xml:space="preserve"> PARA CADA VÍA O SISTEMA DE TRATAMIENTO Y/O ELIMINACIÓN DE AGUAS RESIDUALES INDUSTRIALES</t>
    </r>
  </si>
  <si>
    <t>Calculado de (1) y (2)</t>
  </si>
  <si>
    <t>Por defecto</t>
  </si>
  <si>
    <r>
      <t>Capacidad máxima de producción de CH</t>
    </r>
    <r>
      <rPr>
        <b/>
        <vertAlign val="subscript"/>
        <sz val="10"/>
        <color theme="1"/>
        <rFont val="Calibri"/>
        <family val="2"/>
        <scheme val="minor"/>
      </rPr>
      <t>4</t>
    </r>
    <r>
      <rPr>
        <b/>
        <sz val="10"/>
        <color theme="1"/>
        <rFont val="Calibri"/>
        <family val="2"/>
        <scheme val="minor"/>
      </rPr>
      <t xml:space="preserve"> (kg. de CH</t>
    </r>
    <r>
      <rPr>
        <b/>
        <vertAlign val="subscript"/>
        <sz val="10"/>
        <color theme="1"/>
        <rFont val="Calibri"/>
        <family val="2"/>
        <scheme val="minor"/>
      </rPr>
      <t>4</t>
    </r>
    <r>
      <rPr>
        <b/>
        <sz val="10"/>
        <color theme="1"/>
        <rFont val="Calibri"/>
        <family val="2"/>
        <scheme val="minor"/>
      </rPr>
      <t xml:space="preserve">/kg. de DQO)  </t>
    </r>
  </si>
  <si>
    <t>Directrices del IPCC de 2006, Volumen 5, Cap. 6, pág. 6.23</t>
  </si>
  <si>
    <t>Conversión de unidades</t>
  </si>
  <si>
    <t>Masa</t>
  </si>
  <si>
    <t>1 tonelada</t>
  </si>
  <si>
    <t>1 kilogramo</t>
  </si>
  <si>
    <t>g</t>
  </si>
  <si>
    <t>Prefijo</t>
  </si>
  <si>
    <t>Símbolo</t>
  </si>
  <si>
    <t xml:space="preserve">Factor </t>
  </si>
  <si>
    <t>deca</t>
  </si>
  <si>
    <t>da</t>
  </si>
  <si>
    <t>hecto</t>
  </si>
  <si>
    <t>h</t>
  </si>
  <si>
    <t>kilo</t>
  </si>
  <si>
    <t>k</t>
  </si>
  <si>
    <t>mega</t>
  </si>
  <si>
    <t>M</t>
  </si>
  <si>
    <t>giga</t>
  </si>
  <si>
    <t>G</t>
  </si>
  <si>
    <t>tera</t>
  </si>
  <si>
    <t>T</t>
  </si>
  <si>
    <t>Fuente: Sistema Internacional - Guide for the Use of the International System of Units (SI)
http://physics.nist.gov/cuu/pdf/sp811.pdf</t>
  </si>
  <si>
    <t>Volumen</t>
  </si>
  <si>
    <t>1 centímetro cúbico</t>
  </si>
  <si>
    <t>l</t>
  </si>
  <si>
    <t>1 metro cúbico</t>
  </si>
  <si>
    <t>1 barril (bl o bbl)</t>
  </si>
  <si>
    <r>
      <t>m</t>
    </r>
    <r>
      <rPr>
        <vertAlign val="superscript"/>
        <sz val="10"/>
        <rFont val="Calibri"/>
        <family val="2"/>
        <scheme val="minor"/>
      </rPr>
      <t>3</t>
    </r>
  </si>
  <si>
    <t>1 galón (gl o gal)</t>
  </si>
  <si>
    <t>Fuente: http://gasnatural.osinerg.gob.pe/contenidos/uploads/GFGN/boletin_feb_2013.pdf (página 38)</t>
  </si>
  <si>
    <t>Densidades</t>
  </si>
  <si>
    <t>Densidad del agua (utilizada cuando se desconoce la densidad del líquido)</t>
  </si>
  <si>
    <t>kg/l</t>
  </si>
  <si>
    <t>Densidad del vino</t>
  </si>
  <si>
    <t>g/l</t>
  </si>
  <si>
    <t>Fuente: http://www.inti.gob.ar/interlaboratorios/informes/2010/alimentos/2010_informe_final_vinos.pdf (página 7)</t>
  </si>
  <si>
    <t>Densidad de cerveza (gravedad específica)</t>
  </si>
  <si>
    <r>
      <t>g/cm</t>
    </r>
    <r>
      <rPr>
        <vertAlign val="superscript"/>
        <sz val="10"/>
        <color theme="1"/>
        <rFont val="Calibri"/>
        <family val="2"/>
        <scheme val="minor"/>
      </rPr>
      <t>3</t>
    </r>
  </si>
  <si>
    <t>Fuente: https://www.morebeer.com/brewingtechniques/library/backissues/issue1.3/manning.html</t>
  </si>
  <si>
    <t>Densidad del etanol</t>
  </si>
  <si>
    <t>Fuente: http://www.inchem.org/documents/sids/sids/64175.pdf (página 150)</t>
  </si>
  <si>
    <t>Densidad del petróleo (Diesel)</t>
  </si>
  <si>
    <t>Gg/gal</t>
  </si>
  <si>
    <t>Fuente: Estimado en base a los reportes de REPSOL y PETROPERÚ para el RAGEI del Ministerio de Energía y Minas (2014)</t>
  </si>
  <si>
    <t>Densidad del petróleo industrial</t>
  </si>
  <si>
    <t>Potencial de calentamiento global  (GWP)</t>
  </si>
  <si>
    <r>
      <t>Potencial de calentamiento global - GWP  (horizonte 100 años) para CH</t>
    </r>
    <r>
      <rPr>
        <b/>
        <vertAlign val="subscript"/>
        <sz val="10"/>
        <color theme="0"/>
        <rFont val="Calibri"/>
        <family val="2"/>
        <scheme val="minor"/>
      </rPr>
      <t>4</t>
    </r>
  </si>
  <si>
    <t>adimensional</t>
  </si>
  <si>
    <t>Fuente: Quinto Reporte de Evaluación del IPCC</t>
  </si>
  <si>
    <t>Supuesto</t>
  </si>
  <si>
    <t>Porcentaje de la producción de "mantecas  diversas" que es de origen vegetal</t>
  </si>
  <si>
    <t>Asumido en RAGEI 2019, punto intermedio del dato de los Anuarios Estadísticos de PRODUCE</t>
  </si>
  <si>
    <t>Porcentaje de efluentes industriales que son tratado in situ</t>
  </si>
  <si>
    <t>Este supuesto se toma debido a que no se cuenta con información de qué porcentaje de los efluentes industriales generalados se descarga en las redes de alcantarillado doméstico. Es deseable que esto se actualice con más precisión, sin embargo, se mantiene el cálculo hasta que se tenga mayor información para su mejora en el marco de las mejoras de Desechos.</t>
  </si>
  <si>
    <t xml:space="preserve">NIVEL DE ACTIVIDAD:
- Producción industrial según tipo de industria </t>
  </si>
  <si>
    <t>Información Procesada: Producción anual en toneladas</t>
  </si>
  <si>
    <t>VALOR EN TONELADAS (t)</t>
  </si>
  <si>
    <t>Clasificación (grupo de las Directrices del IPCC de 2006)</t>
  </si>
  <si>
    <r>
      <t xml:space="preserve">DQO
</t>
    </r>
    <r>
      <rPr>
        <sz val="10"/>
        <color theme="0"/>
        <rFont val="Calibri"/>
        <family val="2"/>
        <scheme val="minor"/>
      </rPr>
      <t>(Kg/m</t>
    </r>
    <r>
      <rPr>
        <vertAlign val="superscript"/>
        <sz val="10"/>
        <color theme="0"/>
        <rFont val="Calibri"/>
        <family val="2"/>
        <scheme val="minor"/>
      </rPr>
      <t>3</t>
    </r>
    <r>
      <rPr>
        <sz val="10"/>
        <color theme="0"/>
        <rFont val="Calibri"/>
        <family val="2"/>
        <scheme val="minor"/>
      </rPr>
      <t>)</t>
    </r>
  </si>
  <si>
    <t>NOTA 6</t>
  </si>
  <si>
    <t>NOTA 4</t>
  </si>
  <si>
    <t>NOTA 2</t>
  </si>
  <si>
    <t>NOTA 3</t>
  </si>
  <si>
    <t>NOTA 1</t>
  </si>
  <si>
    <t>FABRICACION DE PRODUCTOS DE PLASTICO</t>
  </si>
  <si>
    <t>NOTA: Ver tabla de homologación del año correspondiente</t>
  </si>
  <si>
    <t>Leyenda de fondo de celda para los valores en toneladas  en esta columna</t>
  </si>
  <si>
    <t>Se convirtieron las unidades a toneladas y se considera</t>
  </si>
  <si>
    <t>No se considera (ver notas)</t>
  </si>
  <si>
    <t>El valor de la fuente no requiere conversión y se considera</t>
  </si>
  <si>
    <r>
      <t xml:space="preserve">NOTA 0: Es preciso recordar que la lista, tanto de infobase como de infoproceso, derivan de una lista larga (ver la fuente de información referida) que incluye más productos, pero sobre los cuales se hizo un trabajo de priorización según las directrices del IPCC (ver tablas de homologación en </t>
    </r>
    <r>
      <rPr>
        <sz val="10"/>
        <color theme="3"/>
        <rFont val="Calibri"/>
        <family val="2"/>
        <scheme val="minor"/>
      </rPr>
      <t xml:space="preserve"> "Información integrada y homologación (MYPE e Industria)" e "Información integrada y homologación (Pesca y Acuicultura)"</t>
    </r>
  </si>
  <si>
    <t xml:space="preserve">NOTA 1: Se cuenta con información de producción pero no está en unidades de masa, en cambio están en unidades de longitud, por lo que no se ha podido realizar la conversión ya que para convertir longitud a masa se requiere conocer más dimensiones del producto. Además,  asumir que todos los productos tienen las mismas dimensiones sin justificación conlleva a un error. </t>
  </si>
  <si>
    <t>NOTA 2: No se cuenta con información de producción. Se incluye en la lista porque esta tabla integra la información priorizada de todas las fuentes usada en la serie (anuarios estadísticos y de las Series Nacionales del INEI). Si no se reporta en esta planilla, no significa que no se reporta en las planillas de otros años.  Se mantiene para que sea visible comparativamente.</t>
  </si>
  <si>
    <t xml:space="preserve">NOTA 3: Se convierte a masa utilizando un valor de densidad específico para el indicador </t>
  </si>
  <si>
    <t>NOTA 4: Se desconoce la densidad y se decide utilizar la densidad del agua para realizar la conversión a masa.</t>
  </si>
  <si>
    <t>NOTA 5: No se ha considerado porque la descripción de indicador en la fuente agrega el texto "(Consumo de)" y por lo tanto se ha asumido que el dato corresponde a consumo y no a producción. Aunque puede ser evidente, es recomendable la verficación de este supuesto.</t>
  </si>
  <si>
    <t>NOTA 6: Al ítem de "mantecas diversas" se le aplica un supuesto, asumiendo que solo un porcentaje del dato es de origen vegetal.</t>
  </si>
  <si>
    <t xml:space="preserve">NIVEL DE ACTIVIDAD:
- Cálculo del FE medio </t>
  </si>
  <si>
    <t xml:space="preserve">Correspondencias </t>
  </si>
  <si>
    <t>Dado que no se conoce con exactitud los tipos de tratamiento que le corresponde a cada industira, se realiza una asignación de tratamientos tomando como referencia lo reportado por la ANA. Asimismo se hace la correspondencia con las Directrices del IPCC de 2006 para efluentes industriales.</t>
  </si>
  <si>
    <t>Correspondencia a los tratamientos indicados en las Directrices del IPCC de 2006 para aguas residuales</t>
  </si>
  <si>
    <r>
      <t>Valor del Factor de emisión (Kg CH</t>
    </r>
    <r>
      <rPr>
        <vertAlign val="subscript"/>
        <sz val="10"/>
        <color theme="1"/>
        <rFont val="Calibri"/>
        <family val="2"/>
        <scheme val="minor"/>
      </rPr>
      <t>4</t>
    </r>
    <r>
      <rPr>
        <sz val="10"/>
        <color theme="1"/>
        <rFont val="Calibri"/>
        <family val="2"/>
        <scheme val="minor"/>
      </rPr>
      <t>/DQO)</t>
    </r>
  </si>
  <si>
    <t>Se asume la combinación promedio del año</t>
  </si>
  <si>
    <t>Ver cálculo en tabla</t>
  </si>
  <si>
    <t>Se le asigna planta de tratamiento aeróbico, mal operada</t>
  </si>
  <si>
    <t>Se le asigna eliminación en río, lago y mar</t>
  </si>
  <si>
    <t>Nota 1: A aquellas tecnologías que indicaron tratamiento biológico, se les ha asignado el valor de FE de las Planta de tratamiento centralizado aeróbico – gestión deficiente</t>
  </si>
  <si>
    <t>Nota 2: A aquellas tecnologías que indicaron tratamiento físico químico, se les ha asignado el valor de FE de el vertimiento a Río o mar</t>
  </si>
  <si>
    <t>Redistribución de los tipos de tratamiento para las aguas residuales industriales y cálculo del Factor de Emisión</t>
  </si>
  <si>
    <t>Este FE se estima para asignar un factor de emisión a aquellas industrias de las cuales se desconozca el tipo de tratamiento</t>
  </si>
  <si>
    <t>Debido a que no se conoce el tratamiento de las aguas residuales industriales pero se cuenta con información completa del tratamiento de las aguas residuales domésticas, se asume que el Factor de Corrección de Metano (FCM) de los tipos de tratamiento industriales que se desconoce, es igual a la media de los FCM de los tipos de tratamiento de aguas residuales domésticas. 
No se ha considerado "sistema séptico", ya que no figura dentro de los tipos de tratamiento para aguas residuales industriales según el cuadro 6.8, capítulo 6, volumen 5 de las Directrices del IPCC de 2006.</t>
  </si>
  <si>
    <t>Distribución de los tipos de tratamiento según el RAGEI de Aguas Residuales Domésticas</t>
  </si>
  <si>
    <t>NOTA: Dado que en el Cuadro 6.8 para aguas residuales industriales, no se cuenta con el tipo de tratamiento "sistema séptico" se asume éste tipo de tratamiento en la clasificación de "Eliminación en río, lago y mar"</t>
  </si>
  <si>
    <t>Tipo de tratamiento</t>
  </si>
  <si>
    <t>Eliminación en río, lago y mar</t>
  </si>
  <si>
    <t>Total</t>
  </si>
  <si>
    <t>Eliminación en río, lago y mar (se incluye el sistema séptico)</t>
  </si>
  <si>
    <t xml:space="preserve">Factor de corrección de metano </t>
  </si>
  <si>
    <r>
      <t>Factor de emisión  (kg CH</t>
    </r>
    <r>
      <rPr>
        <b/>
        <vertAlign val="subscript"/>
        <sz val="10"/>
        <rFont val="Calibri"/>
        <family val="2"/>
        <scheme val="minor"/>
      </rPr>
      <t>4</t>
    </r>
    <r>
      <rPr>
        <b/>
        <sz val="10"/>
        <rFont val="Calibri"/>
        <family val="2"/>
        <scheme val="minor"/>
      </rPr>
      <t xml:space="preserve">/kg DQO) </t>
    </r>
  </si>
  <si>
    <t>Factor de corrección de metano por tipo de tratamiento de aguas residuales industriales</t>
  </si>
  <si>
    <t>VALORES DE MFC POR DEFECTO PARA AGUAS RESIDUALES INDUSTRIALES</t>
  </si>
  <si>
    <t>Tipo de vía o sistema de tratamiento y eliminación</t>
  </si>
  <si>
    <t>FCM (basado en dictámen de expertos)</t>
  </si>
  <si>
    <t xml:space="preserve">Los ríos con altas cargas de orgánicos pueden volverse
anaeróbicos, pero esta situación no se considera aquí. </t>
  </si>
  <si>
    <t xml:space="preserve">Planta de tratamiento aeróbico </t>
  </si>
  <si>
    <t xml:space="preserve">Debe ser bien gestionada. Puede emitir algo de CH4
desde las cuencas de decantación y otros tanques. </t>
  </si>
  <si>
    <t xml:space="preserve">Mal operada. Sobrecargada </t>
  </si>
  <si>
    <t xml:space="preserve">Aquí no se considera la recuperación de CH4. </t>
  </si>
  <si>
    <t xml:space="preserve">Reactor anaeróbico (e. ej., UASB
Reactor de membrana fija) </t>
  </si>
  <si>
    <t>Profundidad de menos de 2 metros, recurrir al dictamen
de expertos</t>
  </si>
  <si>
    <t>Profundidad de más de 2 metros</t>
  </si>
  <si>
    <t>Nota: Para estimar el FCM medio del tratamiento de aguas residuales industriales en rubros de producción donde se desconoce el tipo de tratamiento, se asume que se utiliza la práctica común en tecnologías en aguas residuales domésticas. Es por ello se estima el FCM medio utilizando los datos de FCM de las plantas de tratamiento de aguas residuales domésticas.</t>
  </si>
  <si>
    <t>Factor de corrección de metano por tipo de tratamiento de aguas residuales domésticas</t>
  </si>
  <si>
    <t xml:space="preserve">Tipo de tratamiento </t>
  </si>
  <si>
    <t>Factor de corrección de metano</t>
  </si>
  <si>
    <t>Río, lago, mar</t>
  </si>
  <si>
    <t>Directrices del IPCC de 2006, Volumen 5, Capítulo 6: Tratamiento y eliminación de aguas residuales Tabla 6.8, pág 6.23.</t>
  </si>
  <si>
    <t>Cloaca estancada</t>
  </si>
  <si>
    <t>Cloaca en movimiento</t>
  </si>
  <si>
    <t>Letrina – clima seco, familia pequeña</t>
  </si>
  <si>
    <t>Letrina – clima seco, uso comunitario</t>
  </si>
  <si>
    <t>Letrina – clima húmedo, sin extracción de sedimentos</t>
  </si>
  <si>
    <t>Letrina – clima húmedo, con extracción de sedimentos</t>
  </si>
  <si>
    <t>Directrices del IPCC de 2006, Volumen 5, Capítulo 6: Tratamiento y eliminación de aguas residuales Tabla 6.3, pág 6.13.</t>
  </si>
  <si>
    <t>DESECHOS - TRATAMIENTO Y ELIMINACIÓN DE AGUAS RESIDUALES INDUSTRIALES</t>
  </si>
  <si>
    <t>FACTORES DE EMISIÓN Y ESTIMACIONES DE EMISIONES DE GEI</t>
  </si>
  <si>
    <t>EMISIONES DE METANO PROCEDENTES DEL TRATAMIENTO Y ELIMINACIÓN DE AGUAS RESIDUALES INDUSTRIALES</t>
  </si>
  <si>
    <t>Sector</t>
  </si>
  <si>
    <t>Categoría</t>
  </si>
  <si>
    <t>Código de categoría</t>
  </si>
  <si>
    <t>Emisiones de metano procedentes del tratamiento y eliminación de aguas residuales industriales por sector productivo (FORMATO DE REPORTE)</t>
  </si>
  <si>
    <t xml:space="preserve">Emisiones Totales de metano procedentes del tratamiento y eliminación de aguas residuales industriales </t>
  </si>
  <si>
    <t>A</t>
  </si>
  <si>
    <t>B</t>
  </si>
  <si>
    <t>E</t>
  </si>
  <si>
    <t>F</t>
  </si>
  <si>
    <t>TOTAL</t>
  </si>
  <si>
    <t xml:space="preserve">Total de producción industrial (t/año) </t>
  </si>
  <si>
    <r>
      <t>Generación de aguas
residuales W (m</t>
    </r>
    <r>
      <rPr>
        <b/>
        <vertAlign val="superscript"/>
        <sz val="10"/>
        <color theme="0"/>
        <rFont val="Calibri"/>
        <family val="2"/>
        <scheme val="minor"/>
      </rPr>
      <t>3</t>
    </r>
    <r>
      <rPr>
        <b/>
        <sz val="10"/>
        <color theme="0"/>
        <rFont val="Calibri"/>
        <family val="2"/>
        <scheme val="minor"/>
      </rPr>
      <t xml:space="preserve"> /tonelada) </t>
    </r>
  </si>
  <si>
    <r>
      <t>Componente orgánico degradable 
(Kg DQO/m</t>
    </r>
    <r>
      <rPr>
        <b/>
        <vertAlign val="superscript"/>
        <sz val="10"/>
        <color theme="0"/>
        <rFont val="Calibri"/>
        <family val="2"/>
        <scheme val="minor"/>
      </rPr>
      <t>3</t>
    </r>
    <r>
      <rPr>
        <b/>
        <sz val="10"/>
        <color theme="0"/>
        <rFont val="Calibri"/>
        <family val="2"/>
        <scheme val="minor"/>
      </rPr>
      <t xml:space="preserve"> aguas residuales)</t>
    </r>
  </si>
  <si>
    <t>Contenido orgánico degradable en el agua - TOW (kg DQO/año)</t>
  </si>
  <si>
    <r>
      <t>Factor de emisión (kg CH</t>
    </r>
    <r>
      <rPr>
        <b/>
        <vertAlign val="subscript"/>
        <sz val="10"/>
        <color theme="0"/>
        <rFont val="Calibri"/>
        <family val="2"/>
        <scheme val="minor"/>
      </rPr>
      <t>4</t>
    </r>
    <r>
      <rPr>
        <b/>
        <sz val="10"/>
        <color theme="0"/>
        <rFont val="Calibri"/>
        <family val="2"/>
        <scheme val="minor"/>
      </rPr>
      <t>/kg DQO)</t>
    </r>
  </si>
  <si>
    <r>
      <t>Emisiones (Gg CH</t>
    </r>
    <r>
      <rPr>
        <b/>
        <vertAlign val="subscript"/>
        <sz val="10"/>
        <color theme="0"/>
        <rFont val="Calibri"/>
        <family val="2"/>
        <scheme val="minor"/>
      </rPr>
      <t>4</t>
    </r>
    <r>
      <rPr>
        <b/>
        <sz val="10"/>
        <color theme="0"/>
        <rFont val="Calibri"/>
        <family val="2"/>
        <scheme val="minor"/>
      </rPr>
      <t>)</t>
    </r>
  </si>
  <si>
    <t>D=AxBxC</t>
  </si>
  <si>
    <t>F=DxE/1000000</t>
  </si>
  <si>
    <t>Rubros de producción</t>
  </si>
  <si>
    <t>%</t>
  </si>
  <si>
    <t>H</t>
  </si>
  <si>
    <t>I</t>
  </si>
  <si>
    <t>J</t>
  </si>
  <si>
    <t>K</t>
  </si>
  <si>
    <t xml:space="preserve">Código de sector y categorías de fuentes </t>
  </si>
  <si>
    <t>Categoría del IPCC</t>
  </si>
  <si>
    <t>Gas</t>
  </si>
  <si>
    <t>Incertidumbre en los datos de nivel de actividad</t>
  </si>
  <si>
    <t>Incertidumbre en el factor de emisión</t>
  </si>
  <si>
    <t>Incertidumbre combinada</t>
  </si>
  <si>
    <t>Contribución a la Varianza por Categoría en el año 2016</t>
  </si>
  <si>
    <t>Sensibilidad tipo A</t>
  </si>
  <si>
    <t>Sensibilidad tipo B</t>
  </si>
  <si>
    <t>Incertidumbre en la tendencia en las emisiones nacionales introducida por la incertidumbre en el factor de emisión</t>
  </si>
  <si>
    <t>Incertidumbre en la tendencia en las emisiones nacionales introducida por la incertidumbre en los datos de actividad</t>
  </si>
  <si>
    <t>Incertidumbre introducida en la tendencia en las emisiones nacionales totales según fuente de emisión y GEI</t>
  </si>
  <si>
    <t>Datos de entrada</t>
  </si>
  <si>
    <r>
      <t>√ (E</t>
    </r>
    <r>
      <rPr>
        <vertAlign val="superscript"/>
        <sz val="10"/>
        <color theme="1"/>
        <rFont val="Calibri"/>
        <family val="2"/>
        <scheme val="minor"/>
      </rPr>
      <t>2</t>
    </r>
    <r>
      <rPr>
        <sz val="10"/>
        <color theme="1"/>
        <rFont val="Calibri"/>
        <family val="2"/>
        <scheme val="minor"/>
      </rPr>
      <t xml:space="preserve"> + F</t>
    </r>
    <r>
      <rPr>
        <vertAlign val="superscript"/>
        <sz val="10"/>
        <color theme="1"/>
        <rFont val="Calibri"/>
        <family val="2"/>
        <scheme val="minor"/>
      </rPr>
      <t>2</t>
    </r>
    <r>
      <rPr>
        <sz val="10"/>
        <color theme="1"/>
        <rFont val="Calibri"/>
        <family val="2"/>
        <scheme val="minor"/>
      </rPr>
      <t>)</t>
    </r>
  </si>
  <si>
    <r>
      <t>(G · D)</t>
    </r>
    <r>
      <rPr>
        <vertAlign val="superscript"/>
        <sz val="10"/>
        <color theme="1"/>
        <rFont val="Calibri"/>
        <family val="2"/>
        <scheme val="minor"/>
      </rPr>
      <t>2</t>
    </r>
    <r>
      <rPr>
        <sz val="10"/>
        <color theme="1"/>
        <rFont val="Calibri"/>
        <family val="2"/>
        <scheme val="minor"/>
      </rPr>
      <t xml:space="preserve"> / (Σ D)</t>
    </r>
    <r>
      <rPr>
        <vertAlign val="superscript"/>
        <sz val="10"/>
        <color theme="1"/>
        <rFont val="Calibri"/>
        <family val="2"/>
        <scheme val="minor"/>
      </rPr>
      <t>2</t>
    </r>
    <r>
      <rPr>
        <sz val="10"/>
        <color theme="1"/>
        <rFont val="Calibri"/>
        <family val="2"/>
        <scheme val="minor"/>
      </rPr>
      <t xml:space="preserve"> </t>
    </r>
  </si>
  <si>
    <t>Nota B</t>
  </si>
  <si>
    <t xml:space="preserve">D / Σ C </t>
  </si>
  <si>
    <t>I · F</t>
  </si>
  <si>
    <t xml:space="preserve">J · E · √2 </t>
  </si>
  <si>
    <t>K2 + L2</t>
  </si>
  <si>
    <t>Gg CO2eq</t>
  </si>
  <si>
    <t>fracción</t>
  </si>
  <si>
    <t>Incertidumbre en la tendencia:</t>
  </si>
  <si>
    <t>Sub categoria</t>
  </si>
  <si>
    <t>Dato de Actividad</t>
  </si>
  <si>
    <t>Incertidumbre</t>
  </si>
  <si>
    <t>Producción industrial</t>
  </si>
  <si>
    <t>Cuadro 6.10, Directrices del IPCC de 2006</t>
  </si>
  <si>
    <t>Cantidad de COD / unidad de aguas residuales (COD)</t>
  </si>
  <si>
    <t>Cuadro 6.10, Directrices del IPCC de 2006 y supuesto</t>
  </si>
  <si>
    <t>Este valor es referente al "Uso de agua y carga orgánica"</t>
  </si>
  <si>
    <t>Factor de Emisión</t>
  </si>
  <si>
    <r>
      <t>Capacidad máxima de producción de CH</t>
    </r>
    <r>
      <rPr>
        <vertAlign val="subscript"/>
        <sz val="11"/>
        <color theme="1"/>
        <rFont val="Calibri"/>
        <family val="2"/>
        <scheme val="minor"/>
      </rPr>
      <t>4</t>
    </r>
    <r>
      <rPr>
        <sz val="11"/>
        <color theme="1"/>
        <rFont val="Calibri"/>
        <family val="2"/>
        <scheme val="minor"/>
      </rPr>
      <t xml:space="preserve"> (Bo) </t>
    </r>
  </si>
  <si>
    <t>Factor de corrección para el metano (MCF)</t>
  </si>
  <si>
    <t>AÑO 2020</t>
  </si>
  <si>
    <t>DATO DE ACTIVIDAD: 
- Producción industrial según tipo de industria (SUBSECTOR MYPE E INDUSTRIA)
- Producción industrial según tipo de industria  (SUBSECTOR PESCA Y ACUICULTURA)</t>
  </si>
  <si>
    <t>AÑO 2021</t>
  </si>
  <si>
    <t>AÑO 2022</t>
  </si>
  <si>
    <t>Planta de tratamiento centralizado aeróbico - Bien operada</t>
  </si>
  <si>
    <t>Planta de tratamiento centralizado aeróbico. Mal operada. Sobrecargada.</t>
  </si>
  <si>
    <t>Laguna anaeróbica profunda (y otros tratamientos anaeróbicos de similar FCM)</t>
  </si>
  <si>
    <t xml:space="preserve">Bien operadas: Laguna anaeróbica poco profunda </t>
  </si>
  <si>
    <t>Información compartida por MINAM en diciembre del 2023, datos tomado de la planilla del RAGEI de Aguas Residuales Domésticas (ARD) año 2021</t>
  </si>
  <si>
    <t>Grado de utilización de los tratamientos (con red de alcantarillado - solo EPS)</t>
  </si>
  <si>
    <t>AÑO 2017</t>
  </si>
  <si>
    <t>AÑO 2018</t>
  </si>
  <si>
    <t>AÑO 2015</t>
  </si>
  <si>
    <t>AÑO 2011</t>
  </si>
  <si>
    <t>AÑO 2013</t>
  </si>
  <si>
    <t>AÑO 2009</t>
  </si>
  <si>
    <t>AÑO 2001</t>
  </si>
  <si>
    <t>AÑO 2002</t>
  </si>
  <si>
    <t>AÑO 2003</t>
  </si>
  <si>
    <t>AÑO 2004</t>
  </si>
  <si>
    <t>AÑO 2006</t>
  </si>
  <si>
    <t>AÑO 2007</t>
  </si>
  <si>
    <t>AÑO 2008</t>
  </si>
  <si>
    <t>Directrices del IPCCde 2006, Capítulo 6: Tratamiento y eliminación de aguas residuales Tabla 6.8, pág 6.23.</t>
  </si>
  <si>
    <t>Resultado del Inventario de emisiones de gases de efecto invernadero para sector Desechos - Categoría Tratamiento y Eliminación de Aguas Residuales Industriales  para el año 2021</t>
  </si>
  <si>
    <t>Año 2021</t>
  </si>
  <si>
    <r>
      <t>Emisiones totales de CO</t>
    </r>
    <r>
      <rPr>
        <b/>
        <vertAlign val="subscript"/>
        <sz val="10"/>
        <color theme="0"/>
        <rFont val="Calibri"/>
        <family val="2"/>
        <scheme val="minor"/>
      </rPr>
      <t>2</t>
    </r>
    <r>
      <rPr>
        <b/>
        <sz val="10"/>
        <color theme="0"/>
        <rFont val="Calibri"/>
        <family val="2"/>
        <scheme val="minor"/>
      </rPr>
      <t>eq (Gg)</t>
    </r>
  </si>
  <si>
    <t>GREENHOUSE GAS SOURCE AND SINK CATEGORIES</t>
  </si>
  <si>
    <r>
      <t>CO</t>
    </r>
    <r>
      <rPr>
        <b/>
        <vertAlign val="subscript"/>
        <sz val="9"/>
        <color indexed="8"/>
        <rFont val="Times New Roman"/>
        <family val="1"/>
      </rPr>
      <t xml:space="preserve">2 </t>
    </r>
  </si>
  <si>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</si>
  <si>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</si>
  <si>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NO</t>
    </r>
    <r>
      <rPr>
        <b/>
        <vertAlign val="subscript"/>
        <sz val="9"/>
        <rFont val="Times New Roman"/>
        <family val="1"/>
      </rPr>
      <t>x</t>
    </r>
  </si>
  <si>
    <t xml:space="preserve">CO </t>
  </si>
  <si>
    <t>NMVOC</t>
  </si>
  <si>
    <r>
      <t>SO</t>
    </r>
    <r>
      <rPr>
        <b/>
        <vertAlign val="subscript"/>
        <sz val="9"/>
        <rFont val="Times New Roman"/>
        <family val="1"/>
      </rPr>
      <t>X</t>
    </r>
  </si>
  <si>
    <r>
      <t>Total GHG emissions/removals</t>
    </r>
    <r>
      <rPr>
        <sz val="9"/>
        <rFont val="Times New Roman"/>
        <family val="1"/>
      </rPr>
      <t xml:space="preserve"> </t>
    </r>
    <r>
      <rPr>
        <vertAlign val="superscript"/>
        <sz val="9"/>
        <rFont val="Times New Roman"/>
        <family val="1"/>
      </rPr>
      <t>(2)</t>
    </r>
    <r>
      <rPr>
        <b/>
        <sz val="9"/>
        <rFont val="Times New Roman"/>
        <family val="1"/>
      </rPr>
      <t xml:space="preserve"> </t>
    </r>
  </si>
  <si>
    <t>kt</t>
  </si>
  <si>
    <t>kt CO2eq</t>
  </si>
  <si>
    <r>
      <t>CO</t>
    </r>
    <r>
      <rPr>
        <b/>
        <vertAlign val="subscript"/>
        <sz val="9"/>
        <rFont val="Times New Roman"/>
        <family val="1"/>
      </rPr>
      <t>2</t>
    </r>
    <r>
      <rPr>
        <b/>
        <sz val="9"/>
        <rFont val="Times New Roman"/>
        <family val="1"/>
      </rPr>
      <t xml:space="preserve"> equivalents (kt) </t>
    </r>
    <r>
      <rPr>
        <vertAlign val="superscript"/>
        <sz val="9"/>
        <rFont val="Times New Roman"/>
        <family val="1"/>
      </rPr>
      <t>(3)</t>
    </r>
  </si>
  <si>
    <t>5.D.1. Domestic wastewater</t>
  </si>
  <si>
    <t>5.D.2. Industrial wastewater</t>
  </si>
  <si>
    <t>Estimaciones de GEI año 2021</t>
  </si>
  <si>
    <t>Estimación de gases precursores de GEI</t>
  </si>
  <si>
    <t>FE - Precursores</t>
  </si>
  <si>
    <t>Emisiones  de COVDM</t>
  </si>
  <si>
    <t>Código IPCC</t>
  </si>
  <si>
    <t xml:space="preserve">Nombre del sector </t>
  </si>
  <si>
    <t xml:space="preserve">
 Gg COVDM
</t>
  </si>
  <si>
    <t xml:space="preserve">TOTAL </t>
  </si>
  <si>
    <r>
      <t>E</t>
    </r>
    <r>
      <rPr>
        <vertAlign val="subscript"/>
        <sz val="10"/>
        <rFont val="Arial"/>
        <family val="2"/>
      </rPr>
      <t xml:space="preserve">COVDM </t>
    </r>
    <r>
      <rPr>
        <sz val="10"/>
        <rFont val="Arial"/>
        <family val="2"/>
      </rPr>
      <t>= Emisiones de COVDM</t>
    </r>
  </si>
  <si>
    <r>
      <t>EF</t>
    </r>
    <r>
      <rPr>
        <vertAlign val="subscript"/>
        <sz val="10"/>
        <rFont val="Arial"/>
        <family val="2"/>
      </rPr>
      <t>pollutant</t>
    </r>
    <r>
      <rPr>
        <sz val="11"/>
        <color theme="1"/>
        <rFont val="Calibri"/>
        <family val="2"/>
        <scheme val="minor"/>
      </rPr>
      <t xml:space="preserve"> = Factor de emisión del COVDM</t>
    </r>
  </si>
  <si>
    <t>Factor de emisión por defecto para estimar emisiones de COVDM</t>
  </si>
  <si>
    <t>5D2</t>
  </si>
  <si>
    <t xml:space="preserve">Fuente: EMEP - Guidebook 2023 - Capítulo 5.D Wastewater handling </t>
  </si>
  <si>
    <r>
      <t>mg/m</t>
    </r>
    <r>
      <rPr>
        <vertAlign val="superscript"/>
        <sz val="10"/>
        <rFont val="Arial"/>
        <family val="2"/>
      </rPr>
      <t>3</t>
    </r>
  </si>
  <si>
    <t>AD= Cantidad de aguas residuales tratadas</t>
  </si>
  <si>
    <r>
      <t>m</t>
    </r>
    <r>
      <rPr>
        <vertAlign val="superscript"/>
        <sz val="10"/>
        <rFont val="Arial"/>
        <family val="2"/>
      </rPr>
      <t>3</t>
    </r>
  </si>
  <si>
    <t>mg COVDM</t>
  </si>
  <si>
    <t>Fuente: EMEP - Guidebook 2023 - Capítulo 5.D Wastewater handling. Ecuación 1 Tier 1 - Pág. 6</t>
  </si>
  <si>
    <t>Fuente: EMEP - Guidebook 2023 - Capítulo 5.D Wastewater handling. Tabla 3.1 Factores de emisión por defecto - Pág. 7</t>
  </si>
  <si>
    <r>
      <t>COVDM (mg/m</t>
    </r>
    <r>
      <rPr>
        <b/>
        <vertAlign val="superscript"/>
        <sz val="11"/>
        <color theme="1"/>
        <rFont val="Calibri"/>
        <family val="2"/>
        <scheme val="minor"/>
      </rPr>
      <t>3</t>
    </r>
    <r>
      <rPr>
        <b/>
        <sz val="11"/>
        <color theme="1"/>
        <rFont val="Calibri"/>
        <family val="2"/>
        <scheme val="minor"/>
      </rPr>
      <t>)</t>
    </r>
  </si>
  <si>
    <r>
      <t>A
Dato de actividad
m</t>
    </r>
    <r>
      <rPr>
        <b/>
        <vertAlign val="superscript"/>
        <sz val="11"/>
        <color theme="1"/>
        <rFont val="Calibri"/>
        <family val="2"/>
        <scheme val="minor"/>
      </rPr>
      <t>3</t>
    </r>
    <r>
      <rPr>
        <b/>
        <sz val="11"/>
        <color theme="1"/>
        <rFont val="Calibri"/>
        <family val="2"/>
        <scheme val="minor"/>
      </rPr>
      <t xml:space="preserve"> de aguas residuales tratadas</t>
    </r>
  </si>
  <si>
    <t>TABLE 5.D SECTORAL BACKGROUND DATA  FOR WASTE</t>
  </si>
  <si>
    <t>Year</t>
  </si>
  <si>
    <t>Wastewater treatment and discharge</t>
  </si>
  <si>
    <t>Submission</t>
  </si>
  <si>
    <t>(Sheet 1 of 1)</t>
  </si>
  <si>
    <t>Country</t>
  </si>
  <si>
    <t>Back to Index</t>
  </si>
  <si>
    <t>ACTIVITY  DATA AND RELATED INFORMATION</t>
  </si>
  <si>
    <t xml:space="preserve">IMPLIED EMISSION  FACTOR </t>
  </si>
  <si>
    <t>EMISSIONS</t>
  </si>
  <si>
    <r>
      <t xml:space="preserve">RECOVERY </t>
    </r>
    <r>
      <rPr>
        <vertAlign val="superscript"/>
        <sz val="9"/>
        <rFont val="Times New Roman"/>
        <family val="1"/>
      </rPr>
      <t>(1)</t>
    </r>
    <r>
      <rPr>
        <b/>
        <sz val="9"/>
        <rFont val="Times New Roman"/>
        <family val="1"/>
      </rPr>
      <t xml:space="preserve"> </t>
    </r>
  </si>
  <si>
    <t>Additional information</t>
  </si>
  <si>
    <r>
      <t>CH</t>
    </r>
    <r>
      <rPr>
        <b/>
        <vertAlign val="subscript"/>
        <sz val="9"/>
        <rFont val="Times New Roman"/>
        <family val="1"/>
      </rPr>
      <t>4</t>
    </r>
    <r>
      <rPr>
        <b/>
        <vertAlign val="superscript"/>
        <sz val="9"/>
        <rFont val="Times New Roman"/>
        <family val="1"/>
      </rPr>
      <t xml:space="preserve"> </t>
    </r>
    <r>
      <rPr>
        <vertAlign val="superscript"/>
        <sz val="9"/>
        <rFont val="Times New Roman"/>
        <family val="1"/>
      </rPr>
      <t>(3)</t>
    </r>
  </si>
  <si>
    <r>
      <t>N</t>
    </r>
    <r>
      <rPr>
        <b/>
        <vertAlign val="subscript"/>
        <sz val="9"/>
        <rFont val="Times New Roman"/>
        <family val="1"/>
      </rPr>
      <t>2</t>
    </r>
    <r>
      <rPr>
        <b/>
        <sz val="9"/>
        <rFont val="Times New Roman"/>
        <family val="1"/>
      </rPr>
      <t>O</t>
    </r>
  </si>
  <si>
    <r>
      <t>CH</t>
    </r>
    <r>
      <rPr>
        <b/>
        <vertAlign val="subscript"/>
        <sz val="9"/>
        <rFont val="Times New Roman"/>
        <family val="1"/>
      </rPr>
      <t>4</t>
    </r>
    <r>
      <rPr>
        <b/>
        <vertAlign val="superscript"/>
        <sz val="9"/>
        <rFont val="Times New Roman"/>
        <family val="1"/>
      </rPr>
      <t xml:space="preserve"> </t>
    </r>
    <r>
      <rPr>
        <vertAlign val="superscript"/>
        <sz val="9"/>
        <rFont val="Times New Roman"/>
        <family val="1"/>
      </rPr>
      <t>(4)</t>
    </r>
  </si>
  <si>
    <r>
      <t>CH</t>
    </r>
    <r>
      <rPr>
        <b/>
        <vertAlign val="subscript"/>
        <sz val="9"/>
        <rFont val="Times New Roman"/>
        <family val="1"/>
      </rPr>
      <t>4</t>
    </r>
  </si>
  <si>
    <t>Population (1000s)</t>
  </si>
  <si>
    <t>Total organic product</t>
  </si>
  <si>
    <r>
      <t>Sludge removed</t>
    </r>
    <r>
      <rPr>
        <vertAlign val="superscript"/>
        <sz val="9"/>
        <rFont val="Times New Roman"/>
        <family val="1"/>
      </rPr>
      <t xml:space="preserve"> (2)</t>
    </r>
  </si>
  <si>
    <t>N in effluent</t>
  </si>
  <si>
    <t>Plants</t>
  </si>
  <si>
    <t>Effluent</t>
  </si>
  <si>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</si>
  <si>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 xml:space="preserve"> </t>
    </r>
    <r>
      <rPr>
        <vertAlign val="superscript"/>
        <sz val="9"/>
        <rFont val="Times New Roman"/>
        <family val="1"/>
      </rPr>
      <t>(5)</t>
    </r>
  </si>
  <si>
    <t>Protein consumption (kg/person/yr)</t>
  </si>
  <si>
    <r>
      <t xml:space="preserve"> (kt DC </t>
    </r>
    <r>
      <rPr>
        <vertAlign val="superscript"/>
        <sz val="9"/>
        <rFont val="Times New Roman"/>
        <family val="1"/>
      </rPr>
      <t>(6)</t>
    </r>
    <r>
      <rPr>
        <b/>
        <sz val="9"/>
        <rFont val="Times New Roman"/>
        <family val="1"/>
      </rPr>
      <t>/yr)</t>
    </r>
  </si>
  <si>
    <t>(kt N/yr)</t>
  </si>
  <si>
    <t xml:space="preserve"> (kg/kg DC)</t>
  </si>
  <si>
    <r>
      <t>kg N</t>
    </r>
    <r>
      <rPr>
        <b/>
        <vertAlign val="subscript"/>
        <sz val="9"/>
        <rFont val="Times New Roman"/>
        <family val="1"/>
      </rPr>
      <t>2</t>
    </r>
    <r>
      <rPr>
        <b/>
        <sz val="9"/>
        <rFont val="Times New Roman"/>
        <family val="1"/>
      </rPr>
      <t>O-N/kg N</t>
    </r>
  </si>
  <si>
    <t xml:space="preserve"> (kt)</t>
  </si>
  <si>
    <t>Fraction of nitrogen in protein</t>
  </si>
  <si>
    <r>
      <t>F</t>
    </r>
    <r>
      <rPr>
        <vertAlign val="subscript"/>
        <sz val="9"/>
        <rFont val="Times New Roman"/>
        <family val="1"/>
      </rPr>
      <t>NON-CON</t>
    </r>
  </si>
  <si>
    <r>
      <t>F</t>
    </r>
    <r>
      <rPr>
        <vertAlign val="subscript"/>
        <sz val="9"/>
        <rFont val="Times New Roman"/>
        <family val="1"/>
      </rPr>
      <t>IND-COM</t>
    </r>
  </si>
  <si>
    <r>
      <t xml:space="preserve">5.D.3. Other </t>
    </r>
    <r>
      <rPr>
        <i/>
        <sz val="9"/>
        <rFont val="Times New Roman"/>
        <family val="1"/>
      </rPr>
      <t>(please specify)</t>
    </r>
  </si>
  <si>
    <r>
      <t>T</t>
    </r>
    <r>
      <rPr>
        <vertAlign val="subscript"/>
        <sz val="9"/>
        <rFont val="Times New Roman"/>
        <family val="1"/>
      </rPr>
      <t xml:space="preserve">PLANT </t>
    </r>
  </si>
  <si>
    <t xml:space="preserve">Documentation box: </t>
  </si>
  <si>
    <t>RAGEI 4D1 Tratamiento y Eliminación de Aguas Residuales Domésticas año 2021:</t>
  </si>
  <si>
    <t>REPORTE ANUAL DE GASES DE EFECTO INVERNADERO 2021</t>
  </si>
  <si>
    <t xml:space="preserve">Nota 1: Dado que no se cuenta con información detalllada sobre los tipos de tratamiento de aguas residuales industriales para cada tipo de industria, se ha utilizado la información sobre los tratamientos de aguas residuales domésticas que se reportan en el RAGEI de ARD año 2021. Para ello, se utilizan los porcentajes de los tipos de tratamiento para las aguas residuales domésticas, excluyendo las no colectadas por red de alcantarillado y las no tratadas (que si son colectadas por red de alcantarillado), y se asume que dichos porcentajes se distribuyen en el 100 % de las aguas residuales industriales. Es decir, se asume que el 100 % de las aguas residuales industriales son colectadas y tratadas (incluyendo tratamiento físico químico con descarga al mar). En la hoja de IP correspondiente se realiza el ajuste al 100 %. </t>
  </si>
  <si>
    <r>
      <t xml:space="preserve">Grado de utilización de tecnologías de tratamiento de las </t>
    </r>
    <r>
      <rPr>
        <sz val="10"/>
        <rFont val="Calibri"/>
        <family val="2"/>
        <scheme val="minor"/>
      </rPr>
      <t>aguas residuales domésticas (con red de alcantarillado - solo EPS). Se excluye los % no tratados.</t>
    </r>
  </si>
  <si>
    <t xml:space="preserve">Ministerio del Ambiente. (2023). RAGEI 5D1 Tratamiento y Eliminación de Aguas Residuales Domésticas año 2021 - Información de avance a diciembre del 2023. </t>
  </si>
  <si>
    <t>Reportado por la ANA en el año 2020</t>
  </si>
  <si>
    <t>https://www.produce.gob.pe/documentos/estadisticas/anuarios/anuario-estadistico-pesca-2013.pdf</t>
  </si>
  <si>
    <t>https://www.produce.gob.pe/documentos/estadisticas/anuarios/anuario-estadistico-pesca-2012.pdf</t>
  </si>
  <si>
    <t>https://www.produce.gob.pe/documentos/estadisticas/anuarios/anuario-estadistico-pesca-2015.pdf</t>
  </si>
  <si>
    <t>TM/LT</t>
  </si>
  <si>
    <t>AÑO 1990</t>
  </si>
  <si>
    <t>AÑO 1991</t>
  </si>
  <si>
    <t>AÑO 1992</t>
  </si>
  <si>
    <t>AÑO 1993</t>
  </si>
  <si>
    <t>AÑO 1994</t>
  </si>
  <si>
    <t>AÑO 1995</t>
  </si>
  <si>
    <t>AÑO 1996</t>
  </si>
  <si>
    <t>AÑO 1997</t>
  </si>
  <si>
    <t>AÑO 1998</t>
  </si>
  <si>
    <t>AÑO 1999</t>
  </si>
  <si>
    <t>TM/CTO</t>
  </si>
  <si>
    <t>unidad</t>
  </si>
  <si>
    <t>(1) https://ogeiee.produce.gob.pe/index.php/en/oee-documentos-publicaciones/publicaciones-anuales/item/1125-anuario-estadistico-industrial-mipyme-y-comercio-interno-2022
(2) https://ogeiee.produce.gob.pe/index.php/en/shortcode/oee-documentos-publicaciones/publicaciones-anuales/item/1063-anuario-estadistico-industrial-mipyme-y-comercio-interno-2021
(3) https://ogeiee.produce.gob.pe/index.php/en/shortcode/oee-documentos-publicaciones/publicaciones-anuales/item/713-2012-anuario-estadistico-industrial-mipyme-y-comercio-interno
(4) https://webapp.inei.gob.pe:8443/sirtod-series/</t>
  </si>
  <si>
    <t>(1) Información de los años 2013 al 2022: Ministerio de la Producción (2023). Anuario Estadístico Industrial, Mipyme y Comercio Interno 2022. Lima: Oficina General de Evaluación de Impacto y Estudios Económicos. Obtenido en noviembre del 2023, de Ministerio de la Producción: https://ogeiee.produce.gob.pe/index.php/en/oee-documentos-publicaciones/publicaciones-anuales/item/1125-anuario-estadistico-industrial-mipyme-y-comercio-interno-2022 (Página del 115 al 121).
(2) Información del año 2012: Anuario Estadístico Industrial, Mipyme y Comercio Interno 2021, disponible en https://ogeiee.produce.gob.pe/index.php/en/shortcode/oee-documentos-publicaciones/publicaciones-anuales/item/1063-anuario-estadistico-industrial-mipyme-y-comercio-interno-2021  (Página del 115 al 121)
(3) Información del año 2003 al 2011: Anuario Estadístico Industrial, Mipyme y Comercio Interno 2012, disponible en https://ogeiee.produce.gob.pe/index.php/en/shortcode/oee-documentos-publicaciones/publicaciones-anuales/item/713-2012-anuario-estadistico-industrial-mipyme-y-comercio-interno  (Página  del 81 al 83)
(4) Información del año 1992 al 2002: Instituto Nacional de Estadística e Informática. (s.f.). Series Nacionales: Instituto Nacional de Estadística e Informática. Recuperado el 15 de enero de 2024, de Instituto Nacional de Estadística e Informática: https://webapp.inei.gob.pe:8443/sirtod-series/
Se ha descargado los datos de 1992 al 2002 en un archivo excel "datos producción industrial 1992-2002"</t>
  </si>
  <si>
    <t>(1). Información de los años 2013 al 2022: Ministerio de la Producción (2023). Anuario Estadístico Pesquero y Acuícola 2022. Ministerio de la Producción. Lima: Oficina General de Evaluación de Impacto y Estudios Económicos. Obtenido en noviembre de 2023, de Ministerio de la Producción: https://ogeiee.produce.gob.pe/index.php/en/oee-documentos-publicaciones/publicaciones-anuales/item/1116-anuario-estadistico-pesquero-y-acuicola-2022  
(Ver cuadros de las páginas 79, 80, 82, 84 y 85, tiene datos más exactos en TMB)
(2). Información del año 2003 al 2012: Anuario Estadístico Pesquero y Acuícola 2012, disponible en https://www.produce.gob.pe/documentos/estadisticas/anuarios/anuario-estadistico-pesca-2012.pdf  (Páginas 55, 57, 58, 59 y 60)
https://www.produce.gob.pe/index.php/27-estadistica/84-anuario-estadistico
(3) Información del año 1992 al 2002: Instituto Nacional de Estadística e Informática. (s.f.). Series Nacionales: Instituto Nacional de Estadística e Informática. Recuperado el 15 de enero de 2024, de Instituto Nacional de Estadística e Informática: https://webapp.inei.gob.pe:8443/sirtod-series/
Se ha descargado los datos de 1992 al 2002 en un archivo excel "datos pesca 1992-2002"</t>
  </si>
  <si>
    <t>(1) https://ogeiee.produce.gob.pe/index.php/en/oee-documentos-publicaciones/publicaciones-anuales/item/1116-anuario-estadistico-pesquero-y-acuicola-2022
(2) https://www.produce.gob.pe/documentos/estadisticas/anuarios/anuario-estadistico-pesca-2012.pdf
(3) https://webapp.inei.gob.pe:8443/sirtod-series/</t>
  </si>
  <si>
    <t>TM/KG</t>
  </si>
  <si>
    <t>ML.LT/LT</t>
  </si>
  <si>
    <t>ML.BL/BL</t>
  </si>
  <si>
    <t>ML.TM/'TM</t>
  </si>
  <si>
    <t>ML.TM/TM</t>
  </si>
  <si>
    <t>1ML.LT (Miles de Litros)</t>
  </si>
  <si>
    <t>Petrodiésel 2</t>
  </si>
  <si>
    <t>1ML.BL (Miles de Barriles)</t>
  </si>
  <si>
    <t>NOTAS 5</t>
  </si>
  <si>
    <t>1ML.TM (Miles de toneladas)</t>
  </si>
  <si>
    <t>Sector Desechos - Categoría Tratamiento y Eliminación de Aguas Residuales Industriales  - RAGEI 2021</t>
  </si>
  <si>
    <r>
      <t>Estimación de las emisiones de CH</t>
    </r>
    <r>
      <rPr>
        <b/>
        <vertAlign val="subscript"/>
        <sz val="10"/>
        <rFont val="Calibri"/>
        <family val="2"/>
        <scheme val="minor"/>
      </rPr>
      <t>4</t>
    </r>
    <r>
      <rPr>
        <b/>
        <sz val="10"/>
        <rFont val="Calibri"/>
        <family val="2"/>
        <scheme val="minor"/>
      </rPr>
      <t xml:space="preserve"> de "5D2 - Tratamiento y eliminación de aguas residuales industriales"</t>
    </r>
  </si>
  <si>
    <t>Compartido por MINAM el 15/01/2024</t>
  </si>
  <si>
    <t>Carnes y Aves</t>
  </si>
  <si>
    <t xml:space="preserve">Nota: Los valores del factor de emisión del DQO de cada rubro industrial se mantiene constante para toda la serie 1990 - 2021 dado que es el único valor disponible calculado con información de tipos de tratamientos de las aguas residuales industriales proporcionados por la ANA. </t>
  </si>
  <si>
    <t>Emisiones año base (2010)</t>
  </si>
  <si>
    <t>Producción industrial según tipo de industria - sub sector MYPE e Industria</t>
  </si>
  <si>
    <t>Producción industrial según tipo de industria - sub sector pesca y acuicultura</t>
  </si>
  <si>
    <t>5D</t>
  </si>
  <si>
    <r>
      <t>Generación de efluentes</t>
    </r>
    <r>
      <rPr>
        <sz val="10"/>
        <color theme="0"/>
        <rFont val="Calibri"/>
        <family val="2"/>
        <scheme val="minor"/>
      </rPr>
      <t xml:space="preserve"> 
(m</t>
    </r>
    <r>
      <rPr>
        <vertAlign val="superscript"/>
        <sz val="10"/>
        <color theme="0"/>
        <rFont val="Calibri"/>
        <family val="2"/>
        <scheme val="minor"/>
      </rPr>
      <t>3</t>
    </r>
    <r>
      <rPr>
        <sz val="10"/>
        <color theme="0"/>
        <rFont val="Calibri"/>
        <family val="2"/>
        <scheme val="minor"/>
      </rPr>
      <t>/t)</t>
    </r>
  </si>
  <si>
    <t>PERU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</si>
</sst>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43" formatCode="_-* #,##0.00_-;\-* #,##0.00_-;_-* &quot;-&quot;??_-;_-@_-"/>
    <numFmt numFmtId="164" formatCode="_ * #,##0.00_ ;_ * \-#,##0.00_ ;_ * &quot;-&quot;??_ ;_ @_ "/>
    <numFmt numFmtId="165" formatCode="_-* #,##0.00\ _€_-;\-* #,##0.00\ _€_-;_-* &quot;-&quot;??\ _€_-;_-@_-"/>
    <numFmt numFmtId="166" formatCode="_ * #,##0_ ;_ * \-#,##0_ ;_ * &quot;-&quot;??_ ;_ @_ "/>
    <numFmt numFmtId="167" formatCode="_ * #,##0.000_ ;_ * \-#,##0.000_ ;_ * &quot;-&quot;??_ ;_ @_ "/>
    <numFmt numFmtId="168" formatCode="[$-409]mmmm\ d\,\ yyyy;@"/>
    <numFmt numFmtId="169" formatCode="&quot;$&quot;#,##0.0000_);\(&quot;$&quot;#,##0.0000\)"/>
    <numFmt numFmtId="170" formatCode="_(&quot;S./&quot;* #,##0.00_);_(&quot;S./&quot;* \(#,##0.00\);_(&quot;S./&quot;* &quot;-&quot;??_);_(@_)"/>
    <numFmt numFmtId="171" formatCode="_(* #,##0.0_);_(* \(#,##0.0\);_(* &quot;-&quot;??_);_(@_)"/>
    <numFmt numFmtId="172" formatCode="#,##0_)"/>
    <numFmt numFmtId="173" formatCode="###0.00_)"/>
    <numFmt numFmtId="174" formatCode="0.0_W"/>
    <numFmt numFmtId="175" formatCode="_-* #,##0.00\ [$€]_-;\-* #,##0.00\ [$€]_-;_-* &quot;-&quot;??\ [$€]_-;_-@_-"/>
    <numFmt numFmtId="176" formatCode="_([$€-2]\ * #,##0.00_);_([$€-2]\ * \(#,##0.00\);_([$€-2]\ * &quot;-&quot;??_)"/>
    <numFmt numFmtId="177" formatCode="_([$€-2]* #,##0.00_);_([$€-2]* \(#,##0.00\);_([$€-2]* &quot;-&quot;??_)"/>
    <numFmt numFmtId="178" formatCode="#,#00"/>
    <numFmt numFmtId="179" formatCode="#,##0.0_);\(#,##0.0\)"/>
    <numFmt numFmtId="180" formatCode="_(* #,##0.00_);_(* \(#,##0.00\);_(* &quot;-&quot;??_);_(@_)"/>
    <numFmt numFmtId="181" formatCode="_ &quot;\&quot;* #,##0.00_ ;_ &quot;\&quot;* \-#,##0.00_ ;_ &quot;\&quot;* &quot;-&quot;??_ ;_ @_ "/>
    <numFmt numFmtId="182" formatCode="_(* #,##0.00_);_(* \(#,##0.00\);_(* \-??_);_(@_)"/>
    <numFmt numFmtId="183" formatCode="_-* #,##0.00\ _P_t_s_-;\-* #,##0.00\ _P_t_s_-;_-* &quot;-&quot;??\ _P_t_s_-;_-@_-"/>
    <numFmt numFmtId="184" formatCode="&quot;Verdadero&quot;;&quot;Verdadero&quot;;&quot;Falso&quot;"/>
    <numFmt numFmtId="185" formatCode="_ #,##0.0__\ ;_ \-#,##0.0__\ ;_ \ &quot;-.-&quot;__\ ;_ @__"/>
    <numFmt numFmtId="186" formatCode="_ #,##0.0__\ ;_ \-#,##0.0__\ ;_ \ &quot;-.-&quot;__\ ;_ @\ __"/>
    <numFmt numFmtId="187" formatCode="_-* #,##0\ _F_-;\-* #,##0\ _F_-;_-* &quot;-&quot;\ _F_-;_-@_-"/>
    <numFmt numFmtId="188" formatCode="_-* #,##0.00\ _F_-;\-* #,##0.00\ _F_-;_-* &quot;-&quot;??\ _F_-;_-@_-"/>
    <numFmt numFmtId="189" formatCode="_(&quot;S/.&quot;\ * #,##0.00_);_(&quot;S/.&quot;\ * \(#,##0.00\);_(&quot;S/.&quot;\ * &quot;-&quot;??_);_(@_)"/>
    <numFmt numFmtId="190" formatCode="_(&quot;$&quot;\ * #,##0.00_);_(&quot;$&quot;\ * \(#,##0.00\);_(&quot;$&quot;\ * &quot;-&quot;??_);_(@_)"/>
    <numFmt numFmtId="191" formatCode="_(&quot;$&quot;* #,##0.00_);_(&quot;$&quot;* \(#,##0.00\);_(&quot;$&quot;* &quot;-&quot;??_);_(@_)"/>
    <numFmt numFmtId="192" formatCode="_-* #,##0\ &quot;F&quot;_-;\-* #,##0\ &quot;F&quot;_-;_-* &quot;-&quot;\ &quot;F&quot;_-;_-@_-"/>
    <numFmt numFmtId="193" formatCode="_-* #,##0.00\ &quot;F&quot;_-;\-* #,##0.00\ &quot;F&quot;_-;_-* &quot;-&quot;??\ &quot;F&quot;_-;_-@_-"/>
    <numFmt numFmtId="194" formatCode="0.0000"/>
    <numFmt numFmtId="195" formatCode="0.00_)"/>
    <numFmt numFmtId="196" formatCode="_ * #,##0_ ;_ * \-#,##0_ ;_ * &quot;-&quot;_ ;_ @_ \l"/>
    <numFmt numFmtId="197" formatCode="#,##0.0000"/>
    <numFmt numFmtId="198" formatCode="%#,#00"/>
    <numFmt numFmtId="199" formatCode="#.##000"/>
    <numFmt numFmtId="200" formatCode="&quot;$&quot;#,##0_);\(&quot;$&quot;#,##0\)"/>
    <numFmt numFmtId="201" formatCode="mm/dd/yy"/>
    <numFmt numFmtId="202" formatCode="&quot;S/.&quot;#,##0.00_);\(&quot;S/.&quot;#,##0.00\)"/>
    <numFmt numFmtId="203" formatCode="#,"/>
    <numFmt numFmtId="204" formatCode="&quot;@ &quot;#,###&quot; rpm&quot;"/>
    <numFmt numFmtId="205" formatCode="##&quot;°&quot;"/>
    <numFmt numFmtId="206" formatCode="#,###&quot; cc&quot;"/>
    <numFmt numFmtId="207" formatCode="__@"/>
    <numFmt numFmtId="208" formatCode="_(@_)"/>
    <numFmt numFmtId="209" formatCode="0#"/>
    <numFmt numFmtId="210" formatCode="#,###&quot; Kg.&quot;"/>
    <numFmt numFmtId="211" formatCode="#,###&quot; Kg./m³&quot;"/>
    <numFmt numFmtId="212" formatCode="#,###&quot; Kg-m&quot;"/>
    <numFmt numFmtId="213" formatCode="#.00&quot; Km/gal&quot;"/>
    <numFmt numFmtId="214" formatCode="#.00&quot; Km/hr&quot;"/>
    <numFmt numFmtId="215" formatCode="#.00&quot; l/hr&quot;"/>
    <numFmt numFmtId="216" formatCode="#&quot; litros&quot;"/>
    <numFmt numFmtId="217" formatCode="#.00&quot; m&quot;"/>
    <numFmt numFmtId="218" formatCode="#.0&quot; m/m&quot;"/>
    <numFmt numFmtId="219" formatCode="#.00&quot; m²&quot;"/>
    <numFmt numFmtId="220" formatCode="#.0&quot; m³&quot;"/>
    <numFmt numFmtId="221" formatCode="###,###\ &quot;mm&quot;"/>
    <numFmt numFmtId="222" formatCode="###,###.00"/>
    <numFmt numFmtId="223" formatCode="_(&quot;US$ &quot;#,##0.00_);_(&quot;US$ &quot;\ \(#,##0.00\);_(* &quot;-&quot;_);_(@_)"/>
    <numFmt numFmtId="224" formatCode="####&quot;.&quot;##&quot;.&quot;##&quot;.&quot;##"/>
    <numFmt numFmtId="225" formatCode="##.0&quot; PS&quot;"/>
    <numFmt numFmtId="226" formatCode="##.0\ &quot;: 1&quot;"/>
    <numFmt numFmtId="227" formatCode="#,###&quot; rpm&quot;"/>
    <numFmt numFmtId="228" formatCode="_(&quot;S/. &quot;#,##0.00_);_(&quot;S/. &quot;\(#,##0.00\);_(&quot;S/. &quot;\ &quot;-&quot;??_);_(@_)"/>
    <numFmt numFmtId="229" formatCode="###\-\ ####"/>
    <numFmt numFmtId="230" formatCode="#,###&quot; Ton.&quot;"/>
    <numFmt numFmtId="231" formatCode="#,##0.0"/>
    <numFmt numFmtId="232" formatCode="0.000"/>
    <numFmt numFmtId="233" formatCode="_ * #,##0.0000_ ;_ * \-#,##0.0000_ ;_ * &quot;-&quot;??_ ;_ @_ "/>
    <numFmt numFmtId="234" formatCode="_ * #,##0.0_ ;_ * \-#,##0.0_ ;_ * &quot;-&quot;??_ ;_ @_ "/>
    <numFmt numFmtId="235" formatCode="#,##0.000"/>
  </numFmts>
  <fonts count="183">
    <font>
      <sz val="11"/>
      <color theme="1"/>
      <name val="Calibri"/>
      <family val="2"/>
      <scheme val="minor"/>
    </font>
    <font>
      <sz val="9"/>
      <color theme="1"/>
      <name val="Arial"/>
      <family val="2"/>
    </font>
    <font>
      <sz val="11"/>
      <color theme="1"/>
      <name val="Calibri"/>
      <family val="2"/>
      <scheme val="minor"/>
    </font>
    <font>
      <sz val="10"/>
      <name val="Arial"/>
      <family val="2"/>
    </font>
    <font>
      <u/>
      <sz val="9"/>
      <color indexed="12"/>
      <name val="Times New Roman"/>
      <family val="1"/>
    </font>
    <font>
      <b/>
      <sz val="9"/>
      <color indexed="81"/>
      <name val="Tahoma"/>
      <family val="2"/>
    </font>
    <font>
      <sz val="9"/>
      <color indexed="81"/>
      <name val="Tahoma"/>
      <family val="2"/>
    </font>
    <font>
      <sz val="8"/>
      <name val="Helvetica"/>
      <family val="2"/>
    </font>
    <font>
      <sz val="10"/>
      <color theme="1"/>
      <name val="Arial Narrow"/>
      <family val="2"/>
    </font>
    <font>
      <sz val="11"/>
      <color theme="1"/>
      <name val="Arial Narrow"/>
      <family val="2"/>
    </font>
    <font>
      <u/>
      <sz val="11"/>
      <color theme="10"/>
      <name val="Calibri"/>
      <family val="2"/>
      <scheme val="minor"/>
    </font>
    <font>
      <sz val="11"/>
      <color rgb="FF000000"/>
      <name val="Calibri"/>
      <family val="2"/>
      <charset val="204"/>
    </font>
    <font>
      <sz val="11"/>
      <color theme="0"/>
      <name val="Calibri"/>
      <family val="2"/>
      <scheme val="minor"/>
    </font>
    <font>
      <sz val="9"/>
      <color theme="1"/>
      <name val="Calibri"/>
      <family val="2"/>
      <scheme val="minor"/>
    </font>
    <font>
      <sz val="14"/>
      <color theme="1"/>
      <name val="Calibri"/>
      <family val="2"/>
      <scheme val="minor"/>
    </font>
    <font>
      <b/>
      <sz val="14"/>
      <color theme="1"/>
      <name val="Calibri"/>
      <family val="2"/>
      <scheme val="minor"/>
    </font>
    <font>
      <sz val="10"/>
      <color theme="1"/>
      <name val="Calibri"/>
      <family val="2"/>
      <scheme val="minor"/>
    </font>
    <font>
      <sz val="10"/>
      <color rgb="FFFF0000"/>
      <name val="Calibri"/>
      <family val="2"/>
      <scheme val="minor"/>
    </font>
    <font>
      <sz val="12"/>
      <color theme="1"/>
      <name val="Calibri"/>
      <family val="2"/>
      <scheme val="minor"/>
    </font>
    <font>
      <b/>
      <sz val="10"/>
      <color theme="1"/>
      <name val="Calibri"/>
      <family val="2"/>
      <scheme val="minor"/>
    </font>
    <font>
      <b/>
      <sz val="10"/>
      <color rgb="FFFF0000"/>
      <name val="Calibri"/>
      <family val="2"/>
      <scheme val="minor"/>
    </font>
    <font>
      <sz val="10"/>
      <name val="Calibri"/>
      <family val="2"/>
      <scheme val="minor"/>
    </font>
    <font>
      <b/>
      <sz val="10"/>
      <color rgb="FF7030A0"/>
      <name val="Calibri"/>
      <family val="2"/>
      <scheme val="minor"/>
    </font>
    <font>
      <b/>
      <u/>
      <sz val="10"/>
      <color theme="4"/>
      <name val="Calibri"/>
      <family val="2"/>
      <scheme val="minor"/>
    </font>
    <font>
      <b/>
      <u/>
      <sz val="10"/>
      <color theme="1"/>
      <name val="Calibri"/>
      <family val="2"/>
      <scheme val="minor"/>
    </font>
    <font>
      <vertAlign val="subscript"/>
      <sz val="10"/>
      <color theme="1"/>
      <name val="Calibri"/>
      <family val="2"/>
      <scheme val="minor"/>
    </font>
    <font>
      <b/>
      <sz val="10"/>
      <color theme="0"/>
      <name val="Calibri"/>
      <family val="2"/>
      <scheme val="minor"/>
    </font>
    <font>
      <vertAlign val="superscript"/>
      <sz val="10"/>
      <color theme="1"/>
      <name val="Calibri"/>
      <family val="2"/>
      <scheme val="minor"/>
    </font>
    <font>
      <sz val="9"/>
      <name val="Calibri"/>
      <family val="2"/>
      <scheme val="minor"/>
    </font>
    <font>
      <b/>
      <sz val="9"/>
      <name val="Calibri"/>
      <family val="2"/>
      <scheme val="minor"/>
    </font>
    <font>
      <b/>
      <sz val="9"/>
      <color theme="1"/>
      <name val="Calibri"/>
      <family val="2"/>
      <scheme val="minor"/>
    </font>
    <font>
      <b/>
      <sz val="9"/>
      <color theme="0"/>
      <name val="Calibri"/>
      <family val="2"/>
      <scheme val="minor"/>
    </font>
    <font>
      <b/>
      <sz val="11"/>
      <name val="Arial Narrow"/>
      <family val="2"/>
    </font>
    <font>
      <sz val="10"/>
      <name val="Arial Narrow"/>
      <family val="2"/>
    </font>
    <font>
      <sz val="10"/>
      <color theme="0"/>
      <name val="Calibri"/>
      <family val="2"/>
      <scheme val="minor"/>
    </font>
    <font>
      <vertAlign val="superscript"/>
      <sz val="10"/>
      <color theme="0"/>
      <name val="Calibri"/>
      <family val="2"/>
      <scheme val="minor"/>
    </font>
    <font>
      <b/>
      <vertAlign val="subscript"/>
      <sz val="10"/>
      <color theme="0"/>
      <name val="Calibri"/>
      <family val="2"/>
      <scheme val="minor"/>
    </font>
    <font>
      <sz val="9"/>
      <color rgb="FF7030A0"/>
      <name val="Calibri"/>
      <family val="2"/>
      <scheme val="minor"/>
    </font>
    <font>
      <sz val="10"/>
      <color rgb="FF0070C0"/>
      <name val="Calibri"/>
      <family val="2"/>
      <scheme val="minor"/>
    </font>
    <font>
      <b/>
      <sz val="10"/>
      <name val="Calibri"/>
      <family val="2"/>
      <scheme val="minor"/>
    </font>
    <font>
      <vertAlign val="superscript"/>
      <sz val="9"/>
      <color theme="1"/>
      <name val="Calibri"/>
      <family val="2"/>
      <scheme val="minor"/>
    </font>
    <font>
      <sz val="10"/>
      <color theme="1"/>
      <name val="Arial"/>
      <family val="2"/>
    </font>
    <font>
      <sz val="9"/>
      <color theme="1" tint="0.249977111117893"/>
      <name val="Calibri"/>
      <family val="2"/>
      <scheme val="minor"/>
    </font>
    <font>
      <vertAlign val="subscript"/>
      <sz val="9"/>
      <name val="Calibri"/>
      <family val="2"/>
      <scheme val="minor"/>
    </font>
    <font>
      <sz val="9"/>
      <color rgb="FF1CBE5A"/>
      <name val="Calibri"/>
      <family val="2"/>
      <scheme val="minor"/>
    </font>
    <font>
      <sz val="9"/>
      <color rgb="FF7A007A"/>
      <name val="Calibri"/>
      <family val="2"/>
      <scheme val="minor"/>
    </font>
    <font>
      <b/>
      <sz val="10"/>
      <color rgb="FF7A007A"/>
      <name val="Calibri"/>
      <family val="2"/>
      <scheme val="minor"/>
    </font>
    <font>
      <sz val="10"/>
      <color theme="0" tint="-0.34998626667073579"/>
      <name val="Calibri"/>
      <family val="2"/>
      <scheme val="minor"/>
    </font>
    <font>
      <sz val="10"/>
      <color theme="0" tint="-0.249977111117893"/>
      <name val="Calibri"/>
      <family val="2"/>
      <scheme val="minor"/>
    </font>
    <font>
      <b/>
      <sz val="10"/>
      <color theme="1" tint="0.34998626667073579"/>
      <name val="Calibri"/>
      <family val="2"/>
      <scheme val="minor"/>
    </font>
    <font>
      <b/>
      <sz val="18"/>
      <color theme="3"/>
      <name val="Calibri Light"/>
      <family val="2"/>
      <scheme val="maj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2"/>
      <name val="Times New Roman"/>
      <family val="1"/>
    </font>
    <font>
      <sz val="10"/>
      <name val="Helv"/>
    </font>
    <font>
      <sz val="11"/>
      <color indexed="8"/>
      <name val="Calibri"/>
      <family val="2"/>
    </font>
    <font>
      <sz val="11"/>
      <color indexed="8"/>
      <name val="Arial Narrow"/>
      <family val="2"/>
    </font>
    <font>
      <sz val="9"/>
      <name val="Times New Roman"/>
      <family val="1"/>
    </font>
    <font>
      <sz val="11"/>
      <color indexed="9"/>
      <name val="Calibri"/>
      <family val="2"/>
    </font>
    <font>
      <sz val="11"/>
      <color indexed="9"/>
      <name val="Arial Narrow"/>
      <family val="2"/>
    </font>
    <font>
      <sz val="8"/>
      <name val="Times New Roman"/>
      <family val="1"/>
    </font>
    <font>
      <sz val="11"/>
      <color indexed="20"/>
      <name val="Calibri"/>
      <family val="2"/>
    </font>
    <font>
      <b/>
      <sz val="9"/>
      <name val="Times New Roman"/>
      <family val="1"/>
    </font>
    <font>
      <sz val="11"/>
      <color indexed="17"/>
      <name val="Arial Narrow"/>
      <family val="2"/>
    </font>
    <font>
      <b/>
      <sz val="11"/>
      <color indexed="52"/>
      <name val="Calibri"/>
      <family val="2"/>
    </font>
    <font>
      <b/>
      <sz val="11"/>
      <color indexed="52"/>
      <name val="Arial Narrow"/>
      <family val="2"/>
    </font>
    <font>
      <b/>
      <i/>
      <sz val="11"/>
      <color indexed="51"/>
      <name val="Formata Regular"/>
      <family val="2"/>
    </font>
    <font>
      <sz val="10"/>
      <name val="Formata Regular"/>
    </font>
    <font>
      <b/>
      <sz val="11"/>
      <color indexed="9"/>
      <name val="Arial Narrow"/>
      <family val="2"/>
    </font>
    <font>
      <sz val="11"/>
      <color indexed="52"/>
      <name val="Arial Narrow"/>
      <family val="2"/>
    </font>
    <font>
      <b/>
      <sz val="11"/>
      <color indexed="9"/>
      <name val="Calibri"/>
      <family val="2"/>
    </font>
    <font>
      <sz val="12"/>
      <name val="Helv"/>
    </font>
    <font>
      <sz val="10"/>
      <name val="MS Serif"/>
      <family val="1"/>
    </font>
    <font>
      <sz val="12"/>
      <name val="BERNHARD"/>
    </font>
    <font>
      <sz val="10"/>
      <name val="Courier"/>
      <family val="3"/>
    </font>
    <font>
      <sz val="10"/>
      <name val="BERNHARD"/>
    </font>
    <font>
      <sz val="10"/>
      <color indexed="16"/>
      <name val="MS Serif"/>
      <family val="1"/>
    </font>
    <font>
      <b/>
      <sz val="12"/>
      <name val="Helv"/>
    </font>
    <font>
      <sz val="1"/>
      <color indexed="8"/>
      <name val="Courier"/>
      <family val="3"/>
    </font>
    <font>
      <sz val="9"/>
      <name val="Helv"/>
    </font>
    <font>
      <vertAlign val="superscript"/>
      <sz val="12"/>
      <name val="Helv"/>
    </font>
    <font>
      <b/>
      <sz val="11"/>
      <color indexed="56"/>
      <name val="Arial Narrow"/>
      <family val="2"/>
    </font>
    <font>
      <sz val="11"/>
      <color indexed="62"/>
      <name val="Arial Narrow"/>
      <family val="2"/>
    </font>
    <font>
      <i/>
      <sz val="11"/>
      <color indexed="23"/>
      <name val="Calibri"/>
      <family val="2"/>
    </font>
    <font>
      <vertAlign val="superscript"/>
      <sz val="11"/>
      <name val="Arial"/>
      <family val="2"/>
    </font>
    <font>
      <sz val="11"/>
      <color indexed="17"/>
      <name val="Calibri"/>
      <family val="2"/>
    </font>
    <font>
      <sz val="8"/>
      <name val="Arial"/>
      <family val="2"/>
    </font>
    <font>
      <b/>
      <sz val="12"/>
      <name val="Arial"/>
      <family val="2"/>
    </font>
    <font>
      <b/>
      <sz val="15"/>
      <color indexed="56"/>
      <name val="Calibri"/>
      <family val="2"/>
    </font>
    <font>
      <b/>
      <sz val="8"/>
      <name val="Arial"/>
      <family val="2"/>
    </font>
    <font>
      <b/>
      <sz val="13"/>
      <color indexed="56"/>
      <name val="Calibri"/>
      <family val="2"/>
    </font>
    <font>
      <b/>
      <sz val="11"/>
      <color indexed="56"/>
      <name val="Calibri"/>
      <family val="2"/>
    </font>
    <font>
      <b/>
      <sz val="12"/>
      <name val="Times New Roman"/>
      <family val="1"/>
    </font>
    <font>
      <b/>
      <sz val="9"/>
      <name val="Helv"/>
    </font>
    <font>
      <sz val="8.5"/>
      <name val="Helv"/>
    </font>
    <font>
      <b/>
      <sz val="10"/>
      <name val="Helv"/>
    </font>
    <font>
      <u/>
      <sz val="10.1"/>
      <color indexed="12"/>
      <name val="Calibri"/>
      <family val="2"/>
    </font>
    <font>
      <u/>
      <sz val="8"/>
      <color indexed="12"/>
      <name val="Arial"/>
      <family val="2"/>
    </font>
    <font>
      <u/>
      <sz val="11"/>
      <color theme="10"/>
      <name val="Arial Narrow"/>
      <family val="2"/>
    </font>
    <font>
      <u/>
      <sz val="11"/>
      <color theme="10"/>
      <name val="Calibri"/>
      <family val="2"/>
    </font>
    <font>
      <u/>
      <sz val="10"/>
      <color theme="10"/>
      <name val="Arial"/>
      <family val="2"/>
    </font>
    <font>
      <sz val="11"/>
      <color indexed="20"/>
      <name val="Arial Narrow"/>
      <family val="2"/>
    </font>
    <font>
      <sz val="11"/>
      <color indexed="62"/>
      <name val="Calibri"/>
      <family val="2"/>
    </font>
    <font>
      <sz val="11"/>
      <color indexed="52"/>
      <name val="Calibri"/>
      <family val="2"/>
    </font>
    <font>
      <sz val="12"/>
      <color indexed="9"/>
      <name val="Helv"/>
    </font>
    <font>
      <b/>
      <i/>
      <sz val="20"/>
      <color indexed="18"/>
      <name val="Formata Regular"/>
      <family val="2"/>
    </font>
    <font>
      <sz val="10"/>
      <name val="Times New Roman"/>
      <family val="1"/>
    </font>
    <font>
      <sz val="11"/>
      <color indexed="60"/>
      <name val="Arial Narrow"/>
      <family val="2"/>
    </font>
    <font>
      <b/>
      <i/>
      <sz val="16"/>
      <name val="Helv"/>
    </font>
    <font>
      <sz val="10"/>
      <color theme="1"/>
      <name val="Formata Regular"/>
      <family val="2"/>
    </font>
    <font>
      <sz val="8"/>
      <name val="Helv"/>
    </font>
    <font>
      <sz val="11"/>
      <name val="‚l‚r –¾’©"/>
      <charset val="128"/>
    </font>
    <font>
      <b/>
      <sz val="11"/>
      <color indexed="63"/>
      <name val="Calibri"/>
      <family val="2"/>
    </font>
    <font>
      <sz val="10"/>
      <name val="Tms Rmn"/>
    </font>
    <font>
      <sz val="10"/>
      <name val="MS Sans Serif"/>
      <family val="2"/>
    </font>
    <font>
      <i/>
      <sz val="11"/>
      <color indexed="56"/>
      <name val="Arial Narrow"/>
      <family val="2"/>
    </font>
    <font>
      <b/>
      <sz val="11"/>
      <color indexed="63"/>
      <name val="Arial Narrow"/>
      <family val="2"/>
    </font>
    <font>
      <b/>
      <sz val="8"/>
      <color indexed="8"/>
      <name val="Helv"/>
    </font>
    <font>
      <b/>
      <sz val="14"/>
      <name val="Helv"/>
    </font>
    <font>
      <sz val="11"/>
      <color indexed="10"/>
      <name val="Arial Narrow"/>
      <family val="2"/>
    </font>
    <font>
      <i/>
      <sz val="11"/>
      <color indexed="23"/>
      <name val="Arial Narrow"/>
      <family val="2"/>
    </font>
    <font>
      <b/>
      <sz val="18"/>
      <color indexed="56"/>
      <name val="Cambria"/>
      <family val="2"/>
    </font>
    <font>
      <b/>
      <sz val="15"/>
      <color indexed="56"/>
      <name val="Arial Narrow"/>
      <family val="2"/>
    </font>
    <font>
      <b/>
      <sz val="13"/>
      <color indexed="56"/>
      <name val="Arial Narrow"/>
      <family val="2"/>
    </font>
    <font>
      <b/>
      <sz val="1"/>
      <color indexed="8"/>
      <name val="Courier"/>
      <family val="3"/>
    </font>
    <font>
      <b/>
      <sz val="11"/>
      <color indexed="8"/>
      <name val="Arial Narrow"/>
      <family val="2"/>
    </font>
    <font>
      <sz val="11"/>
      <color indexed="10"/>
      <name val="Calibri"/>
      <family val="2"/>
    </font>
    <font>
      <b/>
      <sz val="10"/>
      <name val="Arial"/>
      <family val="2"/>
    </font>
    <font>
      <b/>
      <sz val="7"/>
      <name val="Arial"/>
      <family val="2"/>
    </font>
    <font>
      <b/>
      <sz val="8"/>
      <color indexed="10"/>
      <name val="Arial"/>
      <family val="2"/>
    </font>
    <font>
      <sz val="6"/>
      <name val="Arial"/>
      <family val="2"/>
    </font>
    <font>
      <sz val="5"/>
      <name val="Arial"/>
      <family val="2"/>
    </font>
    <font>
      <sz val="10"/>
      <color rgb="FF000000"/>
      <name val="Times New Roman"/>
      <family val="1"/>
    </font>
    <font>
      <sz val="10"/>
      <name val="Geneva"/>
    </font>
    <font>
      <sz val="10"/>
      <name val="Geneva"/>
      <family val="2"/>
    </font>
    <font>
      <sz val="10"/>
      <name val="Bookman Old Style"/>
      <family val="1"/>
    </font>
    <font>
      <sz val="10"/>
      <color theme="3"/>
      <name val="Calibri"/>
      <family val="2"/>
      <scheme val="minor"/>
    </font>
    <font>
      <u/>
      <sz val="10"/>
      <color indexed="12"/>
      <name val="Calibri"/>
      <family val="2"/>
      <scheme val="minor"/>
    </font>
    <font>
      <sz val="11"/>
      <name val="Calibri"/>
      <family val="2"/>
      <scheme val="minor"/>
    </font>
    <font>
      <b/>
      <sz val="11"/>
      <name val="Calibri"/>
      <family val="2"/>
      <scheme val="minor"/>
    </font>
    <font>
      <b/>
      <vertAlign val="superscript"/>
      <sz val="10"/>
      <color theme="0"/>
      <name val="Calibri"/>
      <family val="2"/>
      <scheme val="minor"/>
    </font>
    <font>
      <vertAlign val="subscript"/>
      <sz val="11"/>
      <color theme="1"/>
      <name val="Calibri"/>
      <family val="2"/>
      <scheme val="minor"/>
    </font>
    <font>
      <b/>
      <sz val="10"/>
      <color rgb="FF000000"/>
      <name val="Calibri"/>
      <family val="2"/>
      <scheme val="minor"/>
    </font>
    <font>
      <sz val="10"/>
      <color rgb="FF000000"/>
      <name val="Calibri"/>
      <family val="2"/>
      <scheme val="minor"/>
    </font>
    <font>
      <vertAlign val="superscript"/>
      <sz val="10"/>
      <name val="Calibri"/>
      <family val="2"/>
      <scheme val="minor"/>
    </font>
    <font>
      <sz val="10"/>
      <color rgb="FF7A007A"/>
      <name val="Calibri"/>
      <family val="2"/>
      <scheme val="minor"/>
    </font>
    <font>
      <i/>
      <sz val="10"/>
      <color theme="1"/>
      <name val="Calibri"/>
      <family val="2"/>
      <scheme val="minor"/>
    </font>
    <font>
      <u/>
      <sz val="10"/>
      <color indexed="12"/>
      <name val="Calibri"/>
      <family val="2"/>
    </font>
    <font>
      <b/>
      <u/>
      <sz val="10"/>
      <name val="Calibri"/>
      <family val="2"/>
      <scheme val="minor"/>
    </font>
    <font>
      <i/>
      <sz val="10"/>
      <name val="Calibri"/>
      <family val="2"/>
      <scheme val="minor"/>
    </font>
    <font>
      <b/>
      <vertAlign val="superscript"/>
      <sz val="10"/>
      <color theme="1" tint="0.34998626667073579"/>
      <name val="Calibri"/>
      <family val="2"/>
      <scheme val="minor"/>
    </font>
    <font>
      <u val="singleAccounting"/>
      <sz val="10"/>
      <color rgb="FFFF0066"/>
      <name val="Calibri"/>
      <family val="2"/>
      <scheme val="minor"/>
    </font>
    <font>
      <b/>
      <vertAlign val="subscript"/>
      <sz val="10"/>
      <name val="Calibri"/>
      <family val="2"/>
      <scheme val="minor"/>
    </font>
    <font>
      <b/>
      <vertAlign val="subscript"/>
      <sz val="10"/>
      <color theme="1"/>
      <name val="Calibri"/>
      <family val="2"/>
      <scheme val="minor"/>
    </font>
    <font>
      <b/>
      <sz val="10"/>
      <color indexed="8"/>
      <name val="Calibri"/>
      <family val="2"/>
    </font>
    <font>
      <sz val="10"/>
      <color indexed="8"/>
      <name val="Calibri"/>
      <family val="2"/>
    </font>
    <font>
      <vertAlign val="subscript"/>
      <sz val="9"/>
      <color theme="1"/>
      <name val="Calibri"/>
      <family val="2"/>
      <scheme val="minor"/>
    </font>
    <font>
      <i/>
      <sz val="10"/>
      <color theme="0" tint="-0.499984740745262"/>
      <name val="Calibri"/>
      <family val="2"/>
      <scheme val="minor"/>
    </font>
    <font>
      <u/>
      <sz val="10"/>
      <color theme="1"/>
      <name val="Calibri"/>
      <family val="2"/>
      <scheme val="minor"/>
    </font>
    <font>
      <sz val="8"/>
      <name val="Calibri"/>
      <family val="2"/>
      <scheme val="minor"/>
    </font>
    <font>
      <b/>
      <sz val="9"/>
      <color indexed="8"/>
      <name val="Times New Roman"/>
      <family val="1"/>
    </font>
    <font>
      <b/>
      <vertAlign val="subscript"/>
      <sz val="9"/>
      <color indexed="8"/>
      <name val="Times New Roman"/>
      <family val="1"/>
    </font>
    <font>
      <b/>
      <vertAlign val="subscript"/>
      <sz val="9"/>
      <name val="Times New Roman"/>
      <family val="1"/>
    </font>
    <font>
      <vertAlign val="superscript"/>
      <sz val="9"/>
      <name val="Times New Roman"/>
      <family val="1"/>
    </font>
    <font>
      <b/>
      <vertAlign val="superscript"/>
      <sz val="9"/>
      <name val="Times New Roman"/>
      <family val="1"/>
    </font>
    <font>
      <sz val="9"/>
      <color indexed="8"/>
      <name val="Times New Roman"/>
      <family val="1"/>
    </font>
    <font>
      <b/>
      <sz val="10"/>
      <color theme="0"/>
      <name val="Calibri Light"/>
      <family val="2"/>
      <scheme val="major"/>
    </font>
    <font>
      <vertAlign val="subscript"/>
      <sz val="10"/>
      <name val="Arial"/>
      <family val="2"/>
    </font>
    <font>
      <vertAlign val="superscript"/>
      <sz val="10"/>
      <name val="Arial"/>
      <family val="2"/>
    </font>
    <font>
      <b/>
      <vertAlign val="superscript"/>
      <sz val="11"/>
      <color theme="1"/>
      <name val="Calibri"/>
      <family val="2"/>
      <scheme val="minor"/>
    </font>
    <font>
      <sz val="10"/>
      <color indexed="8"/>
      <name val="Arial"/>
      <family val="2"/>
    </font>
    <font>
      <u/>
      <sz val="10"/>
      <color theme="10"/>
      <name val="Times New Roman"/>
      <family val="1"/>
    </font>
    <font>
      <vertAlign val="subscript"/>
      <sz val="9"/>
      <name val="Times New Roman"/>
      <family val="1"/>
    </font>
    <font>
      <i/>
      <sz val="9"/>
      <name val="Times New Roman"/>
      <family val="1"/>
    </font>
    <font>
      <b/>
      <vertAlign val="superscript"/>
      <sz val="10"/>
      <color rgb="FFFF0000"/>
      <name val="Calibri"/>
      <family val="2"/>
      <scheme val="minor"/>
    </font>
  </fonts>
  <fills count="103">
    <fill>
      <patternFill patternType="none"/>
    </fill>
    <fill>
      <patternFill patternType="gray125"/>
    </fill>
    <fill>
      <patternFill patternType="solid">
        <fgColor theme="0"/>
        <bgColor indexed="64"/>
      </patternFill>
    </fill>
    <fill>
      <patternFill patternType="solid">
        <fgColor rgb="FFCC99FF"/>
        <bgColor indexed="64"/>
      </patternFill>
    </fill>
    <fill>
      <patternFill patternType="solid">
        <fgColor rgb="FF6B95C7"/>
        <bgColor indexed="64"/>
      </patternFill>
    </fill>
    <fill>
      <patternFill patternType="solid">
        <fgColor rgb="FFD9D9D9"/>
        <bgColor indexed="64"/>
      </patternFill>
    </fill>
    <fill>
      <patternFill patternType="solid">
        <fgColor theme="0"/>
        <bgColor indexed="9"/>
      </patternFill>
    </fill>
    <fill>
      <patternFill patternType="solid">
        <fgColor indexed="2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lightDown">
        <fgColor theme="0" tint="-0.499984740745262"/>
        <bgColor theme="0"/>
      </patternFill>
    </fill>
    <fill>
      <patternFill patternType="solid">
        <fgColor theme="7"/>
        <bgColor indexed="64"/>
      </patternFill>
    </fill>
    <fill>
      <patternFill patternType="solid">
        <fgColor theme="7" tint="-0.249977111117893"/>
        <bgColor indexed="64"/>
      </patternFill>
    </fill>
    <fill>
      <patternFill patternType="solid">
        <fgColor rgb="FF960096"/>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2"/>
        <b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Trellis"/>
    </fill>
    <fill>
      <patternFill patternType="solid">
        <fgColor indexed="22"/>
        <bgColor indexed="55"/>
      </patternFill>
    </fill>
    <fill>
      <patternFill patternType="solid">
        <fgColor rgb="FF0070C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9751CB"/>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E2CFF1"/>
        <bgColor indexed="64"/>
      </patternFill>
    </fill>
    <fill>
      <patternFill patternType="solid">
        <fgColor rgb="FFF2F7FC"/>
        <bgColor indexed="64"/>
      </patternFill>
    </fill>
    <fill>
      <patternFill patternType="solid">
        <fgColor theme="3" tint="-0.249977111117893"/>
        <bgColor indexed="64"/>
      </patternFill>
    </fill>
    <fill>
      <patternFill patternType="solid">
        <fgColor rgb="FFFFFFCC"/>
        <bgColor indexed="64"/>
      </patternFill>
    </fill>
    <fill>
      <patternFill patternType="solid">
        <fgColor rgb="FFF8CBAD"/>
        <bgColor indexed="64"/>
      </patternFill>
    </fill>
    <fill>
      <patternFill patternType="solid">
        <fgColor rgb="FFBDD7EE"/>
        <bgColor indexed="64"/>
      </patternFill>
    </fill>
    <fill>
      <patternFill patternType="solid">
        <fgColor rgb="FF2E75B6"/>
        <bgColor indexed="64"/>
      </patternFill>
    </fill>
    <fill>
      <patternFill patternType="solid">
        <fgColor rgb="FF548235"/>
        <bgColor indexed="64"/>
      </patternFill>
    </fill>
    <fill>
      <patternFill patternType="solid">
        <fgColor rgb="FFBFBFBF"/>
        <bgColor indexed="64"/>
      </patternFill>
    </fill>
    <fill>
      <patternFill patternType="solid">
        <fgColor rgb="FFF9A9E8"/>
        <bgColor indexed="64"/>
      </patternFill>
    </fill>
    <fill>
      <patternFill patternType="solid">
        <fgColor indexed="27"/>
        <bgColor indexed="64"/>
      </patternFill>
    </fill>
    <fill>
      <patternFill patternType="solid">
        <fgColor indexed="41"/>
        <bgColor indexed="64"/>
      </patternFill>
    </fill>
    <fill>
      <patternFill patternType="solid">
        <fgColor indexed="55"/>
        <bgColor indexed="64"/>
      </patternFill>
    </fill>
    <fill>
      <patternFill patternType="solid">
        <fgColor theme="0" tint="-0.34998626667073579"/>
        <bgColor indexed="64"/>
      </patternFill>
    </fill>
    <fill>
      <patternFill patternType="solid">
        <fgColor rgb="FF7A007A"/>
        <bgColor indexed="64"/>
      </patternFill>
    </fill>
    <fill>
      <patternFill patternType="solid">
        <fgColor rgb="FFE4DFEC"/>
        <bgColor indexed="64"/>
      </patternFill>
    </fill>
    <fill>
      <patternFill patternType="solid">
        <fgColor indexed="47"/>
        <bgColor indexed="64"/>
      </patternFill>
    </fill>
    <fill>
      <patternFill patternType="solid">
        <fgColor rgb="FFFFFFFF"/>
      </patternFill>
    </fill>
    <fill>
      <patternFill patternType="solid">
        <fgColor rgb="FF969696"/>
        <bgColor indexed="64"/>
      </patternFill>
    </fill>
  </fills>
  <borders count="143">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style="thin">
        <color rgb="FF9751CB"/>
      </right>
      <top style="thin">
        <color indexed="64"/>
      </top>
      <bottom style="thin">
        <color indexed="64"/>
      </bottom>
      <diagonal/>
    </border>
    <border>
      <left style="thin">
        <color rgb="FF9751CB"/>
      </left>
      <right style="thin">
        <color rgb="FF9751CB"/>
      </right>
      <top style="thin">
        <color indexed="64"/>
      </top>
      <bottom style="thin">
        <color indexed="64"/>
      </bottom>
      <diagonal/>
    </border>
    <border>
      <left style="thin">
        <color indexed="64"/>
      </left>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n">
        <color indexed="2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8"/>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indexed="64"/>
      </bottom>
      <diagonal/>
    </border>
    <border>
      <left/>
      <right style="thin">
        <color indexed="64"/>
      </right>
      <top/>
      <bottom style="thin">
        <color theme="0" tint="-0.14996795556505021"/>
      </bottom>
      <diagonal/>
    </border>
    <border>
      <left/>
      <right style="thin">
        <color indexed="64"/>
      </right>
      <top style="thin">
        <color theme="0" tint="-0.14996795556505021"/>
      </top>
      <bottom/>
      <diagonal/>
    </border>
    <border>
      <left style="medium">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medium">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indexed="64"/>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diagonal/>
    </border>
    <border>
      <left style="medium">
        <color indexed="64"/>
      </left>
      <right/>
      <top style="thin">
        <color indexed="64"/>
      </top>
      <bottom style="thin">
        <color theme="0" tint="-0.14996795556505021"/>
      </bottom>
      <diagonal/>
    </border>
    <border>
      <left style="medium">
        <color indexed="64"/>
      </left>
      <right style="thin">
        <color indexed="64"/>
      </right>
      <top style="thin">
        <color theme="0" tint="-0.14996795556505021"/>
      </top>
      <bottom/>
      <diagonal/>
    </border>
    <border>
      <left style="medium">
        <color indexed="64"/>
      </left>
      <right style="thin">
        <color indexed="64"/>
      </right>
      <top style="thin">
        <color theme="0" tint="-0.14996795556505021"/>
      </top>
      <bottom style="thin">
        <color indexed="64"/>
      </bottom>
      <diagonal/>
    </border>
    <border>
      <left style="thin">
        <color indexed="64"/>
      </left>
      <right/>
      <top style="thin">
        <color theme="0" tint="-0.14996795556505021"/>
      </top>
      <bottom style="medium">
        <color indexed="64"/>
      </bottom>
      <diagonal/>
    </border>
    <border>
      <left style="thin">
        <color indexed="64"/>
      </left>
      <right style="thin">
        <color indexed="64"/>
      </right>
      <top style="thin">
        <color theme="0" tint="-0.14996795556505021"/>
      </top>
      <bottom style="medium">
        <color indexed="64"/>
      </bottom>
      <diagonal/>
    </border>
    <border>
      <left style="thin">
        <color indexed="64"/>
      </left>
      <right style="medium">
        <color indexed="64"/>
      </right>
      <top style="thin">
        <color theme="0" tint="-0.14996795556505021"/>
      </top>
      <bottom style="medium">
        <color indexed="64"/>
      </bottom>
      <diagonal/>
    </border>
    <border>
      <left style="medium">
        <color indexed="64"/>
      </left>
      <right style="thin">
        <color indexed="64"/>
      </right>
      <top/>
      <bottom style="thin">
        <color theme="0" tint="-0.14996795556505021"/>
      </bottom>
      <diagonal/>
    </border>
    <border>
      <left/>
      <right style="medium">
        <color indexed="64"/>
      </right>
      <top style="thin">
        <color indexed="64"/>
      </top>
      <bottom style="thin">
        <color theme="0" tint="-0.14996795556505021"/>
      </bottom>
      <diagonal/>
    </border>
    <border>
      <left/>
      <right style="medium">
        <color indexed="64"/>
      </right>
      <top style="thin">
        <color theme="0" tint="-0.14996795556505021"/>
      </top>
      <bottom style="thin">
        <color theme="0" tint="-0.14996795556505021"/>
      </bottom>
      <diagonal/>
    </border>
    <border>
      <left/>
      <right style="medium">
        <color indexed="64"/>
      </right>
      <top style="thin">
        <color theme="0" tint="-0.14996795556505021"/>
      </top>
      <bottom style="thin">
        <color indexed="64"/>
      </bottom>
      <diagonal/>
    </border>
    <border>
      <left style="medium">
        <color indexed="64"/>
      </left>
      <right style="thin">
        <color indexed="64"/>
      </right>
      <top style="thin">
        <color theme="0" tint="-0.14996795556505021"/>
      </top>
      <bottom style="medium">
        <color indexed="64"/>
      </bottom>
      <diagonal/>
    </border>
    <border>
      <left style="medium">
        <color indexed="64"/>
      </left>
      <right style="medium">
        <color indexed="64"/>
      </right>
      <top style="thin">
        <color indexed="64"/>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style="thin">
        <color indexed="64"/>
      </bottom>
      <diagonal/>
    </border>
    <border>
      <left style="medium">
        <color indexed="64"/>
      </left>
      <right style="medium">
        <color indexed="64"/>
      </right>
      <top/>
      <bottom style="thin">
        <color theme="0" tint="-0.14996795556505021"/>
      </bottom>
      <diagonal/>
    </border>
    <border>
      <left style="medium">
        <color indexed="64"/>
      </left>
      <right style="medium">
        <color indexed="64"/>
      </right>
      <top style="thin">
        <color theme="0" tint="-0.14996795556505021"/>
      </top>
      <bottom/>
      <diagonal/>
    </border>
    <border>
      <left style="medium">
        <color indexed="64"/>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indexed="64"/>
      </bottom>
      <diagonal/>
    </border>
    <border>
      <left style="medium">
        <color indexed="64"/>
      </left>
      <right/>
      <top style="thin">
        <color theme="0" tint="-0.14996795556505021"/>
      </top>
      <bottom/>
      <diagonal/>
    </border>
    <border>
      <left style="medium">
        <color indexed="64"/>
      </left>
      <right/>
      <top/>
      <bottom style="thin">
        <color theme="0" tint="-0.14996795556505021"/>
      </bottom>
      <diagonal/>
    </border>
    <border>
      <left style="medium">
        <color indexed="64"/>
      </left>
      <right/>
      <top style="thin">
        <color theme="0" tint="-0.14996795556505021"/>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theme="0" tint="-0.14996795556505021"/>
      </top>
      <bottom style="thin">
        <color theme="0" tint="-0.14996795556505021"/>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medium">
        <color indexed="64"/>
      </bottom>
      <diagonal/>
    </border>
  </borders>
  <cellStyleXfs count="58927">
    <xf numFmtId="0" fontId="0" fillId="0" borderId="0"/>
    <xf numFmtId="164" fontId="2" fillId="0" borderId="0" applyFont="0" applyFill="0" applyBorder="0" applyAlignment="0" applyProtection="0"/>
    <xf numFmtId="0" fontId="2" fillId="0" borderId="0"/>
    <xf numFmtId="0" fontId="4" fillId="0" borderId="0" applyNumberFormat="0" applyFill="0" applyBorder="0" applyAlignment="0" applyProtection="0">
      <alignment vertical="top"/>
      <protection locked="0"/>
    </xf>
    <xf numFmtId="0" fontId="2" fillId="0" borderId="0"/>
    <xf numFmtId="0" fontId="2" fillId="0" borderId="0"/>
    <xf numFmtId="0" fontId="3" fillId="0" borderId="0"/>
    <xf numFmtId="0" fontId="3" fillId="0" borderId="0"/>
    <xf numFmtId="9" fontId="2" fillId="0" borderId="0" applyFont="0" applyFill="0" applyBorder="0" applyAlignment="0" applyProtection="0"/>
    <xf numFmtId="0" fontId="3" fillId="0" borderId="0"/>
    <xf numFmtId="0" fontId="7" fillId="0" borderId="0"/>
    <xf numFmtId="164" fontId="8" fillId="0" borderId="0" applyFont="0" applyFill="0" applyBorder="0" applyAlignment="0" applyProtection="0"/>
    <xf numFmtId="9" fontId="8" fillId="0" borderId="0" applyFont="0" applyFill="0" applyBorder="0" applyAlignment="0" applyProtection="0"/>
    <xf numFmtId="0" fontId="3" fillId="0" borderId="0"/>
    <xf numFmtId="164" fontId="2" fillId="0" borderId="0" applyFont="0" applyFill="0" applyBorder="0" applyAlignment="0" applyProtection="0"/>
    <xf numFmtId="0" fontId="2" fillId="0" borderId="0"/>
    <xf numFmtId="165" fontId="9" fillId="0" borderId="0" applyFont="0" applyFill="0" applyBorder="0" applyAlignment="0" applyProtection="0"/>
    <xf numFmtId="9" fontId="7" fillId="0" borderId="0" applyFont="0" applyFill="0" applyBorder="0" applyAlignment="0" applyProtection="0"/>
    <xf numFmtId="0" fontId="8" fillId="0" borderId="0"/>
    <xf numFmtId="0" fontId="10" fillId="0" borderId="0" applyNumberForma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11" fillId="0" borderId="0"/>
    <xf numFmtId="0" fontId="2" fillId="0" borderId="0"/>
    <xf numFmtId="0" fontId="1" fillId="0" borderId="0"/>
    <xf numFmtId="0" fontId="41" fillId="0" borderId="0"/>
    <xf numFmtId="165" fontId="2" fillId="0" borderId="0" applyFont="0" applyFill="0" applyBorder="0" applyAlignment="0" applyProtection="0"/>
    <xf numFmtId="0" fontId="50" fillId="0" borderId="0" applyNumberFormat="0" applyFill="0" applyBorder="0" applyAlignment="0" applyProtection="0"/>
    <xf numFmtId="0" fontId="51" fillId="0" borderId="26" applyNumberFormat="0" applyFill="0" applyAlignment="0" applyProtection="0"/>
    <xf numFmtId="0" fontId="52" fillId="0" borderId="27" applyNumberFormat="0" applyFill="0" applyAlignment="0" applyProtection="0"/>
    <xf numFmtId="0" fontId="53" fillId="20" borderId="0" applyNumberFormat="0" applyBorder="0" applyAlignment="0" applyProtection="0"/>
    <xf numFmtId="0" fontId="54" fillId="21" borderId="0" applyNumberFormat="0" applyBorder="0" applyAlignment="0" applyProtection="0"/>
    <xf numFmtId="0" fontId="55" fillId="22" borderId="29" applyNumberFormat="0" applyAlignment="0" applyProtection="0"/>
    <xf numFmtId="0" fontId="56" fillId="22" borderId="28" applyNumberFormat="0" applyAlignment="0" applyProtection="0"/>
    <xf numFmtId="0" fontId="59" fillId="0" borderId="0" applyNumberFormat="0" applyFill="0" applyBorder="0" applyAlignment="0" applyProtection="0"/>
    <xf numFmtId="0" fontId="60" fillId="0" borderId="32" applyNumberFormat="0" applyFill="0" applyAlignment="0" applyProtection="0"/>
    <xf numFmtId="0" fontId="1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2" fillId="47" borderId="0" applyNumberFormat="0" applyBorder="0" applyAlignment="0" applyProtection="0"/>
    <xf numFmtId="0" fontId="2" fillId="0" borderId="0"/>
    <xf numFmtId="0" fontId="61" fillId="0" borderId="0"/>
    <xf numFmtId="0" fontId="6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8"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168"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168"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168"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168"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168"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49" fontId="65" fillId="0" borderId="8" applyNumberFormat="0" applyFont="0" applyFill="0" applyBorder="0" applyProtection="0">
      <alignment horizontal="left" vertical="center" indent="2"/>
    </xf>
    <xf numFmtId="168"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168"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168"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168"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168"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168"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49" fontId="65" fillId="0" borderId="33" applyNumberFormat="0" applyFont="0" applyFill="0" applyBorder="0" applyProtection="0">
      <alignment horizontal="left" vertical="center" indent="5"/>
    </xf>
    <xf numFmtId="168" fontId="66" fillId="58" borderId="0" applyNumberFormat="0" applyBorder="0" applyAlignment="0" applyProtection="0"/>
    <xf numFmtId="168" fontId="66" fillId="55" borderId="0" applyNumberFormat="0" applyBorder="0" applyAlignment="0" applyProtection="0"/>
    <xf numFmtId="168" fontId="66" fillId="56" borderId="0" applyNumberFormat="0" applyBorder="0" applyAlignment="0" applyProtection="0"/>
    <xf numFmtId="168" fontId="66" fillId="59" borderId="0" applyNumberFormat="0" applyBorder="0" applyAlignment="0" applyProtection="0"/>
    <xf numFmtId="168" fontId="66" fillId="60" borderId="0" applyNumberFormat="0" applyBorder="0" applyAlignment="0" applyProtection="0"/>
    <xf numFmtId="168" fontId="66" fillId="61"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168" fontId="66" fillId="62" borderId="0" applyNumberFormat="0" applyBorder="0" applyAlignment="0" applyProtection="0"/>
    <xf numFmtId="168" fontId="66" fillId="63" borderId="0" applyNumberFormat="0" applyBorder="0" applyAlignment="0" applyProtection="0"/>
    <xf numFmtId="168" fontId="66" fillId="64" borderId="0" applyNumberFormat="0" applyBorder="0" applyAlignment="0" applyProtection="0"/>
    <xf numFmtId="168" fontId="66" fillId="59" borderId="0" applyNumberFormat="0" applyBorder="0" applyAlignment="0" applyProtection="0"/>
    <xf numFmtId="168" fontId="66" fillId="60" borderId="0" applyNumberFormat="0" applyBorder="0" applyAlignment="0" applyProtection="0"/>
    <xf numFmtId="168" fontId="66" fillId="65" borderId="0" applyNumberFormat="0" applyBorder="0" applyAlignment="0" applyProtection="0"/>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0" fontId="68" fillId="0" borderId="0">
      <alignment horizontal="center" wrapText="1"/>
      <protection locked="0"/>
    </xf>
    <xf numFmtId="168" fontId="69" fillId="49" borderId="0" applyNumberFormat="0" applyBorder="0" applyAlignment="0" applyProtection="0"/>
    <xf numFmtId="4" fontId="70" fillId="0" borderId="6" applyFill="0" applyBorder="0" applyProtection="0">
      <alignment horizontal="right" vertical="center"/>
    </xf>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169"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69"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170" fontId="3" fillId="0" borderId="0" applyFill="0" applyBorder="0" applyAlignment="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168"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2"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0" fontId="73" fillId="66" borderId="34" applyNumberFormat="0" applyAlignment="0" applyProtection="0"/>
    <xf numFmtId="2" fontId="74"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2" fontId="75" fillId="0" borderId="0"/>
    <xf numFmtId="0" fontId="3" fillId="0" borderId="0"/>
    <xf numFmtId="168" fontId="3" fillId="0" borderId="0"/>
    <xf numFmtId="2" fontId="75" fillId="0" borderId="0"/>
    <xf numFmtId="2" fontId="75" fillId="0" borderId="0"/>
    <xf numFmtId="2" fontId="75" fillId="0" borderId="0"/>
    <xf numFmtId="2" fontId="75" fillId="0" borderId="0"/>
    <xf numFmtId="2" fontId="75" fillId="0" borderId="0"/>
    <xf numFmtId="0" fontId="76" fillId="67" borderId="35" applyNumberFormat="0" applyAlignment="0" applyProtection="0"/>
    <xf numFmtId="0" fontId="76" fillId="67" borderId="35" applyNumberFormat="0" applyAlignment="0" applyProtection="0"/>
    <xf numFmtId="0" fontId="76" fillId="67" borderId="35" applyNumberFormat="0" applyAlignment="0" applyProtection="0"/>
    <xf numFmtId="0" fontId="76" fillId="67" borderId="35" applyNumberFormat="0" applyAlignment="0" applyProtection="0"/>
    <xf numFmtId="0" fontId="76" fillId="67" borderId="35" applyNumberFormat="0" applyAlignment="0" applyProtection="0"/>
    <xf numFmtId="0" fontId="76" fillId="67" borderId="35" applyNumberFormat="0" applyAlignment="0" applyProtection="0"/>
    <xf numFmtId="0" fontId="57" fillId="0" borderId="30"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8" fillId="67" borderId="35" applyNumberFormat="0" applyAlignment="0" applyProtection="0"/>
    <xf numFmtId="168" fontId="78" fillId="67" borderId="35" applyNumberFormat="0" applyAlignment="0" applyProtection="0"/>
    <xf numFmtId="0" fontId="79" fillId="0" borderId="0">
      <alignment horizontal="center" vertical="center" wrapText="1"/>
    </xf>
    <xf numFmtId="164" fontId="63" fillId="0" borderId="0" applyFont="0" applyFill="0" applyBorder="0" applyAlignment="0" applyProtection="0"/>
    <xf numFmtId="3" fontId="3" fillId="0" borderId="0" applyFont="0" applyFill="0" applyBorder="0" applyAlignment="0" applyProtection="0"/>
    <xf numFmtId="0" fontId="8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0" fillId="0" borderId="0" applyNumberFormat="0" applyAlignment="0">
      <alignment horizontal="left"/>
    </xf>
    <xf numFmtId="0" fontId="85" fillId="0" borderId="0">
      <alignment horizontal="left" vertical="center" wrapText="1"/>
    </xf>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0" fontId="82" fillId="0" borderId="0" applyNumberFormat="0" applyAlignment="0"/>
    <xf numFmtId="171" fontId="3" fillId="0" borderId="0" applyFont="0" applyFill="0" applyBorder="0" applyAlignment="0" applyProtection="0"/>
    <xf numFmtId="168" fontId="86" fillId="0" borderId="0">
      <protection locked="0"/>
    </xf>
    <xf numFmtId="172" fontId="87" fillId="0" borderId="37">
      <alignment horizontal="right" vertical="center"/>
    </xf>
    <xf numFmtId="49" fontId="88" fillId="0" borderId="37">
      <alignment horizontal="left" vertical="center"/>
    </xf>
    <xf numFmtId="173" fontId="62" fillId="0" borderId="37" applyNumberFormat="0" applyFill="0">
      <alignment horizontal="right"/>
    </xf>
    <xf numFmtId="174" fontId="62" fillId="0" borderId="37">
      <alignment horizontal="right"/>
    </xf>
    <xf numFmtId="0" fontId="3" fillId="0" borderId="0" applyFont="0" applyFill="0" applyBorder="0" applyAlignment="0" applyProtection="0"/>
    <xf numFmtId="0" fontId="3" fillId="0" borderId="0"/>
    <xf numFmtId="0" fontId="3"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84" fillId="0" borderId="0" applyNumberFormat="0" applyAlignment="0">
      <alignment horizontal="left"/>
    </xf>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0" fontId="90" fillId="53" borderId="34" applyNumberFormat="0" applyAlignment="0" applyProtection="0"/>
    <xf numFmtId="168"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68" fontId="91" fillId="0" borderId="0" applyNumberFormat="0" applyFill="0" applyBorder="0" applyAlignment="0" applyProtection="0"/>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0" fontId="86" fillId="0" borderId="0">
      <protection locked="0"/>
    </xf>
    <xf numFmtId="15" fontId="3" fillId="0" borderId="8" applyFill="0" applyBorder="0" applyProtection="0">
      <alignment horizontal="center" wrapText="1" shrinkToFit="1"/>
    </xf>
    <xf numFmtId="15" fontId="3" fillId="0" borderId="8" applyFill="0" applyBorder="0" applyProtection="0">
      <alignment horizontal="center" wrapText="1" shrinkToFit="1"/>
    </xf>
    <xf numFmtId="15" fontId="3" fillId="0" borderId="8" applyFill="0" applyBorder="0" applyProtection="0">
      <alignment horizontal="center" wrapText="1" shrinkToFit="1"/>
    </xf>
    <xf numFmtId="15" fontId="3" fillId="0" borderId="8" applyFill="0" applyBorder="0" applyProtection="0">
      <alignment horizontal="center" wrapText="1" shrinkToFit="1"/>
    </xf>
    <xf numFmtId="15" fontId="3" fillId="0" borderId="8" applyFill="0" applyBorder="0" applyProtection="0">
      <alignment horizontal="center" wrapText="1" shrinkToFit="1"/>
    </xf>
    <xf numFmtId="15" fontId="3" fillId="0" borderId="8" applyFill="0" applyBorder="0" applyProtection="0">
      <alignment horizontal="center" wrapText="1" shrinkToFit="1"/>
    </xf>
    <xf numFmtId="15" fontId="3" fillId="0" borderId="8" applyFill="0" applyBorder="0" applyProtection="0">
      <alignment horizontal="center" wrapText="1" shrinkToFit="1"/>
    </xf>
    <xf numFmtId="1" fontId="3" fillId="0" borderId="0" applyFont="0" applyFill="0" applyBorder="0" applyAlignment="0" applyProtection="0">
      <protection locked="0"/>
    </xf>
    <xf numFmtId="1" fontId="3" fillId="0" borderId="0" applyFont="0" applyFill="0" applyBorder="0" applyAlignment="0" applyProtection="0">
      <protection locked="0"/>
    </xf>
    <xf numFmtId="2" fontId="3" fillId="0" borderId="0" applyFont="0" applyFill="0" applyBorder="0" applyAlignment="0" applyProtection="0"/>
    <xf numFmtId="178" fontId="86" fillId="0" borderId="0">
      <protection locked="0"/>
    </xf>
    <xf numFmtId="1" fontId="92" fillId="0" borderId="0" applyNumberFormat="0" applyFill="0" applyBorder="0" applyAlignment="0" applyProtection="0">
      <alignment horizontal="center" vertical="top"/>
    </xf>
    <xf numFmtId="0" fontId="93" fillId="50" borderId="0" applyNumberFormat="0" applyBorder="0" applyAlignment="0" applyProtection="0"/>
    <xf numFmtId="168" fontId="93" fillId="50"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38" fontId="94" fillId="7" borderId="0" applyNumberFormat="0" applyBorder="0" applyAlignment="0" applyProtection="0"/>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63"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38" applyNumberFormat="0" applyAlignment="0" applyProtection="0">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6" fillId="0" borderId="39" applyNumberFormat="0" applyFill="0" applyAlignment="0" applyProtection="0"/>
    <xf numFmtId="168" fontId="97" fillId="68" borderId="0" applyFont="0" applyFill="0" applyBorder="0" applyAlignment="0" applyProtection="0">
      <alignment vertical="top"/>
    </xf>
    <xf numFmtId="168" fontId="98" fillId="0" borderId="40" applyNumberFormat="0" applyFill="0" applyAlignment="0" applyProtection="0"/>
    <xf numFmtId="168" fontId="99" fillId="0" borderId="41" applyNumberFormat="0" applyFill="0" applyAlignment="0" applyProtection="0"/>
    <xf numFmtId="0" fontId="99" fillId="0" borderId="0" applyNumberFormat="0" applyFill="0" applyBorder="0" applyAlignment="0" applyProtection="0"/>
    <xf numFmtId="168" fontId="99" fillId="0" borderId="0" applyNumberFormat="0" applyFill="0" applyBorder="0" applyAlignment="0" applyProtection="0"/>
    <xf numFmtId="0" fontId="100" fillId="0" borderId="0" applyNumberFormat="0" applyFill="0" applyBorder="0" applyAlignment="0" applyProtection="0"/>
    <xf numFmtId="0" fontId="101" fillId="0" borderId="37">
      <alignment horizontal="left"/>
    </xf>
    <xf numFmtId="0" fontId="101" fillId="0" borderId="42">
      <alignment horizontal="right" vertical="center"/>
    </xf>
    <xf numFmtId="0" fontId="102" fillId="0" borderId="37">
      <alignment horizontal="left" vertical="center"/>
    </xf>
    <xf numFmtId="0" fontId="62" fillId="0" borderId="37">
      <alignment horizontal="left" vertical="center"/>
    </xf>
    <xf numFmtId="0" fontId="103" fillId="0" borderId="37">
      <alignment horizontal="left"/>
    </xf>
    <xf numFmtId="0" fontId="103" fillId="69" borderId="0">
      <alignment horizontal="centerContinuous" wrapText="1"/>
    </xf>
    <xf numFmtId="49" fontId="103" fillId="69" borderId="7">
      <alignment horizontal="left" vertical="center"/>
    </xf>
    <xf numFmtId="0" fontId="103" fillId="69" borderId="0">
      <alignment horizontal="centerContinuous" vertical="center" wrapText="1"/>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09" fillId="49" borderId="0" applyNumberFormat="0" applyBorder="0" applyAlignment="0" applyProtection="0"/>
    <xf numFmtId="0" fontId="110" fillId="53" borderId="34" applyNumberFormat="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1"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10" fontId="94" fillId="70" borderId="8" applyNumberFormat="0" applyBorder="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168"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0" fontId="110" fillId="53" borderId="34" applyNumberFormat="0" applyAlignment="0" applyProtection="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79" fontId="79" fillId="72" borderId="0"/>
    <xf numFmtId="168" fontId="94" fillId="70" borderId="8">
      <alignment horizontal="center" vertical="center"/>
      <protection locked="0"/>
    </xf>
    <xf numFmtId="168" fontId="94" fillId="70" borderId="8">
      <alignment horizontal="center" vertical="center"/>
      <protection locked="0"/>
    </xf>
    <xf numFmtId="20" fontId="94" fillId="70" borderId="8">
      <alignment horizontal="center" vertical="center"/>
      <protection locked="0"/>
    </xf>
    <xf numFmtId="0" fontId="111" fillId="0" borderId="36" applyNumberFormat="0" applyFill="0" applyAlignment="0" applyProtection="0"/>
    <xf numFmtId="168" fontId="111" fillId="0" borderId="36" applyNumberFormat="0" applyFill="0" applyAlignment="0" applyProtection="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79" fontId="112" fillId="73" borderId="0"/>
    <xf numFmtId="180" fontId="64" fillId="0" borderId="0" applyFont="0" applyFill="0" applyBorder="0" applyAlignment="0" applyProtection="0"/>
    <xf numFmtId="180" fontId="64"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80" fontId="3" fillId="0" borderId="0" applyFont="0" applyFill="0" applyBorder="0" applyAlignment="0" applyProtection="0"/>
    <xf numFmtId="180" fontId="9" fillId="0" borderId="0" applyFont="0" applyFill="0" applyBorder="0" applyAlignment="0" applyProtection="0"/>
    <xf numFmtId="180" fontId="64" fillId="0" borderId="0" applyFont="0" applyFill="0" applyBorder="0" applyAlignment="0" applyProtection="0"/>
    <xf numFmtId="180" fontId="9"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11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113" fillId="0" borderId="0" applyFont="0" applyFill="0" applyBorder="0" applyAlignment="0" applyProtection="0"/>
    <xf numFmtId="164"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80" fontId="9" fillId="0" borderId="0" applyFont="0" applyFill="0" applyBorder="0" applyAlignment="0" applyProtection="0"/>
    <xf numFmtId="164" fontId="9" fillId="0" borderId="0" applyFont="0" applyFill="0" applyBorder="0" applyAlignment="0" applyProtection="0"/>
    <xf numFmtId="43" fontId="3" fillId="0" borderId="0" applyFont="0" applyFill="0" applyBorder="0" applyAlignment="0" applyProtection="0"/>
    <xf numFmtId="164" fontId="63" fillId="0" borderId="0" applyFont="0" applyFill="0" applyBorder="0" applyAlignment="0" applyProtection="0"/>
    <xf numFmtId="182" fontId="3" fillId="0" borderId="0" applyFill="0" applyBorder="0" applyAlignment="0" applyProtection="0"/>
    <xf numFmtId="180" fontId="63" fillId="0" borderId="0" applyFont="0" applyFill="0" applyBorder="0" applyAlignment="0" applyProtection="0"/>
    <xf numFmtId="180" fontId="63" fillId="0" borderId="0" applyFont="0" applyFill="0" applyBorder="0" applyAlignment="0" applyProtection="0"/>
    <xf numFmtId="165" fontId="2"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3" fontId="3" fillId="0" borderId="0" applyFont="0" applyFill="0" applyBorder="0" applyAlignment="0" applyProtection="0"/>
    <xf numFmtId="164" fontId="2" fillId="0" borderId="0" applyFont="0" applyFill="0" applyBorder="0" applyAlignment="0" applyProtection="0"/>
    <xf numFmtId="16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0" fontId="3"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180" fontId="3"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64" fontId="9"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64" fillId="0" borderId="0" applyFont="0" applyFill="0" applyBorder="0" applyAlignment="0" applyProtection="0"/>
    <xf numFmtId="0" fontId="3" fillId="0" borderId="0" applyFont="0" applyFill="0" applyBorder="0" applyAlignment="0" applyProtection="0"/>
    <xf numFmtId="180" fontId="64" fillId="0" borderId="0" applyFont="0" applyFill="0" applyBorder="0" applyAlignment="0" applyProtection="0"/>
    <xf numFmtId="180" fontId="64" fillId="0" borderId="0" applyFont="0" applyFill="0" applyBorder="0" applyAlignment="0" applyProtection="0"/>
    <xf numFmtId="164" fontId="2" fillId="0" borderId="0" applyFont="0" applyFill="0" applyBorder="0" applyAlignment="0" applyProtection="0"/>
    <xf numFmtId="180" fontId="2" fillId="0" borderId="0" applyFont="0" applyFill="0" applyBorder="0" applyAlignment="0" applyProtection="0"/>
    <xf numFmtId="165" fontId="64"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2"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84" fontId="75" fillId="0" borderId="0" applyFont="0" applyFill="0" applyBorder="0" applyAlignment="0" applyProtection="0"/>
    <xf numFmtId="165" fontId="75"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5"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85" fontId="114" fillId="0" borderId="0" applyFont="0" applyFill="0" applyBorder="0" applyAlignment="0" applyProtection="0"/>
    <xf numFmtId="186" fontId="114" fillId="0" borderId="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0" fontId="115" fillId="74" borderId="0" applyNumberFormat="0" applyBorder="0" applyAlignment="0" applyProtection="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5" fontId="116"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194"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xf numFmtId="0" fontId="3" fillId="0" borderId="0"/>
    <xf numFmtId="0" fontId="3" fillId="0" borderId="0"/>
    <xf numFmtId="0" fontId="3" fillId="0" borderId="0"/>
    <xf numFmtId="0" fontId="75" fillId="0" borderId="0"/>
    <xf numFmtId="0" fontId="1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3" fillId="0" borderId="0"/>
    <xf numFmtId="0" fontId="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62" fillId="0" borderId="0"/>
    <xf numFmtId="0" fontId="3" fillId="0" borderId="0"/>
    <xf numFmtId="0" fontId="3" fillId="0" borderId="0"/>
    <xf numFmtId="0" fontId="62" fillId="0" borderId="0"/>
    <xf numFmtId="0" fontId="3" fillId="0" borderId="0"/>
    <xf numFmtId="0" fontId="3" fillId="0" borderId="0"/>
    <xf numFmtId="0" fontId="62" fillId="0" borderId="0"/>
    <xf numFmtId="185" fontId="3" fillId="0" borderId="0"/>
    <xf numFmtId="185" fontId="3" fillId="0" borderId="0"/>
    <xf numFmtId="0" fontId="62" fillId="0" borderId="0"/>
    <xf numFmtId="185" fontId="3" fillId="0" borderId="0"/>
    <xf numFmtId="185" fontId="3" fillId="0" borderId="0"/>
    <xf numFmtId="0" fontId="62" fillId="0" borderId="0"/>
    <xf numFmtId="185" fontId="3" fillId="0" borderId="0"/>
    <xf numFmtId="185" fontId="3" fillId="0" borderId="0"/>
    <xf numFmtId="0" fontId="62" fillId="0" borderId="0"/>
    <xf numFmtId="185" fontId="3" fillId="0" borderId="0"/>
    <xf numFmtId="185" fontId="3" fillId="0" borderId="0"/>
    <xf numFmtId="0" fontId="62" fillId="0" borderId="0"/>
    <xf numFmtId="185" fontId="3" fillId="0" borderId="0"/>
    <xf numFmtId="185" fontId="3" fillId="0" borderId="0"/>
    <xf numFmtId="0" fontId="62" fillId="0" borderId="0"/>
    <xf numFmtId="185" fontId="3" fillId="0" borderId="0"/>
    <xf numFmtId="185" fontId="3" fillId="0" borderId="0"/>
    <xf numFmtId="0" fontId="62" fillId="0" borderId="0"/>
    <xf numFmtId="185" fontId="3" fillId="0" borderId="0"/>
    <xf numFmtId="185" fontId="3" fillId="0" borderId="0"/>
    <xf numFmtId="0" fontId="62" fillId="0" borderId="0"/>
    <xf numFmtId="0" fontId="63" fillId="0" borderId="0"/>
    <xf numFmtId="0" fontId="3" fillId="0" borderId="0"/>
    <xf numFmtId="0" fontId="3" fillId="0" borderId="0"/>
    <xf numFmtId="0" fontId="2" fillId="0" borderId="0"/>
    <xf numFmtId="0" fontId="3" fillId="0" borderId="0"/>
    <xf numFmtId="0" fontId="62" fillId="0" borderId="0"/>
    <xf numFmtId="185" fontId="3" fillId="0" borderId="0"/>
    <xf numFmtId="185" fontId="3" fillId="0" borderId="0"/>
    <xf numFmtId="0" fontId="62" fillId="0" borderId="0"/>
    <xf numFmtId="0" fontId="63" fillId="0" borderId="0"/>
    <xf numFmtId="0" fontId="62" fillId="0" borderId="0"/>
    <xf numFmtId="0" fontId="6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3" fillId="0" borderId="0"/>
    <xf numFmtId="0" fontId="9"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85" fontId="3" fillId="0" borderId="0"/>
    <xf numFmtId="185" fontId="3" fillId="0" borderId="0"/>
    <xf numFmtId="185" fontId="3" fillId="0" borderId="0"/>
    <xf numFmtId="168" fontId="3" fillId="0" borderId="0"/>
    <xf numFmtId="0" fontId="62"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9" fillId="0" borderId="0"/>
    <xf numFmtId="0" fontId="2" fillId="0" borderId="0"/>
    <xf numFmtId="0" fontId="9" fillId="0" borderId="0"/>
    <xf numFmtId="0" fontId="2" fillId="0" borderId="0"/>
    <xf numFmtId="0" fontId="9" fillId="0" borderId="0"/>
    <xf numFmtId="0" fontId="9" fillId="0" borderId="0"/>
    <xf numFmtId="0" fontId="3" fillId="0" borderId="0"/>
    <xf numFmtId="0" fontId="3" fillId="0" borderId="0"/>
    <xf numFmtId="0" fontId="9" fillId="0" borderId="0"/>
    <xf numFmtId="0" fontId="2"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65" fillId="0" borderId="8" applyFill="0" applyBorder="0" applyProtection="0">
      <alignment horizontal="right" vertical="center"/>
    </xf>
    <xf numFmtId="49" fontId="70" fillId="0" borderId="8" applyNumberFormat="0" applyFill="0" applyBorder="0" applyProtection="0">
      <alignment horizontal="left" vertical="center"/>
    </xf>
    <xf numFmtId="0" fontId="65" fillId="0" borderId="8" applyNumberFormat="0" applyFill="0" applyAlignment="0" applyProtection="0"/>
    <xf numFmtId="0" fontId="118" fillId="7" borderId="0" applyNumberFormat="0" applyFont="0" applyBorder="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64"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168"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0" fontId="3" fillId="75" borderId="43" applyNumberFormat="0" applyFont="0" applyAlignment="0" applyProtection="0"/>
    <xf numFmtId="40" fontId="119" fillId="0" borderId="0" applyFont="0" applyFill="0" applyBorder="0" applyAlignment="0" applyProtection="0"/>
    <xf numFmtId="38" fontId="119" fillId="0" borderId="0" applyFont="0" applyFill="0" applyBorder="0" applyAlignment="0" applyProtection="0"/>
    <xf numFmtId="196" fontId="61" fillId="0" borderId="0" applyFont="0" applyFill="0" applyBorder="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168" fontId="120" fillId="66" borderId="44" applyNumberFormat="0" applyAlignment="0" applyProtection="0"/>
    <xf numFmtId="0" fontId="120" fillId="66" borderId="44" applyNumberFormat="0" applyAlignment="0" applyProtection="0"/>
    <xf numFmtId="168" fontId="94" fillId="0" borderId="8">
      <alignment horizontal="center" vertical="center"/>
    </xf>
    <xf numFmtId="197" fontId="65" fillId="76" borderId="8" applyNumberFormat="0" applyFont="0" applyBorder="0" applyAlignment="0" applyProtection="0">
      <alignment horizontal="right" vertical="center"/>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4" fontId="68" fillId="0" borderId="0">
      <alignment horizontal="center" wrapText="1"/>
      <protection locked="0"/>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98" fontId="86" fillId="0" borderId="0">
      <protection locked="0"/>
    </xf>
    <xf numFmtId="199" fontId="86" fillId="0" borderId="0">
      <protection locked="0"/>
    </xf>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200" fontId="121" fillId="0" borderId="0"/>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0" fontId="122" fillId="0" borderId="0" applyNumberFormat="0" applyFont="0" applyFill="0" applyBorder="0" applyAlignment="0" applyProtection="0">
      <alignment horizontal="left"/>
    </xf>
    <xf numFmtId="3" fontId="87" fillId="0" borderId="0">
      <alignment horizontal="left" vertical="center"/>
    </xf>
    <xf numFmtId="201" fontId="118"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202" fontId="3" fillId="0" borderId="0" applyNumberFormat="0" applyFill="0" applyBorder="0" applyAlignment="0" applyProtection="0">
      <alignment horizontal="left"/>
    </xf>
    <xf numFmtId="38" fontId="123"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38" fontId="118" fillId="0" borderId="0"/>
    <xf numFmtId="0" fontId="79" fillId="0" borderId="0">
      <alignment horizontal="left" vertical="center"/>
    </xf>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180" fontId="3" fillId="0" borderId="0" applyFont="0" applyFill="0" applyBorder="0" applyAlignment="0" applyProtection="0"/>
    <xf numFmtId="0" fontId="118" fillId="0" borderId="0">
      <alignment horizontal="right"/>
    </xf>
    <xf numFmtId="49" fontId="118" fillId="0" borderId="0">
      <alignment horizontal="center"/>
    </xf>
    <xf numFmtId="0" fontId="88" fillId="0" borderId="0">
      <alignment horizontal="right"/>
    </xf>
    <xf numFmtId="0" fontId="118" fillId="0" borderId="0">
      <alignment horizontal="left"/>
    </xf>
    <xf numFmtId="0" fontId="65" fillId="0" borderId="0"/>
    <xf numFmtId="49" fontId="87" fillId="0" borderId="0">
      <alignment horizontal="left" vertical="center"/>
    </xf>
    <xf numFmtId="168" fontId="3" fillId="0" borderId="0"/>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0" fontId="125" fillId="0" borderId="0" applyBorder="0">
      <alignment horizontal="right"/>
    </xf>
    <xf numFmtId="49" fontId="88" fillId="0" borderId="37">
      <alignment horizontal="left" vertical="center"/>
    </xf>
    <xf numFmtId="49" fontId="79" fillId="0" borderId="37" applyFill="0">
      <alignment horizontal="left" vertical="center"/>
    </xf>
    <xf numFmtId="49" fontId="88" fillId="0" borderId="37">
      <alignment horizontal="left"/>
    </xf>
    <xf numFmtId="173" fontId="87" fillId="0" borderId="0" applyNumberFormat="0">
      <alignment horizontal="right"/>
    </xf>
    <xf numFmtId="0" fontId="101" fillId="77" borderId="0">
      <alignment horizontal="centerContinuous" vertical="center" wrapText="1"/>
    </xf>
    <xf numFmtId="0" fontId="101" fillId="0" borderId="45">
      <alignment horizontal="left" vertical="center"/>
    </xf>
    <xf numFmtId="0" fontId="126" fillId="0" borderId="0">
      <alignment horizontal="left" vertical="top"/>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68" fontId="129" fillId="0" borderId="0" applyNumberFormat="0" applyFill="0" applyBorder="0" applyAlignment="0" applyProtection="0"/>
    <xf numFmtId="0" fontId="103" fillId="0" borderId="0">
      <alignment horizontal="left"/>
    </xf>
    <xf numFmtId="0" fontId="85" fillId="0" borderId="0">
      <alignment horizontal="left"/>
    </xf>
    <xf numFmtId="0" fontId="62" fillId="0" borderId="0">
      <alignment horizontal="left"/>
    </xf>
    <xf numFmtId="0" fontId="126" fillId="0" borderId="0">
      <alignment horizontal="left" vertical="top"/>
    </xf>
    <xf numFmtId="0" fontId="85" fillId="0" borderId="0">
      <alignment horizontal="left"/>
    </xf>
    <xf numFmtId="0" fontId="62" fillId="0" borderId="0">
      <alignment horizontal="left"/>
    </xf>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89" fillId="0" borderId="41" applyNumberFormat="0" applyFill="0" applyAlignment="0" applyProtection="0"/>
    <xf numFmtId="0" fontId="89" fillId="0" borderId="41" applyNumberFormat="0" applyFill="0" applyAlignment="0" applyProtection="0"/>
    <xf numFmtId="0" fontId="89" fillId="0" borderId="41" applyNumberFormat="0" applyFill="0" applyAlignment="0" applyProtection="0"/>
    <xf numFmtId="0" fontId="89" fillId="0" borderId="41" applyNumberFormat="0" applyFill="0" applyAlignment="0" applyProtection="0"/>
    <xf numFmtId="0" fontId="89" fillId="0" borderId="41" applyNumberFormat="0" applyFill="0" applyAlignment="0" applyProtection="0"/>
    <xf numFmtId="0" fontId="89" fillId="0" borderId="41"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203" fontId="132" fillId="0" borderId="0">
      <protection locked="0"/>
    </xf>
    <xf numFmtId="203" fontId="132" fillId="0" borderId="0">
      <protection locked="0"/>
    </xf>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4" fillId="0" borderId="0" applyNumberFormat="0" applyFill="0" applyBorder="0" applyAlignment="0" applyProtection="0"/>
    <xf numFmtId="168" fontId="134" fillId="0" borderId="0" applyNumberFormat="0" applyFill="0" applyBorder="0" applyAlignment="0" applyProtection="0"/>
    <xf numFmtId="49" fontId="87" fillId="0" borderId="37">
      <alignment horizontal="left"/>
    </xf>
    <xf numFmtId="0" fontId="101" fillId="0" borderId="42">
      <alignment horizontal="left"/>
    </xf>
    <xf numFmtId="0" fontId="103" fillId="0" borderId="0">
      <alignment horizontal="left" vertical="center"/>
    </xf>
    <xf numFmtId="49" fontId="118" fillId="0" borderId="37">
      <alignment horizontal="left"/>
    </xf>
    <xf numFmtId="0" fontId="65" fillId="0" borderId="0"/>
    <xf numFmtId="165" fontId="41" fillId="0" borderId="0" applyFont="0" applyFill="0" applyBorder="0" applyAlignment="0" applyProtection="0"/>
    <xf numFmtId="9" fontId="41" fillId="0" borderId="0" applyFont="0" applyFill="0" applyBorder="0" applyAlignment="0" applyProtection="0"/>
    <xf numFmtId="0" fontId="3"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0" fontId="3" fillId="0" borderId="0"/>
    <xf numFmtId="0" fontId="3" fillId="0" borderId="0"/>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63"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95" fillId="0" borderId="2">
      <alignment horizontal="left" vertical="center"/>
    </xf>
    <xf numFmtId="0" fontId="33" fillId="0" borderId="0" applyFont="0" applyFill="0" applyBorder="0" applyAlignment="0" applyProtection="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66" borderId="44" applyNumberFormat="0" applyAlignment="0" applyProtection="0"/>
    <xf numFmtId="0" fontId="120" fillId="66" borderId="44" applyNumberFormat="0" applyAlignment="0" applyProtection="0"/>
    <xf numFmtId="0" fontId="120"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24" fillId="66" borderId="44" applyNumberFormat="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133" fillId="0" borderId="46" applyNumberFormat="0" applyFill="0" applyAlignment="0" applyProtection="0"/>
    <xf numFmtId="0" fontId="9" fillId="0" borderId="0"/>
    <xf numFmtId="0" fontId="8" fillId="0" borderId="0"/>
    <xf numFmtId="164" fontId="8" fillId="0" borderId="0" applyFont="0" applyFill="0" applyBorder="0" applyAlignment="0" applyProtection="0"/>
    <xf numFmtId="204" fontId="97" fillId="0" borderId="0" applyFont="0" applyFill="0" applyBorder="0" applyAlignment="0" applyProtection="0">
      <alignment vertical="center"/>
    </xf>
    <xf numFmtId="205" fontId="135" fillId="0" borderId="0" applyFont="0" applyFill="0" applyBorder="0" applyAlignment="0" applyProtection="0">
      <alignment horizontal="center" vertical="center"/>
    </xf>
    <xf numFmtId="206" fontId="97" fillId="0" borderId="0" applyFont="0" applyFill="0" applyBorder="0" applyAlignment="0" applyProtection="0">
      <alignment horizontal="center" vertical="center"/>
    </xf>
    <xf numFmtId="207" fontId="97" fillId="0" borderId="0" applyFont="0" applyFill="0" applyBorder="0" applyAlignment="0" applyProtection="0">
      <alignment vertical="center"/>
    </xf>
    <xf numFmtId="208" fontId="97" fillId="0" borderId="0" applyFont="0" applyFill="0" applyBorder="0" applyAlignment="0" applyProtection="0">
      <alignment vertical="center"/>
    </xf>
    <xf numFmtId="209" fontId="94" fillId="0" borderId="0" applyFont="0" applyFill="0" applyBorder="0" applyProtection="0">
      <alignment horizontal="center" vertical="center"/>
    </xf>
    <xf numFmtId="14" fontId="3" fillId="0" borderId="0" applyFont="0" applyFill="0" applyBorder="0" applyAlignment="0" applyProtection="0">
      <alignment vertical="center"/>
    </xf>
    <xf numFmtId="210" fontId="94" fillId="0" borderId="0" applyFont="0" applyFill="0" applyBorder="0" applyAlignment="0" applyProtection="0">
      <alignment horizontal="center" vertical="center"/>
    </xf>
    <xf numFmtId="211" fontId="136" fillId="0" borderId="7" applyFont="0" applyFill="0" applyBorder="0" applyAlignment="0" applyProtection="0">
      <alignment horizontal="right" vertical="center"/>
    </xf>
    <xf numFmtId="212" fontId="94" fillId="0" borderId="0" applyFont="0" applyFill="0" applyBorder="0" applyAlignment="0" applyProtection="0">
      <alignment vertical="center"/>
    </xf>
    <xf numFmtId="210" fontId="94" fillId="0" borderId="0" applyFont="0" applyFill="0" applyBorder="0" applyAlignment="0" applyProtection="0"/>
    <xf numFmtId="213" fontId="94" fillId="0" borderId="0" applyFont="0" applyFill="0" applyBorder="0" applyAlignment="0" applyProtection="0">
      <alignment vertical="center"/>
    </xf>
    <xf numFmtId="214" fontId="94" fillId="0" borderId="0" applyFont="0" applyFill="0" applyBorder="0" applyAlignment="0" applyProtection="0"/>
    <xf numFmtId="215" fontId="94" fillId="0" borderId="0" applyFont="0" applyFill="0" applyBorder="0" applyProtection="0">
      <alignment horizontal="right" vertical="center"/>
    </xf>
    <xf numFmtId="216" fontId="137" fillId="0" borderId="0" applyFont="0" applyFill="0" applyBorder="0" applyAlignment="0" applyProtection="0">
      <alignment horizontal="center" vertical="center"/>
    </xf>
    <xf numFmtId="217" fontId="94" fillId="0" borderId="0" applyFont="0" applyFill="0" applyBorder="0" applyAlignment="0" applyProtection="0"/>
    <xf numFmtId="218" fontId="97" fillId="0" borderId="0" applyFont="0" applyFill="0" applyBorder="0" applyAlignment="0" applyProtection="0">
      <alignment horizontal="center" vertical="center"/>
    </xf>
    <xf numFmtId="219" fontId="94" fillId="0" borderId="0" applyFont="0" applyFill="0" applyBorder="0" applyProtection="0">
      <alignment horizontal="right" vertical="center"/>
    </xf>
    <xf numFmtId="220" fontId="94" fillId="0" borderId="0" applyFont="0" applyFill="0" applyBorder="0" applyProtection="0">
      <alignment horizontal="right" vertical="center"/>
    </xf>
    <xf numFmtId="221" fontId="94" fillId="0" borderId="0" applyFont="0" applyFill="0" applyBorder="0" applyAlignment="0" applyProtection="0">
      <alignment horizontal="left" vertical="center"/>
    </xf>
    <xf numFmtId="222" fontId="94" fillId="0" borderId="0" applyFont="0" applyFill="0" applyBorder="0" applyAlignment="0" applyProtection="0">
      <alignment horizontal="center" vertical="center"/>
    </xf>
    <xf numFmtId="3" fontId="94" fillId="0" borderId="0" applyFont="0" applyFill="0" applyBorder="0" applyAlignment="0" applyProtection="0">
      <alignment vertical="center"/>
    </xf>
    <xf numFmtId="223" fontId="94" fillId="0" borderId="0" applyFont="0" applyFill="0" applyBorder="0" applyAlignment="0" applyProtection="0">
      <alignment vertical="center"/>
    </xf>
    <xf numFmtId="224" fontId="94" fillId="0" borderId="0" applyFont="0" applyFill="0" applyBorder="0" applyAlignment="0" applyProtection="0">
      <alignment vertical="center"/>
    </xf>
    <xf numFmtId="9" fontId="2" fillId="0" borderId="0" applyFont="0" applyFill="0" applyBorder="0" applyAlignment="0" applyProtection="0"/>
    <xf numFmtId="225" fontId="97" fillId="0" borderId="0" applyFont="0" applyFill="0" applyBorder="0" applyAlignment="0" applyProtection="0">
      <alignment vertical="center"/>
    </xf>
    <xf numFmtId="226" fontId="97" fillId="0" borderId="0" applyFont="0" applyFill="0" applyBorder="0" applyAlignment="0" applyProtection="0">
      <alignment vertical="center"/>
    </xf>
    <xf numFmtId="227" fontId="94" fillId="0" borderId="0" applyFont="0" applyFill="0" applyBorder="0" applyAlignment="0" applyProtection="0"/>
    <xf numFmtId="0" fontId="138" fillId="0" borderId="0" applyNumberFormat="0" applyFill="0" applyBorder="0" applyAlignment="0" applyProtection="0">
      <alignment vertical="center"/>
    </xf>
    <xf numFmtId="228" fontId="3" fillId="0" borderId="0" applyFont="0" applyFill="0" applyBorder="0" applyProtection="0">
      <alignment horizontal="right" vertical="center"/>
    </xf>
    <xf numFmtId="49" fontId="139" fillId="0" borderId="0" applyFill="0" applyBorder="0" applyProtection="0"/>
    <xf numFmtId="229" fontId="135" fillId="0" borderId="0" applyFont="0" applyFill="0" applyBorder="0" applyAlignment="0" applyProtection="0">
      <alignment vertical="center"/>
    </xf>
    <xf numFmtId="49" fontId="94" fillId="0" borderId="0" applyFont="0" applyFill="0" applyBorder="0" applyAlignment="0" applyProtection="0">
      <alignment vertical="center"/>
    </xf>
    <xf numFmtId="18" fontId="138" fillId="0" borderId="0" applyFont="0" applyFill="0" applyBorder="0" applyAlignment="0" applyProtection="0">
      <alignment horizontal="center" vertical="center"/>
    </xf>
    <xf numFmtId="49" fontId="135" fillId="7" borderId="8" applyProtection="0">
      <alignment horizontal="center" vertical="center"/>
    </xf>
    <xf numFmtId="230" fontId="94" fillId="0" borderId="13" applyFont="0" applyFill="0" applyBorder="0" applyAlignment="0" applyProtection="0">
      <alignment horizontal="center" vertical="center"/>
    </xf>
    <xf numFmtId="49" fontId="97" fillId="7" borderId="8" applyFill="0" applyBorder="0" applyProtection="0">
      <alignment vertical="center" wrapText="1"/>
    </xf>
    <xf numFmtId="0" fontId="140" fillId="0" borderId="0"/>
    <xf numFmtId="0" fontId="108" fillId="0" borderId="0" applyNumberFormat="0" applyFill="0" applyBorder="0" applyAlignment="0" applyProtection="0"/>
    <xf numFmtId="0" fontId="1" fillId="0" borderId="0"/>
    <xf numFmtId="0" fontId="3" fillId="0" borderId="0"/>
    <xf numFmtId="0" fontId="3" fillId="0" borderId="0"/>
    <xf numFmtId="0" fontId="2" fillId="0" borderId="0"/>
    <xf numFmtId="0" fontId="2" fillId="0" borderId="0"/>
    <xf numFmtId="0" fontId="2" fillId="23" borderId="31" applyNumberFormat="0" applyFont="0" applyAlignment="0" applyProtection="0"/>
    <xf numFmtId="0" fontId="2" fillId="0" borderId="0"/>
    <xf numFmtId="0" fontId="2" fillId="23" borderId="31" applyNumberFormat="0" applyFont="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41" fillId="0" borderId="0"/>
    <xf numFmtId="40" fontId="142" fillId="0" borderId="0" applyFont="0" applyFill="0" applyBorder="0" applyAlignment="0" applyProtection="0"/>
    <xf numFmtId="9" fontId="142" fillId="0" borderId="0" applyFont="0" applyFill="0" applyBorder="0" applyAlignment="0" applyProtection="0"/>
    <xf numFmtId="180" fontId="3" fillId="0" borderId="0" applyFont="0" applyFill="0" applyBorder="0" applyAlignment="0" applyProtection="0"/>
    <xf numFmtId="0" fontId="2" fillId="0" borderId="0"/>
    <xf numFmtId="0" fontId="141" fillId="0" borderId="0"/>
    <xf numFmtId="40" fontId="142" fillId="0" borderId="0" applyFont="0" applyFill="0" applyBorder="0" applyAlignment="0" applyProtection="0"/>
    <xf numFmtId="0" fontId="143" fillId="0" borderId="0"/>
    <xf numFmtId="0" fontId="3" fillId="0" borderId="0"/>
    <xf numFmtId="180" fontId="3"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13" fillId="2"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1" fillId="0" borderId="0" applyFont="0" applyFill="0" applyBorder="0" applyAlignment="0" applyProtection="0"/>
    <xf numFmtId="0" fontId="3" fillId="0" borderId="0" applyBorder="0"/>
    <xf numFmtId="0" fontId="3" fillId="0" borderId="0"/>
    <xf numFmtId="0" fontId="65" fillId="0" borderId="0"/>
    <xf numFmtId="0" fontId="65" fillId="94" borderId="8">
      <alignment horizontal="right" vertical="center"/>
    </xf>
    <xf numFmtId="164" fontId="3" fillId="0" borderId="0" applyFont="0" applyFill="0" applyBorder="0" applyAlignment="0" applyProtection="0"/>
    <xf numFmtId="0" fontId="173" fillId="0" borderId="0" applyNumberFormat="0">
      <alignment horizontal="right"/>
    </xf>
    <xf numFmtId="0" fontId="65" fillId="0" borderId="0"/>
    <xf numFmtId="0" fontId="2" fillId="0" borderId="0"/>
    <xf numFmtId="0" fontId="65" fillId="96" borderId="8"/>
    <xf numFmtId="0" fontId="173" fillId="100" borderId="8">
      <alignment horizontal="right" vertical="center"/>
    </xf>
    <xf numFmtId="0" fontId="173" fillId="100" borderId="50">
      <alignment horizontal="right" vertical="center"/>
    </xf>
    <xf numFmtId="0" fontId="65" fillId="0" borderId="97">
      <alignment horizontal="left" vertical="center" wrapText="1" indent="2"/>
    </xf>
    <xf numFmtId="0" fontId="3" fillId="0" borderId="0" applyNumberFormat="0" applyFont="0" applyFill="0" applyBorder="0" applyProtection="0">
      <alignment horizontal="left" vertical="center" indent="2"/>
    </xf>
  </cellStyleXfs>
  <cellXfs count="865">
    <xf numFmtId="0" fontId="0" fillId="0" borderId="0" xfId="0"/>
    <xf numFmtId="0" fontId="13" fillId="2" borderId="0" xfId="0" applyFont="1" applyFill="1"/>
    <xf numFmtId="0" fontId="14" fillId="2" borderId="0" xfId="0" applyFont="1" applyFill="1"/>
    <xf numFmtId="0" fontId="0" fillId="2" borderId="0" xfId="0" applyFill="1"/>
    <xf numFmtId="0" fontId="16" fillId="2" borderId="0" xfId="0" applyFont="1" applyFill="1"/>
    <xf numFmtId="0" fontId="17" fillId="2" borderId="0" xfId="0" applyFont="1" applyFill="1"/>
    <xf numFmtId="0" fontId="18" fillId="2" borderId="0" xfId="0" applyFont="1" applyFill="1"/>
    <xf numFmtId="0" fontId="20" fillId="2" borderId="0" xfId="0" applyFont="1" applyFill="1"/>
    <xf numFmtId="0" fontId="21" fillId="2" borderId="0" xfId="0" applyFont="1" applyFill="1"/>
    <xf numFmtId="0" fontId="21" fillId="2" borderId="0" xfId="0" applyFont="1" applyFill="1" applyAlignment="1">
      <alignment wrapText="1"/>
    </xf>
    <xf numFmtId="0" fontId="21" fillId="2" borderId="0" xfId="0" applyFont="1" applyFill="1" applyAlignment="1">
      <alignment vertical="top" wrapText="1"/>
    </xf>
    <xf numFmtId="0" fontId="23" fillId="2" borderId="0" xfId="0" applyFont="1" applyFill="1"/>
    <xf numFmtId="0" fontId="16" fillId="2" borderId="0" xfId="0" applyFont="1" applyFill="1" applyAlignment="1">
      <alignment vertical="center" wrapText="1"/>
    </xf>
    <xf numFmtId="0" fontId="24" fillId="2" borderId="0" xfId="0" applyFont="1" applyFill="1"/>
    <xf numFmtId="0" fontId="16" fillId="2" borderId="0" xfId="0" applyFont="1" applyFill="1" applyAlignment="1">
      <alignment horizontal="left"/>
    </xf>
    <xf numFmtId="0" fontId="16" fillId="2" borderId="0" xfId="0" applyFont="1" applyFill="1" applyAlignment="1">
      <alignment horizontal="left" vertical="top"/>
    </xf>
    <xf numFmtId="0" fontId="17" fillId="2" borderId="0" xfId="0" applyFont="1" applyFill="1" applyAlignment="1">
      <alignment vertical="top" wrapText="1"/>
    </xf>
    <xf numFmtId="0" fontId="16" fillId="2" borderId="8" xfId="0" applyFont="1" applyFill="1" applyBorder="1"/>
    <xf numFmtId="49" fontId="16" fillId="2" borderId="0" xfId="0" applyNumberFormat="1" applyFont="1" applyFill="1"/>
    <xf numFmtId="0" fontId="26" fillId="4" borderId="8" xfId="0" applyFont="1" applyFill="1" applyBorder="1" applyAlignment="1">
      <alignment horizontal="left" vertical="center" wrapText="1"/>
    </xf>
    <xf numFmtId="166" fontId="16" fillId="2" borderId="8" xfId="1" applyNumberFormat="1" applyFont="1" applyFill="1" applyBorder="1"/>
    <xf numFmtId="164" fontId="16" fillId="2" borderId="8" xfId="1" applyFont="1" applyFill="1" applyBorder="1"/>
    <xf numFmtId="0" fontId="26" fillId="4" borderId="8" xfId="0" applyFont="1" applyFill="1" applyBorder="1" applyAlignment="1">
      <alignment horizontal="center" vertical="center" wrapText="1"/>
    </xf>
    <xf numFmtId="167" fontId="16" fillId="2" borderId="8" xfId="1" applyNumberFormat="1" applyFont="1" applyFill="1" applyBorder="1"/>
    <xf numFmtId="0" fontId="13" fillId="0" borderId="0" xfId="0" applyFont="1"/>
    <xf numFmtId="0" fontId="32" fillId="0" borderId="0" xfId="0" applyFont="1" applyAlignment="1">
      <alignment horizontal="left"/>
    </xf>
    <xf numFmtId="0" fontId="8" fillId="0" borderId="0" xfId="0" applyFont="1"/>
    <xf numFmtId="166" fontId="33" fillId="0" borderId="0" xfId="1" applyNumberFormat="1" applyFont="1" applyBorder="1" applyAlignment="1">
      <alignment horizontal="right"/>
    </xf>
    <xf numFmtId="0" fontId="16" fillId="2" borderId="0" xfId="0" applyFont="1" applyFill="1" applyAlignment="1">
      <alignment horizontal="center"/>
    </xf>
    <xf numFmtId="164" fontId="16" fillId="2" borderId="0" xfId="0" applyNumberFormat="1" applyFont="1" applyFill="1"/>
    <xf numFmtId="0" fontId="16" fillId="2" borderId="8" xfId="0" applyFont="1" applyFill="1" applyBorder="1" applyAlignment="1">
      <alignment horizontal="center"/>
    </xf>
    <xf numFmtId="0" fontId="37" fillId="2" borderId="0" xfId="0" applyFont="1" applyFill="1"/>
    <xf numFmtId="0" fontId="16" fillId="0" borderId="0" xfId="0" applyFont="1"/>
    <xf numFmtId="0" fontId="13" fillId="2" borderId="0" xfId="0" applyFont="1" applyFill="1" applyAlignment="1">
      <alignment horizontal="center"/>
    </xf>
    <xf numFmtId="0" fontId="40" fillId="2" borderId="0" xfId="0" applyFont="1" applyFill="1" applyAlignment="1">
      <alignment horizontal="left"/>
    </xf>
    <xf numFmtId="0" fontId="42" fillId="2" borderId="0" xfId="4" applyFont="1" applyFill="1" applyAlignment="1">
      <alignment horizontal="center" vertical="center" wrapText="1"/>
    </xf>
    <xf numFmtId="0" fontId="13" fillId="2" borderId="0" xfId="4" applyFont="1" applyFill="1" applyAlignment="1">
      <alignment horizontal="center" vertical="center" wrapText="1"/>
    </xf>
    <xf numFmtId="0" fontId="13" fillId="2" borderId="0" xfId="4" applyFont="1" applyFill="1" applyAlignment="1">
      <alignment vertical="center"/>
    </xf>
    <xf numFmtId="0" fontId="29" fillId="0" borderId="8" xfId="25" applyFont="1" applyBorder="1" applyAlignment="1">
      <alignment horizontal="left" vertical="center" wrapText="1"/>
    </xf>
    <xf numFmtId="0" fontId="28" fillId="13" borderId="8" xfId="2" applyFont="1" applyFill="1" applyBorder="1" applyAlignment="1">
      <alignment horizontal="left" vertical="center" wrapText="1"/>
    </xf>
    <xf numFmtId="0" fontId="28" fillId="13" borderId="8" xfId="2" applyFont="1" applyFill="1" applyBorder="1" applyAlignment="1">
      <alignment horizontal="center" vertical="center" wrapText="1"/>
    </xf>
    <xf numFmtId="0" fontId="13" fillId="2" borderId="0" xfId="4" applyFont="1" applyFill="1" applyAlignment="1">
      <alignment vertical="center" wrapText="1"/>
    </xf>
    <xf numFmtId="0" fontId="29" fillId="0" borderId="8" xfId="4" applyFont="1" applyBorder="1" applyAlignment="1">
      <alignment horizontal="center" vertical="center" wrapText="1"/>
    </xf>
    <xf numFmtId="0" fontId="13" fillId="0" borderId="0" xfId="4" applyFont="1" applyAlignment="1">
      <alignment vertical="center" wrapText="1"/>
    </xf>
    <xf numFmtId="0" fontId="13" fillId="2" borderId="0" xfId="4" applyFont="1" applyFill="1" applyAlignment="1">
      <alignment horizontal="left" vertical="top" wrapText="1"/>
    </xf>
    <xf numFmtId="0" fontId="31" fillId="15" borderId="1" xfId="4" applyFont="1" applyFill="1" applyBorder="1" applyAlignment="1">
      <alignment horizontal="center" vertical="center" wrapText="1"/>
    </xf>
    <xf numFmtId="0" fontId="31" fillId="15" borderId="9" xfId="4" applyFont="1" applyFill="1" applyBorder="1" applyAlignment="1">
      <alignment horizontal="center" vertical="center" wrapText="1"/>
    </xf>
    <xf numFmtId="0" fontId="29" fillId="11" borderId="1" xfId="4" applyFont="1" applyFill="1" applyBorder="1" applyAlignment="1">
      <alignment horizontal="left" vertical="center"/>
    </xf>
    <xf numFmtId="0" fontId="28" fillId="11" borderId="1" xfId="4" applyFont="1" applyFill="1" applyBorder="1" applyAlignment="1">
      <alignment horizontal="left" vertical="center" wrapText="1"/>
    </xf>
    <xf numFmtId="0" fontId="29" fillId="11" borderId="1" xfId="4" applyFont="1" applyFill="1" applyBorder="1" applyAlignment="1">
      <alignment horizontal="center" vertical="center"/>
    </xf>
    <xf numFmtId="0" fontId="28" fillId="11" borderId="1" xfId="4" applyFont="1" applyFill="1" applyBorder="1" applyAlignment="1">
      <alignment horizontal="center" vertical="center"/>
    </xf>
    <xf numFmtId="0" fontId="29" fillId="11" borderId="19" xfId="4" applyFont="1" applyFill="1" applyBorder="1" applyAlignment="1">
      <alignment horizontal="center" vertical="center" wrapText="1"/>
    </xf>
    <xf numFmtId="0" fontId="29" fillId="11" borderId="20" xfId="4" applyFont="1" applyFill="1" applyBorder="1" applyAlignment="1">
      <alignment horizontal="center" vertical="center" wrapText="1"/>
    </xf>
    <xf numFmtId="49" fontId="28" fillId="11" borderId="20" xfId="4" applyNumberFormat="1" applyFont="1" applyFill="1" applyBorder="1" applyAlignment="1">
      <alignment horizontal="center" vertical="center" wrapText="1"/>
    </xf>
    <xf numFmtId="0" fontId="45" fillId="2" borderId="0" xfId="25" applyFont="1" applyFill="1" applyAlignment="1">
      <alignment vertical="center"/>
    </xf>
    <xf numFmtId="0" fontId="46" fillId="2" borderId="0" xfId="25" applyFont="1" applyFill="1" applyAlignment="1">
      <alignment horizontal="center" vertical="center"/>
    </xf>
    <xf numFmtId="0" fontId="45" fillId="2" borderId="0" xfId="25" applyFont="1" applyFill="1" applyAlignment="1">
      <alignment horizontal="center" vertical="center"/>
    </xf>
    <xf numFmtId="49" fontId="45" fillId="2" borderId="0" xfId="25" applyNumberFormat="1" applyFont="1" applyFill="1" applyAlignment="1">
      <alignment horizontal="center" vertical="center"/>
    </xf>
    <xf numFmtId="0" fontId="45" fillId="2" borderId="0" xfId="25" applyFont="1" applyFill="1" applyAlignment="1">
      <alignment horizontal="left" vertical="center"/>
    </xf>
    <xf numFmtId="0" fontId="45" fillId="2" borderId="0" xfId="25" applyFont="1" applyFill="1" applyAlignment="1">
      <alignment horizontal="left" vertical="center" wrapText="1"/>
    </xf>
    <xf numFmtId="4" fontId="45" fillId="2" borderId="0" xfId="25" applyNumberFormat="1" applyFont="1" applyFill="1" applyAlignment="1">
      <alignment horizontal="center" vertical="center"/>
    </xf>
    <xf numFmtId="0" fontId="26" fillId="16" borderId="0" xfId="25" applyFont="1" applyFill="1" applyAlignment="1">
      <alignment horizontal="center" vertical="center"/>
    </xf>
    <xf numFmtId="0" fontId="46" fillId="2" borderId="0" xfId="25" applyFont="1" applyFill="1" applyAlignment="1">
      <alignment vertical="center"/>
    </xf>
    <xf numFmtId="49" fontId="46" fillId="2" borderId="0" xfId="25" applyNumberFormat="1" applyFont="1" applyFill="1" applyAlignment="1">
      <alignment horizontal="center" vertical="center"/>
    </xf>
    <xf numFmtId="0" fontId="46" fillId="2" borderId="0" xfId="25" applyFont="1" applyFill="1" applyAlignment="1">
      <alignment horizontal="left" vertical="center"/>
    </xf>
    <xf numFmtId="0" fontId="46" fillId="2" borderId="0" xfId="25" applyFont="1" applyFill="1" applyAlignment="1">
      <alignment horizontal="left" vertical="center" wrapText="1"/>
    </xf>
    <xf numFmtId="4" fontId="46" fillId="2" borderId="0" xfId="25" applyNumberFormat="1" applyFont="1" applyFill="1" applyAlignment="1">
      <alignment horizontal="center" vertical="center"/>
    </xf>
    <xf numFmtId="0" fontId="26" fillId="16" borderId="0" xfId="25" applyFont="1" applyFill="1" applyAlignment="1">
      <alignment vertical="center"/>
    </xf>
    <xf numFmtId="49" fontId="26" fillId="16" borderId="0" xfId="25" applyNumberFormat="1" applyFont="1" applyFill="1" applyAlignment="1">
      <alignment horizontal="center" vertical="center"/>
    </xf>
    <xf numFmtId="0" fontId="26" fillId="16" borderId="0" xfId="25" applyFont="1" applyFill="1" applyAlignment="1">
      <alignment horizontal="left" vertical="center"/>
    </xf>
    <xf numFmtId="0" fontId="26" fillId="16" borderId="0" xfId="25" applyFont="1" applyFill="1" applyAlignment="1">
      <alignment horizontal="left" vertical="center" wrapText="1"/>
    </xf>
    <xf numFmtId="4" fontId="26" fillId="16" borderId="0" xfId="25" applyNumberFormat="1" applyFont="1" applyFill="1" applyAlignment="1">
      <alignment horizontal="center" vertical="center"/>
    </xf>
    <xf numFmtId="0" fontId="29" fillId="12" borderId="0" xfId="0" applyFont="1" applyFill="1"/>
    <xf numFmtId="0" fontId="13" fillId="0" borderId="8" xfId="4" applyFont="1" applyBorder="1" applyAlignment="1">
      <alignment vertical="center"/>
    </xf>
    <xf numFmtId="0" fontId="13" fillId="0" borderId="8" xfId="4" applyFont="1" applyBorder="1" applyAlignment="1">
      <alignment horizontal="left" vertical="center" wrapText="1"/>
    </xf>
    <xf numFmtId="0" fontId="46" fillId="2" borderId="0" xfId="25" applyFont="1" applyFill="1" applyAlignment="1">
      <alignment horizontal="center" vertical="center" wrapText="1"/>
    </xf>
    <xf numFmtId="0" fontId="26" fillId="16" borderId="0" xfId="25" applyFont="1" applyFill="1" applyAlignment="1">
      <alignment horizontal="center" vertical="center" wrapText="1"/>
    </xf>
    <xf numFmtId="0" fontId="29" fillId="12" borderId="0" xfId="0" applyFont="1" applyFill="1" applyAlignment="1">
      <alignment horizontal="center"/>
    </xf>
    <xf numFmtId="0" fontId="13" fillId="0" borderId="8" xfId="4" applyFont="1" applyBorder="1" applyAlignment="1">
      <alignment horizontal="left" vertical="center"/>
    </xf>
    <xf numFmtId="164" fontId="13" fillId="2" borderId="0" xfId="0" applyNumberFormat="1" applyFont="1" applyFill="1" applyAlignment="1">
      <alignment horizontal="center"/>
    </xf>
    <xf numFmtId="0" fontId="31" fillId="4" borderId="1" xfId="0" applyFont="1" applyFill="1" applyBorder="1" applyAlignment="1">
      <alignment vertical="center" wrapText="1"/>
    </xf>
    <xf numFmtId="164" fontId="16" fillId="2" borderId="0" xfId="0" applyNumberFormat="1" applyFont="1" applyFill="1" applyAlignment="1">
      <alignment horizontal="center"/>
    </xf>
    <xf numFmtId="0" fontId="26" fillId="4" borderId="12" xfId="0" applyFont="1" applyFill="1" applyBorder="1" applyAlignment="1">
      <alignment vertical="center" wrapText="1"/>
    </xf>
    <xf numFmtId="0" fontId="26" fillId="4" borderId="1" xfId="0" applyFont="1" applyFill="1" applyBorder="1" applyAlignment="1">
      <alignment horizontal="center" vertical="center" wrapText="1"/>
    </xf>
    <xf numFmtId="4" fontId="26" fillId="4" borderId="1" xfId="0" applyNumberFormat="1" applyFont="1" applyFill="1" applyBorder="1" applyAlignment="1">
      <alignment horizontal="center" vertical="center" wrapText="1"/>
    </xf>
    <xf numFmtId="0" fontId="21" fillId="0" borderId="21" xfId="0" applyFont="1" applyBorder="1" applyAlignment="1">
      <alignment horizontal="left" vertical="top"/>
    </xf>
    <xf numFmtId="4" fontId="21" fillId="10" borderId="15" xfId="4" quotePrefix="1" applyNumberFormat="1" applyFont="1" applyFill="1" applyBorder="1" applyAlignment="1">
      <alignment horizontal="center" vertical="top" wrapText="1"/>
    </xf>
    <xf numFmtId="0" fontId="21" fillId="0" borderId="24" xfId="0" applyFont="1" applyBorder="1" applyAlignment="1">
      <alignment horizontal="left" vertical="top"/>
    </xf>
    <xf numFmtId="4" fontId="21" fillId="10" borderId="17" xfId="4" quotePrefix="1" applyNumberFormat="1" applyFont="1" applyFill="1" applyBorder="1" applyAlignment="1">
      <alignment horizontal="center" vertical="top" wrapText="1"/>
    </xf>
    <xf numFmtId="0" fontId="21" fillId="0" borderId="24" xfId="0" applyFont="1" applyBorder="1" applyAlignment="1">
      <alignment horizontal="left" vertical="center"/>
    </xf>
    <xf numFmtId="0" fontId="27" fillId="2" borderId="0" xfId="0" applyFont="1" applyFill="1" applyAlignment="1">
      <alignment horizontal="left"/>
    </xf>
    <xf numFmtId="0" fontId="47" fillId="18" borderId="24" xfId="0" applyFont="1" applyFill="1" applyBorder="1" applyAlignment="1">
      <alignment horizontal="left"/>
    </xf>
    <xf numFmtId="0" fontId="47" fillId="18" borderId="24" xfId="0" applyFont="1" applyFill="1" applyBorder="1" applyAlignment="1">
      <alignment horizontal="center"/>
    </xf>
    <xf numFmtId="4" fontId="47" fillId="18" borderId="17" xfId="0" applyNumberFormat="1" applyFont="1" applyFill="1" applyBorder="1" applyAlignment="1">
      <alignment horizontal="center"/>
    </xf>
    <xf numFmtId="4" fontId="47" fillId="18" borderId="16" xfId="0" applyNumberFormat="1" applyFont="1" applyFill="1" applyBorder="1" applyAlignment="1">
      <alignment horizontal="center"/>
    </xf>
    <xf numFmtId="0" fontId="21" fillId="0" borderId="21" xfId="0" applyFont="1" applyBorder="1" applyAlignment="1">
      <alignment horizontal="left" vertical="center"/>
    </xf>
    <xf numFmtId="0" fontId="47" fillId="18" borderId="25" xfId="0" applyFont="1" applyFill="1" applyBorder="1" applyAlignment="1">
      <alignment horizontal="left"/>
    </xf>
    <xf numFmtId="0" fontId="47" fillId="18" borderId="25" xfId="0" applyFont="1" applyFill="1" applyBorder="1" applyAlignment="1">
      <alignment horizontal="center"/>
    </xf>
    <xf numFmtId="4" fontId="47" fillId="18" borderId="22" xfId="0" applyNumberFormat="1" applyFont="1" applyFill="1" applyBorder="1" applyAlignment="1">
      <alignment horizontal="center"/>
    </xf>
    <xf numFmtId="0" fontId="48" fillId="18" borderId="24" xfId="0" applyFont="1" applyFill="1" applyBorder="1" applyAlignment="1">
      <alignment horizontal="left"/>
    </xf>
    <xf numFmtId="0" fontId="21" fillId="0" borderId="25" xfId="0" applyFont="1" applyBorder="1" applyAlignment="1">
      <alignment horizontal="left" vertical="top"/>
    </xf>
    <xf numFmtId="4" fontId="21" fillId="10" borderId="22" xfId="4" quotePrefix="1" applyNumberFormat="1" applyFont="1" applyFill="1" applyBorder="1" applyAlignment="1">
      <alignment horizontal="center" vertical="top" wrapText="1"/>
    </xf>
    <xf numFmtId="0" fontId="47" fillId="18" borderId="21" xfId="0" applyFont="1" applyFill="1" applyBorder="1" applyAlignment="1">
      <alignment horizontal="left"/>
    </xf>
    <xf numFmtId="0" fontId="47" fillId="18" borderId="21" xfId="0" applyFont="1" applyFill="1" applyBorder="1" applyAlignment="1">
      <alignment horizontal="center"/>
    </xf>
    <xf numFmtId="4" fontId="47" fillId="18" borderId="15" xfId="0" applyNumberFormat="1" applyFont="1" applyFill="1" applyBorder="1" applyAlignment="1">
      <alignment horizontal="center"/>
    </xf>
    <xf numFmtId="0" fontId="49" fillId="2" borderId="0" xfId="25" applyFont="1" applyFill="1" applyAlignment="1">
      <alignment horizontal="left" vertical="center" wrapText="1"/>
    </xf>
    <xf numFmtId="0" fontId="49" fillId="16" borderId="0" xfId="25" applyFont="1" applyFill="1" applyAlignment="1">
      <alignment horizontal="left" vertical="center" wrapText="1"/>
    </xf>
    <xf numFmtId="0" fontId="49" fillId="2" borderId="0" xfId="0" applyFont="1" applyFill="1" applyAlignment="1">
      <alignment horizontal="left"/>
    </xf>
    <xf numFmtId="0" fontId="39" fillId="2" borderId="0" xfId="0" applyFont="1" applyFill="1"/>
    <xf numFmtId="231" fontId="26" fillId="4" borderId="8" xfId="0" applyNumberFormat="1" applyFont="1" applyFill="1" applyBorder="1" applyAlignment="1">
      <alignment horizontal="center" vertical="center" wrapText="1"/>
    </xf>
    <xf numFmtId="164" fontId="16" fillId="8" borderId="8" xfId="0" applyNumberFormat="1" applyFont="1" applyFill="1" applyBorder="1"/>
    <xf numFmtId="164" fontId="16" fillId="17" borderId="8" xfId="0" applyNumberFormat="1" applyFont="1" applyFill="1" applyBorder="1"/>
    <xf numFmtId="0" fontId="27" fillId="0" borderId="0" xfId="0" applyFont="1" applyAlignment="1">
      <alignment horizontal="left"/>
    </xf>
    <xf numFmtId="0" fontId="21" fillId="0" borderId="23" xfId="0" applyFont="1" applyBorder="1" applyAlignment="1">
      <alignment horizontal="left" vertical="center"/>
    </xf>
    <xf numFmtId="4" fontId="21" fillId="10" borderId="18" xfId="4" quotePrefix="1" applyNumberFormat="1" applyFont="1" applyFill="1" applyBorder="1" applyAlignment="1">
      <alignment horizontal="center" vertical="top" wrapText="1"/>
    </xf>
    <xf numFmtId="4" fontId="47" fillId="18" borderId="18" xfId="0" applyNumberFormat="1" applyFont="1" applyFill="1" applyBorder="1" applyAlignment="1">
      <alignment horizontal="center"/>
    </xf>
    <xf numFmtId="4" fontId="16" fillId="2" borderId="0" xfId="0" applyNumberFormat="1" applyFont="1" applyFill="1"/>
    <xf numFmtId="0" fontId="26" fillId="4" borderId="8" xfId="0" quotePrefix="1" applyFont="1" applyFill="1" applyBorder="1" applyAlignment="1">
      <alignment horizontal="center" vertical="center" wrapText="1"/>
    </xf>
    <xf numFmtId="4" fontId="26" fillId="4" borderId="8" xfId="0" applyNumberFormat="1" applyFont="1" applyFill="1" applyBorder="1" applyAlignment="1">
      <alignment horizontal="center" vertical="center" wrapText="1"/>
    </xf>
    <xf numFmtId="0" fontId="26" fillId="0" borderId="0" xfId="25" applyFont="1" applyAlignment="1">
      <alignment horizontal="left" vertical="top" wrapText="1"/>
    </xf>
    <xf numFmtId="0" fontId="26" fillId="0" borderId="0" xfId="0" applyFont="1" applyAlignment="1">
      <alignment horizontal="center" vertical="center" wrapText="1"/>
    </xf>
    <xf numFmtId="0" fontId="26" fillId="0" borderId="8" xfId="0" applyFont="1" applyBorder="1" applyAlignment="1">
      <alignment horizontal="center" vertical="center" wrapText="1"/>
    </xf>
    <xf numFmtId="0" fontId="39" fillId="0" borderId="8" xfId="0" applyFont="1" applyBorder="1" applyAlignment="1">
      <alignment horizontal="center" vertical="center" wrapText="1"/>
    </xf>
    <xf numFmtId="0" fontId="16" fillId="2" borderId="0" xfId="0" applyFont="1" applyFill="1" applyAlignment="1">
      <alignment vertical="top" wrapText="1"/>
    </xf>
    <xf numFmtId="0" fontId="146" fillId="2" borderId="0" xfId="0" applyFont="1" applyFill="1"/>
    <xf numFmtId="0" fontId="16" fillId="0" borderId="0" xfId="0" applyFont="1" applyAlignment="1">
      <alignment wrapText="1"/>
    </xf>
    <xf numFmtId="2" fontId="16" fillId="2" borderId="0" xfId="0" applyNumberFormat="1" applyFont="1" applyFill="1"/>
    <xf numFmtId="10" fontId="16" fillId="2" borderId="0" xfId="8" applyNumberFormat="1" applyFont="1" applyFill="1" applyBorder="1"/>
    <xf numFmtId="0" fontId="60" fillId="0" borderId="0" xfId="0" applyFont="1" applyAlignment="1">
      <alignment wrapText="1"/>
    </xf>
    <xf numFmtId="9" fontId="0" fillId="0" borderId="0" xfId="8" applyFont="1" applyAlignment="1">
      <alignment horizontal="center" wrapText="1"/>
    </xf>
    <xf numFmtId="10" fontId="60" fillId="11" borderId="57" xfId="8" applyNumberFormat="1" applyFont="1" applyFill="1" applyBorder="1" applyAlignment="1">
      <alignment horizontal="center" wrapText="1"/>
    </xf>
    <xf numFmtId="0" fontId="58" fillId="14" borderId="47" xfId="25" applyFont="1" applyFill="1" applyBorder="1" applyAlignment="1">
      <alignment horizontal="center" vertical="center" wrapText="1"/>
    </xf>
    <xf numFmtId="0" fontId="58" fillId="14" borderId="48" xfId="25" applyFont="1" applyFill="1" applyBorder="1" applyAlignment="1">
      <alignment horizontal="center" vertical="center" wrapText="1"/>
    </xf>
    <xf numFmtId="0" fontId="58" fillId="14" borderId="49" xfId="25" applyFont="1" applyFill="1" applyBorder="1" applyAlignment="1">
      <alignment horizontal="center" vertical="center" wrapText="1"/>
    </xf>
    <xf numFmtId="10" fontId="60" fillId="11" borderId="62" xfId="8" applyNumberFormat="1" applyFont="1" applyFill="1" applyBorder="1" applyAlignment="1">
      <alignment horizontal="center" wrapText="1"/>
    </xf>
    <xf numFmtId="2" fontId="19" fillId="0" borderId="8" xfId="0" quotePrefix="1" applyNumberFormat="1" applyFont="1" applyBorder="1" applyAlignment="1">
      <alignment horizontal="center" vertical="center" wrapText="1"/>
    </xf>
    <xf numFmtId="2" fontId="19" fillId="2" borderId="8" xfId="0" applyNumberFormat="1" applyFont="1" applyFill="1" applyBorder="1" applyAlignment="1">
      <alignment horizontal="center"/>
    </xf>
    <xf numFmtId="10" fontId="19" fillId="0" borderId="8" xfId="8" quotePrefix="1" applyNumberFormat="1" applyFont="1" applyFill="1" applyBorder="1" applyAlignment="1" applyProtection="1">
      <alignment horizontal="center" vertical="center" wrapText="1"/>
    </xf>
    <xf numFmtId="0" fontId="16" fillId="2" borderId="0" xfId="25" applyFont="1" applyFill="1" applyAlignment="1">
      <alignment wrapText="1"/>
    </xf>
    <xf numFmtId="0" fontId="16" fillId="2" borderId="0" xfId="25" applyFont="1" applyFill="1" applyAlignment="1">
      <alignment horizontal="center" wrapText="1"/>
    </xf>
    <xf numFmtId="0" fontId="16" fillId="2" borderId="56" xfId="25" applyFont="1" applyFill="1" applyBorder="1" applyAlignment="1">
      <alignment horizontal="center" vertical="center" wrapText="1"/>
    </xf>
    <xf numFmtId="0" fontId="16" fillId="2" borderId="57" xfId="25" applyFont="1" applyFill="1" applyBorder="1" applyAlignment="1">
      <alignment horizontal="center" vertical="center" wrapText="1"/>
    </xf>
    <xf numFmtId="0" fontId="16" fillId="84" borderId="6" xfId="25" applyFont="1" applyFill="1" applyBorder="1" applyAlignment="1">
      <alignment horizontal="center" vertical="center" wrapText="1"/>
    </xf>
    <xf numFmtId="0" fontId="21" fillId="84" borderId="6" xfId="25" applyFont="1" applyFill="1" applyBorder="1" applyAlignment="1">
      <alignment horizontal="center" vertical="center" wrapText="1"/>
    </xf>
    <xf numFmtId="0" fontId="21" fillId="84" borderId="58" xfId="25" applyFont="1" applyFill="1" applyBorder="1" applyAlignment="1">
      <alignment horizontal="center" vertical="center" wrapText="1"/>
    </xf>
    <xf numFmtId="0" fontId="16" fillId="84" borderId="8" xfId="25" applyFont="1" applyFill="1" applyBorder="1" applyAlignment="1">
      <alignment horizontal="center" vertical="center" wrapText="1"/>
    </xf>
    <xf numFmtId="0" fontId="21" fillId="84" borderId="8" xfId="25" applyFont="1" applyFill="1" applyBorder="1" applyAlignment="1">
      <alignment horizontal="center" vertical="center" wrapText="1"/>
    </xf>
    <xf numFmtId="0" fontId="21" fillId="84" borderId="50" xfId="25" applyFont="1" applyFill="1" applyBorder="1" applyAlignment="1">
      <alignment horizontal="center" vertical="center" wrapText="1"/>
    </xf>
    <xf numFmtId="0" fontId="39" fillId="84" borderId="33" xfId="25" applyFont="1" applyFill="1" applyBorder="1" applyAlignment="1">
      <alignment horizontal="left" vertical="center" wrapText="1"/>
    </xf>
    <xf numFmtId="0" fontId="39" fillId="84" borderId="33" xfId="25" applyFont="1" applyFill="1" applyBorder="1" applyAlignment="1">
      <alignment horizontal="right" vertical="center" wrapText="1"/>
    </xf>
    <xf numFmtId="0" fontId="16" fillId="2" borderId="64" xfId="25" applyFont="1" applyFill="1" applyBorder="1" applyAlignment="1">
      <alignment horizontal="center" vertical="center" wrapText="1"/>
    </xf>
    <xf numFmtId="0" fontId="16" fillId="2" borderId="53" xfId="25" applyFont="1" applyFill="1" applyBorder="1" applyAlignment="1">
      <alignment horizontal="center" vertical="center" wrapText="1"/>
    </xf>
    <xf numFmtId="0" fontId="16" fillId="2" borderId="53" xfId="25" applyFont="1" applyFill="1" applyBorder="1" applyAlignment="1">
      <alignment vertical="center" wrapText="1"/>
    </xf>
    <xf numFmtId="0" fontId="16" fillId="85" borderId="53" xfId="25" applyFont="1" applyFill="1" applyBorder="1" applyAlignment="1">
      <alignment horizontal="center" vertical="center" wrapText="1"/>
    </xf>
    <xf numFmtId="10" fontId="16" fillId="85" borderId="53" xfId="58913" applyNumberFormat="1" applyFont="1" applyFill="1" applyBorder="1" applyAlignment="1">
      <alignment horizontal="center" vertical="center" wrapText="1"/>
    </xf>
    <xf numFmtId="10" fontId="26" fillId="15" borderId="53" xfId="58913" applyNumberFormat="1" applyFont="1" applyFill="1" applyBorder="1" applyAlignment="1">
      <alignment horizontal="center" vertical="center" wrapText="1"/>
    </xf>
    <xf numFmtId="4" fontId="16" fillId="85" borderId="8" xfId="5" applyNumberFormat="1" applyFont="1" applyFill="1" applyBorder="1" applyAlignment="1">
      <alignment horizontal="center" vertical="center"/>
    </xf>
    <xf numFmtId="10" fontId="16" fillId="2" borderId="50" xfId="5" applyNumberFormat="1" applyFont="1" applyFill="1" applyBorder="1" applyAlignment="1">
      <alignment horizontal="center" vertical="center"/>
    </xf>
    <xf numFmtId="0" fontId="21" fillId="0" borderId="59" xfId="5" applyFont="1" applyBorder="1"/>
    <xf numFmtId="0" fontId="21" fillId="0" borderId="60" xfId="5" applyFont="1" applyBorder="1"/>
    <xf numFmtId="4" fontId="39" fillId="2" borderId="61" xfId="10" applyNumberFormat="1" applyFont="1" applyFill="1" applyBorder="1" applyAlignment="1">
      <alignment horizontal="center" vertical="center"/>
    </xf>
    <xf numFmtId="0" fontId="21" fillId="0" borderId="61" xfId="5" applyFont="1" applyBorder="1"/>
    <xf numFmtId="10" fontId="150" fillId="0" borderId="61" xfId="8" applyNumberFormat="1" applyFont="1" applyBorder="1" applyAlignment="1">
      <alignment horizontal="center" vertical="center"/>
    </xf>
    <xf numFmtId="0" fontId="151" fillId="0" borderId="61" xfId="58888" applyFont="1" applyBorder="1" applyAlignment="1">
      <alignment horizontal="center" vertical="center"/>
    </xf>
    <xf numFmtId="10" fontId="26" fillId="86" borderId="63" xfId="58913" applyNumberFormat="1" applyFont="1" applyFill="1" applyBorder="1" applyAlignment="1">
      <alignment horizontal="center"/>
    </xf>
    <xf numFmtId="10" fontId="16" fillId="2" borderId="8" xfId="58913" applyNumberFormat="1" applyFont="1" applyFill="1" applyBorder="1" applyAlignment="1">
      <alignment horizontal="center" vertical="center"/>
    </xf>
    <xf numFmtId="4" fontId="16" fillId="2" borderId="0" xfId="0" applyNumberFormat="1" applyFont="1" applyFill="1" applyAlignment="1">
      <alignment horizontal="right"/>
    </xf>
    <xf numFmtId="9" fontId="16" fillId="2" borderId="8" xfId="0" applyNumberFormat="1" applyFont="1" applyFill="1" applyBorder="1" applyAlignment="1">
      <alignment horizontal="center"/>
    </xf>
    <xf numFmtId="166" fontId="21" fillId="0" borderId="0" xfId="1" applyNumberFormat="1" applyFont="1" applyBorder="1" applyAlignment="1">
      <alignment horizontal="right"/>
    </xf>
    <xf numFmtId="0" fontId="49" fillId="2" borderId="0" xfId="25" applyFont="1" applyFill="1" applyAlignment="1">
      <alignment horizontal="left" vertical="top" wrapText="1"/>
    </xf>
    <xf numFmtId="0" fontId="26" fillId="16" borderId="0" xfId="25" applyFont="1" applyFill="1" applyAlignment="1">
      <alignment horizontal="left" vertical="top"/>
    </xf>
    <xf numFmtId="0" fontId="49" fillId="16" borderId="0" xfId="25" applyFont="1" applyFill="1" applyAlignment="1">
      <alignment horizontal="left" vertical="top" wrapText="1"/>
    </xf>
    <xf numFmtId="0" fontId="26" fillId="0" borderId="0" xfId="25" applyFont="1" applyAlignment="1">
      <alignment horizontal="left" vertical="top"/>
    </xf>
    <xf numFmtId="0" fontId="49" fillId="0" borderId="0" xfId="25" applyFont="1" applyAlignment="1">
      <alignment horizontal="left" vertical="top" wrapText="1"/>
    </xf>
    <xf numFmtId="0" fontId="46" fillId="2" borderId="0" xfId="25" applyFont="1" applyFill="1" applyAlignment="1">
      <alignment horizontal="left" vertical="top"/>
    </xf>
    <xf numFmtId="0" fontId="41" fillId="2" borderId="0" xfId="0" applyFont="1" applyFill="1" applyAlignment="1">
      <alignment horizontal="left" vertical="top"/>
    </xf>
    <xf numFmtId="0" fontId="46" fillId="2" borderId="0" xfId="25" applyFont="1" applyFill="1" applyAlignment="1">
      <alignment horizontal="center" vertical="top"/>
    </xf>
    <xf numFmtId="0" fontId="26" fillId="16" borderId="0" xfId="25" applyFont="1" applyFill="1" applyAlignment="1">
      <alignment horizontal="center" vertical="top"/>
    </xf>
    <xf numFmtId="0" fontId="26" fillId="0" borderId="0" xfId="25" applyFont="1" applyAlignment="1">
      <alignment horizontal="center" vertical="top"/>
    </xf>
    <xf numFmtId="49" fontId="46" fillId="2" borderId="0" xfId="25" applyNumberFormat="1" applyFont="1" applyFill="1" applyAlignment="1">
      <alignment horizontal="center" vertical="top"/>
    </xf>
    <xf numFmtId="49" fontId="26" fillId="16" borderId="0" xfId="25" applyNumberFormat="1" applyFont="1" applyFill="1" applyAlignment="1">
      <alignment horizontal="center" vertical="top"/>
    </xf>
    <xf numFmtId="49" fontId="26" fillId="0" borderId="0" xfId="25" applyNumberFormat="1" applyFont="1" applyAlignment="1">
      <alignment horizontal="center" vertical="top"/>
    </xf>
    <xf numFmtId="194" fontId="46" fillId="2" borderId="0" xfId="25" applyNumberFormat="1" applyFont="1" applyFill="1" applyAlignment="1">
      <alignment horizontal="center" vertical="top"/>
    </xf>
    <xf numFmtId="194" fontId="26" fillId="0" borderId="0" xfId="25" applyNumberFormat="1" applyFont="1" applyAlignment="1">
      <alignment horizontal="center" vertical="top"/>
    </xf>
    <xf numFmtId="0" fontId="16" fillId="2" borderId="0" xfId="0" applyFont="1" applyFill="1" applyAlignment="1">
      <alignment horizontal="left" vertical="top" wrapText="1"/>
    </xf>
    <xf numFmtId="0" fontId="26" fillId="16" borderId="0" xfId="25" applyFont="1" applyFill="1" applyAlignment="1">
      <alignment horizontal="left" vertical="top" wrapText="1"/>
    </xf>
    <xf numFmtId="0" fontId="46" fillId="2" borderId="0" xfId="25" applyFont="1" applyFill="1" applyAlignment="1">
      <alignment horizontal="left" vertical="top" wrapText="1"/>
    </xf>
    <xf numFmtId="0" fontId="26" fillId="12" borderId="0" xfId="25" applyFont="1" applyFill="1" applyAlignment="1">
      <alignment horizontal="left" vertical="top"/>
    </xf>
    <xf numFmtId="0" fontId="46" fillId="2" borderId="0" xfId="25" applyFont="1" applyFill="1" applyAlignment="1">
      <alignment vertical="top"/>
    </xf>
    <xf numFmtId="0" fontId="153" fillId="2" borderId="0" xfId="25" applyFont="1" applyFill="1" applyAlignment="1">
      <alignment horizontal="left" vertical="top"/>
    </xf>
    <xf numFmtId="0" fontId="39" fillId="0" borderId="0" xfId="0" applyFont="1" applyAlignment="1">
      <alignment horizontal="left" vertical="top"/>
    </xf>
    <xf numFmtId="0" fontId="16" fillId="0" borderId="0" xfId="0" applyFont="1" applyAlignment="1">
      <alignment horizontal="left" vertical="top"/>
    </xf>
    <xf numFmtId="194" fontId="16" fillId="0" borderId="0" xfId="0" applyNumberFormat="1" applyFont="1" applyAlignment="1">
      <alignment horizontal="center" vertical="top"/>
    </xf>
    <xf numFmtId="0" fontId="16" fillId="0" borderId="0" xfId="0" applyFont="1" applyAlignment="1">
      <alignment horizontal="center" vertical="top"/>
    </xf>
    <xf numFmtId="0" fontId="19" fillId="18" borderId="9" xfId="0" applyFont="1" applyFill="1" applyBorder="1" applyAlignment="1">
      <alignment horizontal="center" vertical="center" wrapText="1"/>
    </xf>
    <xf numFmtId="0" fontId="39" fillId="18" borderId="47" xfId="0" applyFont="1" applyFill="1" applyBorder="1" applyAlignment="1">
      <alignment horizontal="center" vertical="center" wrapText="1"/>
    </xf>
    <xf numFmtId="0" fontId="39" fillId="18" borderId="49" xfId="0" applyFont="1" applyFill="1" applyBorder="1" applyAlignment="1">
      <alignment horizontal="center" vertical="center" wrapText="1"/>
    </xf>
    <xf numFmtId="0" fontId="39" fillId="18" borderId="33" xfId="0" applyFont="1" applyFill="1" applyBorder="1" applyAlignment="1">
      <alignment horizontal="center" vertical="center" wrapText="1"/>
    </xf>
    <xf numFmtId="0" fontId="16" fillId="0" borderId="9" xfId="0" applyFont="1" applyBorder="1" applyAlignment="1">
      <alignment horizontal="center" vertical="center"/>
    </xf>
    <xf numFmtId="0" fontId="19" fillId="0" borderId="0" xfId="0" applyFont="1" applyAlignment="1">
      <alignment horizontal="left" vertical="top" wrapText="1"/>
    </xf>
    <xf numFmtId="0" fontId="39" fillId="18" borderId="48" xfId="0" applyFont="1" applyFill="1" applyBorder="1" applyAlignment="1">
      <alignment horizontal="center" vertical="center" wrapText="1"/>
    </xf>
    <xf numFmtId="0" fontId="39" fillId="18" borderId="3" xfId="0" applyFont="1" applyFill="1" applyBorder="1" applyAlignment="1">
      <alignment horizontal="center" vertical="center" wrapText="1"/>
    </xf>
    <xf numFmtId="0" fontId="21" fillId="0" borderId="0" xfId="0" applyFont="1" applyAlignment="1">
      <alignment horizontal="left" vertical="top"/>
    </xf>
    <xf numFmtId="0" fontId="39" fillId="18" borderId="9" xfId="0" applyFont="1" applyFill="1" applyBorder="1" applyAlignment="1">
      <alignment horizontal="center" vertical="center" wrapText="1"/>
    </xf>
    <xf numFmtId="2" fontId="39" fillId="18" borderId="8" xfId="0" applyNumberFormat="1" applyFont="1" applyFill="1" applyBorder="1" applyAlignment="1">
      <alignment horizontal="center" vertical="center" wrapText="1"/>
    </xf>
    <xf numFmtId="0" fontId="39" fillId="18" borderId="50" xfId="0" applyFont="1" applyFill="1" applyBorder="1" applyAlignment="1">
      <alignment horizontal="center" vertical="center" wrapText="1"/>
    </xf>
    <xf numFmtId="10" fontId="21" fillId="0" borderId="33" xfId="8" applyNumberFormat="1" applyFont="1" applyBorder="1" applyAlignment="1">
      <alignment horizontal="center"/>
    </xf>
    <xf numFmtId="10" fontId="21" fillId="0" borderId="8" xfId="8" applyNumberFormat="1" applyFont="1" applyBorder="1" applyAlignment="1">
      <alignment horizontal="center"/>
    </xf>
    <xf numFmtId="10" fontId="21" fillId="0" borderId="50" xfId="8" applyNumberFormat="1" applyFont="1" applyBorder="1" applyAlignment="1">
      <alignment horizontal="center"/>
    </xf>
    <xf numFmtId="10" fontId="21" fillId="0" borderId="3" xfId="8" applyNumberFormat="1" applyFont="1" applyBorder="1" applyAlignment="1">
      <alignment horizontal="center"/>
    </xf>
    <xf numFmtId="10" fontId="21" fillId="0" borderId="8" xfId="0" applyNumberFormat="1" applyFont="1" applyBorder="1" applyAlignment="1">
      <alignment horizontal="center" vertical="top"/>
    </xf>
    <xf numFmtId="0" fontId="21" fillId="0" borderId="9" xfId="0" applyFont="1" applyBorder="1" applyAlignment="1">
      <alignment horizontal="center" vertical="center"/>
    </xf>
    <xf numFmtId="10" fontId="21" fillId="0" borderId="3" xfId="0" applyNumberFormat="1" applyFont="1" applyBorder="1" applyAlignment="1">
      <alignment horizontal="center" vertical="top"/>
    </xf>
    <xf numFmtId="194" fontId="21" fillId="0" borderId="8" xfId="0" applyNumberFormat="1" applyFont="1" applyBorder="1" applyAlignment="1">
      <alignment horizontal="center" vertical="top" wrapText="1"/>
    </xf>
    <xf numFmtId="0" fontId="16" fillId="9" borderId="8" xfId="0" applyFont="1" applyFill="1" applyBorder="1" applyAlignment="1">
      <alignment horizontal="center" vertical="top" wrapText="1"/>
    </xf>
    <xf numFmtId="0" fontId="21" fillId="2" borderId="0" xfId="0" applyFont="1" applyFill="1" applyAlignment="1">
      <alignment horizontal="left" vertical="top"/>
    </xf>
    <xf numFmtId="0" fontId="16" fillId="80" borderId="8" xfId="0" applyFont="1" applyFill="1" applyBorder="1" applyAlignment="1">
      <alignment horizontal="center" vertical="top" wrapText="1"/>
    </xf>
    <xf numFmtId="0" fontId="16" fillId="8" borderId="8" xfId="0" applyFont="1" applyFill="1" applyBorder="1" applyAlignment="1">
      <alignment horizontal="center" vertical="top" wrapText="1"/>
    </xf>
    <xf numFmtId="0" fontId="21" fillId="0" borderId="8" xfId="0" applyFont="1" applyBorder="1" applyAlignment="1">
      <alignment horizontal="left" vertical="top" wrapText="1"/>
    </xf>
    <xf numFmtId="4" fontId="46" fillId="2" borderId="0" xfId="25" applyNumberFormat="1" applyFont="1" applyFill="1" applyAlignment="1">
      <alignment horizontal="right" vertical="center"/>
    </xf>
    <xf numFmtId="4" fontId="26" fillId="16" borderId="0" xfId="25" applyNumberFormat="1" applyFont="1" applyFill="1" applyAlignment="1">
      <alignment horizontal="right" vertical="center"/>
    </xf>
    <xf numFmtId="4" fontId="26" fillId="0" borderId="8" xfId="0" applyNumberFormat="1" applyFont="1" applyBorder="1" applyAlignment="1">
      <alignment horizontal="right" vertical="center" wrapText="1"/>
    </xf>
    <xf numFmtId="0" fontId="154" fillId="87" borderId="8" xfId="0" applyFont="1" applyFill="1" applyBorder="1" applyAlignment="1">
      <alignment horizontal="center" vertical="top" wrapText="1"/>
    </xf>
    <xf numFmtId="0" fontId="39" fillId="2" borderId="0" xfId="0" applyFont="1" applyFill="1" applyAlignment="1">
      <alignment horizontal="left"/>
    </xf>
    <xf numFmtId="0" fontId="16" fillId="0" borderId="8" xfId="4" applyFont="1" applyBorder="1" applyAlignment="1">
      <alignment vertical="center" wrapText="1"/>
    </xf>
    <xf numFmtId="0" fontId="153" fillId="2" borderId="0" xfId="25" applyFont="1" applyFill="1" applyAlignment="1">
      <alignment vertical="center"/>
    </xf>
    <xf numFmtId="0" fontId="153" fillId="2" borderId="0" xfId="25" applyFont="1" applyFill="1" applyAlignment="1">
      <alignment horizontal="center" vertical="center"/>
    </xf>
    <xf numFmtId="49" fontId="153" fillId="2" borderId="0" xfId="25" applyNumberFormat="1" applyFont="1" applyFill="1" applyAlignment="1">
      <alignment horizontal="center" vertical="center"/>
    </xf>
    <xf numFmtId="0" fontId="153" fillId="2" borderId="0" xfId="25" applyFont="1" applyFill="1" applyAlignment="1">
      <alignment horizontal="left" vertical="center"/>
    </xf>
    <xf numFmtId="0" fontId="153" fillId="2" borderId="0" xfId="25" applyFont="1" applyFill="1" applyAlignment="1">
      <alignment horizontal="left" vertical="center" wrapText="1"/>
    </xf>
    <xf numFmtId="4" fontId="153" fillId="2" borderId="0" xfId="25" applyNumberFormat="1" applyFont="1" applyFill="1" applyAlignment="1">
      <alignment horizontal="center" vertical="center"/>
    </xf>
    <xf numFmtId="0" fontId="39" fillId="12" borderId="0" xfId="0" applyFont="1" applyFill="1"/>
    <xf numFmtId="0" fontId="19" fillId="0" borderId="0" xfId="4" applyFont="1" applyAlignment="1">
      <alignment vertical="center"/>
    </xf>
    <xf numFmtId="0" fontId="39" fillId="0" borderId="0" xfId="0" applyFont="1" applyAlignment="1">
      <alignment horizontal="left"/>
    </xf>
    <xf numFmtId="0" fontId="16" fillId="0" borderId="0" xfId="4" applyFont="1" applyAlignment="1">
      <alignment vertical="center"/>
    </xf>
    <xf numFmtId="0" fontId="16" fillId="0" borderId="0" xfId="4" applyFont="1" applyAlignment="1">
      <alignment vertical="center" wrapText="1"/>
    </xf>
    <xf numFmtId="0" fontId="26" fillId="4" borderId="1" xfId="0" applyFont="1" applyFill="1" applyBorder="1" applyAlignment="1">
      <alignment vertical="center" wrapText="1"/>
    </xf>
    <xf numFmtId="0" fontId="39" fillId="12" borderId="0" xfId="0" applyFont="1" applyFill="1" applyAlignment="1">
      <alignment horizontal="center"/>
    </xf>
    <xf numFmtId="0" fontId="16" fillId="2" borderId="0" xfId="0" applyFont="1" applyFill="1" applyAlignment="1">
      <alignment horizontal="center" vertical="center"/>
    </xf>
    <xf numFmtId="0" fontId="16" fillId="0" borderId="8" xfId="0" applyFont="1" applyBorder="1"/>
    <xf numFmtId="0" fontId="16" fillId="0" borderId="0" xfId="0" applyFont="1" applyAlignment="1">
      <alignment horizontal="center"/>
    </xf>
    <xf numFmtId="0" fontId="26" fillId="2" borderId="0" xfId="0" applyFont="1" applyFill="1"/>
    <xf numFmtId="4" fontId="26" fillId="4" borderId="8" xfId="0" applyNumberFormat="1" applyFont="1" applyFill="1" applyBorder="1" applyAlignment="1">
      <alignment horizontal="left" vertical="center" wrapText="1"/>
    </xf>
    <xf numFmtId="0" fontId="16" fillId="8" borderId="8" xfId="0" applyFont="1" applyFill="1" applyBorder="1" applyAlignment="1">
      <alignment vertical="top" wrapText="1"/>
    </xf>
    <xf numFmtId="4" fontId="21" fillId="2" borderId="8" xfId="0" applyNumberFormat="1" applyFont="1" applyFill="1" applyBorder="1" applyAlignment="1">
      <alignment horizontal="center" vertical="center" wrapText="1"/>
    </xf>
    <xf numFmtId="231" fontId="21" fillId="2" borderId="8" xfId="0" applyNumberFormat="1" applyFont="1" applyFill="1" applyBorder="1" applyAlignment="1">
      <alignment horizontal="center" vertical="center" wrapText="1"/>
    </xf>
    <xf numFmtId="231" fontId="21" fillId="80" borderId="8" xfId="0" applyNumberFormat="1" applyFont="1" applyFill="1" applyBorder="1" applyAlignment="1">
      <alignment horizontal="center" vertical="center" wrapText="1"/>
    </xf>
    <xf numFmtId="197" fontId="21" fillId="2" borderId="8" xfId="0" applyNumberFormat="1" applyFont="1" applyFill="1" applyBorder="1" applyAlignment="1">
      <alignment horizontal="center" vertical="center" wrapText="1"/>
    </xf>
    <xf numFmtId="231" fontId="21" fillId="79" borderId="8" xfId="0" applyNumberFormat="1" applyFont="1" applyFill="1" applyBorder="1" applyAlignment="1">
      <alignment horizontal="center" vertical="center" wrapText="1"/>
    </xf>
    <xf numFmtId="0" fontId="16" fillId="2" borderId="8" xfId="0" applyFont="1" applyFill="1" applyBorder="1" applyAlignment="1">
      <alignment horizontal="left"/>
    </xf>
    <xf numFmtId="0" fontId="19" fillId="2" borderId="8" xfId="0" applyFont="1" applyFill="1" applyBorder="1" applyAlignment="1">
      <alignment horizontal="center" vertical="center" wrapText="1"/>
    </xf>
    <xf numFmtId="0" fontId="19" fillId="2" borderId="8" xfId="0" applyFont="1" applyFill="1" applyBorder="1"/>
    <xf numFmtId="0" fontId="19" fillId="2" borderId="0" xfId="0" applyFont="1" applyFill="1" applyAlignment="1">
      <alignment horizontal="left" wrapText="1"/>
    </xf>
    <xf numFmtId="0" fontId="157" fillId="0" borderId="8" xfId="7" applyFont="1" applyBorder="1" applyAlignment="1">
      <alignment horizontal="left" vertical="center"/>
    </xf>
    <xf numFmtId="0" fontId="21" fillId="0" borderId="8" xfId="7" applyFont="1" applyBorder="1" applyAlignment="1">
      <alignment horizontal="center" vertical="center"/>
    </xf>
    <xf numFmtId="0" fontId="21" fillId="0" borderId="0" xfId="7" applyFont="1" applyAlignment="1">
      <alignment horizontal="left" vertical="center"/>
    </xf>
    <xf numFmtId="0" fontId="21" fillId="0" borderId="0" xfId="7" applyFont="1" applyAlignment="1">
      <alignment horizontal="center" vertical="center"/>
    </xf>
    <xf numFmtId="0" fontId="145" fillId="2" borderId="0" xfId="3" applyFont="1" applyFill="1" applyAlignment="1" applyProtection="1"/>
    <xf numFmtId="0" fontId="153" fillId="2" borderId="0" xfId="25" applyFont="1" applyFill="1" applyAlignment="1">
      <alignment horizontal="center" vertical="center" wrapText="1"/>
    </xf>
    <xf numFmtId="0" fontId="49" fillId="12" borderId="0" xfId="0" applyFont="1" applyFill="1" applyAlignment="1">
      <alignment horizontal="left"/>
    </xf>
    <xf numFmtId="0" fontId="39" fillId="2" borderId="0" xfId="0" applyFont="1" applyFill="1" applyAlignment="1">
      <alignment horizontal="center"/>
    </xf>
    <xf numFmtId="0" fontId="19" fillId="2" borderId="0" xfId="0" applyFont="1" applyFill="1" applyAlignment="1">
      <alignment horizontal="left"/>
    </xf>
    <xf numFmtId="4" fontId="21" fillId="2" borderId="21" xfId="4" quotePrefix="1" applyNumberFormat="1" applyFont="1" applyFill="1" applyBorder="1" applyAlignment="1">
      <alignment horizontal="center" vertical="top" wrapText="1"/>
    </xf>
    <xf numFmtId="4" fontId="157" fillId="2" borderId="8" xfId="4" quotePrefix="1" applyNumberFormat="1" applyFont="1" applyFill="1" applyBorder="1" applyAlignment="1">
      <alignment horizontal="center" vertical="top" wrapText="1"/>
    </xf>
    <xf numFmtId="0" fontId="158" fillId="2" borderId="0" xfId="0" applyFont="1" applyFill="1" applyAlignment="1">
      <alignment horizontal="left"/>
    </xf>
    <xf numFmtId="4" fontId="47" fillId="18" borderId="24" xfId="0" applyNumberFormat="1" applyFont="1" applyFill="1" applyBorder="1" applyAlignment="1">
      <alignment horizontal="center"/>
    </xf>
    <xf numFmtId="4" fontId="47" fillId="18" borderId="25" xfId="0" applyNumberFormat="1" applyFont="1" applyFill="1" applyBorder="1" applyAlignment="1">
      <alignment horizontal="center"/>
    </xf>
    <xf numFmtId="164" fontId="159" fillId="2" borderId="0" xfId="0" applyNumberFormat="1" applyFont="1" applyFill="1" applyAlignment="1">
      <alignment horizontal="left"/>
    </xf>
    <xf numFmtId="0" fontId="21" fillId="2" borderId="21" xfId="0" applyFont="1" applyFill="1" applyBorder="1" applyAlignment="1">
      <alignment horizontal="center"/>
    </xf>
    <xf numFmtId="0" fontId="21" fillId="2" borderId="24" xfId="0" applyFont="1" applyFill="1" applyBorder="1" applyAlignment="1">
      <alignment horizontal="center"/>
    </xf>
    <xf numFmtId="0" fontId="21" fillId="0" borderId="21" xfId="0" applyFont="1" applyBorder="1" applyAlignment="1">
      <alignment horizontal="center" vertical="center"/>
    </xf>
    <xf numFmtId="0" fontId="39" fillId="10" borderId="0" xfId="0" applyFont="1" applyFill="1"/>
    <xf numFmtId="4" fontId="39" fillId="10" borderId="0" xfId="0" applyNumberFormat="1" applyFont="1" applyFill="1" applyAlignment="1">
      <alignment horizontal="right"/>
    </xf>
    <xf numFmtId="0" fontId="21" fillId="0" borderId="0" xfId="0" applyFont="1" applyAlignment="1">
      <alignment horizontal="center" vertical="center" wrapText="1"/>
    </xf>
    <xf numFmtId="4" fontId="19" fillId="2" borderId="0" xfId="0" applyNumberFormat="1" applyFont="1" applyFill="1" applyAlignment="1">
      <alignment horizontal="right" wrapText="1"/>
    </xf>
    <xf numFmtId="0" fontId="19" fillId="82" borderId="8" xfId="0" applyFont="1" applyFill="1" applyBorder="1"/>
    <xf numFmtId="4" fontId="16" fillId="82" borderId="0" xfId="0" applyNumberFormat="1" applyFont="1" applyFill="1" applyAlignment="1">
      <alignment horizontal="right"/>
    </xf>
    <xf numFmtId="0" fontId="16" fillId="82" borderId="0" xfId="0" applyFont="1" applyFill="1"/>
    <xf numFmtId="0" fontId="19" fillId="82" borderId="0" xfId="0" applyFont="1" applyFill="1"/>
    <xf numFmtId="2" fontId="16" fillId="83" borderId="8" xfId="0" applyNumberFormat="1" applyFont="1" applyFill="1" applyBorder="1"/>
    <xf numFmtId="10" fontId="21" fillId="0" borderId="0" xfId="8" applyNumberFormat="1" applyFont="1" applyFill="1" applyBorder="1" applyAlignment="1" applyProtection="1">
      <alignment horizontal="center" vertical="center" wrapText="1"/>
    </xf>
    <xf numFmtId="194" fontId="21" fillId="0" borderId="0" xfId="0" applyNumberFormat="1" applyFont="1" applyAlignment="1">
      <alignment horizontal="center" vertical="center" wrapText="1"/>
    </xf>
    <xf numFmtId="0" fontId="19" fillId="82" borderId="9" xfId="0" applyFont="1" applyFill="1" applyBorder="1"/>
    <xf numFmtId="4" fontId="16" fillId="0" borderId="8" xfId="0" applyNumberFormat="1" applyFont="1" applyBorder="1" applyAlignment="1">
      <alignment horizontal="center"/>
    </xf>
    <xf numFmtId="4" fontId="16" fillId="0" borderId="0" xfId="1" applyNumberFormat="1" applyFont="1" applyBorder="1" applyAlignment="1">
      <alignment horizontal="right"/>
    </xf>
    <xf numFmtId="0" fontId="0" fillId="2" borderId="0" xfId="0" applyFill="1" applyAlignment="1">
      <alignment vertical="center"/>
    </xf>
    <xf numFmtId="0" fontId="146" fillId="0" borderId="0" xfId="0" applyFont="1"/>
    <xf numFmtId="0" fontId="0" fillId="0" borderId="6" xfId="0" applyBorder="1" applyAlignment="1">
      <alignment horizontal="left" vertical="center" wrapText="1"/>
    </xf>
    <xf numFmtId="9" fontId="0" fillId="0" borderId="6" xfId="0" applyNumberFormat="1" applyBorder="1" applyAlignment="1">
      <alignment horizontal="center" vertical="center" wrapText="1"/>
    </xf>
    <xf numFmtId="0" fontId="0" fillId="0" borderId="58" xfId="0" applyBorder="1" applyAlignment="1">
      <alignment wrapText="1"/>
    </xf>
    <xf numFmtId="0" fontId="0" fillId="0" borderId="53" xfId="0" applyBorder="1" applyAlignment="1">
      <alignment horizontal="left" vertical="center" wrapText="1"/>
    </xf>
    <xf numFmtId="9" fontId="0" fillId="0" borderId="53" xfId="0" applyNumberFormat="1" applyBorder="1" applyAlignment="1">
      <alignment horizontal="center" vertical="center" wrapText="1"/>
    </xf>
    <xf numFmtId="0" fontId="0" fillId="0" borderId="61" xfId="0" applyBorder="1" applyAlignment="1">
      <alignment horizontal="left" vertical="center" wrapText="1"/>
    </xf>
    <xf numFmtId="0" fontId="0" fillId="0" borderId="54" xfId="0" applyBorder="1" applyAlignment="1">
      <alignment wrapText="1"/>
    </xf>
    <xf numFmtId="0" fontId="0" fillId="0" borderId="0" xfId="0" applyAlignment="1">
      <alignment wrapText="1"/>
    </xf>
    <xf numFmtId="0" fontId="0" fillId="0" borderId="8" xfId="0" applyBorder="1" applyAlignment="1">
      <alignment horizontal="left" wrapText="1"/>
    </xf>
    <xf numFmtId="9" fontId="0" fillId="0" borderId="8" xfId="0" applyNumberFormat="1" applyBorder="1" applyAlignment="1">
      <alignment horizontal="center" wrapText="1"/>
    </xf>
    <xf numFmtId="0" fontId="0" fillId="0" borderId="8" xfId="0" applyBorder="1" applyAlignment="1">
      <alignment wrapText="1"/>
    </xf>
    <xf numFmtId="0" fontId="0" fillId="0" borderId="50" xfId="0" applyBorder="1" applyAlignment="1">
      <alignment wrapText="1"/>
    </xf>
    <xf numFmtId="0" fontId="0" fillId="0" borderId="53" xfId="0" applyBorder="1" applyAlignment="1">
      <alignment horizontal="left" wrapText="1"/>
    </xf>
    <xf numFmtId="9" fontId="0" fillId="0" borderId="53" xfId="0" applyNumberFormat="1" applyBorder="1" applyAlignment="1">
      <alignment horizontal="center" wrapText="1"/>
    </xf>
    <xf numFmtId="0" fontId="0" fillId="0" borderId="53" xfId="0" applyBorder="1" applyAlignment="1">
      <alignment wrapText="1"/>
    </xf>
    <xf numFmtId="166" fontId="21" fillId="2" borderId="0" xfId="1" applyNumberFormat="1" applyFont="1" applyFill="1" applyBorder="1" applyAlignment="1">
      <alignment horizontal="right"/>
    </xf>
    <xf numFmtId="0" fontId="16" fillId="2" borderId="8" xfId="4" applyFont="1" applyFill="1" applyBorder="1" applyAlignment="1">
      <alignment vertical="center"/>
    </xf>
    <xf numFmtId="0" fontId="16" fillId="2" borderId="8" xfId="4" applyFont="1" applyFill="1" applyBorder="1" applyAlignment="1">
      <alignment vertical="center" wrapText="1"/>
    </xf>
    <xf numFmtId="0" fontId="19" fillId="2" borderId="8" xfId="0" applyFont="1" applyFill="1" applyBorder="1" applyAlignment="1">
      <alignment horizontal="center" vertical="center"/>
    </xf>
    <xf numFmtId="0" fontId="16" fillId="2" borderId="8" xfId="0" applyFont="1" applyFill="1" applyBorder="1" applyAlignment="1">
      <alignment horizontal="center" vertical="center"/>
    </xf>
    <xf numFmtId="0" fontId="39" fillId="2" borderId="8" xfId="0" applyFont="1" applyFill="1" applyBorder="1" applyAlignment="1">
      <alignment horizontal="center" vertical="center" wrapText="1"/>
    </xf>
    <xf numFmtId="0" fontId="24" fillId="2" borderId="0" xfId="4" applyFont="1" applyFill="1"/>
    <xf numFmtId="0" fontId="16" fillId="2" borderId="0" xfId="0" applyFont="1" applyFill="1" applyAlignment="1">
      <alignment vertical="top"/>
    </xf>
    <xf numFmtId="0" fontId="39" fillId="10" borderId="8" xfId="0" applyFont="1" applyFill="1" applyBorder="1"/>
    <xf numFmtId="0" fontId="16" fillId="2" borderId="0" xfId="0" applyFont="1" applyFill="1" applyAlignment="1">
      <alignment wrapText="1"/>
    </xf>
    <xf numFmtId="49" fontId="28" fillId="0" borderId="8" xfId="4" applyNumberFormat="1" applyFont="1" applyBorder="1" applyAlignment="1">
      <alignment horizontal="center" vertical="center" wrapText="1"/>
    </xf>
    <xf numFmtId="0" fontId="4" fillId="2" borderId="0" xfId="3" applyFill="1" applyAlignment="1" applyProtection="1"/>
    <xf numFmtId="0" fontId="10" fillId="0" borderId="0" xfId="58862" applyFont="1"/>
    <xf numFmtId="0" fontId="146" fillId="88" borderId="8" xfId="0" applyFont="1" applyFill="1" applyBorder="1"/>
    <xf numFmtId="0" fontId="146" fillId="89" borderId="8" xfId="0" applyFont="1" applyFill="1" applyBorder="1"/>
    <xf numFmtId="0" fontId="146" fillId="90" borderId="8" xfId="0" applyFont="1" applyFill="1" applyBorder="1"/>
    <xf numFmtId="0" fontId="146" fillId="91" borderId="8" xfId="0" applyFont="1" applyFill="1" applyBorder="1"/>
    <xf numFmtId="0" fontId="146" fillId="5" borderId="8" xfId="0" applyFont="1" applyFill="1" applyBorder="1"/>
    <xf numFmtId="0" fontId="146" fillId="92" borderId="8" xfId="0" applyFont="1" applyFill="1" applyBorder="1"/>
    <xf numFmtId="0" fontId="2" fillId="0" borderId="0" xfId="0" applyFont="1"/>
    <xf numFmtId="0" fontId="39" fillId="10" borderId="0" xfId="0" applyFont="1" applyFill="1" applyAlignment="1">
      <alignment horizontal="center"/>
    </xf>
    <xf numFmtId="0" fontId="19" fillId="2" borderId="0" xfId="0" applyFont="1" applyFill="1" applyAlignment="1">
      <alignment horizontal="center" wrapText="1"/>
    </xf>
    <xf numFmtId="0" fontId="16" fillId="82" borderId="0" xfId="0" applyFont="1" applyFill="1" applyAlignment="1">
      <alignment horizontal="center"/>
    </xf>
    <xf numFmtId="0" fontId="46" fillId="2" borderId="0" xfId="25" applyFont="1" applyFill="1" applyAlignment="1">
      <alignment horizontal="center"/>
    </xf>
    <xf numFmtId="49" fontId="46" fillId="2" borderId="0" xfId="25" applyNumberFormat="1" applyFont="1" applyFill="1" applyAlignment="1">
      <alignment horizontal="center"/>
    </xf>
    <xf numFmtId="0" fontId="26" fillId="16" borderId="0" xfId="25" applyFont="1" applyFill="1" applyAlignment="1">
      <alignment horizontal="center"/>
    </xf>
    <xf numFmtId="49" fontId="26" fillId="16" borderId="0" xfId="25" applyNumberFormat="1" applyFont="1" applyFill="1" applyAlignment="1">
      <alignment horizontal="center"/>
    </xf>
    <xf numFmtId="0" fontId="153" fillId="2" borderId="0" xfId="25" applyFont="1" applyFill="1" applyAlignment="1">
      <alignment horizontal="center"/>
    </xf>
    <xf numFmtId="49" fontId="153" fillId="2" borderId="0" xfId="25" applyNumberFormat="1" applyFont="1" applyFill="1" applyAlignment="1">
      <alignment horizontal="center"/>
    </xf>
    <xf numFmtId="0" fontId="26" fillId="4" borderId="8" xfId="0" applyFont="1" applyFill="1" applyBorder="1" applyAlignment="1">
      <alignment horizontal="center" wrapText="1"/>
    </xf>
    <xf numFmtId="0" fontId="26" fillId="0" borderId="8" xfId="0" applyFont="1" applyBorder="1" applyAlignment="1">
      <alignment horizontal="center" wrapText="1"/>
    </xf>
    <xf numFmtId="0" fontId="19" fillId="18" borderId="3" xfId="0" applyFont="1" applyFill="1" applyBorder="1" applyAlignment="1">
      <alignment horizontal="center" vertical="center" wrapText="1"/>
    </xf>
    <xf numFmtId="0" fontId="165" fillId="2" borderId="0" xfId="0" applyFont="1" applyFill="1"/>
    <xf numFmtId="0" fontId="28" fillId="2" borderId="8" xfId="25" applyFont="1" applyFill="1" applyBorder="1" applyAlignment="1">
      <alignment horizontal="left" vertical="center" wrapText="1"/>
    </xf>
    <xf numFmtId="9" fontId="16" fillId="0" borderId="0" xfId="8" applyFont="1" applyAlignment="1">
      <alignment wrapText="1"/>
    </xf>
    <xf numFmtId="4" fontId="21" fillId="85" borderId="53" xfId="25" applyNumberFormat="1" applyFont="1" applyFill="1" applyBorder="1" applyAlignment="1">
      <alignment horizontal="center" vertical="center" wrapText="1"/>
    </xf>
    <xf numFmtId="10" fontId="16" fillId="2" borderId="8" xfId="5" applyNumberFormat="1" applyFont="1" applyFill="1" applyBorder="1" applyAlignment="1">
      <alignment horizontal="center" vertical="center"/>
    </xf>
    <xf numFmtId="0" fontId="13" fillId="2" borderId="8" xfId="4" applyFont="1" applyFill="1" applyBorder="1" applyAlignment="1">
      <alignment horizontal="left" vertical="top" wrapText="1"/>
    </xf>
    <xf numFmtId="0" fontId="28" fillId="2" borderId="1" xfId="4" quotePrefix="1" applyFont="1" applyFill="1" applyBorder="1" applyAlignment="1">
      <alignment vertical="top" wrapText="1"/>
    </xf>
    <xf numFmtId="0" fontId="13" fillId="2" borderId="8" xfId="4" applyFont="1" applyFill="1" applyBorder="1" applyAlignment="1">
      <alignment vertical="top" wrapText="1"/>
    </xf>
    <xf numFmtId="0" fontId="13" fillId="2" borderId="8" xfId="0" applyFont="1" applyFill="1" applyBorder="1" applyAlignment="1">
      <alignment vertical="top" wrapText="1"/>
    </xf>
    <xf numFmtId="0" fontId="13" fillId="2" borderId="8" xfId="0" applyFont="1" applyFill="1" applyBorder="1" applyAlignment="1">
      <alignment horizontal="left" vertical="top" wrapText="1"/>
    </xf>
    <xf numFmtId="0" fontId="28" fillId="2" borderId="1" xfId="4" quotePrefix="1" applyFont="1" applyFill="1" applyBorder="1" applyAlignment="1">
      <alignment horizontal="left" vertical="top" wrapText="1"/>
    </xf>
    <xf numFmtId="4" fontId="46" fillId="2" borderId="0" xfId="25" applyNumberFormat="1" applyFont="1" applyFill="1" applyAlignment="1">
      <alignment horizontal="left" vertical="center"/>
    </xf>
    <xf numFmtId="4" fontId="26" fillId="16" borderId="0" xfId="25" applyNumberFormat="1" applyFont="1" applyFill="1" applyAlignment="1">
      <alignment horizontal="left" vertical="center"/>
    </xf>
    <xf numFmtId="4" fontId="45" fillId="2" borderId="0" xfId="25" applyNumberFormat="1" applyFont="1" applyFill="1" applyAlignment="1">
      <alignment horizontal="left" vertical="center"/>
    </xf>
    <xf numFmtId="0" fontId="29" fillId="11" borderId="9" xfId="4" applyFont="1" applyFill="1" applyBorder="1" applyAlignment="1">
      <alignment horizontal="left" vertical="center"/>
    </xf>
    <xf numFmtId="0" fontId="13" fillId="2" borderId="8" xfId="0" quotePrefix="1" applyFont="1" applyFill="1" applyBorder="1" applyAlignment="1">
      <alignment horizontal="left" vertical="top" wrapText="1"/>
    </xf>
    <xf numFmtId="0" fontId="13" fillId="2" borderId="0" xfId="0" applyFont="1" applyFill="1" applyAlignment="1">
      <alignment horizontal="left"/>
    </xf>
    <xf numFmtId="0" fontId="13" fillId="2" borderId="6" xfId="0" applyFont="1" applyFill="1" applyBorder="1" applyAlignment="1">
      <alignment vertical="top" wrapText="1"/>
    </xf>
    <xf numFmtId="194" fontId="16" fillId="2" borderId="8" xfId="0" applyNumberFormat="1" applyFont="1" applyFill="1" applyBorder="1" applyAlignment="1">
      <alignment horizontal="center"/>
    </xf>
    <xf numFmtId="0" fontId="16" fillId="2" borderId="4" xfId="0" applyFont="1" applyFill="1" applyBorder="1"/>
    <xf numFmtId="4" fontId="16" fillId="0" borderId="8" xfId="1" applyNumberFormat="1" applyFont="1" applyBorder="1" applyAlignment="1">
      <alignment horizontal="center"/>
    </xf>
    <xf numFmtId="4" fontId="16" fillId="82" borderId="2" xfId="0" applyNumberFormat="1" applyFont="1" applyFill="1" applyBorder="1" applyAlignment="1">
      <alignment horizontal="center"/>
    </xf>
    <xf numFmtId="4" fontId="16" fillId="82" borderId="0" xfId="0" applyNumberFormat="1" applyFont="1" applyFill="1" applyAlignment="1">
      <alignment horizontal="center"/>
    </xf>
    <xf numFmtId="4" fontId="16" fillId="82" borderId="3" xfId="0" applyNumberFormat="1" applyFont="1" applyFill="1" applyBorder="1" applyAlignment="1">
      <alignment horizontal="center"/>
    </xf>
    <xf numFmtId="0" fontId="34" fillId="19" borderId="8" xfId="0" applyFont="1" applyFill="1" applyBorder="1" applyAlignment="1">
      <alignment horizontal="left"/>
    </xf>
    <xf numFmtId="9" fontId="16" fillId="93" borderId="8" xfId="0" applyNumberFormat="1" applyFont="1" applyFill="1" applyBorder="1" applyAlignment="1">
      <alignment horizontal="center"/>
    </xf>
    <xf numFmtId="0" fontId="13" fillId="2" borderId="8" xfId="4" quotePrefix="1" applyFont="1" applyFill="1" applyBorder="1" applyAlignment="1">
      <alignment horizontal="left" vertical="top" wrapText="1"/>
    </xf>
    <xf numFmtId="0" fontId="26" fillId="78" borderId="8" xfId="0" applyFont="1" applyFill="1" applyBorder="1" applyAlignment="1">
      <alignment horizontal="center"/>
    </xf>
    <xf numFmtId="0" fontId="16" fillId="2" borderId="4" xfId="0" applyFont="1" applyFill="1" applyBorder="1" applyAlignment="1">
      <alignment horizontal="center" vertical="center"/>
    </xf>
    <xf numFmtId="10" fontId="21" fillId="2" borderId="4" xfId="8" applyNumberFormat="1" applyFont="1" applyFill="1" applyBorder="1"/>
    <xf numFmtId="0" fontId="19" fillId="3" borderId="0" xfId="0" applyFont="1" applyFill="1" applyAlignment="1">
      <alignment horizontal="center"/>
    </xf>
    <xf numFmtId="4" fontId="16" fillId="0" borderId="0" xfId="1" applyNumberFormat="1" applyFont="1" applyBorder="1" applyAlignment="1">
      <alignment horizontal="center"/>
    </xf>
    <xf numFmtId="4" fontId="16" fillId="0" borderId="0" xfId="0" applyNumberFormat="1" applyFont="1" applyAlignment="1">
      <alignment horizontal="center"/>
    </xf>
    <xf numFmtId="4" fontId="21" fillId="0" borderId="0" xfId="0" applyNumberFormat="1" applyFont="1" applyAlignment="1">
      <alignment horizontal="center"/>
    </xf>
    <xf numFmtId="4" fontId="16" fillId="0" borderId="0" xfId="0" quotePrefix="1" applyNumberFormat="1" applyFont="1" applyAlignment="1">
      <alignment horizontal="center"/>
    </xf>
    <xf numFmtId="0" fontId="2" fillId="2" borderId="0" xfId="0" applyFont="1" applyFill="1"/>
    <xf numFmtId="0" fontId="41" fillId="0" borderId="0" xfId="25"/>
    <xf numFmtId="2" fontId="168" fillId="94" borderId="70" xfId="58916" quotePrefix="1" applyNumberFormat="1" applyFont="1" applyFill="1" applyBorder="1" applyAlignment="1">
      <alignment horizontal="left" vertical="center"/>
    </xf>
    <xf numFmtId="2" fontId="168" fillId="94" borderId="66" xfId="58916" applyNumberFormat="1" applyFont="1" applyFill="1" applyBorder="1" applyAlignment="1">
      <alignment horizontal="center" vertical="center" wrapText="1"/>
    </xf>
    <xf numFmtId="2" fontId="70" fillId="94" borderId="73" xfId="58916" quotePrefix="1" applyNumberFormat="1" applyFont="1" applyFill="1" applyBorder="1" applyAlignment="1">
      <alignment horizontal="center" vertical="center"/>
    </xf>
    <xf numFmtId="2" fontId="70" fillId="94" borderId="73" xfId="58916" applyNumberFormat="1" applyFont="1" applyFill="1" applyBorder="1" applyAlignment="1">
      <alignment horizontal="center" vertical="center"/>
    </xf>
    <xf numFmtId="2" fontId="70" fillId="94" borderId="74" xfId="58916" quotePrefix="1" applyNumberFormat="1" applyFont="1" applyFill="1" applyBorder="1" applyAlignment="1">
      <alignment horizontal="center" vertical="center" wrapText="1"/>
    </xf>
    <xf numFmtId="2" fontId="70" fillId="94" borderId="70" xfId="58916" quotePrefix="1" applyNumberFormat="1" applyFont="1" applyFill="1" applyBorder="1" applyAlignment="1">
      <alignment horizontal="center" vertical="center" wrapText="1"/>
    </xf>
    <xf numFmtId="0" fontId="114" fillId="0" borderId="0" xfId="0" applyFont="1"/>
    <xf numFmtId="2" fontId="168" fillId="94" borderId="75" xfId="58916" applyNumberFormat="1" applyFont="1" applyFill="1" applyBorder="1" applyAlignment="1">
      <alignment horizontal="left" vertical="center"/>
    </xf>
    <xf numFmtId="2" fontId="168" fillId="94" borderId="76" xfId="58916" applyNumberFormat="1" applyFont="1" applyFill="1" applyBorder="1" applyAlignment="1">
      <alignment horizontal="center" vertical="center"/>
    </xf>
    <xf numFmtId="2" fontId="168" fillId="94" borderId="77" xfId="58916" applyNumberFormat="1" applyFont="1" applyFill="1" applyBorder="1" applyAlignment="1">
      <alignment horizontal="center" vertical="center"/>
    </xf>
    <xf numFmtId="2" fontId="70" fillId="94" borderId="81" xfId="58916" applyNumberFormat="1" applyFont="1" applyFill="1" applyBorder="1" applyAlignment="1">
      <alignment horizontal="centerContinuous" vertical="center"/>
    </xf>
    <xf numFmtId="0" fontId="65" fillId="94" borderId="85" xfId="58916" applyFill="1" applyBorder="1" applyAlignment="1">
      <alignment horizontal="right" vertical="center"/>
    </xf>
    <xf numFmtId="0" fontId="65" fillId="94" borderId="53" xfId="58917" applyBorder="1">
      <alignment horizontal="right" vertical="center"/>
    </xf>
    <xf numFmtId="4" fontId="0" fillId="0" borderId="0" xfId="0" applyNumberFormat="1" applyAlignment="1">
      <alignment vertical="center"/>
    </xf>
    <xf numFmtId="15" fontId="2" fillId="2" borderId="0" xfId="58914" applyNumberFormat="1" applyFont="1" applyFill="1"/>
    <xf numFmtId="15" fontId="147" fillId="2" borderId="0" xfId="58914" applyNumberFormat="1" applyFont="1" applyFill="1" applyAlignment="1">
      <alignment vertical="center"/>
    </xf>
    <xf numFmtId="15" fontId="60" fillId="0" borderId="9" xfId="58914" applyNumberFormat="1" applyFont="1" applyBorder="1"/>
    <xf numFmtId="15" fontId="2" fillId="2" borderId="12" xfId="58914" applyNumberFormat="1" applyFont="1" applyFill="1" applyBorder="1" applyAlignment="1">
      <alignment vertical="center"/>
    </xf>
    <xf numFmtId="15" fontId="2" fillId="2" borderId="4" xfId="58914" applyNumberFormat="1" applyFont="1" applyFill="1" applyBorder="1" applyAlignment="1">
      <alignment vertical="center"/>
    </xf>
    <xf numFmtId="15" fontId="2" fillId="2" borderId="14" xfId="58914" applyNumberFormat="1" applyFont="1" applyFill="1" applyBorder="1" applyAlignment="1">
      <alignment vertical="center"/>
    </xf>
    <xf numFmtId="15" fontId="2" fillId="2" borderId="2" xfId="58914" applyNumberFormat="1" applyFont="1" applyFill="1" applyBorder="1" applyAlignment="1">
      <alignment vertical="center"/>
    </xf>
    <xf numFmtId="15" fontId="2" fillId="2" borderId="3" xfId="58914" applyNumberFormat="1" applyFont="1" applyFill="1" applyBorder="1" applyAlignment="1">
      <alignment vertical="center"/>
    </xf>
    <xf numFmtId="15" fontId="2" fillId="2" borderId="7" xfId="58914" applyNumberFormat="1" applyFont="1" applyFill="1" applyBorder="1" applyAlignment="1">
      <alignment vertical="center"/>
    </xf>
    <xf numFmtId="15" fontId="2" fillId="2" borderId="83" xfId="58914" applyNumberFormat="1" applyFont="1" applyFill="1" applyBorder="1" applyAlignment="1">
      <alignment vertical="center"/>
    </xf>
    <xf numFmtId="15" fontId="2" fillId="2" borderId="0" xfId="58914" applyNumberFormat="1" applyFont="1" applyFill="1" applyAlignment="1">
      <alignment horizontal="center"/>
    </xf>
    <xf numFmtId="15" fontId="60" fillId="99" borderId="55" xfId="4" applyNumberFormat="1" applyFont="1" applyFill="1" applyBorder="1" applyAlignment="1">
      <alignment horizontal="center" vertical="center"/>
    </xf>
    <xf numFmtId="15" fontId="147" fillId="97" borderId="57" xfId="58914" applyNumberFormat="1" applyFont="1" applyFill="1" applyBorder="1" applyAlignment="1">
      <alignment horizontal="center" vertical="center" wrapText="1"/>
    </xf>
    <xf numFmtId="15" fontId="60" fillId="99" borderId="56" xfId="4" applyNumberFormat="1" applyFont="1" applyFill="1" applyBorder="1" applyAlignment="1">
      <alignment horizontal="center" vertical="center"/>
    </xf>
    <xf numFmtId="164" fontId="60" fillId="99" borderId="56" xfId="58918" applyFont="1" applyFill="1" applyBorder="1" applyAlignment="1">
      <alignment horizontal="center" vertical="center" wrapText="1"/>
    </xf>
    <xf numFmtId="164" fontId="60" fillId="99" borderId="56" xfId="58918" applyFont="1" applyFill="1" applyBorder="1" applyAlignment="1">
      <alignment horizontal="center" vertical="center"/>
    </xf>
    <xf numFmtId="164" fontId="147" fillId="97" borderId="57" xfId="58918" applyFont="1" applyFill="1" applyBorder="1" applyAlignment="1">
      <alignment horizontal="center" vertical="center" wrapText="1"/>
    </xf>
    <xf numFmtId="15" fontId="2" fillId="2" borderId="6" xfId="58914" applyNumberFormat="1" applyFont="1" applyFill="1" applyBorder="1" applyAlignment="1">
      <alignment vertical="center" wrapText="1"/>
    </xf>
    <xf numFmtId="164" fontId="2" fillId="2" borderId="6" xfId="58918" applyFont="1" applyFill="1" applyBorder="1" applyAlignment="1">
      <alignment horizontal="center" vertical="center"/>
    </xf>
    <xf numFmtId="15" fontId="2" fillId="2" borderId="0" xfId="58914" applyNumberFormat="1" applyFont="1" applyFill="1" applyAlignment="1">
      <alignment vertical="center"/>
    </xf>
    <xf numFmtId="164" fontId="58" fillId="98" borderId="53" xfId="58918" applyFont="1" applyFill="1" applyBorder="1" applyAlignment="1">
      <alignment horizontal="center"/>
    </xf>
    <xf numFmtId="15" fontId="13" fillId="0" borderId="0" xfId="58914" applyNumberFormat="1" applyFont="1" applyAlignment="1">
      <alignment vertical="center"/>
    </xf>
    <xf numFmtId="15" fontId="3" fillId="0" borderId="8" xfId="58914" applyNumberFormat="1" applyBorder="1" applyAlignment="1">
      <alignment horizontal="center"/>
    </xf>
    <xf numFmtId="15" fontId="3" fillId="0" borderId="0" xfId="58914" applyNumberFormat="1"/>
    <xf numFmtId="164" fontId="0" fillId="0" borderId="8" xfId="58918" applyFont="1" applyFill="1" applyBorder="1" applyAlignment="1">
      <alignment horizontal="center" vertical="center"/>
    </xf>
    <xf numFmtId="15" fontId="3" fillId="0" borderId="8" xfId="58914" applyNumberFormat="1" applyBorder="1" applyAlignment="1">
      <alignment horizontal="center" vertical="center"/>
    </xf>
    <xf numFmtId="15" fontId="3" fillId="0" borderId="0" xfId="58914" applyNumberFormat="1" applyAlignment="1">
      <alignment vertical="center"/>
    </xf>
    <xf numFmtId="15" fontId="0" fillId="2" borderId="9" xfId="58914" applyNumberFormat="1" applyFont="1" applyFill="1" applyBorder="1" applyAlignment="1">
      <alignment vertical="center"/>
    </xf>
    <xf numFmtId="15" fontId="0" fillId="2" borderId="11" xfId="58914" applyNumberFormat="1" applyFont="1" applyFill="1" applyBorder="1" applyAlignment="1">
      <alignment vertical="center"/>
    </xf>
    <xf numFmtId="15" fontId="0" fillId="2" borderId="65" xfId="58914" applyNumberFormat="1" applyFont="1" applyFill="1" applyBorder="1" applyAlignment="1">
      <alignment horizontal="center" vertical="center"/>
    </xf>
    <xf numFmtId="15" fontId="0" fillId="2" borderId="6" xfId="58914" applyNumberFormat="1" applyFont="1" applyFill="1" applyBorder="1" applyAlignment="1">
      <alignment horizontal="center" vertical="center" wrapText="1"/>
    </xf>
    <xf numFmtId="233" fontId="2" fillId="2" borderId="58" xfId="58918" applyNumberFormat="1" applyFont="1" applyFill="1" applyBorder="1" applyAlignment="1">
      <alignment vertical="center"/>
    </xf>
    <xf numFmtId="233" fontId="58" fillId="98" borderId="54" xfId="58918" applyNumberFormat="1" applyFont="1" applyFill="1" applyBorder="1" applyAlignment="1">
      <alignment horizontal="center"/>
    </xf>
    <xf numFmtId="4" fontId="16" fillId="85" borderId="53" xfId="25" applyNumberFormat="1" applyFont="1" applyFill="1" applyBorder="1" applyAlignment="1">
      <alignment horizontal="center" vertical="center" wrapText="1"/>
    </xf>
    <xf numFmtId="0" fontId="3" fillId="0" borderId="0" xfId="33012"/>
    <xf numFmtId="0" fontId="100" fillId="0" borderId="0" xfId="28281" applyAlignment="1">
      <alignment horizontal="left" vertical="center"/>
    </xf>
    <xf numFmtId="0" fontId="65" fillId="0" borderId="0" xfId="58919" applyFont="1">
      <alignment horizontal="right"/>
    </xf>
    <xf numFmtId="0" fontId="178" fillId="0" borderId="0" xfId="33012" applyFont="1"/>
    <xf numFmtId="0" fontId="100" fillId="0" borderId="0" xfId="28281" applyAlignment="1">
      <alignment vertical="center"/>
    </xf>
    <xf numFmtId="0" fontId="179" fillId="0" borderId="0" xfId="58862" applyFont="1"/>
    <xf numFmtId="0" fontId="70" fillId="100" borderId="88" xfId="58920" applyFont="1" applyFill="1" applyBorder="1" applyAlignment="1">
      <alignment horizontal="left" vertical="top" wrapText="1"/>
    </xf>
    <xf numFmtId="0" fontId="70" fillId="100" borderId="71" xfId="58920" applyFont="1" applyFill="1" applyBorder="1" applyAlignment="1">
      <alignment horizontal="centerContinuous" vertical="center" wrapText="1"/>
    </xf>
    <xf numFmtId="0" fontId="70" fillId="100" borderId="89" xfId="58920" applyFont="1" applyFill="1" applyBorder="1" applyAlignment="1">
      <alignment horizontal="centerContinuous" vertical="center"/>
    </xf>
    <xf numFmtId="0" fontId="70" fillId="100" borderId="72" xfId="58920" applyFont="1" applyFill="1" applyBorder="1" applyAlignment="1">
      <alignment horizontal="centerContinuous" vertical="center"/>
    </xf>
    <xf numFmtId="0" fontId="70" fillId="100" borderId="71" xfId="58920" applyFont="1" applyFill="1" applyBorder="1" applyAlignment="1">
      <alignment horizontal="centerContinuous" vertical="center"/>
    </xf>
    <xf numFmtId="0" fontId="70" fillId="100" borderId="90" xfId="58920" applyFont="1" applyFill="1" applyBorder="1" applyAlignment="1">
      <alignment horizontal="centerContinuous" vertical="center"/>
    </xf>
    <xf numFmtId="0" fontId="70" fillId="71" borderId="0" xfId="58920" applyFont="1" applyFill="1" applyAlignment="1">
      <alignment wrapText="1"/>
    </xf>
    <xf numFmtId="0" fontId="65" fillId="71" borderId="0" xfId="6" applyFont="1" applyFill="1" applyAlignment="1">
      <alignment horizontal="left" vertical="center" wrapText="1"/>
    </xf>
    <xf numFmtId="0" fontId="70" fillId="100" borderId="51" xfId="58920" applyFont="1" applyFill="1" applyBorder="1" applyAlignment="1">
      <alignment horizontal="left" vertical="top" wrapText="1"/>
    </xf>
    <xf numFmtId="0" fontId="70" fillId="100" borderId="1" xfId="58920" applyFont="1" applyFill="1" applyBorder="1" applyAlignment="1">
      <alignment horizontal="center" vertical="center" wrapText="1"/>
    </xf>
    <xf numFmtId="4" fontId="70" fillId="100" borderId="12" xfId="58920" applyNumberFormat="1" applyFont="1" applyFill="1" applyBorder="1" applyAlignment="1">
      <alignment horizontal="center" vertical="center" wrapText="1"/>
    </xf>
    <xf numFmtId="0" fontId="70" fillId="100" borderId="12" xfId="58920" applyFont="1" applyFill="1" applyBorder="1" applyAlignment="1">
      <alignment horizontal="center" vertical="center" wrapText="1"/>
    </xf>
    <xf numFmtId="0" fontId="70" fillId="100" borderId="1" xfId="58920" applyFont="1" applyFill="1" applyBorder="1" applyAlignment="1">
      <alignment horizontal="center" vertical="center"/>
    </xf>
    <xf numFmtId="0" fontId="70" fillId="100" borderId="9" xfId="58920" applyFont="1" applyFill="1" applyBorder="1" applyAlignment="1">
      <alignment horizontal="centerContinuous" vertical="center"/>
    </xf>
    <xf numFmtId="0" fontId="70" fillId="100" borderId="3" xfId="58920" applyFont="1" applyFill="1" applyBorder="1" applyAlignment="1">
      <alignment horizontal="centerContinuous" vertical="center"/>
    </xf>
    <xf numFmtId="0" fontId="70" fillId="100" borderId="91" xfId="58920" applyFont="1" applyFill="1" applyBorder="1" applyAlignment="1">
      <alignment horizontal="centerContinuous" vertical="center"/>
    </xf>
    <xf numFmtId="0" fontId="65" fillId="100" borderId="47" xfId="58920" applyFill="1" applyBorder="1" applyAlignment="1">
      <alignment horizontal="left" vertical="center" wrapText="1"/>
    </xf>
    <xf numFmtId="2" fontId="65" fillId="101" borderId="49" xfId="58921" applyNumberFormat="1" applyFont="1" applyFill="1" applyBorder="1" applyAlignment="1">
      <alignment horizontal="right"/>
    </xf>
    <xf numFmtId="0" fontId="114" fillId="0" borderId="0" xfId="33012" applyFont="1"/>
    <xf numFmtId="0" fontId="70" fillId="100" borderId="6" xfId="58920" applyFont="1" applyFill="1" applyBorder="1" applyAlignment="1">
      <alignment horizontal="center" vertical="center" wrapText="1"/>
    </xf>
    <xf numFmtId="4" fontId="70" fillId="100" borderId="11" xfId="58920" applyNumberFormat="1" applyFont="1" applyFill="1" applyBorder="1" applyAlignment="1">
      <alignment horizontal="center" vertical="center" wrapText="1"/>
    </xf>
    <xf numFmtId="0" fontId="70" fillId="100" borderId="11" xfId="58920" applyFont="1" applyFill="1" applyBorder="1" applyAlignment="1">
      <alignment horizontal="center" vertical="center" wrapText="1"/>
    </xf>
    <xf numFmtId="0" fontId="70" fillId="100" borderId="6" xfId="58920" applyFont="1" applyFill="1" applyBorder="1" applyAlignment="1">
      <alignment horizontal="center" vertical="center"/>
    </xf>
    <xf numFmtId="0" fontId="70" fillId="100" borderId="83" xfId="58920" applyFont="1" applyFill="1" applyBorder="1" applyAlignment="1">
      <alignment horizontal="center" vertical="center" wrapText="1"/>
    </xf>
    <xf numFmtId="0" fontId="70" fillId="100" borderId="58" xfId="58920" applyFont="1" applyFill="1" applyBorder="1" applyAlignment="1">
      <alignment horizontal="center" vertical="center" wrapText="1"/>
    </xf>
    <xf numFmtId="0" fontId="65" fillId="100" borderId="33" xfId="58920" applyFill="1" applyBorder="1" applyAlignment="1">
      <alignment vertical="center" wrapText="1"/>
    </xf>
    <xf numFmtId="2" fontId="65" fillId="101" borderId="50" xfId="58921" applyNumberFormat="1" applyFont="1" applyFill="1" applyBorder="1" applyAlignment="1">
      <alignment horizontal="right"/>
    </xf>
    <xf numFmtId="0" fontId="70" fillId="100" borderId="92" xfId="58920" applyFont="1" applyFill="1" applyBorder="1" applyAlignment="1">
      <alignment horizontal="left" vertical="top" wrapText="1"/>
    </xf>
    <xf numFmtId="0" fontId="70" fillId="100" borderId="78" xfId="58920" applyFont="1" applyFill="1" applyBorder="1" applyAlignment="1">
      <alignment horizontal="centerContinuous" vertical="center"/>
    </xf>
    <xf numFmtId="0" fontId="70" fillId="100" borderId="76" xfId="58920" applyFont="1" applyFill="1" applyBorder="1" applyAlignment="1">
      <alignment horizontal="centerContinuous" vertical="center"/>
    </xf>
    <xf numFmtId="0" fontId="70" fillId="100" borderId="77" xfId="58920" applyFont="1" applyFill="1" applyBorder="1" applyAlignment="1">
      <alignment horizontal="center" vertical="center" wrapText="1"/>
    </xf>
    <xf numFmtId="0" fontId="70" fillId="100" borderId="76" xfId="58920" applyFont="1" applyFill="1" applyBorder="1" applyAlignment="1">
      <alignment horizontal="center" vertical="center" wrapText="1"/>
    </xf>
    <xf numFmtId="0" fontId="70" fillId="100" borderId="79" xfId="58920" applyFont="1" applyFill="1" applyBorder="1" applyAlignment="1">
      <alignment horizontal="centerContinuous" vertical="center"/>
    </xf>
    <xf numFmtId="0" fontId="70" fillId="100" borderId="80" xfId="58920" applyFont="1" applyFill="1" applyBorder="1" applyAlignment="1">
      <alignment horizontal="centerContinuous" vertical="center"/>
    </xf>
    <xf numFmtId="4" fontId="65" fillId="100" borderId="93" xfId="58920" applyNumberFormat="1" applyFill="1" applyBorder="1" applyAlignment="1">
      <alignment horizontal="left" vertical="center"/>
    </xf>
    <xf numFmtId="0" fontId="65" fillId="0" borderId="9" xfId="58920" applyBorder="1" applyAlignment="1">
      <alignment vertical="center" wrapText="1"/>
    </xf>
    <xf numFmtId="0" fontId="65" fillId="100" borderId="94" xfId="58920" applyFill="1" applyBorder="1" applyAlignment="1">
      <alignment horizontal="right" vertical="center" wrapText="1"/>
    </xf>
    <xf numFmtId="0" fontId="65" fillId="100" borderId="9" xfId="58920" applyFill="1" applyBorder="1" applyAlignment="1" applyProtection="1">
      <alignment horizontal="right" vertical="center"/>
      <protection locked="0"/>
    </xf>
    <xf numFmtId="0" fontId="65" fillId="0" borderId="95" xfId="58920" applyBorder="1" applyAlignment="1">
      <alignment horizontal="right" vertical="center"/>
    </xf>
    <xf numFmtId="0" fontId="65" fillId="0" borderId="83" xfId="58920" applyBorder="1" applyAlignment="1">
      <alignment horizontal="right" vertical="center"/>
    </xf>
    <xf numFmtId="0" fontId="65" fillId="0" borderId="7" xfId="58920" applyBorder="1" applyAlignment="1">
      <alignment horizontal="right" vertical="center"/>
    </xf>
    <xf numFmtId="0" fontId="65" fillId="0" borderId="50" xfId="58920" applyBorder="1" applyAlignment="1">
      <alignment horizontal="right" vertical="center"/>
    </xf>
    <xf numFmtId="4" fontId="65" fillId="100" borderId="33" xfId="58920" applyNumberFormat="1" applyFill="1" applyBorder="1" applyAlignment="1">
      <alignment horizontal="left" vertical="center"/>
    </xf>
    <xf numFmtId="0" fontId="65" fillId="100" borderId="9" xfId="58920" applyFill="1" applyBorder="1" applyAlignment="1">
      <alignment horizontal="right" vertical="center"/>
    </xf>
    <xf numFmtId="0" fontId="65" fillId="0" borderId="8" xfId="58920" applyBorder="1" applyAlignment="1">
      <alignment horizontal="right" vertical="center"/>
    </xf>
    <xf numFmtId="0" fontId="65" fillId="0" borderId="9" xfId="58920" applyBorder="1" applyAlignment="1">
      <alignment horizontal="right" vertical="center"/>
    </xf>
    <xf numFmtId="0" fontId="65" fillId="100" borderId="33" xfId="58920" applyFill="1" applyBorder="1" applyAlignment="1">
      <alignment horizontal="left" vertical="center" wrapText="1"/>
    </xf>
    <xf numFmtId="0" fontId="65" fillId="100" borderId="11" xfId="58920" applyFill="1" applyBorder="1" applyAlignment="1">
      <alignment horizontal="right" vertical="center" wrapText="1"/>
    </xf>
    <xf numFmtId="0" fontId="65" fillId="100" borderId="8" xfId="58920" applyFill="1" applyBorder="1" applyAlignment="1">
      <alignment horizontal="right" vertical="center"/>
    </xf>
    <xf numFmtId="0" fontId="65" fillId="100" borderId="50" xfId="58920" applyFill="1" applyBorder="1" applyAlignment="1">
      <alignment horizontal="right" vertical="center"/>
    </xf>
    <xf numFmtId="0" fontId="65" fillId="100" borderId="64" xfId="58920" applyFill="1" applyBorder="1" applyAlignment="1">
      <alignment horizontal="left" vertical="center" wrapText="1"/>
    </xf>
    <xf numFmtId="2" fontId="65" fillId="101" borderId="54" xfId="58921" applyNumberFormat="1" applyFont="1" applyFill="1" applyBorder="1" applyAlignment="1">
      <alignment horizontal="right"/>
    </xf>
    <xf numFmtId="0" fontId="65" fillId="0" borderId="53" xfId="58923" applyFont="1" applyFill="1" applyBorder="1">
      <alignment horizontal="right" vertical="center"/>
    </xf>
    <xf numFmtId="0" fontId="65" fillId="0" borderId="96" xfId="58923" applyFont="1" applyFill="1" applyBorder="1">
      <alignment horizontal="right" vertical="center"/>
    </xf>
    <xf numFmtId="0" fontId="65" fillId="0" borderId="54" xfId="58924" applyFont="1" applyFill="1" applyBorder="1">
      <alignment horizontal="right" vertical="center"/>
    </xf>
    <xf numFmtId="49" fontId="171" fillId="0" borderId="0" xfId="58925" applyNumberFormat="1" applyFont="1" applyBorder="1">
      <alignment horizontal="left" vertical="center" wrapText="1" indent="2"/>
    </xf>
    <xf numFmtId="0" fontId="65" fillId="0" borderId="0" xfId="58920" applyAlignment="1">
      <alignment vertical="center" wrapText="1"/>
    </xf>
    <xf numFmtId="0" fontId="65" fillId="0" borderId="0" xfId="58920" applyAlignment="1">
      <alignment horizontal="right" vertical="center" wrapText="1"/>
    </xf>
    <xf numFmtId="0" fontId="65" fillId="0" borderId="0" xfId="58922" applyFill="1" applyBorder="1"/>
    <xf numFmtId="0" fontId="65" fillId="0" borderId="0" xfId="58923" applyFont="1" applyFill="1" applyBorder="1">
      <alignment horizontal="right" vertical="center"/>
    </xf>
    <xf numFmtId="0" fontId="65" fillId="0" borderId="0" xfId="58920" applyAlignment="1">
      <alignment horizontal="left" vertical="center" wrapText="1"/>
    </xf>
    <xf numFmtId="4" fontId="171" fillId="0" borderId="0" xfId="58920" applyNumberFormat="1" applyFont="1" applyAlignment="1">
      <alignment horizontal="left" vertical="center"/>
    </xf>
    <xf numFmtId="4" fontId="65" fillId="0" borderId="0" xfId="58920" applyNumberFormat="1" applyAlignment="1">
      <alignment horizontal="left" vertical="center"/>
    </xf>
    <xf numFmtId="49" fontId="171" fillId="0" borderId="0" xfId="58925" applyNumberFormat="1" applyFont="1" applyBorder="1" applyAlignment="1">
      <alignment horizontal="left" vertical="center"/>
    </xf>
    <xf numFmtId="0" fontId="65" fillId="0" borderId="0" xfId="58920" applyAlignment="1">
      <alignment horizontal="left" vertical="center"/>
    </xf>
    <xf numFmtId="4" fontId="65" fillId="0" borderId="0" xfId="58920" applyNumberFormat="1" applyAlignment="1">
      <alignment horizontal="left" vertical="center" indent="1"/>
    </xf>
    <xf numFmtId="0" fontId="171" fillId="0" borderId="0" xfId="58920" applyFont="1" applyAlignment="1">
      <alignment horizontal="left" vertical="center"/>
    </xf>
    <xf numFmtId="0" fontId="3" fillId="0" borderId="0" xfId="33012" applyAlignment="1">
      <alignment horizontal="left" vertical="center"/>
    </xf>
    <xf numFmtId="0" fontId="70" fillId="100" borderId="98" xfId="58920" applyFont="1" applyFill="1" applyBorder="1" applyAlignment="1">
      <alignment horizontal="left" vertical="center"/>
    </xf>
    <xf numFmtId="0" fontId="70" fillId="100" borderId="66" xfId="58920" applyFont="1" applyFill="1" applyBorder="1" applyAlignment="1">
      <alignment horizontal="left" vertical="center"/>
    </xf>
    <xf numFmtId="0" fontId="70" fillId="100" borderId="67" xfId="58920" applyFont="1" applyFill="1" applyBorder="1" applyAlignment="1">
      <alignment horizontal="left" vertical="center"/>
    </xf>
    <xf numFmtId="0" fontId="65" fillId="100" borderId="99" xfId="58926" applyFont="1" applyFill="1" applyBorder="1" applyAlignment="1" applyProtection="1">
      <alignment horizontal="centerContinuous" vertical="center" wrapText="1"/>
      <protection locked="0"/>
    </xf>
    <xf numFmtId="0" fontId="65" fillId="100" borderId="0" xfId="58926" applyFont="1" applyFill="1" applyBorder="1" applyAlignment="1" applyProtection="1">
      <alignment horizontal="centerContinuous" vertical="center" wrapText="1"/>
      <protection locked="0"/>
    </xf>
    <xf numFmtId="0" fontId="65" fillId="100" borderId="68" xfId="58926" applyFont="1" applyFill="1" applyBorder="1" applyAlignment="1" applyProtection="1">
      <alignment horizontal="centerContinuous" vertical="center" wrapText="1"/>
      <protection locked="0"/>
    </xf>
    <xf numFmtId="0" fontId="65" fillId="100" borderId="100" xfId="58926" applyFont="1" applyFill="1" applyBorder="1" applyAlignment="1" applyProtection="1">
      <alignment horizontal="centerContinuous" vertical="center" wrapText="1"/>
      <protection locked="0"/>
    </xf>
    <xf numFmtId="0" fontId="65" fillId="100" borderId="7" xfId="58926" applyFont="1" applyFill="1" applyBorder="1" applyAlignment="1" applyProtection="1">
      <alignment horizontal="centerContinuous" vertical="center" wrapText="1"/>
      <protection locked="0"/>
    </xf>
    <xf numFmtId="0" fontId="65" fillId="100" borderId="101" xfId="58926" applyFont="1" applyFill="1" applyBorder="1" applyAlignment="1" applyProtection="1">
      <alignment horizontal="centerContinuous" vertical="center" wrapText="1"/>
      <protection locked="0"/>
    </xf>
    <xf numFmtId="0" fontId="65" fillId="0" borderId="59" xfId="58926" applyFont="1" applyFill="1" applyBorder="1" applyAlignment="1" applyProtection="1">
      <alignment horizontal="left" vertical="center"/>
      <protection locked="0"/>
    </xf>
    <xf numFmtId="0" fontId="65" fillId="0" borderId="60" xfId="58926" applyFont="1" applyFill="1" applyBorder="1" applyAlignment="1" applyProtection="1">
      <alignment horizontal="left" vertical="center"/>
      <protection locked="0"/>
    </xf>
    <xf numFmtId="0" fontId="65" fillId="0" borderId="63" xfId="58926" applyFont="1" applyFill="1" applyBorder="1" applyAlignment="1" applyProtection="1">
      <alignment horizontal="left" vertical="center"/>
      <protection locked="0"/>
    </xf>
    <xf numFmtId="2" fontId="65" fillId="0" borderId="8" xfId="58920" applyNumberFormat="1" applyBorder="1" applyAlignment="1">
      <alignment horizontal="right" vertical="center"/>
    </xf>
    <xf numFmtId="4" fontId="65" fillId="0" borderId="9" xfId="58920" applyNumberFormat="1" applyBorder="1" applyAlignment="1">
      <alignment vertical="center" wrapText="1"/>
    </xf>
    <xf numFmtId="232" fontId="65" fillId="100" borderId="9" xfId="58920" applyNumberFormat="1" applyFill="1" applyBorder="1" applyAlignment="1">
      <alignment horizontal="right" vertical="center" wrapText="1"/>
    </xf>
    <xf numFmtId="0" fontId="16" fillId="0" borderId="25" xfId="0" applyFont="1" applyBorder="1" applyAlignment="1">
      <alignment horizontal="center"/>
    </xf>
    <xf numFmtId="0" fontId="21" fillId="2" borderId="21" xfId="4" quotePrefix="1" applyFont="1" applyFill="1" applyBorder="1" applyAlignment="1">
      <alignment horizontal="center" vertical="top" wrapText="1"/>
    </xf>
    <xf numFmtId="0" fontId="21" fillId="2" borderId="24" xfId="4" quotePrefix="1" applyFont="1" applyFill="1" applyBorder="1" applyAlignment="1">
      <alignment horizontal="center" vertical="top" wrapText="1"/>
    </xf>
    <xf numFmtId="0" fontId="21" fillId="0" borderId="24" xfId="4" quotePrefix="1" applyFont="1" applyBorder="1" applyAlignment="1">
      <alignment horizontal="center" vertical="top" wrapText="1"/>
    </xf>
    <xf numFmtId="0" fontId="21" fillId="2" borderId="23" xfId="0" applyFont="1" applyFill="1" applyBorder="1" applyAlignment="1">
      <alignment horizontal="center"/>
    </xf>
    <xf numFmtId="0" fontId="21" fillId="2" borderId="21" xfId="0" applyFont="1" applyFill="1" applyBorder="1" applyAlignment="1">
      <alignment horizontal="center" vertical="center"/>
    </xf>
    <xf numFmtId="0" fontId="21" fillId="2" borderId="24" xfId="0" applyFont="1" applyFill="1" applyBorder="1" applyAlignment="1">
      <alignment horizontal="center" vertical="center"/>
    </xf>
    <xf numFmtId="0" fontId="16" fillId="2" borderId="24" xfId="0" applyFont="1" applyFill="1" applyBorder="1" applyAlignment="1">
      <alignment horizontal="center"/>
    </xf>
    <xf numFmtId="0" fontId="16" fillId="2" borderId="25" xfId="0" applyFont="1" applyFill="1" applyBorder="1" applyAlignment="1">
      <alignment horizontal="center"/>
    </xf>
    <xf numFmtId="4" fontId="26" fillId="4" borderId="14" xfId="0" applyNumberFormat="1" applyFont="1" applyFill="1" applyBorder="1" applyAlignment="1">
      <alignment horizontal="center" vertical="center" wrapText="1"/>
    </xf>
    <xf numFmtId="4" fontId="21" fillId="10" borderId="102" xfId="4" quotePrefix="1" applyNumberFormat="1" applyFont="1" applyFill="1" applyBorder="1" applyAlignment="1">
      <alignment horizontal="center" vertical="top" wrapText="1"/>
    </xf>
    <xf numFmtId="4" fontId="21" fillId="10" borderId="103" xfId="4" quotePrefix="1" applyNumberFormat="1" applyFont="1" applyFill="1" applyBorder="1" applyAlignment="1">
      <alignment horizontal="center" vertical="top" wrapText="1"/>
    </xf>
    <xf numFmtId="4" fontId="47" fillId="18" borderId="103" xfId="0" applyNumberFormat="1" applyFont="1" applyFill="1" applyBorder="1" applyAlignment="1">
      <alignment horizontal="center"/>
    </xf>
    <xf numFmtId="4" fontId="47" fillId="18" borderId="104" xfId="0" applyNumberFormat="1" applyFont="1" applyFill="1" applyBorder="1" applyAlignment="1">
      <alignment horizontal="center"/>
    </xf>
    <xf numFmtId="4" fontId="21" fillId="10" borderId="105" xfId="4" quotePrefix="1" applyNumberFormat="1" applyFont="1" applyFill="1" applyBorder="1" applyAlignment="1">
      <alignment horizontal="center" vertical="top" wrapText="1"/>
    </xf>
    <xf numFmtId="4" fontId="47" fillId="18" borderId="106" xfId="0" applyNumberFormat="1" applyFont="1" applyFill="1" applyBorder="1" applyAlignment="1">
      <alignment horizontal="center"/>
    </xf>
    <xf numFmtId="4" fontId="47" fillId="18" borderId="102" xfId="0" applyNumberFormat="1" applyFont="1" applyFill="1" applyBorder="1" applyAlignment="1">
      <alignment horizontal="center"/>
    </xf>
    <xf numFmtId="4" fontId="21" fillId="10" borderId="104" xfId="4" quotePrefix="1" applyNumberFormat="1" applyFont="1" applyFill="1" applyBorder="1" applyAlignment="1">
      <alignment horizontal="center" vertical="top" wrapText="1"/>
    </xf>
    <xf numFmtId="4" fontId="47" fillId="18" borderId="105" xfId="0" applyNumberFormat="1" applyFont="1" applyFill="1" applyBorder="1" applyAlignment="1">
      <alignment horizontal="center"/>
    </xf>
    <xf numFmtId="0" fontId="26" fillId="78" borderId="47" xfId="0" applyFont="1" applyFill="1" applyBorder="1" applyAlignment="1">
      <alignment horizontal="center"/>
    </xf>
    <xf numFmtId="0" fontId="26" fillId="78" borderId="48" xfId="0" applyFont="1" applyFill="1" applyBorder="1" applyAlignment="1">
      <alignment horizontal="center"/>
    </xf>
    <xf numFmtId="0" fontId="26" fillId="78" borderId="49" xfId="0" applyFont="1" applyFill="1" applyBorder="1" applyAlignment="1">
      <alignment horizontal="center"/>
    </xf>
    <xf numFmtId="4" fontId="26" fillId="4" borderId="69" xfId="0" applyNumberFormat="1" applyFont="1" applyFill="1" applyBorder="1" applyAlignment="1">
      <alignment horizontal="center" vertical="center" wrapText="1"/>
    </xf>
    <xf numFmtId="4" fontId="26" fillId="4" borderId="87" xfId="0" applyNumberFormat="1" applyFont="1" applyFill="1" applyBorder="1" applyAlignment="1">
      <alignment horizontal="center" vertical="center" wrapText="1"/>
    </xf>
    <xf numFmtId="4" fontId="47" fillId="18" borderId="107" xfId="0" applyNumberFormat="1" applyFont="1" applyFill="1" applyBorder="1" applyAlignment="1">
      <alignment horizontal="center"/>
    </xf>
    <xf numFmtId="4" fontId="47" fillId="18" borderId="108" xfId="0" applyNumberFormat="1" applyFont="1" applyFill="1" applyBorder="1" applyAlignment="1">
      <alignment horizontal="center"/>
    </xf>
    <xf numFmtId="4" fontId="47" fillId="18" borderId="109" xfId="0" applyNumberFormat="1" applyFont="1" applyFill="1" applyBorder="1" applyAlignment="1">
      <alignment horizontal="center"/>
    </xf>
    <xf numFmtId="4" fontId="47" fillId="18" borderId="110" xfId="0" applyNumberFormat="1" applyFont="1" applyFill="1" applyBorder="1" applyAlignment="1">
      <alignment horizontal="center"/>
    </xf>
    <xf numFmtId="4" fontId="21" fillId="10" borderId="109" xfId="4" quotePrefix="1" applyNumberFormat="1" applyFont="1" applyFill="1" applyBorder="1" applyAlignment="1">
      <alignment horizontal="center" vertical="top" wrapText="1"/>
    </xf>
    <xf numFmtId="4" fontId="21" fillId="10" borderId="110" xfId="4" quotePrefix="1" applyNumberFormat="1" applyFont="1" applyFill="1" applyBorder="1" applyAlignment="1">
      <alignment horizontal="center" vertical="top" wrapText="1"/>
    </xf>
    <xf numFmtId="4" fontId="47" fillId="18" borderId="112" xfId="0" applyNumberFormat="1" applyFont="1" applyFill="1" applyBorder="1" applyAlignment="1">
      <alignment horizontal="center"/>
    </xf>
    <xf numFmtId="4" fontId="21" fillId="10" borderId="113" xfId="4" quotePrefix="1" applyNumberFormat="1" applyFont="1" applyFill="1" applyBorder="1" applyAlignment="1">
      <alignment horizontal="center" vertical="top" wrapText="1"/>
    </xf>
    <xf numFmtId="4" fontId="47" fillId="18" borderId="114" xfId="0" applyNumberFormat="1" applyFont="1" applyFill="1" applyBorder="1" applyAlignment="1">
      <alignment horizontal="center"/>
    </xf>
    <xf numFmtId="0" fontId="47" fillId="18" borderId="115" xfId="0" applyFont="1" applyFill="1" applyBorder="1" applyAlignment="1">
      <alignment horizontal="center"/>
    </xf>
    <xf numFmtId="4" fontId="21" fillId="10" borderId="112" xfId="4" quotePrefix="1" applyNumberFormat="1" applyFont="1" applyFill="1" applyBorder="1" applyAlignment="1">
      <alignment horizontal="center" vertical="top" wrapText="1"/>
    </xf>
    <xf numFmtId="4" fontId="47" fillId="18" borderId="113" xfId="0" applyNumberFormat="1" applyFont="1" applyFill="1" applyBorder="1" applyAlignment="1">
      <alignment horizontal="center"/>
    </xf>
    <xf numFmtId="0" fontId="47" fillId="18" borderId="118" xfId="0" applyFont="1" applyFill="1" applyBorder="1" applyAlignment="1">
      <alignment horizontal="center"/>
    </xf>
    <xf numFmtId="4" fontId="47" fillId="18" borderId="119" xfId="0" applyNumberFormat="1" applyFont="1" applyFill="1" applyBorder="1" applyAlignment="1">
      <alignment horizontal="center"/>
    </xf>
    <xf numFmtId="4" fontId="47" fillId="18" borderId="120" xfId="0" applyNumberFormat="1" applyFont="1" applyFill="1" applyBorder="1" applyAlignment="1">
      <alignment horizontal="center"/>
    </xf>
    <xf numFmtId="4" fontId="21" fillId="10" borderId="117" xfId="4" quotePrefix="1" applyNumberFormat="1" applyFont="1" applyFill="1" applyBorder="1" applyAlignment="1">
      <alignment horizontal="center" vertical="top" wrapText="1"/>
    </xf>
    <xf numFmtId="0" fontId="26" fillId="78" borderId="3" xfId="0" applyFont="1" applyFill="1" applyBorder="1" applyAlignment="1">
      <alignment horizontal="center"/>
    </xf>
    <xf numFmtId="4" fontId="21" fillId="10" borderId="121" xfId="4" quotePrefix="1" applyNumberFormat="1" applyFont="1" applyFill="1" applyBorder="1" applyAlignment="1">
      <alignment horizontal="center" vertical="top" wrapText="1"/>
    </xf>
    <xf numFmtId="4" fontId="47" fillId="18" borderId="116" xfId="0" applyNumberFormat="1" applyFont="1" applyFill="1" applyBorder="1" applyAlignment="1">
      <alignment horizontal="center"/>
    </xf>
    <xf numFmtId="4" fontId="47" fillId="18" borderId="122" xfId="0" applyNumberFormat="1" applyFont="1" applyFill="1" applyBorder="1" applyAlignment="1">
      <alignment horizontal="center"/>
    </xf>
    <xf numFmtId="4" fontId="47" fillId="18" borderId="123" xfId="0" applyNumberFormat="1" applyFont="1" applyFill="1" applyBorder="1" applyAlignment="1">
      <alignment horizontal="center"/>
    </xf>
    <xf numFmtId="4" fontId="47" fillId="18" borderId="117" xfId="0" applyNumberFormat="1" applyFont="1" applyFill="1" applyBorder="1" applyAlignment="1">
      <alignment horizontal="center"/>
    </xf>
    <xf numFmtId="4" fontId="47" fillId="18" borderId="124" xfId="0" applyNumberFormat="1" applyFont="1" applyFill="1" applyBorder="1" applyAlignment="1">
      <alignment horizontal="center"/>
    </xf>
    <xf numFmtId="4" fontId="47" fillId="18" borderId="121" xfId="0" applyNumberFormat="1" applyFont="1" applyFill="1" applyBorder="1" applyAlignment="1">
      <alignment horizontal="center"/>
    </xf>
    <xf numFmtId="4" fontId="47" fillId="18" borderId="125" xfId="0" applyNumberFormat="1" applyFont="1" applyFill="1" applyBorder="1" applyAlignment="1">
      <alignment horizontal="center"/>
    </xf>
    <xf numFmtId="4" fontId="47" fillId="18" borderId="21" xfId="0" applyNumberFormat="1" applyFont="1" applyFill="1" applyBorder="1" applyAlignment="1">
      <alignment horizontal="center"/>
    </xf>
    <xf numFmtId="4" fontId="47" fillId="18" borderId="23" xfId="0" applyNumberFormat="1" applyFont="1" applyFill="1" applyBorder="1" applyAlignment="1">
      <alignment horizontal="center"/>
    </xf>
    <xf numFmtId="0" fontId="47" fillId="18" borderId="110" xfId="0" applyFont="1" applyFill="1" applyBorder="1" applyAlignment="1">
      <alignment horizontal="center"/>
    </xf>
    <xf numFmtId="0" fontId="47" fillId="18" borderId="108" xfId="0" applyFont="1" applyFill="1" applyBorder="1" applyAlignment="1">
      <alignment horizontal="center"/>
    </xf>
    <xf numFmtId="4" fontId="47" fillId="18" borderId="118" xfId="0" applyNumberFormat="1" applyFont="1" applyFill="1" applyBorder="1" applyAlignment="1">
      <alignment horizontal="center"/>
    </xf>
    <xf numFmtId="0" fontId="26" fillId="78" borderId="82" xfId="0" applyFont="1" applyFill="1" applyBorder="1" applyAlignment="1">
      <alignment horizontal="center"/>
    </xf>
    <xf numFmtId="4" fontId="26" fillId="4" borderId="86" xfId="0" applyNumberFormat="1" applyFont="1" applyFill="1" applyBorder="1" applyAlignment="1">
      <alignment horizontal="center" vertical="center" wrapText="1"/>
    </xf>
    <xf numFmtId="4" fontId="21" fillId="10" borderId="126" xfId="4" quotePrefix="1" applyNumberFormat="1" applyFont="1" applyFill="1" applyBorder="1" applyAlignment="1">
      <alignment horizontal="center" vertical="top" wrapText="1"/>
    </xf>
    <xf numFmtId="4" fontId="21" fillId="10" borderId="127" xfId="4" quotePrefix="1" applyNumberFormat="1" applyFont="1" applyFill="1" applyBorder="1" applyAlignment="1">
      <alignment horizontal="center" vertical="top" wrapText="1"/>
    </xf>
    <xf numFmtId="4" fontId="47" fillId="18" borderId="127" xfId="0" applyNumberFormat="1" applyFont="1" applyFill="1" applyBorder="1" applyAlignment="1">
      <alignment horizontal="center"/>
    </xf>
    <xf numFmtId="4" fontId="47" fillId="18" borderId="128" xfId="0" applyNumberFormat="1" applyFont="1" applyFill="1" applyBorder="1" applyAlignment="1">
      <alignment horizontal="center"/>
    </xf>
    <xf numFmtId="4" fontId="21" fillId="10" borderId="129" xfId="4" quotePrefix="1" applyNumberFormat="1" applyFont="1" applyFill="1" applyBorder="1" applyAlignment="1">
      <alignment horizontal="center" vertical="top" wrapText="1"/>
    </xf>
    <xf numFmtId="4" fontId="47" fillId="18" borderId="130" xfId="0" applyNumberFormat="1" applyFont="1" applyFill="1" applyBorder="1" applyAlignment="1">
      <alignment horizontal="center"/>
    </xf>
    <xf numFmtId="4" fontId="47" fillId="18" borderId="126" xfId="0" applyNumberFormat="1" applyFont="1" applyFill="1" applyBorder="1" applyAlignment="1">
      <alignment horizontal="center"/>
    </xf>
    <xf numFmtId="4" fontId="21" fillId="10" borderId="128" xfId="4" quotePrefix="1" applyNumberFormat="1" applyFont="1" applyFill="1" applyBorder="1" applyAlignment="1">
      <alignment horizontal="center" vertical="top" wrapText="1"/>
    </xf>
    <xf numFmtId="4" fontId="47" fillId="18" borderId="129" xfId="0" applyNumberFormat="1" applyFont="1" applyFill="1" applyBorder="1" applyAlignment="1">
      <alignment horizontal="center"/>
    </xf>
    <xf numFmtId="4" fontId="47" fillId="18" borderId="131" xfId="0" applyNumberFormat="1" applyFont="1" applyFill="1" applyBorder="1" applyAlignment="1">
      <alignment horizontal="center"/>
    </xf>
    <xf numFmtId="0" fontId="26" fillId="4" borderId="12" xfId="0" applyFont="1" applyFill="1" applyBorder="1" applyAlignment="1">
      <alignment horizontal="center" vertical="center" wrapText="1"/>
    </xf>
    <xf numFmtId="0" fontId="21" fillId="2" borderId="25" xfId="0" applyFont="1" applyFill="1" applyBorder="1" applyAlignment="1">
      <alignment horizontal="center" vertical="center"/>
    </xf>
    <xf numFmtId="0" fontId="47" fillId="18" borderId="111" xfId="0" applyFont="1" applyFill="1" applyBorder="1" applyAlignment="1">
      <alignment horizontal="center"/>
    </xf>
    <xf numFmtId="0" fontId="47" fillId="18" borderId="132" xfId="0" applyFont="1" applyFill="1" applyBorder="1" applyAlignment="1">
      <alignment horizontal="center"/>
    </xf>
    <xf numFmtId="0" fontId="47" fillId="18" borderId="133" xfId="0" applyFont="1" applyFill="1" applyBorder="1" applyAlignment="1">
      <alignment horizontal="center"/>
    </xf>
    <xf numFmtId="0" fontId="47" fillId="18" borderId="134" xfId="0" applyFont="1" applyFill="1" applyBorder="1" applyAlignment="1">
      <alignment horizontal="center"/>
    </xf>
    <xf numFmtId="4" fontId="26" fillId="4" borderId="137" xfId="0" applyNumberFormat="1" applyFont="1" applyFill="1" applyBorder="1" applyAlignment="1">
      <alignment horizontal="center" vertical="center" wrapText="1"/>
    </xf>
    <xf numFmtId="4" fontId="21" fillId="2" borderId="115" xfId="4" quotePrefix="1" applyNumberFormat="1" applyFont="1" applyFill="1" applyBorder="1" applyAlignment="1">
      <alignment horizontal="center" vertical="top" wrapText="1"/>
    </xf>
    <xf numFmtId="4" fontId="21" fillId="8" borderId="108" xfId="4" quotePrefix="1" applyNumberFormat="1" applyFont="1" applyFill="1" applyBorder="1" applyAlignment="1">
      <alignment horizontal="center" vertical="top" wrapText="1"/>
    </xf>
    <xf numFmtId="4" fontId="21" fillId="2" borderId="111" xfId="4" quotePrefix="1" applyNumberFormat="1" applyFont="1" applyFill="1" applyBorder="1" applyAlignment="1">
      <alignment horizontal="center" vertical="top" wrapText="1"/>
    </xf>
    <xf numFmtId="4" fontId="21" fillId="8" borderId="110" xfId="4" quotePrefix="1" applyNumberFormat="1" applyFont="1" applyFill="1" applyBorder="1" applyAlignment="1">
      <alignment horizontal="center" vertical="top" wrapText="1"/>
    </xf>
    <xf numFmtId="4" fontId="21" fillId="2" borderId="110" xfId="4" quotePrefix="1" applyNumberFormat="1" applyFont="1" applyFill="1" applyBorder="1" applyAlignment="1">
      <alignment horizontal="center" vertical="top" wrapText="1"/>
    </xf>
    <xf numFmtId="4" fontId="21" fillId="18" borderId="111" xfId="4" quotePrefix="1" applyNumberFormat="1" applyFont="1" applyFill="1" applyBorder="1" applyAlignment="1">
      <alignment horizontal="center" vertical="top" wrapText="1"/>
    </xf>
    <xf numFmtId="4" fontId="47" fillId="18" borderId="111" xfId="0" applyNumberFormat="1" applyFont="1" applyFill="1" applyBorder="1" applyAlignment="1">
      <alignment horizontal="center"/>
    </xf>
    <xf numFmtId="4" fontId="47" fillId="17" borderId="110" xfId="0" applyNumberFormat="1" applyFont="1" applyFill="1" applyBorder="1" applyAlignment="1">
      <alignment horizontal="center"/>
    </xf>
    <xf numFmtId="4" fontId="47" fillId="17" borderId="114" xfId="0" applyNumberFormat="1" applyFont="1" applyFill="1" applyBorder="1" applyAlignment="1">
      <alignment horizontal="center"/>
    </xf>
    <xf numFmtId="4" fontId="47" fillId="18" borderId="133" xfId="0" applyNumberFormat="1" applyFont="1" applyFill="1" applyBorder="1" applyAlignment="1">
      <alignment horizontal="center"/>
    </xf>
    <xf numFmtId="4" fontId="21" fillId="2" borderId="108" xfId="4" quotePrefix="1" applyNumberFormat="1" applyFont="1" applyFill="1" applyBorder="1" applyAlignment="1">
      <alignment horizontal="center" vertical="top" wrapText="1"/>
    </xf>
    <xf numFmtId="4" fontId="16" fillId="2" borderId="110" xfId="4" quotePrefix="1" applyNumberFormat="1" applyFont="1" applyFill="1" applyBorder="1" applyAlignment="1">
      <alignment horizontal="center" vertical="top" wrapText="1"/>
    </xf>
    <xf numFmtId="4" fontId="21" fillId="17" borderId="110" xfId="4" quotePrefix="1" applyNumberFormat="1" applyFont="1" applyFill="1" applyBorder="1" applyAlignment="1">
      <alignment horizontal="center" vertical="top" wrapText="1"/>
    </xf>
    <xf numFmtId="4" fontId="47" fillId="18" borderId="132" xfId="0" applyNumberFormat="1" applyFont="1" applyFill="1" applyBorder="1" applyAlignment="1">
      <alignment horizontal="center"/>
    </xf>
    <xf numFmtId="4" fontId="47" fillId="17" borderId="112" xfId="0" applyNumberFormat="1" applyFont="1" applyFill="1" applyBorder="1" applyAlignment="1">
      <alignment horizontal="center"/>
    </xf>
    <xf numFmtId="4" fontId="21" fillId="2" borderId="132" xfId="4" quotePrefix="1" applyNumberFormat="1" applyFont="1" applyFill="1" applyBorder="1" applyAlignment="1">
      <alignment horizontal="center" vertical="top" wrapText="1"/>
    </xf>
    <xf numFmtId="4" fontId="21" fillId="8" borderId="112" xfId="4" quotePrefix="1" applyNumberFormat="1" applyFont="1" applyFill="1" applyBorder="1" applyAlignment="1">
      <alignment horizontal="center" vertical="top" wrapText="1"/>
    </xf>
    <xf numFmtId="4" fontId="21" fillId="8" borderId="114" xfId="4" quotePrefix="1" applyNumberFormat="1" applyFont="1" applyFill="1" applyBorder="1" applyAlignment="1">
      <alignment horizontal="center" vertical="top" wrapText="1"/>
    </xf>
    <xf numFmtId="4" fontId="47" fillId="17" borderId="108" xfId="0" applyNumberFormat="1" applyFont="1" applyFill="1" applyBorder="1" applyAlignment="1">
      <alignment horizontal="center"/>
    </xf>
    <xf numFmtId="4" fontId="21" fillId="2" borderId="115" xfId="0" applyNumberFormat="1" applyFont="1" applyFill="1" applyBorder="1" applyAlignment="1">
      <alignment horizontal="center"/>
    </xf>
    <xf numFmtId="4" fontId="21" fillId="2" borderId="111" xfId="0" applyNumberFormat="1" applyFont="1" applyFill="1" applyBorder="1" applyAlignment="1">
      <alignment horizontal="center"/>
    </xf>
    <xf numFmtId="4" fontId="16" fillId="0" borderId="111" xfId="0" applyNumberFormat="1" applyFont="1" applyBorder="1" applyAlignment="1">
      <alignment horizontal="center"/>
    </xf>
    <xf numFmtId="0" fontId="182" fillId="2" borderId="0" xfId="0" applyFont="1" applyFill="1" applyAlignment="1">
      <alignment horizontal="left"/>
    </xf>
    <xf numFmtId="232" fontId="21" fillId="0" borderId="8" xfId="0" applyNumberFormat="1" applyFont="1" applyBorder="1" applyAlignment="1">
      <alignment horizontal="center" vertical="top" wrapText="1"/>
    </xf>
    <xf numFmtId="0" fontId="39" fillId="18" borderId="8" xfId="0" applyFont="1" applyFill="1" applyBorder="1" applyAlignment="1">
      <alignment horizontal="center" vertical="center" wrapText="1"/>
    </xf>
    <xf numFmtId="4" fontId="21" fillId="0" borderId="17" xfId="4" quotePrefix="1" applyNumberFormat="1" applyFont="1" applyBorder="1" applyAlignment="1">
      <alignment horizontal="center" vertical="top" wrapText="1"/>
    </xf>
    <xf numFmtId="0" fontId="16" fillId="0" borderId="21" xfId="0" applyFont="1" applyBorder="1" applyAlignment="1">
      <alignment horizontal="center"/>
    </xf>
    <xf numFmtId="4" fontId="16" fillId="0" borderId="107" xfId="0" applyNumberFormat="1" applyFont="1" applyBorder="1" applyAlignment="1">
      <alignment horizontal="center"/>
    </xf>
    <xf numFmtId="0" fontId="26" fillId="78" borderId="82" xfId="0" applyFont="1" applyFill="1" applyBorder="1" applyAlignment="1">
      <alignment horizontal="center" vertical="center"/>
    </xf>
    <xf numFmtId="0" fontId="49" fillId="2" borderId="0" xfId="0" applyFont="1" applyFill="1" applyAlignment="1">
      <alignment horizontal="center" vertical="center"/>
    </xf>
    <xf numFmtId="4" fontId="21" fillId="2" borderId="111" xfId="0" applyNumberFormat="1" applyFont="1" applyFill="1" applyBorder="1" applyAlignment="1">
      <alignment horizontal="center" vertical="center"/>
    </xf>
    <xf numFmtId="4" fontId="21" fillId="2" borderId="110" xfId="0" applyNumberFormat="1" applyFont="1" applyFill="1" applyBorder="1" applyAlignment="1">
      <alignment horizontal="center" vertical="center"/>
    </xf>
    <xf numFmtId="4" fontId="21" fillId="0" borderId="111" xfId="4" quotePrefix="1" applyNumberFormat="1" applyFont="1" applyBorder="1" applyAlignment="1">
      <alignment horizontal="center" vertical="top" wrapText="1"/>
    </xf>
    <xf numFmtId="4" fontId="16" fillId="0" borderId="110" xfId="0" applyNumberFormat="1" applyFont="1" applyBorder="1" applyAlignment="1">
      <alignment horizontal="center"/>
    </xf>
    <xf numFmtId="4" fontId="16" fillId="0" borderId="112" xfId="0" applyNumberFormat="1" applyFont="1" applyBorder="1" applyAlignment="1">
      <alignment horizontal="center"/>
    </xf>
    <xf numFmtId="4" fontId="21" fillId="2" borderId="115" xfId="0" applyNumberFormat="1" applyFont="1" applyFill="1" applyBorder="1" applyAlignment="1">
      <alignment horizontal="center" vertical="center"/>
    </xf>
    <xf numFmtId="4" fontId="21" fillId="2" borderId="108" xfId="0" applyNumberFormat="1" applyFont="1" applyFill="1" applyBorder="1" applyAlignment="1">
      <alignment horizontal="center" vertical="center"/>
    </xf>
    <xf numFmtId="4" fontId="16" fillId="2" borderId="111" xfId="0" applyNumberFormat="1" applyFont="1" applyFill="1" applyBorder="1" applyAlignment="1">
      <alignment horizontal="center"/>
    </xf>
    <xf numFmtId="4" fontId="21" fillId="0" borderId="22" xfId="4" quotePrefix="1" applyNumberFormat="1" applyFont="1" applyBorder="1" applyAlignment="1">
      <alignment horizontal="center" vertical="top" wrapText="1"/>
    </xf>
    <xf numFmtId="4" fontId="16" fillId="2" borderId="132" xfId="0" applyNumberFormat="1" applyFont="1" applyFill="1" applyBorder="1" applyAlignment="1">
      <alignment horizontal="center"/>
    </xf>
    <xf numFmtId="4" fontId="47" fillId="18" borderId="115" xfId="0" applyNumberFormat="1" applyFont="1" applyFill="1" applyBorder="1" applyAlignment="1">
      <alignment horizontal="center"/>
    </xf>
    <xf numFmtId="4" fontId="21" fillId="0" borderId="115" xfId="0" applyNumberFormat="1" applyFont="1" applyBorder="1" applyAlignment="1">
      <alignment horizontal="center" vertical="center"/>
    </xf>
    <xf numFmtId="4" fontId="21" fillId="2" borderId="132" xfId="0" applyNumberFormat="1" applyFont="1" applyFill="1" applyBorder="1" applyAlignment="1">
      <alignment horizontal="center" vertical="center"/>
    </xf>
    <xf numFmtId="4" fontId="47" fillId="18" borderId="134" xfId="0" applyNumberFormat="1" applyFont="1" applyFill="1" applyBorder="1" applyAlignment="1">
      <alignment horizontal="center"/>
    </xf>
    <xf numFmtId="0" fontId="21" fillId="0" borderId="21" xfId="0" applyFont="1" applyBorder="1" applyAlignment="1">
      <alignment horizontal="left" vertical="center" wrapText="1"/>
    </xf>
    <xf numFmtId="0" fontId="16" fillId="2" borderId="21" xfId="0" applyFont="1" applyFill="1" applyBorder="1" applyAlignment="1">
      <alignment horizontal="center" vertical="center" wrapText="1"/>
    </xf>
    <xf numFmtId="4" fontId="16" fillId="2" borderId="115" xfId="0" applyNumberFormat="1" applyFont="1" applyFill="1" applyBorder="1" applyAlignment="1">
      <alignment horizontal="center" vertical="center" wrapText="1"/>
    </xf>
    <xf numFmtId="4" fontId="21" fillId="2" borderId="115" xfId="0" applyNumberFormat="1" applyFont="1" applyFill="1" applyBorder="1" applyAlignment="1">
      <alignment horizontal="center" vertical="center" wrapText="1"/>
    </xf>
    <xf numFmtId="4" fontId="21" fillId="0" borderId="108" xfId="0" applyNumberFormat="1" applyFont="1" applyBorder="1" applyAlignment="1">
      <alignment horizontal="center" vertical="center" wrapText="1"/>
    </xf>
    <xf numFmtId="4" fontId="21" fillId="0" borderId="115" xfId="0" applyNumberFormat="1" applyFont="1" applyBorder="1" applyAlignment="1">
      <alignment horizontal="center" vertical="center" wrapText="1"/>
    </xf>
    <xf numFmtId="0" fontId="20" fillId="2" borderId="0" xfId="0" applyFont="1" applyFill="1" applyAlignment="1">
      <alignment horizontal="left" vertical="center" wrapText="1"/>
    </xf>
    <xf numFmtId="4" fontId="157" fillId="2" borderId="8" xfId="4" quotePrefix="1" applyNumberFormat="1" applyFont="1" applyFill="1" applyBorder="1" applyAlignment="1">
      <alignment horizontal="center" vertical="center" wrapText="1"/>
    </xf>
    <xf numFmtId="0" fontId="21" fillId="0" borderId="24" xfId="0" applyFont="1" applyBorder="1" applyAlignment="1">
      <alignment horizontal="left" vertical="center" wrapText="1"/>
    </xf>
    <xf numFmtId="0" fontId="16" fillId="2" borderId="24" xfId="0" applyFont="1" applyFill="1" applyBorder="1" applyAlignment="1">
      <alignment horizontal="center" vertical="center" wrapText="1"/>
    </xf>
    <xf numFmtId="4" fontId="21" fillId="2" borderId="111" xfId="0" applyNumberFormat="1" applyFont="1" applyFill="1" applyBorder="1" applyAlignment="1">
      <alignment horizontal="center" vertical="center" wrapText="1"/>
    </xf>
    <xf numFmtId="4" fontId="21" fillId="0" borderId="110" xfId="0" applyNumberFormat="1" applyFont="1" applyBorder="1" applyAlignment="1">
      <alignment horizontal="center" vertical="center" wrapText="1"/>
    </xf>
    <xf numFmtId="4" fontId="21" fillId="0" borderId="111" xfId="0" applyNumberFormat="1" applyFont="1" applyBorder="1" applyAlignment="1">
      <alignment horizontal="center" vertical="center" wrapText="1"/>
    </xf>
    <xf numFmtId="0" fontId="21" fillId="0" borderId="25" xfId="0" applyFont="1" applyBorder="1" applyAlignment="1">
      <alignment horizontal="left" vertical="center" wrapText="1"/>
    </xf>
    <xf numFmtId="0" fontId="16" fillId="2" borderId="25" xfId="0" applyFont="1" applyFill="1" applyBorder="1" applyAlignment="1">
      <alignment horizontal="center" vertical="center" wrapText="1"/>
    </xf>
    <xf numFmtId="4" fontId="21" fillId="2" borderId="135" xfId="0" applyNumberFormat="1" applyFont="1" applyFill="1" applyBorder="1" applyAlignment="1">
      <alignment horizontal="center" vertical="center" wrapText="1"/>
    </xf>
    <xf numFmtId="4" fontId="21" fillId="0" borderId="120" xfId="0" applyNumberFormat="1" applyFont="1" applyBorder="1" applyAlignment="1">
      <alignment horizontal="center" vertical="center" wrapText="1"/>
    </xf>
    <xf numFmtId="4" fontId="21" fillId="0" borderId="135" xfId="0" applyNumberFormat="1" applyFont="1" applyBorder="1" applyAlignment="1">
      <alignment horizontal="center" vertical="center" wrapText="1"/>
    </xf>
    <xf numFmtId="4" fontId="21" fillId="10" borderId="107" xfId="4" quotePrefix="1" applyNumberFormat="1" applyFont="1" applyFill="1" applyBorder="1" applyAlignment="1">
      <alignment horizontal="center" vertical="center" wrapText="1"/>
    </xf>
    <xf numFmtId="4" fontId="21" fillId="10" borderId="109" xfId="4" quotePrefix="1" applyNumberFormat="1" applyFont="1" applyFill="1" applyBorder="1" applyAlignment="1">
      <alignment horizontal="center" vertical="center" wrapText="1"/>
    </xf>
    <xf numFmtId="4" fontId="21" fillId="10" borderId="125" xfId="4" quotePrefix="1" applyNumberFormat="1" applyFont="1" applyFill="1" applyBorder="1" applyAlignment="1">
      <alignment horizontal="center" vertical="center" wrapText="1"/>
    </xf>
    <xf numFmtId="4" fontId="21" fillId="10" borderId="15" xfId="4" quotePrefix="1" applyNumberFormat="1" applyFont="1" applyFill="1" applyBorder="1" applyAlignment="1">
      <alignment horizontal="center" vertical="center" wrapText="1"/>
    </xf>
    <xf numFmtId="4" fontId="21" fillId="10" borderId="108" xfId="4" quotePrefix="1" applyNumberFormat="1" applyFont="1" applyFill="1" applyBorder="1" applyAlignment="1">
      <alignment horizontal="center" vertical="center" wrapText="1"/>
    </xf>
    <xf numFmtId="4" fontId="21" fillId="10" borderId="17" xfId="4" quotePrefix="1" applyNumberFormat="1" applyFont="1" applyFill="1" applyBorder="1" applyAlignment="1">
      <alignment horizontal="center" vertical="center" wrapText="1"/>
    </xf>
    <xf numFmtId="4" fontId="21" fillId="10" borderId="110" xfId="4" quotePrefix="1" applyNumberFormat="1" applyFont="1" applyFill="1" applyBorder="1" applyAlignment="1">
      <alignment horizontal="center" vertical="center" wrapText="1"/>
    </xf>
    <xf numFmtId="4" fontId="21" fillId="10" borderId="119" xfId="4" quotePrefix="1" applyNumberFormat="1" applyFont="1" applyFill="1" applyBorder="1" applyAlignment="1">
      <alignment horizontal="center" vertical="center" wrapText="1"/>
    </xf>
    <xf numFmtId="4" fontId="21" fillId="10" borderId="120" xfId="4" quotePrefix="1" applyNumberFormat="1" applyFont="1" applyFill="1" applyBorder="1" applyAlignment="1">
      <alignment horizontal="center" vertical="center" wrapText="1"/>
    </xf>
    <xf numFmtId="0" fontId="21" fillId="2" borderId="15" xfId="4" quotePrefix="1" applyFont="1" applyFill="1" applyBorder="1" applyAlignment="1">
      <alignment horizontal="center" vertical="center" wrapText="1"/>
    </xf>
    <xf numFmtId="0" fontId="21" fillId="2" borderId="17" xfId="4" quotePrefix="1" applyFont="1" applyFill="1" applyBorder="1" applyAlignment="1">
      <alignment horizontal="center" vertical="center" wrapText="1"/>
    </xf>
    <xf numFmtId="0" fontId="21" fillId="2" borderId="22" xfId="4" quotePrefix="1" applyFont="1" applyFill="1" applyBorder="1" applyAlignment="1">
      <alignment horizontal="center" vertical="center" wrapText="1"/>
    </xf>
    <xf numFmtId="4" fontId="21" fillId="0" borderId="15" xfId="4" quotePrefix="1" applyNumberFormat="1" applyFont="1" applyBorder="1" applyAlignment="1">
      <alignment horizontal="center" vertical="center" wrapText="1"/>
    </xf>
    <xf numFmtId="4" fontId="16" fillId="2" borderId="111" xfId="0" applyNumberFormat="1" applyFont="1" applyFill="1" applyBorder="1" applyAlignment="1">
      <alignment horizontal="center" vertical="center" wrapText="1"/>
    </xf>
    <xf numFmtId="4" fontId="16" fillId="2" borderId="110" xfId="0" applyNumberFormat="1" applyFont="1" applyFill="1" applyBorder="1" applyAlignment="1">
      <alignment horizontal="center" vertical="center" wrapText="1"/>
    </xf>
    <xf numFmtId="4" fontId="16" fillId="2" borderId="135" xfId="0" applyNumberFormat="1" applyFont="1" applyFill="1" applyBorder="1" applyAlignment="1">
      <alignment horizontal="center" vertical="center" wrapText="1"/>
    </xf>
    <xf numFmtId="4" fontId="16" fillId="2" borderId="120" xfId="0" applyNumberFormat="1" applyFont="1" applyFill="1" applyBorder="1" applyAlignment="1">
      <alignment horizontal="center" vertical="center" wrapText="1"/>
    </xf>
    <xf numFmtId="164" fontId="159" fillId="2" borderId="0" xfId="0" applyNumberFormat="1" applyFont="1" applyFill="1"/>
    <xf numFmtId="0" fontId="39" fillId="18" borderId="14" xfId="0" applyFont="1" applyFill="1" applyBorder="1" applyAlignment="1">
      <alignment horizontal="center" vertical="center"/>
    </xf>
    <xf numFmtId="0" fontId="39" fillId="18" borderId="83" xfId="0" applyFont="1" applyFill="1" applyBorder="1" applyAlignment="1">
      <alignment horizontal="center" vertical="center"/>
    </xf>
    <xf numFmtId="10" fontId="21" fillId="0" borderId="64" xfId="8" applyNumberFormat="1" applyFont="1" applyBorder="1" applyAlignment="1">
      <alignment horizontal="center"/>
    </xf>
    <xf numFmtId="10" fontId="21" fillId="0" borderId="53" xfId="8" applyNumberFormat="1" applyFont="1" applyBorder="1" applyAlignment="1">
      <alignment horizontal="center"/>
    </xf>
    <xf numFmtId="10" fontId="21" fillId="0" borderId="54" xfId="8" applyNumberFormat="1" applyFont="1" applyBorder="1" applyAlignment="1">
      <alignment horizontal="center"/>
    </xf>
    <xf numFmtId="0" fontId="16" fillId="0" borderId="0" xfId="0" applyFont="1" applyAlignment="1">
      <alignment horizontal="center" vertical="center"/>
    </xf>
    <xf numFmtId="4" fontId="26" fillId="4" borderId="8" xfId="0" quotePrefix="1" applyNumberFormat="1" applyFont="1" applyFill="1" applyBorder="1" applyAlignment="1">
      <alignment horizontal="center" vertical="center" wrapText="1"/>
    </xf>
    <xf numFmtId="4" fontId="21" fillId="2" borderId="127" xfId="4" quotePrefix="1" applyNumberFormat="1" applyFont="1" applyFill="1" applyBorder="1" applyAlignment="1">
      <alignment horizontal="center" vertical="top" wrapText="1"/>
    </xf>
    <xf numFmtId="232" fontId="16" fillId="0" borderId="8" xfId="0" applyNumberFormat="1" applyFont="1" applyBorder="1"/>
    <xf numFmtId="0" fontId="19" fillId="0" borderId="8" xfId="0" applyFont="1" applyBorder="1" applyAlignment="1">
      <alignment wrapText="1"/>
    </xf>
    <xf numFmtId="4" fontId="16" fillId="2" borderId="126" xfId="0" applyNumberFormat="1" applyFont="1" applyFill="1" applyBorder="1" applyAlignment="1">
      <alignment horizontal="center" vertical="center" wrapText="1"/>
    </xf>
    <xf numFmtId="4" fontId="16" fillId="2" borderId="127" xfId="0" applyNumberFormat="1" applyFont="1" applyFill="1" applyBorder="1" applyAlignment="1">
      <alignment horizontal="center" vertical="center" wrapText="1"/>
    </xf>
    <xf numFmtId="4" fontId="16" fillId="2" borderId="131" xfId="0" applyNumberFormat="1" applyFont="1" applyFill="1" applyBorder="1" applyAlignment="1">
      <alignment horizontal="center" vertical="center" wrapText="1"/>
    </xf>
    <xf numFmtId="4" fontId="47" fillId="18" borderId="138" xfId="0" applyNumberFormat="1" applyFont="1" applyFill="1" applyBorder="1" applyAlignment="1">
      <alignment horizontal="center"/>
    </xf>
    <xf numFmtId="4" fontId="21" fillId="2" borderId="138" xfId="4" quotePrefix="1" applyNumberFormat="1" applyFont="1" applyFill="1" applyBorder="1" applyAlignment="1">
      <alignment horizontal="center" vertical="top" wrapText="1"/>
    </xf>
    <xf numFmtId="0" fontId="47" fillId="18" borderId="139" xfId="0" applyFont="1" applyFill="1" applyBorder="1" applyAlignment="1">
      <alignment horizontal="center"/>
    </xf>
    <xf numFmtId="0" fontId="47" fillId="18" borderId="138" xfId="0" applyFont="1" applyFill="1" applyBorder="1" applyAlignment="1">
      <alignment horizontal="center"/>
    </xf>
    <xf numFmtId="0" fontId="47" fillId="18" borderId="140" xfId="0" applyFont="1" applyFill="1" applyBorder="1" applyAlignment="1">
      <alignment horizontal="center"/>
    </xf>
    <xf numFmtId="4" fontId="26" fillId="4" borderId="4" xfId="0" applyNumberFormat="1" applyFont="1" applyFill="1" applyBorder="1" applyAlignment="1">
      <alignment horizontal="center" vertical="center" wrapText="1"/>
    </xf>
    <xf numFmtId="0" fontId="47" fillId="18" borderId="141" xfId="0" applyFont="1" applyFill="1" applyBorder="1" applyAlignment="1">
      <alignment horizontal="center"/>
    </xf>
    <xf numFmtId="4" fontId="16" fillId="2" borderId="139" xfId="0" applyNumberFormat="1" applyFont="1" applyFill="1" applyBorder="1" applyAlignment="1">
      <alignment horizontal="center" vertical="center" wrapText="1"/>
    </xf>
    <xf numFmtId="4" fontId="16" fillId="2" borderId="138" xfId="0" applyNumberFormat="1" applyFont="1" applyFill="1" applyBorder="1" applyAlignment="1">
      <alignment horizontal="center" vertical="center" wrapText="1"/>
    </xf>
    <xf numFmtId="4" fontId="16" fillId="2" borderId="142" xfId="0" applyNumberFormat="1" applyFont="1" applyFill="1" applyBorder="1" applyAlignment="1">
      <alignment horizontal="center" vertical="center" wrapText="1"/>
    </xf>
    <xf numFmtId="0" fontId="13" fillId="0" borderId="1" xfId="0" applyFont="1" applyBorder="1" applyAlignment="1">
      <alignment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28" fillId="2" borderId="8" xfId="4" quotePrefix="1" applyFont="1" applyFill="1" applyBorder="1" applyAlignment="1">
      <alignment vertical="center" wrapText="1"/>
    </xf>
    <xf numFmtId="0" fontId="13" fillId="2" borderId="1" xfId="0" applyFont="1" applyFill="1" applyBorder="1" applyAlignment="1">
      <alignment vertical="center" wrapText="1"/>
    </xf>
    <xf numFmtId="234" fontId="16" fillId="2" borderId="8" xfId="1" applyNumberFormat="1" applyFont="1" applyFill="1" applyBorder="1" applyAlignment="1">
      <alignment horizontal="center"/>
    </xf>
    <xf numFmtId="234" fontId="16" fillId="2" borderId="8" xfId="1" applyNumberFormat="1" applyFont="1" applyFill="1" applyBorder="1" applyAlignment="1">
      <alignment horizontal="right"/>
    </xf>
    <xf numFmtId="0" fontId="16" fillId="2" borderId="8" xfId="1" applyNumberFormat="1" applyFont="1" applyFill="1" applyBorder="1" applyAlignment="1">
      <alignment horizontal="right"/>
    </xf>
    <xf numFmtId="4" fontId="21" fillId="80" borderId="8" xfId="0" applyNumberFormat="1" applyFont="1" applyFill="1" applyBorder="1" applyAlignment="1">
      <alignment horizontal="center" vertical="center" wrapText="1"/>
    </xf>
    <xf numFmtId="231" fontId="16" fillId="0" borderId="8" xfId="1" applyNumberFormat="1" applyFont="1" applyBorder="1" applyAlignment="1">
      <alignment horizontal="center"/>
    </xf>
    <xf numFmtId="235" fontId="21" fillId="0" borderId="8" xfId="0" applyNumberFormat="1" applyFont="1" applyBorder="1" applyAlignment="1">
      <alignment horizontal="center"/>
    </xf>
    <xf numFmtId="235" fontId="16" fillId="0" borderId="8" xfId="0" applyNumberFormat="1" applyFont="1" applyBorder="1" applyAlignment="1">
      <alignment horizontal="center"/>
    </xf>
    <xf numFmtId="235" fontId="21" fillId="0" borderId="0" xfId="0" applyNumberFormat="1" applyFont="1" applyAlignment="1">
      <alignment horizontal="center"/>
    </xf>
    <xf numFmtId="235" fontId="16" fillId="0" borderId="8" xfId="0" quotePrefix="1" applyNumberFormat="1" applyFont="1" applyBorder="1" applyAlignment="1">
      <alignment horizontal="center"/>
    </xf>
    <xf numFmtId="235" fontId="16" fillId="0" borderId="8" xfId="1" applyNumberFormat="1" applyFont="1" applyBorder="1" applyAlignment="1">
      <alignment horizontal="center"/>
    </xf>
    <xf numFmtId="2" fontId="65" fillId="94" borderId="84" xfId="58916" applyNumberFormat="1" applyFill="1" applyBorder="1" applyAlignment="1">
      <alignment horizontal="left" vertical="center" indent="3"/>
    </xf>
    <xf numFmtId="0" fontId="65" fillId="96" borderId="85" xfId="58916" applyFill="1" applyBorder="1" applyAlignment="1">
      <alignment horizontal="right" vertical="center"/>
    </xf>
    <xf numFmtId="2" fontId="65" fillId="94" borderId="85" xfId="58916" applyNumberFormat="1" applyFill="1" applyBorder="1" applyAlignment="1">
      <alignment horizontal="right" vertical="center"/>
    </xf>
    <xf numFmtId="4" fontId="65" fillId="94" borderId="85" xfId="58916" applyNumberFormat="1" applyFill="1" applyBorder="1" applyAlignment="1">
      <alignment horizontal="right" vertical="center"/>
    </xf>
    <xf numFmtId="232" fontId="65" fillId="94" borderId="53" xfId="58917" applyNumberFormat="1" applyBorder="1">
      <alignment horizontal="right" vertical="center"/>
    </xf>
    <xf numFmtId="4" fontId="65" fillId="94" borderId="84" xfId="58917" applyNumberFormat="1" applyBorder="1">
      <alignment horizontal="right" vertical="center"/>
    </xf>
    <xf numFmtId="0" fontId="65" fillId="100" borderId="9" xfId="58920" applyFill="1" applyBorder="1" applyAlignment="1">
      <alignment horizontal="right" vertical="center" wrapText="1"/>
    </xf>
    <xf numFmtId="0" fontId="65" fillId="0" borderId="96" xfId="58920" applyBorder="1" applyAlignment="1">
      <alignment horizontal="right" vertical="center" wrapText="1"/>
    </xf>
    <xf numFmtId="0" fontId="65" fillId="100" borderId="53" xfId="58922" applyFill="1" applyBorder="1" applyAlignment="1">
      <alignment horizontal="right"/>
    </xf>
    <xf numFmtId="4" fontId="65" fillId="0" borderId="64" xfId="58920" applyNumberFormat="1" applyBorder="1" applyAlignment="1">
      <alignment horizontal="right" vertical="center"/>
    </xf>
    <xf numFmtId="0" fontId="65" fillId="102" borderId="54" xfId="58917" applyFill="1" applyBorder="1">
      <alignment horizontal="right" vertical="center"/>
    </xf>
    <xf numFmtId="0" fontId="16" fillId="2" borderId="0" xfId="0" applyFont="1" applyFill="1" applyAlignment="1">
      <alignment horizontal="left" wrapText="1"/>
    </xf>
    <xf numFmtId="0" fontId="162" fillId="2" borderId="0" xfId="0" applyFont="1" applyFill="1" applyAlignment="1">
      <alignment horizontal="left" vertical="top" wrapText="1"/>
    </xf>
    <xf numFmtId="0" fontId="16" fillId="2" borderId="0" xfId="0" applyFont="1" applyFill="1" applyAlignment="1">
      <alignment horizontal="left" vertical="top" wrapText="1"/>
    </xf>
    <xf numFmtId="0" fontId="19" fillId="10" borderId="0" xfId="0" applyFont="1" applyFill="1" applyAlignment="1">
      <alignment horizontal="left"/>
    </xf>
    <xf numFmtId="0" fontId="39" fillId="10" borderId="8" xfId="0" applyFont="1" applyFill="1" applyBorder="1" applyAlignment="1">
      <alignment horizontal="left"/>
    </xf>
    <xf numFmtId="0" fontId="21" fillId="2" borderId="8" xfId="0" applyFont="1" applyFill="1" applyBorder="1" applyAlignment="1">
      <alignment horizontal="left"/>
    </xf>
    <xf numFmtId="0" fontId="15" fillId="11" borderId="0" xfId="0" applyFont="1" applyFill="1" applyAlignment="1">
      <alignment horizontal="center"/>
    </xf>
    <xf numFmtId="0" fontId="21" fillId="2" borderId="0" xfId="0" applyFont="1" applyFill="1" applyAlignment="1">
      <alignment horizontal="left" vertical="top" wrapText="1"/>
    </xf>
    <xf numFmtId="0" fontId="28" fillId="2" borderId="8" xfId="4" applyFont="1" applyFill="1" applyBorder="1" applyAlignment="1">
      <alignment horizontal="center" vertical="top" wrapText="1"/>
    </xf>
    <xf numFmtId="0" fontId="28" fillId="2" borderId="8" xfId="2" applyFont="1" applyFill="1" applyBorder="1" applyAlignment="1">
      <alignment horizontal="center" vertical="center" wrapText="1"/>
    </xf>
    <xf numFmtId="0" fontId="13" fillId="2" borderId="1" xfId="4" applyFont="1" applyFill="1" applyBorder="1" applyAlignment="1">
      <alignment horizontal="center" vertical="center" wrapText="1"/>
    </xf>
    <xf numFmtId="0" fontId="13" fillId="2" borderId="5" xfId="4" applyFont="1" applyFill="1" applyBorder="1" applyAlignment="1">
      <alignment horizontal="center" vertical="center" wrapText="1"/>
    </xf>
    <xf numFmtId="0" fontId="13" fillId="2" borderId="6" xfId="4" applyFont="1" applyFill="1" applyBorder="1" applyAlignment="1">
      <alignment horizontal="center" vertical="center" wrapText="1"/>
    </xf>
    <xf numFmtId="0" fontId="28" fillId="2" borderId="1" xfId="4" quotePrefix="1" applyFont="1" applyFill="1" applyBorder="1" applyAlignment="1">
      <alignment horizontal="center" vertical="center" wrapText="1"/>
    </xf>
    <xf numFmtId="0" fontId="28" fillId="2" borderId="6" xfId="4" quotePrefix="1" applyFont="1" applyFill="1" applyBorder="1" applyAlignment="1">
      <alignment horizontal="center" vertical="center" wrapText="1"/>
    </xf>
    <xf numFmtId="0" fontId="31" fillId="15" borderId="1" xfId="4" applyFont="1" applyFill="1" applyBorder="1" applyAlignment="1">
      <alignment horizontal="center" vertical="center" wrapText="1"/>
    </xf>
    <xf numFmtId="49" fontId="28" fillId="2" borderId="8" xfId="4" applyNumberFormat="1" applyFont="1" applyFill="1" applyBorder="1" applyAlignment="1">
      <alignment horizontal="center" vertical="center" wrapText="1"/>
    </xf>
    <xf numFmtId="49" fontId="28" fillId="2" borderId="8" xfId="4" applyNumberFormat="1" applyFont="1" applyFill="1" applyBorder="1" applyAlignment="1">
      <alignment horizontal="center" vertical="top" wrapText="1"/>
    </xf>
    <xf numFmtId="0" fontId="28" fillId="2" borderId="8" xfId="2" applyFont="1" applyFill="1" applyBorder="1" applyAlignment="1">
      <alignment horizontal="center" vertical="top" wrapText="1"/>
    </xf>
    <xf numFmtId="0" fontId="28" fillId="2" borderId="8" xfId="2" applyFont="1" applyFill="1" applyBorder="1" applyAlignment="1">
      <alignment horizontal="left" vertical="center" wrapText="1"/>
    </xf>
    <xf numFmtId="0" fontId="28" fillId="2" borderId="8" xfId="4" quotePrefix="1" applyFont="1" applyFill="1" applyBorder="1" applyAlignment="1">
      <alignment horizontal="center" vertical="center" wrapText="1"/>
    </xf>
    <xf numFmtId="0" fontId="44" fillId="2" borderId="8" xfId="4" quotePrefix="1" applyFont="1" applyFill="1" applyBorder="1" applyAlignment="1">
      <alignment horizontal="center" vertical="center" wrapText="1"/>
    </xf>
    <xf numFmtId="0" fontId="16" fillId="2" borderId="0" xfId="0" applyFont="1" applyFill="1" applyAlignment="1">
      <alignment horizontal="left" vertical="center" wrapText="1"/>
    </xf>
    <xf numFmtId="0" fontId="16" fillId="0" borderId="8" xfId="4" applyFont="1" applyBorder="1" applyAlignment="1">
      <alignment vertical="center" wrapText="1"/>
    </xf>
    <xf numFmtId="0" fontId="16" fillId="0" borderId="10" xfId="4" applyFont="1" applyBorder="1" applyAlignment="1">
      <alignment vertical="center" wrapText="1"/>
    </xf>
    <xf numFmtId="0" fontId="16" fillId="0" borderId="0" xfId="4" applyFont="1" applyAlignment="1">
      <alignment vertical="center" wrapText="1"/>
    </xf>
    <xf numFmtId="0" fontId="21" fillId="0" borderId="1"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6" fillId="2" borderId="4" xfId="0" applyFont="1" applyFill="1" applyBorder="1" applyAlignment="1">
      <alignment horizontal="left" vertical="center" wrapText="1"/>
    </xf>
    <xf numFmtId="0" fontId="19" fillId="0" borderId="9" xfId="4" applyFont="1" applyBorder="1" applyAlignment="1">
      <alignment horizontal="left" vertical="center"/>
    </xf>
    <xf numFmtId="0" fontId="19" fillId="0" borderId="2" xfId="4" applyFont="1" applyBorder="1" applyAlignment="1">
      <alignment horizontal="left" vertical="center"/>
    </xf>
    <xf numFmtId="0" fontId="19" fillId="0" borderId="3" xfId="4" applyFont="1" applyBorder="1" applyAlignment="1">
      <alignment horizontal="left" vertical="center"/>
    </xf>
    <xf numFmtId="0" fontId="16" fillId="0" borderId="9" xfId="4" applyFont="1" applyBorder="1" applyAlignment="1">
      <alignment vertical="center"/>
    </xf>
    <xf numFmtId="0" fontId="16" fillId="0" borderId="2" xfId="4" applyFont="1" applyBorder="1" applyAlignment="1">
      <alignment vertical="center"/>
    </xf>
    <xf numFmtId="0" fontId="16" fillId="0" borderId="3" xfId="4" applyFont="1" applyBorder="1" applyAlignment="1">
      <alignment vertical="center"/>
    </xf>
    <xf numFmtId="0" fontId="16" fillId="0" borderId="8" xfId="4" applyFont="1" applyBorder="1" applyAlignment="1">
      <alignment horizontal="left" vertical="center"/>
    </xf>
    <xf numFmtId="0" fontId="16" fillId="0" borderId="8" xfId="4" applyFont="1" applyBorder="1" applyAlignment="1">
      <alignment horizontal="left" vertical="center" wrapText="1"/>
    </xf>
    <xf numFmtId="0" fontId="4" fillId="0" borderId="9" xfId="3" applyBorder="1" applyAlignment="1" applyProtection="1">
      <alignment horizontal="left" vertical="center" wrapText="1"/>
    </xf>
    <xf numFmtId="0" fontId="155" fillId="0" borderId="2" xfId="3" applyFont="1" applyBorder="1" applyAlignment="1" applyProtection="1">
      <alignment horizontal="left" vertical="center" wrapText="1"/>
    </xf>
    <xf numFmtId="0" fontId="155" fillId="0" borderId="3" xfId="3" applyFont="1" applyBorder="1" applyAlignment="1" applyProtection="1">
      <alignment horizontal="left" vertical="center" wrapText="1"/>
    </xf>
    <xf numFmtId="0" fontId="39" fillId="6" borderId="1" xfId="0" applyFont="1" applyFill="1" applyBorder="1" applyAlignment="1">
      <alignment horizontal="left" vertical="center"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26" fillId="16" borderId="0" xfId="25" applyFont="1" applyFill="1" applyAlignment="1">
      <alignment horizontal="left" vertical="top" wrapText="1"/>
    </xf>
    <xf numFmtId="0" fontId="30" fillId="0" borderId="9" xfId="4" applyFont="1" applyBorder="1" applyAlignment="1">
      <alignment horizontal="left" vertical="center"/>
    </xf>
    <xf numFmtId="0" fontId="30" fillId="0" borderId="2" xfId="4" applyFont="1" applyBorder="1" applyAlignment="1">
      <alignment horizontal="left" vertical="center"/>
    </xf>
    <xf numFmtId="0" fontId="30" fillId="0" borderId="3" xfId="4" applyFont="1" applyBorder="1" applyAlignment="1">
      <alignment horizontal="left" vertical="center"/>
    </xf>
    <xf numFmtId="0" fontId="13" fillId="0" borderId="9" xfId="4" applyFont="1" applyBorder="1" applyAlignment="1">
      <alignment vertical="center"/>
    </xf>
    <xf numFmtId="0" fontId="13" fillId="0" borderId="2" xfId="4" applyFont="1" applyBorder="1" applyAlignment="1">
      <alignment vertical="center"/>
    </xf>
    <xf numFmtId="0" fontId="13" fillId="0" borderId="3" xfId="4" applyFont="1" applyBorder="1" applyAlignment="1">
      <alignment vertical="center"/>
    </xf>
    <xf numFmtId="0" fontId="13" fillId="0" borderId="9" xfId="4" applyFont="1" applyBorder="1" applyAlignment="1">
      <alignment vertical="center" wrapText="1"/>
    </xf>
    <xf numFmtId="0" fontId="13" fillId="0" borderId="2" xfId="4" applyFont="1" applyBorder="1" applyAlignment="1">
      <alignment vertical="center" wrapText="1"/>
    </xf>
    <xf numFmtId="0" fontId="13" fillId="0" borderId="3" xfId="4" applyFont="1" applyBorder="1" applyAlignment="1">
      <alignment vertical="center" wrapText="1"/>
    </xf>
    <xf numFmtId="0" fontId="4" fillId="0" borderId="9" xfId="3" applyBorder="1" applyAlignment="1" applyProtection="1">
      <alignment vertical="center" wrapText="1"/>
    </xf>
    <xf numFmtId="0" fontId="39" fillId="0" borderId="1"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16" fillId="2" borderId="4" xfId="0" applyFont="1" applyFill="1" applyBorder="1" applyAlignment="1">
      <alignment horizontal="left" vertical="top" wrapText="1"/>
    </xf>
    <xf numFmtId="0" fontId="19" fillId="2" borderId="8" xfId="0" applyFont="1" applyFill="1" applyBorder="1" applyAlignment="1">
      <alignment horizontal="center" vertical="center" wrapText="1"/>
    </xf>
    <xf numFmtId="0" fontId="16" fillId="2" borderId="8" xfId="0" applyFont="1" applyFill="1" applyBorder="1" applyAlignment="1">
      <alignment horizontal="center"/>
    </xf>
    <xf numFmtId="0" fontId="16" fillId="2" borderId="8" xfId="4" applyFont="1" applyFill="1" applyBorder="1" applyAlignment="1">
      <alignment horizontal="left" vertical="center" wrapText="1"/>
    </xf>
    <xf numFmtId="0" fontId="19" fillId="2" borderId="9" xfId="4" applyFont="1" applyFill="1" applyBorder="1" applyAlignment="1">
      <alignment horizontal="left" vertical="center"/>
    </xf>
    <xf numFmtId="0" fontId="19" fillId="2" borderId="2" xfId="4" applyFont="1" applyFill="1" applyBorder="1" applyAlignment="1">
      <alignment horizontal="left" vertical="center"/>
    </xf>
    <xf numFmtId="0" fontId="19" fillId="2" borderId="3" xfId="4" applyFont="1" applyFill="1" applyBorder="1" applyAlignment="1">
      <alignment horizontal="left" vertical="center"/>
    </xf>
    <xf numFmtId="0" fontId="16" fillId="83" borderId="0" xfId="0" applyFont="1" applyFill="1" applyAlignment="1">
      <alignment horizontal="left" wrapText="1"/>
    </xf>
    <xf numFmtId="0" fontId="16" fillId="83" borderId="4" xfId="0" applyFont="1" applyFill="1" applyBorder="1" applyAlignment="1">
      <alignment horizontal="left" vertical="top" wrapText="1"/>
    </xf>
    <xf numFmtId="0" fontId="16" fillId="83" borderId="0" xfId="0" applyFont="1" applyFill="1" applyAlignment="1">
      <alignment horizontal="left" vertical="top" wrapText="1"/>
    </xf>
    <xf numFmtId="0" fontId="21" fillId="2" borderId="8" xfId="4" applyFont="1" applyFill="1" applyBorder="1" applyAlignment="1">
      <alignment horizontal="left" vertical="center" wrapText="1"/>
    </xf>
    <xf numFmtId="0" fontId="16" fillId="2" borderId="8" xfId="0" applyFont="1" applyFill="1" applyBorder="1" applyAlignment="1">
      <alignment horizontal="center" vertical="center" wrapText="1"/>
    </xf>
    <xf numFmtId="0" fontId="19" fillId="2" borderId="8" xfId="4" applyFont="1" applyFill="1" applyBorder="1" applyAlignment="1">
      <alignment horizontal="left" vertical="center"/>
    </xf>
    <xf numFmtId="0" fontId="26" fillId="78" borderId="136" xfId="0" applyFont="1" applyFill="1" applyBorder="1" applyAlignment="1">
      <alignment horizontal="center" vertical="center"/>
    </xf>
    <xf numFmtId="0" fontId="26" fillId="78" borderId="90" xfId="0" applyFont="1" applyFill="1" applyBorder="1" applyAlignment="1">
      <alignment horizontal="center" vertical="center"/>
    </xf>
    <xf numFmtId="0" fontId="26" fillId="78" borderId="89" xfId="0" applyFont="1" applyFill="1" applyBorder="1" applyAlignment="1">
      <alignment horizontal="center" vertical="center"/>
    </xf>
    <xf numFmtId="0" fontId="21" fillId="0" borderId="0" xfId="0" applyFont="1" applyAlignment="1">
      <alignment horizontal="left" vertical="top" wrapText="1"/>
    </xf>
    <xf numFmtId="0" fontId="19" fillId="3" borderId="0" xfId="0" applyFont="1" applyFill="1" applyAlignment="1">
      <alignment horizontal="center"/>
    </xf>
    <xf numFmtId="0" fontId="16" fillId="2" borderId="4" xfId="0" applyFont="1" applyFill="1" applyBorder="1" applyAlignment="1">
      <alignment horizontal="left" wrapText="1"/>
    </xf>
    <xf numFmtId="0" fontId="16" fillId="8" borderId="8" xfId="0" applyFont="1" applyFill="1" applyBorder="1" applyAlignment="1">
      <alignment horizontal="center" vertical="top" wrapText="1"/>
    </xf>
    <xf numFmtId="0" fontId="16" fillId="9" borderId="8" xfId="0" applyFont="1" applyFill="1" applyBorder="1" applyAlignment="1">
      <alignment horizontal="center" vertical="top" wrapText="1"/>
    </xf>
    <xf numFmtId="0" fontId="16" fillId="87" borderId="8" xfId="0" applyFont="1" applyFill="1" applyBorder="1" applyAlignment="1">
      <alignment horizontal="center" vertical="top" wrapText="1"/>
    </xf>
    <xf numFmtId="0" fontId="16" fillId="0" borderId="8" xfId="0" applyFont="1" applyBorder="1" applyAlignment="1">
      <alignment horizontal="center" vertical="top"/>
    </xf>
    <xf numFmtId="0" fontId="16" fillId="0" borderId="8" xfId="0" applyFont="1" applyBorder="1" applyAlignment="1">
      <alignment horizontal="left" vertical="top" wrapText="1"/>
    </xf>
    <xf numFmtId="0" fontId="16" fillId="87" borderId="8" xfId="0" applyFont="1" applyFill="1" applyBorder="1" applyAlignment="1">
      <alignment horizontal="left" vertical="top" wrapText="1"/>
    </xf>
    <xf numFmtId="0" fontId="21" fillId="0" borderId="8" xfId="0" applyFont="1" applyBorder="1" applyAlignment="1">
      <alignment horizontal="left" vertical="top" wrapText="1"/>
    </xf>
    <xf numFmtId="0" fontId="21" fillId="18" borderId="8" xfId="0" applyFont="1" applyFill="1" applyBorder="1" applyAlignment="1">
      <alignment horizontal="center" vertical="top" wrapText="1"/>
    </xf>
    <xf numFmtId="232" fontId="21" fillId="0" borderId="8" xfId="0" applyNumberFormat="1" applyFont="1" applyBorder="1" applyAlignment="1">
      <alignment horizontal="center" vertical="top" wrapText="1"/>
    </xf>
    <xf numFmtId="0" fontId="16" fillId="18" borderId="8" xfId="0" applyFont="1" applyFill="1" applyBorder="1" applyAlignment="1">
      <alignment horizontal="left" vertical="top"/>
    </xf>
    <xf numFmtId="0" fontId="26" fillId="12" borderId="0" xfId="25" applyFont="1" applyFill="1" applyAlignment="1">
      <alignment horizontal="left" vertical="top"/>
    </xf>
    <xf numFmtId="0" fontId="16" fillId="9" borderId="8" xfId="0" applyFont="1" applyFill="1" applyBorder="1" applyAlignment="1">
      <alignment horizontal="left" vertical="top" wrapText="1"/>
    </xf>
    <xf numFmtId="0" fontId="16" fillId="80" borderId="8" xfId="0" applyFont="1" applyFill="1" applyBorder="1" applyAlignment="1">
      <alignment horizontal="left" vertical="top" wrapText="1"/>
    </xf>
    <xf numFmtId="0" fontId="16" fillId="80" borderId="8" xfId="0" applyFont="1" applyFill="1" applyBorder="1" applyAlignment="1">
      <alignment horizontal="center" vertical="top" wrapText="1"/>
    </xf>
    <xf numFmtId="0" fontId="21" fillId="83" borderId="0" xfId="0" applyFont="1" applyFill="1" applyAlignment="1">
      <alignment horizontal="left" vertical="top" wrapText="1"/>
    </xf>
    <xf numFmtId="0" fontId="39" fillId="18" borderId="1" xfId="0" applyFont="1" applyFill="1" applyBorder="1" applyAlignment="1">
      <alignment horizontal="center" vertical="center" wrapText="1"/>
    </xf>
    <xf numFmtId="0" fontId="39" fillId="18" borderId="6" xfId="0" applyFont="1" applyFill="1" applyBorder="1" applyAlignment="1">
      <alignment horizontal="center" vertical="center" wrapText="1"/>
    </xf>
    <xf numFmtId="0" fontId="39" fillId="18" borderId="1" xfId="0" applyFont="1" applyFill="1" applyBorder="1" applyAlignment="1">
      <alignment horizontal="center" vertical="center"/>
    </xf>
    <xf numFmtId="0" fontId="39" fillId="18" borderId="6" xfId="0" applyFont="1" applyFill="1" applyBorder="1" applyAlignment="1">
      <alignment horizontal="center" vertical="center"/>
    </xf>
    <xf numFmtId="0" fontId="46" fillId="2" borderId="0" xfId="25" applyFont="1" applyFill="1" applyAlignment="1">
      <alignment horizontal="left" vertical="top" wrapText="1"/>
    </xf>
    <xf numFmtId="0" fontId="153" fillId="2" borderId="0" xfId="25" applyFont="1" applyFill="1" applyAlignment="1">
      <alignment horizontal="left" vertical="top" wrapText="1"/>
    </xf>
    <xf numFmtId="0" fontId="16" fillId="8" borderId="8" xfId="0" applyFont="1" applyFill="1" applyBorder="1" applyAlignment="1">
      <alignment horizontal="left" vertical="top" wrapText="1"/>
    </xf>
    <xf numFmtId="0" fontId="39" fillId="8" borderId="8" xfId="6" applyFont="1" applyFill="1" applyBorder="1" applyAlignment="1">
      <alignment horizontal="center" vertical="center" wrapText="1"/>
    </xf>
    <xf numFmtId="0" fontId="19" fillId="3" borderId="0" xfId="0" applyFont="1" applyFill="1" applyAlignment="1">
      <alignment horizontal="center" wrapText="1"/>
    </xf>
    <xf numFmtId="0" fontId="16" fillId="2" borderId="0" xfId="0" applyFont="1" applyFill="1" applyAlignment="1">
      <alignment horizontal="left"/>
    </xf>
    <xf numFmtId="0" fontId="26" fillId="4" borderId="9"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19" fillId="3" borderId="0" xfId="0" applyFont="1" applyFill="1" applyAlignment="1">
      <alignment horizontal="center" vertical="center" wrapText="1"/>
    </xf>
    <xf numFmtId="0" fontId="26" fillId="2" borderId="0" xfId="0" applyFont="1" applyFill="1" applyAlignment="1">
      <alignment horizontal="center"/>
    </xf>
    <xf numFmtId="0" fontId="26" fillId="19" borderId="9" xfId="0" applyFont="1" applyFill="1" applyBorder="1" applyAlignment="1">
      <alignment horizontal="center"/>
    </xf>
    <xf numFmtId="0" fontId="26" fillId="19" borderId="2" xfId="0" applyFont="1" applyFill="1" applyBorder="1" applyAlignment="1">
      <alignment horizontal="center"/>
    </xf>
    <xf numFmtId="0" fontId="16" fillId="8" borderId="9" xfId="0" applyFont="1" applyFill="1" applyBorder="1" applyAlignment="1">
      <alignment horizontal="center" vertical="top" wrapText="1"/>
    </xf>
    <xf numFmtId="0" fontId="16" fillId="8" borderId="3" xfId="0" applyFont="1" applyFill="1" applyBorder="1" applyAlignment="1">
      <alignment horizontal="center" vertical="top" wrapText="1"/>
    </xf>
    <xf numFmtId="0" fontId="26" fillId="19" borderId="3" xfId="0" applyFont="1" applyFill="1" applyBorder="1" applyAlignment="1">
      <alignment horizontal="center"/>
    </xf>
    <xf numFmtId="0" fontId="26" fillId="4" borderId="11" xfId="0" quotePrefix="1" applyFont="1" applyFill="1" applyBorder="1" applyAlignment="1">
      <alignment horizontal="center" vertical="center" wrapText="1"/>
    </xf>
    <xf numFmtId="0" fontId="26" fillId="4" borderId="7" xfId="0" quotePrefix="1" applyFont="1" applyFill="1" applyBorder="1" applyAlignment="1">
      <alignment horizontal="center" vertical="center" wrapText="1"/>
    </xf>
    <xf numFmtId="0" fontId="26" fillId="4" borderId="9" xfId="0" quotePrefix="1" applyFont="1" applyFill="1" applyBorder="1" applyAlignment="1">
      <alignment horizontal="center" vertical="center" wrapText="1"/>
    </xf>
    <xf numFmtId="0" fontId="26" fillId="4" borderId="3" xfId="0" quotePrefix="1" applyFont="1" applyFill="1" applyBorder="1" applyAlignment="1">
      <alignment horizontal="center" vertical="center" wrapText="1"/>
    </xf>
    <xf numFmtId="0" fontId="24" fillId="2" borderId="0" xfId="0" applyFont="1" applyFill="1" applyAlignment="1">
      <alignment horizontal="left"/>
    </xf>
    <xf numFmtId="0" fontId="24" fillId="0" borderId="0" xfId="0" applyFont="1" applyAlignment="1">
      <alignment horizontal="left" wrapText="1"/>
    </xf>
    <xf numFmtId="0" fontId="19" fillId="0" borderId="9" xfId="0" applyFont="1" applyBorder="1" applyAlignment="1">
      <alignment wrapText="1"/>
    </xf>
    <xf numFmtId="0" fontId="19" fillId="0" borderId="2" xfId="0" applyFont="1" applyBorder="1" applyAlignment="1">
      <alignment wrapText="1"/>
    </xf>
    <xf numFmtId="0" fontId="19" fillId="0" borderId="3" xfId="0" applyFont="1" applyBorder="1" applyAlignment="1">
      <alignment wrapText="1"/>
    </xf>
    <xf numFmtId="0" fontId="26" fillId="4" borderId="12" xfId="0" quotePrefix="1" applyFont="1" applyFill="1" applyBorder="1" applyAlignment="1">
      <alignment horizontal="center" vertical="center" wrapText="1"/>
    </xf>
    <xf numFmtId="0" fontId="26" fillId="4" borderId="14" xfId="0" quotePrefix="1" applyFont="1" applyFill="1" applyBorder="1" applyAlignment="1">
      <alignment horizontal="center" vertical="center" wrapText="1"/>
    </xf>
    <xf numFmtId="0" fontId="19" fillId="0" borderId="8" xfId="0" quotePrefix="1" applyFont="1" applyBorder="1" applyAlignment="1">
      <alignment horizontal="left" vertical="center" wrapText="1"/>
    </xf>
    <xf numFmtId="15" fontId="26" fillId="98" borderId="10" xfId="58914" applyNumberFormat="1" applyFont="1" applyFill="1" applyBorder="1" applyAlignment="1">
      <alignment horizontal="left" vertical="center" wrapText="1"/>
    </xf>
    <xf numFmtId="15" fontId="26" fillId="98" borderId="13" xfId="58914" applyNumberFormat="1" applyFont="1" applyFill="1" applyBorder="1" applyAlignment="1">
      <alignment horizontal="left" vertical="center" wrapText="1"/>
    </xf>
    <xf numFmtId="15" fontId="174" fillId="98" borderId="0" xfId="58914" applyNumberFormat="1" applyFont="1" applyFill="1" applyAlignment="1">
      <alignment horizontal="left"/>
    </xf>
    <xf numFmtId="15" fontId="58" fillId="98" borderId="64" xfId="58914" applyNumberFormat="1" applyFont="1" applyFill="1" applyBorder="1" applyAlignment="1">
      <alignment horizontal="center"/>
    </xf>
    <xf numFmtId="15" fontId="58" fillId="98" borderId="53" xfId="58914" applyNumberFormat="1" applyFont="1" applyFill="1" applyBorder="1" applyAlignment="1">
      <alignment horizontal="center"/>
    </xf>
    <xf numFmtId="15" fontId="3" fillId="0" borderId="8" xfId="58914" applyNumberFormat="1" applyBorder="1" applyAlignment="1">
      <alignment horizontal="left"/>
    </xf>
    <xf numFmtId="0" fontId="58" fillId="81" borderId="0" xfId="0" applyFont="1" applyFill="1" applyAlignment="1">
      <alignment horizontal="center"/>
    </xf>
    <xf numFmtId="2" fontId="168" fillId="94" borderId="71" xfId="58916" quotePrefix="1" applyNumberFormat="1" applyFont="1" applyFill="1" applyBorder="1" applyAlignment="1">
      <alignment horizontal="center" vertical="center"/>
    </xf>
    <xf numFmtId="2" fontId="168" fillId="94" borderId="72" xfId="58916" quotePrefix="1" applyNumberFormat="1" applyFont="1" applyFill="1" applyBorder="1" applyAlignment="1">
      <alignment horizontal="center" vertical="center"/>
    </xf>
    <xf numFmtId="0" fontId="70" fillId="95" borderId="78" xfId="25" applyFont="1" applyFill="1" applyBorder="1" applyAlignment="1">
      <alignment horizontal="center" vertical="center"/>
    </xf>
    <xf numFmtId="0" fontId="70" fillId="95" borderId="79" xfId="25" applyFont="1" applyFill="1" applyBorder="1" applyAlignment="1">
      <alignment horizontal="center" vertical="center"/>
    </xf>
    <xf numFmtId="0" fontId="70" fillId="95" borderId="80" xfId="25" applyFont="1" applyFill="1" applyBorder="1" applyAlignment="1">
      <alignment horizontal="center" vertical="center"/>
    </xf>
    <xf numFmtId="0" fontId="150" fillId="0" borderId="59" xfId="58888" applyFont="1" applyBorder="1" applyAlignment="1">
      <alignment horizontal="left" vertical="center"/>
    </xf>
    <xf numFmtId="0" fontId="150" fillId="0" borderId="60" xfId="58888" applyFont="1" applyBorder="1" applyAlignment="1">
      <alignment horizontal="left" vertical="center"/>
    </xf>
    <xf numFmtId="0" fontId="16" fillId="2" borderId="55" xfId="25" applyFont="1" applyFill="1" applyBorder="1" applyAlignment="1">
      <alignment horizontal="center" vertical="center" wrapText="1"/>
    </xf>
    <xf numFmtId="0" fontId="16" fillId="2" borderId="56" xfId="25" applyFont="1" applyFill="1" applyBorder="1" applyAlignment="1">
      <alignment horizontal="center" vertical="center" wrapText="1"/>
    </xf>
    <xf numFmtId="0" fontId="19" fillId="84" borderId="65" xfId="25" applyFont="1" applyFill="1" applyBorder="1" applyAlignment="1">
      <alignment horizontal="center" vertical="center" wrapText="1"/>
    </xf>
    <xf numFmtId="0" fontId="19" fillId="84" borderId="6" xfId="25" applyFont="1" applyFill="1" applyBorder="1" applyAlignment="1">
      <alignment horizontal="center" vertical="center" wrapText="1"/>
    </xf>
    <xf numFmtId="0" fontId="19" fillId="84" borderId="33" xfId="25" applyFont="1" applyFill="1" applyBorder="1" applyAlignment="1">
      <alignment horizontal="center" vertical="center" wrapText="1"/>
    </xf>
    <xf numFmtId="0" fontId="19" fillId="84" borderId="8" xfId="25" applyFont="1" applyFill="1" applyBorder="1" applyAlignment="1">
      <alignment horizontal="center" vertical="center" wrapText="1"/>
    </xf>
    <xf numFmtId="0" fontId="39" fillId="84" borderId="8" xfId="25" applyFont="1" applyFill="1" applyBorder="1" applyAlignment="1">
      <alignment horizontal="left" vertical="center" wrapText="1"/>
    </xf>
    <xf numFmtId="0" fontId="39" fillId="84" borderId="50" xfId="25" applyFont="1" applyFill="1" applyBorder="1" applyAlignment="1">
      <alignment horizontal="left" vertical="center" wrapText="1"/>
    </xf>
    <xf numFmtId="0" fontId="60" fillId="11" borderId="55" xfId="0" applyFont="1" applyFill="1" applyBorder="1" applyAlignment="1">
      <alignment horizontal="center" wrapText="1"/>
    </xf>
    <xf numFmtId="0" fontId="60" fillId="11" borderId="56" xfId="0" applyFont="1" applyFill="1" applyBorder="1" applyAlignment="1">
      <alignment horizontal="center"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0" fontId="0" fillId="0" borderId="6" xfId="0" applyBorder="1" applyAlignment="1">
      <alignment horizontal="left" vertical="center" wrapText="1"/>
    </xf>
    <xf numFmtId="0" fontId="0" fillId="0" borderId="53" xfId="0" applyBorder="1" applyAlignment="1">
      <alignment horizontal="left" vertical="center" wrapText="1"/>
    </xf>
    <xf numFmtId="0" fontId="60" fillId="11" borderId="52" xfId="0" applyFont="1" applyFill="1" applyBorder="1" applyAlignment="1">
      <alignment horizontal="center" wrapText="1"/>
    </xf>
    <xf numFmtId="0" fontId="60" fillId="11" borderId="61" xfId="0" applyFont="1" applyFill="1" applyBorder="1" applyAlignment="1">
      <alignment horizontal="center" wrapText="1"/>
    </xf>
    <xf numFmtId="0" fontId="0" fillId="0" borderId="8" xfId="0" applyBorder="1" applyAlignment="1">
      <alignment horizontal="left" vertical="center" wrapText="1"/>
    </xf>
  </cellXfs>
  <cellStyles count="58927">
    <cellStyle name="@ .....rpm" xfId="58824" xr:uid="{00000000-0005-0000-0000-000000000000}"/>
    <cellStyle name="0,0_x000d__x000a_NA_x000d__x000a_" xfId="61" xr:uid="{00000000-0005-0000-0000-000001000000}"/>
    <cellStyle name="1" xfId="62" xr:uid="{00000000-0005-0000-0000-000002000000}"/>
    <cellStyle name="1 10" xfId="63" xr:uid="{00000000-0005-0000-0000-000003000000}"/>
    <cellStyle name="1 10 10" xfId="64" xr:uid="{00000000-0005-0000-0000-000004000000}"/>
    <cellStyle name="1 10 2" xfId="65" xr:uid="{00000000-0005-0000-0000-000005000000}"/>
    <cellStyle name="1 10 2 2" xfId="66" xr:uid="{00000000-0005-0000-0000-000006000000}"/>
    <cellStyle name="1 10 3" xfId="67" xr:uid="{00000000-0005-0000-0000-000007000000}"/>
    <cellStyle name="1 10 3 2" xfId="68" xr:uid="{00000000-0005-0000-0000-000008000000}"/>
    <cellStyle name="1 10 4" xfId="69" xr:uid="{00000000-0005-0000-0000-000009000000}"/>
    <cellStyle name="1 10 4 2" xfId="70" xr:uid="{00000000-0005-0000-0000-00000A000000}"/>
    <cellStyle name="1 10 5" xfId="71" xr:uid="{00000000-0005-0000-0000-00000B000000}"/>
    <cellStyle name="1 10 5 2" xfId="72" xr:uid="{00000000-0005-0000-0000-00000C000000}"/>
    <cellStyle name="1 10 6" xfId="73" xr:uid="{00000000-0005-0000-0000-00000D000000}"/>
    <cellStyle name="1 10 6 2" xfId="74" xr:uid="{00000000-0005-0000-0000-00000E000000}"/>
    <cellStyle name="1 10 7" xfId="75" xr:uid="{00000000-0005-0000-0000-00000F000000}"/>
    <cellStyle name="1 10 7 2" xfId="76" xr:uid="{00000000-0005-0000-0000-000010000000}"/>
    <cellStyle name="1 10 8" xfId="77" xr:uid="{00000000-0005-0000-0000-000011000000}"/>
    <cellStyle name="1 10 8 2" xfId="78" xr:uid="{00000000-0005-0000-0000-000012000000}"/>
    <cellStyle name="1 10 9" xfId="79" xr:uid="{00000000-0005-0000-0000-000013000000}"/>
    <cellStyle name="1 10 9 2" xfId="80" xr:uid="{00000000-0005-0000-0000-000014000000}"/>
    <cellStyle name="1 11" xfId="81" xr:uid="{00000000-0005-0000-0000-000015000000}"/>
    <cellStyle name="1 11 10" xfId="82" xr:uid="{00000000-0005-0000-0000-000016000000}"/>
    <cellStyle name="1 11 2" xfId="83" xr:uid="{00000000-0005-0000-0000-000017000000}"/>
    <cellStyle name="1 11 2 2" xfId="84" xr:uid="{00000000-0005-0000-0000-000018000000}"/>
    <cellStyle name="1 11 3" xfId="85" xr:uid="{00000000-0005-0000-0000-000019000000}"/>
    <cellStyle name="1 11 3 2" xfId="86" xr:uid="{00000000-0005-0000-0000-00001A000000}"/>
    <cellStyle name="1 11 4" xfId="87" xr:uid="{00000000-0005-0000-0000-00001B000000}"/>
    <cellStyle name="1 11 4 2" xfId="88" xr:uid="{00000000-0005-0000-0000-00001C000000}"/>
    <cellStyle name="1 11 5" xfId="89" xr:uid="{00000000-0005-0000-0000-00001D000000}"/>
    <cellStyle name="1 11 5 2" xfId="90" xr:uid="{00000000-0005-0000-0000-00001E000000}"/>
    <cellStyle name="1 11 6" xfId="91" xr:uid="{00000000-0005-0000-0000-00001F000000}"/>
    <cellStyle name="1 11 6 2" xfId="92" xr:uid="{00000000-0005-0000-0000-000020000000}"/>
    <cellStyle name="1 11 7" xfId="93" xr:uid="{00000000-0005-0000-0000-000021000000}"/>
    <cellStyle name="1 11 7 2" xfId="94" xr:uid="{00000000-0005-0000-0000-000022000000}"/>
    <cellStyle name="1 11 8" xfId="95" xr:uid="{00000000-0005-0000-0000-000023000000}"/>
    <cellStyle name="1 11 8 2" xfId="96" xr:uid="{00000000-0005-0000-0000-000024000000}"/>
    <cellStyle name="1 11 9" xfId="97" xr:uid="{00000000-0005-0000-0000-000025000000}"/>
    <cellStyle name="1 11 9 2" xfId="98" xr:uid="{00000000-0005-0000-0000-000026000000}"/>
    <cellStyle name="1 12" xfId="99" xr:uid="{00000000-0005-0000-0000-000027000000}"/>
    <cellStyle name="1 12 10" xfId="100" xr:uid="{00000000-0005-0000-0000-000028000000}"/>
    <cellStyle name="1 12 2" xfId="101" xr:uid="{00000000-0005-0000-0000-000029000000}"/>
    <cellStyle name="1 12 2 2" xfId="102" xr:uid="{00000000-0005-0000-0000-00002A000000}"/>
    <cellStyle name="1 12 3" xfId="103" xr:uid="{00000000-0005-0000-0000-00002B000000}"/>
    <cellStyle name="1 12 3 2" xfId="104" xr:uid="{00000000-0005-0000-0000-00002C000000}"/>
    <cellStyle name="1 12 4" xfId="105" xr:uid="{00000000-0005-0000-0000-00002D000000}"/>
    <cellStyle name="1 12 4 2" xfId="106" xr:uid="{00000000-0005-0000-0000-00002E000000}"/>
    <cellStyle name="1 12 5" xfId="107" xr:uid="{00000000-0005-0000-0000-00002F000000}"/>
    <cellStyle name="1 12 5 2" xfId="108" xr:uid="{00000000-0005-0000-0000-000030000000}"/>
    <cellStyle name="1 12 6" xfId="109" xr:uid="{00000000-0005-0000-0000-000031000000}"/>
    <cellStyle name="1 12 6 2" xfId="110" xr:uid="{00000000-0005-0000-0000-000032000000}"/>
    <cellStyle name="1 12 7" xfId="111" xr:uid="{00000000-0005-0000-0000-000033000000}"/>
    <cellStyle name="1 12 7 2" xfId="112" xr:uid="{00000000-0005-0000-0000-000034000000}"/>
    <cellStyle name="1 12 8" xfId="113" xr:uid="{00000000-0005-0000-0000-000035000000}"/>
    <cellStyle name="1 12 8 2" xfId="114" xr:uid="{00000000-0005-0000-0000-000036000000}"/>
    <cellStyle name="1 12 9" xfId="115" xr:uid="{00000000-0005-0000-0000-000037000000}"/>
    <cellStyle name="1 12 9 2" xfId="116" xr:uid="{00000000-0005-0000-0000-000038000000}"/>
    <cellStyle name="1 13" xfId="117" xr:uid="{00000000-0005-0000-0000-000039000000}"/>
    <cellStyle name="1 13 10" xfId="118" xr:uid="{00000000-0005-0000-0000-00003A000000}"/>
    <cellStyle name="1 13 2" xfId="119" xr:uid="{00000000-0005-0000-0000-00003B000000}"/>
    <cellStyle name="1 13 2 2" xfId="120" xr:uid="{00000000-0005-0000-0000-00003C000000}"/>
    <cellStyle name="1 13 3" xfId="121" xr:uid="{00000000-0005-0000-0000-00003D000000}"/>
    <cellStyle name="1 13 3 2" xfId="122" xr:uid="{00000000-0005-0000-0000-00003E000000}"/>
    <cellStyle name="1 13 4" xfId="123" xr:uid="{00000000-0005-0000-0000-00003F000000}"/>
    <cellStyle name="1 13 4 2" xfId="124" xr:uid="{00000000-0005-0000-0000-000040000000}"/>
    <cellStyle name="1 13 5" xfId="125" xr:uid="{00000000-0005-0000-0000-000041000000}"/>
    <cellStyle name="1 13 5 2" xfId="126" xr:uid="{00000000-0005-0000-0000-000042000000}"/>
    <cellStyle name="1 13 6" xfId="127" xr:uid="{00000000-0005-0000-0000-000043000000}"/>
    <cellStyle name="1 13 6 2" xfId="128" xr:uid="{00000000-0005-0000-0000-000044000000}"/>
    <cellStyle name="1 13 7" xfId="129" xr:uid="{00000000-0005-0000-0000-000045000000}"/>
    <cellStyle name="1 13 7 2" xfId="130" xr:uid="{00000000-0005-0000-0000-000046000000}"/>
    <cellStyle name="1 13 8" xfId="131" xr:uid="{00000000-0005-0000-0000-000047000000}"/>
    <cellStyle name="1 13 8 2" xfId="132" xr:uid="{00000000-0005-0000-0000-000048000000}"/>
    <cellStyle name="1 13 9" xfId="133" xr:uid="{00000000-0005-0000-0000-000049000000}"/>
    <cellStyle name="1 13 9 2" xfId="134" xr:uid="{00000000-0005-0000-0000-00004A000000}"/>
    <cellStyle name="1 14" xfId="135" xr:uid="{00000000-0005-0000-0000-00004B000000}"/>
    <cellStyle name="1 14 10" xfId="136" xr:uid="{00000000-0005-0000-0000-00004C000000}"/>
    <cellStyle name="1 14 2" xfId="137" xr:uid="{00000000-0005-0000-0000-00004D000000}"/>
    <cellStyle name="1 14 2 2" xfId="138" xr:uid="{00000000-0005-0000-0000-00004E000000}"/>
    <cellStyle name="1 14 3" xfId="139" xr:uid="{00000000-0005-0000-0000-00004F000000}"/>
    <cellStyle name="1 14 3 2" xfId="140" xr:uid="{00000000-0005-0000-0000-000050000000}"/>
    <cellStyle name="1 14 4" xfId="141" xr:uid="{00000000-0005-0000-0000-000051000000}"/>
    <cellStyle name="1 14 4 2" xfId="142" xr:uid="{00000000-0005-0000-0000-000052000000}"/>
    <cellStyle name="1 14 5" xfId="143" xr:uid="{00000000-0005-0000-0000-000053000000}"/>
    <cellStyle name="1 14 5 2" xfId="144" xr:uid="{00000000-0005-0000-0000-000054000000}"/>
    <cellStyle name="1 14 6" xfId="145" xr:uid="{00000000-0005-0000-0000-000055000000}"/>
    <cellStyle name="1 14 6 2" xfId="146" xr:uid="{00000000-0005-0000-0000-000056000000}"/>
    <cellStyle name="1 14 7" xfId="147" xr:uid="{00000000-0005-0000-0000-000057000000}"/>
    <cellStyle name="1 14 7 2" xfId="148" xr:uid="{00000000-0005-0000-0000-000058000000}"/>
    <cellStyle name="1 14 8" xfId="149" xr:uid="{00000000-0005-0000-0000-000059000000}"/>
    <cellStyle name="1 14 8 2" xfId="150" xr:uid="{00000000-0005-0000-0000-00005A000000}"/>
    <cellStyle name="1 14 9" xfId="151" xr:uid="{00000000-0005-0000-0000-00005B000000}"/>
    <cellStyle name="1 14 9 2" xfId="152" xr:uid="{00000000-0005-0000-0000-00005C000000}"/>
    <cellStyle name="1 15" xfId="153" xr:uid="{00000000-0005-0000-0000-00005D000000}"/>
    <cellStyle name="1 15 10" xfId="154" xr:uid="{00000000-0005-0000-0000-00005E000000}"/>
    <cellStyle name="1 15 2" xfId="155" xr:uid="{00000000-0005-0000-0000-00005F000000}"/>
    <cellStyle name="1 15 2 2" xfId="156" xr:uid="{00000000-0005-0000-0000-000060000000}"/>
    <cellStyle name="1 15 3" xfId="157" xr:uid="{00000000-0005-0000-0000-000061000000}"/>
    <cellStyle name="1 15 3 2" xfId="158" xr:uid="{00000000-0005-0000-0000-000062000000}"/>
    <cellStyle name="1 15 4" xfId="159" xr:uid="{00000000-0005-0000-0000-000063000000}"/>
    <cellStyle name="1 15 4 2" xfId="160" xr:uid="{00000000-0005-0000-0000-000064000000}"/>
    <cellStyle name="1 15 5" xfId="161" xr:uid="{00000000-0005-0000-0000-000065000000}"/>
    <cellStyle name="1 15 5 2" xfId="162" xr:uid="{00000000-0005-0000-0000-000066000000}"/>
    <cellStyle name="1 15 6" xfId="163" xr:uid="{00000000-0005-0000-0000-000067000000}"/>
    <cellStyle name="1 15 6 2" xfId="164" xr:uid="{00000000-0005-0000-0000-000068000000}"/>
    <cellStyle name="1 15 7" xfId="165" xr:uid="{00000000-0005-0000-0000-000069000000}"/>
    <cellStyle name="1 15 7 2" xfId="166" xr:uid="{00000000-0005-0000-0000-00006A000000}"/>
    <cellStyle name="1 15 8" xfId="167" xr:uid="{00000000-0005-0000-0000-00006B000000}"/>
    <cellStyle name="1 15 8 2" xfId="168" xr:uid="{00000000-0005-0000-0000-00006C000000}"/>
    <cellStyle name="1 15 9" xfId="169" xr:uid="{00000000-0005-0000-0000-00006D000000}"/>
    <cellStyle name="1 15 9 2" xfId="170" xr:uid="{00000000-0005-0000-0000-00006E000000}"/>
    <cellStyle name="1 16" xfId="171" xr:uid="{00000000-0005-0000-0000-00006F000000}"/>
    <cellStyle name="1 16 10" xfId="172" xr:uid="{00000000-0005-0000-0000-000070000000}"/>
    <cellStyle name="1 16 2" xfId="173" xr:uid="{00000000-0005-0000-0000-000071000000}"/>
    <cellStyle name="1 16 2 2" xfId="174" xr:uid="{00000000-0005-0000-0000-000072000000}"/>
    <cellStyle name="1 16 3" xfId="175" xr:uid="{00000000-0005-0000-0000-000073000000}"/>
    <cellStyle name="1 16 3 2" xfId="176" xr:uid="{00000000-0005-0000-0000-000074000000}"/>
    <cellStyle name="1 16 4" xfId="177" xr:uid="{00000000-0005-0000-0000-000075000000}"/>
    <cellStyle name="1 16 4 2" xfId="178" xr:uid="{00000000-0005-0000-0000-000076000000}"/>
    <cellStyle name="1 16 5" xfId="179" xr:uid="{00000000-0005-0000-0000-000077000000}"/>
    <cellStyle name="1 16 5 2" xfId="180" xr:uid="{00000000-0005-0000-0000-000078000000}"/>
    <cellStyle name="1 16 6" xfId="181" xr:uid="{00000000-0005-0000-0000-000079000000}"/>
    <cellStyle name="1 16 6 2" xfId="182" xr:uid="{00000000-0005-0000-0000-00007A000000}"/>
    <cellStyle name="1 16 7" xfId="183" xr:uid="{00000000-0005-0000-0000-00007B000000}"/>
    <cellStyle name="1 16 7 2" xfId="184" xr:uid="{00000000-0005-0000-0000-00007C000000}"/>
    <cellStyle name="1 16 8" xfId="185" xr:uid="{00000000-0005-0000-0000-00007D000000}"/>
    <cellStyle name="1 16 8 2" xfId="186" xr:uid="{00000000-0005-0000-0000-00007E000000}"/>
    <cellStyle name="1 16 9" xfId="187" xr:uid="{00000000-0005-0000-0000-00007F000000}"/>
    <cellStyle name="1 16 9 2" xfId="188" xr:uid="{00000000-0005-0000-0000-000080000000}"/>
    <cellStyle name="1 17" xfId="189" xr:uid="{00000000-0005-0000-0000-000081000000}"/>
    <cellStyle name="1 17 10" xfId="190" xr:uid="{00000000-0005-0000-0000-000082000000}"/>
    <cellStyle name="1 17 2" xfId="191" xr:uid="{00000000-0005-0000-0000-000083000000}"/>
    <cellStyle name="1 17 2 2" xfId="192" xr:uid="{00000000-0005-0000-0000-000084000000}"/>
    <cellStyle name="1 17 3" xfId="193" xr:uid="{00000000-0005-0000-0000-000085000000}"/>
    <cellStyle name="1 17 3 2" xfId="194" xr:uid="{00000000-0005-0000-0000-000086000000}"/>
    <cellStyle name="1 17 4" xfId="195" xr:uid="{00000000-0005-0000-0000-000087000000}"/>
    <cellStyle name="1 17 4 2" xfId="196" xr:uid="{00000000-0005-0000-0000-000088000000}"/>
    <cellStyle name="1 17 5" xfId="197" xr:uid="{00000000-0005-0000-0000-000089000000}"/>
    <cellStyle name="1 17 5 2" xfId="198" xr:uid="{00000000-0005-0000-0000-00008A000000}"/>
    <cellStyle name="1 17 6" xfId="199" xr:uid="{00000000-0005-0000-0000-00008B000000}"/>
    <cellStyle name="1 17 6 2" xfId="200" xr:uid="{00000000-0005-0000-0000-00008C000000}"/>
    <cellStyle name="1 17 7" xfId="201" xr:uid="{00000000-0005-0000-0000-00008D000000}"/>
    <cellStyle name="1 17 7 2" xfId="202" xr:uid="{00000000-0005-0000-0000-00008E000000}"/>
    <cellStyle name="1 17 8" xfId="203" xr:uid="{00000000-0005-0000-0000-00008F000000}"/>
    <cellStyle name="1 17 8 2" xfId="204" xr:uid="{00000000-0005-0000-0000-000090000000}"/>
    <cellStyle name="1 17 9" xfId="205" xr:uid="{00000000-0005-0000-0000-000091000000}"/>
    <cellStyle name="1 17 9 2" xfId="206" xr:uid="{00000000-0005-0000-0000-000092000000}"/>
    <cellStyle name="1 18" xfId="207" xr:uid="{00000000-0005-0000-0000-000093000000}"/>
    <cellStyle name="1 18 10" xfId="208" xr:uid="{00000000-0005-0000-0000-000094000000}"/>
    <cellStyle name="1 18 2" xfId="209" xr:uid="{00000000-0005-0000-0000-000095000000}"/>
    <cellStyle name="1 18 2 2" xfId="210" xr:uid="{00000000-0005-0000-0000-000096000000}"/>
    <cellStyle name="1 18 3" xfId="211" xr:uid="{00000000-0005-0000-0000-000097000000}"/>
    <cellStyle name="1 18 3 2" xfId="212" xr:uid="{00000000-0005-0000-0000-000098000000}"/>
    <cellStyle name="1 18 4" xfId="213" xr:uid="{00000000-0005-0000-0000-000099000000}"/>
    <cellStyle name="1 18 4 2" xfId="214" xr:uid="{00000000-0005-0000-0000-00009A000000}"/>
    <cellStyle name="1 18 5" xfId="215" xr:uid="{00000000-0005-0000-0000-00009B000000}"/>
    <cellStyle name="1 18 5 2" xfId="216" xr:uid="{00000000-0005-0000-0000-00009C000000}"/>
    <cellStyle name="1 18 6" xfId="217" xr:uid="{00000000-0005-0000-0000-00009D000000}"/>
    <cellStyle name="1 18 6 2" xfId="218" xr:uid="{00000000-0005-0000-0000-00009E000000}"/>
    <cellStyle name="1 18 7" xfId="219" xr:uid="{00000000-0005-0000-0000-00009F000000}"/>
    <cellStyle name="1 18 7 2" xfId="220" xr:uid="{00000000-0005-0000-0000-0000A0000000}"/>
    <cellStyle name="1 18 8" xfId="221" xr:uid="{00000000-0005-0000-0000-0000A1000000}"/>
    <cellStyle name="1 18 8 2" xfId="222" xr:uid="{00000000-0005-0000-0000-0000A2000000}"/>
    <cellStyle name="1 18 9" xfId="223" xr:uid="{00000000-0005-0000-0000-0000A3000000}"/>
    <cellStyle name="1 18 9 2" xfId="224" xr:uid="{00000000-0005-0000-0000-0000A4000000}"/>
    <cellStyle name="1 19" xfId="225" xr:uid="{00000000-0005-0000-0000-0000A5000000}"/>
    <cellStyle name="1 19 10" xfId="226" xr:uid="{00000000-0005-0000-0000-0000A6000000}"/>
    <cellStyle name="1 19 2" xfId="227" xr:uid="{00000000-0005-0000-0000-0000A7000000}"/>
    <cellStyle name="1 19 2 2" xfId="228" xr:uid="{00000000-0005-0000-0000-0000A8000000}"/>
    <cellStyle name="1 19 3" xfId="229" xr:uid="{00000000-0005-0000-0000-0000A9000000}"/>
    <cellStyle name="1 19 3 2" xfId="230" xr:uid="{00000000-0005-0000-0000-0000AA000000}"/>
    <cellStyle name="1 19 4" xfId="231" xr:uid="{00000000-0005-0000-0000-0000AB000000}"/>
    <cellStyle name="1 19 4 2" xfId="232" xr:uid="{00000000-0005-0000-0000-0000AC000000}"/>
    <cellStyle name="1 19 5" xfId="233" xr:uid="{00000000-0005-0000-0000-0000AD000000}"/>
    <cellStyle name="1 19 5 2" xfId="234" xr:uid="{00000000-0005-0000-0000-0000AE000000}"/>
    <cellStyle name="1 19 6" xfId="235" xr:uid="{00000000-0005-0000-0000-0000AF000000}"/>
    <cellStyle name="1 19 6 2" xfId="236" xr:uid="{00000000-0005-0000-0000-0000B0000000}"/>
    <cellStyle name="1 19 7" xfId="237" xr:uid="{00000000-0005-0000-0000-0000B1000000}"/>
    <cellStyle name="1 19 7 2" xfId="238" xr:uid="{00000000-0005-0000-0000-0000B2000000}"/>
    <cellStyle name="1 19 8" xfId="239" xr:uid="{00000000-0005-0000-0000-0000B3000000}"/>
    <cellStyle name="1 19 8 2" xfId="240" xr:uid="{00000000-0005-0000-0000-0000B4000000}"/>
    <cellStyle name="1 19 9" xfId="241" xr:uid="{00000000-0005-0000-0000-0000B5000000}"/>
    <cellStyle name="1 19 9 2" xfId="242" xr:uid="{00000000-0005-0000-0000-0000B6000000}"/>
    <cellStyle name="1 2" xfId="243" xr:uid="{00000000-0005-0000-0000-0000B7000000}"/>
    <cellStyle name="1 2 10" xfId="244" xr:uid="{00000000-0005-0000-0000-0000B8000000}"/>
    <cellStyle name="1 2 2" xfId="245" xr:uid="{00000000-0005-0000-0000-0000B9000000}"/>
    <cellStyle name="1 2 2 2" xfId="246" xr:uid="{00000000-0005-0000-0000-0000BA000000}"/>
    <cellStyle name="1 2 3" xfId="247" xr:uid="{00000000-0005-0000-0000-0000BB000000}"/>
    <cellStyle name="1 2 3 2" xfId="248" xr:uid="{00000000-0005-0000-0000-0000BC000000}"/>
    <cellStyle name="1 2 4" xfId="249" xr:uid="{00000000-0005-0000-0000-0000BD000000}"/>
    <cellStyle name="1 2 4 2" xfId="250" xr:uid="{00000000-0005-0000-0000-0000BE000000}"/>
    <cellStyle name="1 2 5" xfId="251" xr:uid="{00000000-0005-0000-0000-0000BF000000}"/>
    <cellStyle name="1 2 5 2" xfId="252" xr:uid="{00000000-0005-0000-0000-0000C0000000}"/>
    <cellStyle name="1 2 6" xfId="253" xr:uid="{00000000-0005-0000-0000-0000C1000000}"/>
    <cellStyle name="1 2 6 2" xfId="254" xr:uid="{00000000-0005-0000-0000-0000C2000000}"/>
    <cellStyle name="1 2 7" xfId="255" xr:uid="{00000000-0005-0000-0000-0000C3000000}"/>
    <cellStyle name="1 2 7 2" xfId="256" xr:uid="{00000000-0005-0000-0000-0000C4000000}"/>
    <cellStyle name="1 2 8" xfId="257" xr:uid="{00000000-0005-0000-0000-0000C5000000}"/>
    <cellStyle name="1 2 8 2" xfId="258" xr:uid="{00000000-0005-0000-0000-0000C6000000}"/>
    <cellStyle name="1 2 9" xfId="259" xr:uid="{00000000-0005-0000-0000-0000C7000000}"/>
    <cellStyle name="1 2 9 2" xfId="260" xr:uid="{00000000-0005-0000-0000-0000C8000000}"/>
    <cellStyle name="1 20" xfId="261" xr:uid="{00000000-0005-0000-0000-0000C9000000}"/>
    <cellStyle name="1 20 10" xfId="262" xr:uid="{00000000-0005-0000-0000-0000CA000000}"/>
    <cellStyle name="1 20 2" xfId="263" xr:uid="{00000000-0005-0000-0000-0000CB000000}"/>
    <cellStyle name="1 20 2 2" xfId="264" xr:uid="{00000000-0005-0000-0000-0000CC000000}"/>
    <cellStyle name="1 20 3" xfId="265" xr:uid="{00000000-0005-0000-0000-0000CD000000}"/>
    <cellStyle name="1 20 3 2" xfId="266" xr:uid="{00000000-0005-0000-0000-0000CE000000}"/>
    <cellStyle name="1 20 4" xfId="267" xr:uid="{00000000-0005-0000-0000-0000CF000000}"/>
    <cellStyle name="1 20 4 2" xfId="268" xr:uid="{00000000-0005-0000-0000-0000D0000000}"/>
    <cellStyle name="1 20 5" xfId="269" xr:uid="{00000000-0005-0000-0000-0000D1000000}"/>
    <cellStyle name="1 20 5 2" xfId="270" xr:uid="{00000000-0005-0000-0000-0000D2000000}"/>
    <cellStyle name="1 20 6" xfId="271" xr:uid="{00000000-0005-0000-0000-0000D3000000}"/>
    <cellStyle name="1 20 6 2" xfId="272" xr:uid="{00000000-0005-0000-0000-0000D4000000}"/>
    <cellStyle name="1 20 7" xfId="273" xr:uid="{00000000-0005-0000-0000-0000D5000000}"/>
    <cellStyle name="1 20 7 2" xfId="274" xr:uid="{00000000-0005-0000-0000-0000D6000000}"/>
    <cellStyle name="1 20 8" xfId="275" xr:uid="{00000000-0005-0000-0000-0000D7000000}"/>
    <cellStyle name="1 20 8 2" xfId="276" xr:uid="{00000000-0005-0000-0000-0000D8000000}"/>
    <cellStyle name="1 20 9" xfId="277" xr:uid="{00000000-0005-0000-0000-0000D9000000}"/>
    <cellStyle name="1 20 9 2" xfId="278" xr:uid="{00000000-0005-0000-0000-0000DA000000}"/>
    <cellStyle name="1 21" xfId="279" xr:uid="{00000000-0005-0000-0000-0000DB000000}"/>
    <cellStyle name="1 21 10" xfId="280" xr:uid="{00000000-0005-0000-0000-0000DC000000}"/>
    <cellStyle name="1 21 2" xfId="281" xr:uid="{00000000-0005-0000-0000-0000DD000000}"/>
    <cellStyle name="1 21 2 2" xfId="282" xr:uid="{00000000-0005-0000-0000-0000DE000000}"/>
    <cellStyle name="1 21 3" xfId="283" xr:uid="{00000000-0005-0000-0000-0000DF000000}"/>
    <cellStyle name="1 21 3 2" xfId="284" xr:uid="{00000000-0005-0000-0000-0000E0000000}"/>
    <cellStyle name="1 21 4" xfId="285" xr:uid="{00000000-0005-0000-0000-0000E1000000}"/>
    <cellStyle name="1 21 4 2" xfId="286" xr:uid="{00000000-0005-0000-0000-0000E2000000}"/>
    <cellStyle name="1 21 5" xfId="287" xr:uid="{00000000-0005-0000-0000-0000E3000000}"/>
    <cellStyle name="1 21 5 2" xfId="288" xr:uid="{00000000-0005-0000-0000-0000E4000000}"/>
    <cellStyle name="1 21 6" xfId="289" xr:uid="{00000000-0005-0000-0000-0000E5000000}"/>
    <cellStyle name="1 21 6 2" xfId="290" xr:uid="{00000000-0005-0000-0000-0000E6000000}"/>
    <cellStyle name="1 21 7" xfId="291" xr:uid="{00000000-0005-0000-0000-0000E7000000}"/>
    <cellStyle name="1 21 7 2" xfId="292" xr:uid="{00000000-0005-0000-0000-0000E8000000}"/>
    <cellStyle name="1 21 8" xfId="293" xr:uid="{00000000-0005-0000-0000-0000E9000000}"/>
    <cellStyle name="1 21 8 2" xfId="294" xr:uid="{00000000-0005-0000-0000-0000EA000000}"/>
    <cellStyle name="1 21 9" xfId="295" xr:uid="{00000000-0005-0000-0000-0000EB000000}"/>
    <cellStyle name="1 21 9 2" xfId="296" xr:uid="{00000000-0005-0000-0000-0000EC000000}"/>
    <cellStyle name="1 22" xfId="297" xr:uid="{00000000-0005-0000-0000-0000ED000000}"/>
    <cellStyle name="1 22 10" xfId="298" xr:uid="{00000000-0005-0000-0000-0000EE000000}"/>
    <cellStyle name="1 22 2" xfId="299" xr:uid="{00000000-0005-0000-0000-0000EF000000}"/>
    <cellStyle name="1 22 2 2" xfId="300" xr:uid="{00000000-0005-0000-0000-0000F0000000}"/>
    <cellStyle name="1 22 3" xfId="301" xr:uid="{00000000-0005-0000-0000-0000F1000000}"/>
    <cellStyle name="1 22 3 2" xfId="302" xr:uid="{00000000-0005-0000-0000-0000F2000000}"/>
    <cellStyle name="1 22 4" xfId="303" xr:uid="{00000000-0005-0000-0000-0000F3000000}"/>
    <cellStyle name="1 22 4 2" xfId="304" xr:uid="{00000000-0005-0000-0000-0000F4000000}"/>
    <cellStyle name="1 22 5" xfId="305" xr:uid="{00000000-0005-0000-0000-0000F5000000}"/>
    <cellStyle name="1 22 5 2" xfId="306" xr:uid="{00000000-0005-0000-0000-0000F6000000}"/>
    <cellStyle name="1 22 6" xfId="307" xr:uid="{00000000-0005-0000-0000-0000F7000000}"/>
    <cellStyle name="1 22 6 2" xfId="308" xr:uid="{00000000-0005-0000-0000-0000F8000000}"/>
    <cellStyle name="1 22 7" xfId="309" xr:uid="{00000000-0005-0000-0000-0000F9000000}"/>
    <cellStyle name="1 22 7 2" xfId="310" xr:uid="{00000000-0005-0000-0000-0000FA000000}"/>
    <cellStyle name="1 22 8" xfId="311" xr:uid="{00000000-0005-0000-0000-0000FB000000}"/>
    <cellStyle name="1 22 8 2" xfId="312" xr:uid="{00000000-0005-0000-0000-0000FC000000}"/>
    <cellStyle name="1 22 9" xfId="313" xr:uid="{00000000-0005-0000-0000-0000FD000000}"/>
    <cellStyle name="1 22 9 2" xfId="314" xr:uid="{00000000-0005-0000-0000-0000FE000000}"/>
    <cellStyle name="1 23" xfId="315" xr:uid="{00000000-0005-0000-0000-0000FF000000}"/>
    <cellStyle name="1 23 10" xfId="316" xr:uid="{00000000-0005-0000-0000-000000010000}"/>
    <cellStyle name="1 23 2" xfId="317" xr:uid="{00000000-0005-0000-0000-000001010000}"/>
    <cellStyle name="1 23 2 2" xfId="318" xr:uid="{00000000-0005-0000-0000-000002010000}"/>
    <cellStyle name="1 23 3" xfId="319" xr:uid="{00000000-0005-0000-0000-000003010000}"/>
    <cellStyle name="1 23 3 2" xfId="320" xr:uid="{00000000-0005-0000-0000-000004010000}"/>
    <cellStyle name="1 23 4" xfId="321" xr:uid="{00000000-0005-0000-0000-000005010000}"/>
    <cellStyle name="1 23 4 2" xfId="322" xr:uid="{00000000-0005-0000-0000-000006010000}"/>
    <cellStyle name="1 23 5" xfId="323" xr:uid="{00000000-0005-0000-0000-000007010000}"/>
    <cellStyle name="1 23 5 2" xfId="324" xr:uid="{00000000-0005-0000-0000-000008010000}"/>
    <cellStyle name="1 23 6" xfId="325" xr:uid="{00000000-0005-0000-0000-000009010000}"/>
    <cellStyle name="1 23 6 2" xfId="326" xr:uid="{00000000-0005-0000-0000-00000A010000}"/>
    <cellStyle name="1 23 7" xfId="327" xr:uid="{00000000-0005-0000-0000-00000B010000}"/>
    <cellStyle name="1 23 7 2" xfId="328" xr:uid="{00000000-0005-0000-0000-00000C010000}"/>
    <cellStyle name="1 23 8" xfId="329" xr:uid="{00000000-0005-0000-0000-00000D010000}"/>
    <cellStyle name="1 23 8 2" xfId="330" xr:uid="{00000000-0005-0000-0000-00000E010000}"/>
    <cellStyle name="1 23 9" xfId="331" xr:uid="{00000000-0005-0000-0000-00000F010000}"/>
    <cellStyle name="1 23 9 2" xfId="332" xr:uid="{00000000-0005-0000-0000-000010010000}"/>
    <cellStyle name="1 24" xfId="333" xr:uid="{00000000-0005-0000-0000-000011010000}"/>
    <cellStyle name="1 24 10" xfId="334" xr:uid="{00000000-0005-0000-0000-000012010000}"/>
    <cellStyle name="1 24 2" xfId="335" xr:uid="{00000000-0005-0000-0000-000013010000}"/>
    <cellStyle name="1 24 2 2" xfId="336" xr:uid="{00000000-0005-0000-0000-000014010000}"/>
    <cellStyle name="1 24 3" xfId="337" xr:uid="{00000000-0005-0000-0000-000015010000}"/>
    <cellStyle name="1 24 3 2" xfId="338" xr:uid="{00000000-0005-0000-0000-000016010000}"/>
    <cellStyle name="1 24 4" xfId="339" xr:uid="{00000000-0005-0000-0000-000017010000}"/>
    <cellStyle name="1 24 4 2" xfId="340" xr:uid="{00000000-0005-0000-0000-000018010000}"/>
    <cellStyle name="1 24 5" xfId="341" xr:uid="{00000000-0005-0000-0000-000019010000}"/>
    <cellStyle name="1 24 5 2" xfId="342" xr:uid="{00000000-0005-0000-0000-00001A010000}"/>
    <cellStyle name="1 24 6" xfId="343" xr:uid="{00000000-0005-0000-0000-00001B010000}"/>
    <cellStyle name="1 24 6 2" xfId="344" xr:uid="{00000000-0005-0000-0000-00001C010000}"/>
    <cellStyle name="1 24 7" xfId="345" xr:uid="{00000000-0005-0000-0000-00001D010000}"/>
    <cellStyle name="1 24 7 2" xfId="346" xr:uid="{00000000-0005-0000-0000-00001E010000}"/>
    <cellStyle name="1 24 8" xfId="347" xr:uid="{00000000-0005-0000-0000-00001F010000}"/>
    <cellStyle name="1 24 8 2" xfId="348" xr:uid="{00000000-0005-0000-0000-000020010000}"/>
    <cellStyle name="1 24 9" xfId="349" xr:uid="{00000000-0005-0000-0000-000021010000}"/>
    <cellStyle name="1 24 9 2" xfId="350" xr:uid="{00000000-0005-0000-0000-000022010000}"/>
    <cellStyle name="1 25" xfId="351" xr:uid="{00000000-0005-0000-0000-000023010000}"/>
    <cellStyle name="1 25 10" xfId="352" xr:uid="{00000000-0005-0000-0000-000024010000}"/>
    <cellStyle name="1 25 2" xfId="353" xr:uid="{00000000-0005-0000-0000-000025010000}"/>
    <cellStyle name="1 25 2 2" xfId="354" xr:uid="{00000000-0005-0000-0000-000026010000}"/>
    <cellStyle name="1 25 3" xfId="355" xr:uid="{00000000-0005-0000-0000-000027010000}"/>
    <cellStyle name="1 25 3 2" xfId="356" xr:uid="{00000000-0005-0000-0000-000028010000}"/>
    <cellStyle name="1 25 4" xfId="357" xr:uid="{00000000-0005-0000-0000-000029010000}"/>
    <cellStyle name="1 25 4 2" xfId="358" xr:uid="{00000000-0005-0000-0000-00002A010000}"/>
    <cellStyle name="1 25 5" xfId="359" xr:uid="{00000000-0005-0000-0000-00002B010000}"/>
    <cellStyle name="1 25 5 2" xfId="360" xr:uid="{00000000-0005-0000-0000-00002C010000}"/>
    <cellStyle name="1 25 6" xfId="361" xr:uid="{00000000-0005-0000-0000-00002D010000}"/>
    <cellStyle name="1 25 6 2" xfId="362" xr:uid="{00000000-0005-0000-0000-00002E010000}"/>
    <cellStyle name="1 25 7" xfId="363" xr:uid="{00000000-0005-0000-0000-00002F010000}"/>
    <cellStyle name="1 25 7 2" xfId="364" xr:uid="{00000000-0005-0000-0000-000030010000}"/>
    <cellStyle name="1 25 8" xfId="365" xr:uid="{00000000-0005-0000-0000-000031010000}"/>
    <cellStyle name="1 25 8 2" xfId="366" xr:uid="{00000000-0005-0000-0000-000032010000}"/>
    <cellStyle name="1 25 9" xfId="367" xr:uid="{00000000-0005-0000-0000-000033010000}"/>
    <cellStyle name="1 25 9 2" xfId="368" xr:uid="{00000000-0005-0000-0000-000034010000}"/>
    <cellStyle name="1 26" xfId="369" xr:uid="{00000000-0005-0000-0000-000035010000}"/>
    <cellStyle name="1 26 10" xfId="370" xr:uid="{00000000-0005-0000-0000-000036010000}"/>
    <cellStyle name="1 26 2" xfId="371" xr:uid="{00000000-0005-0000-0000-000037010000}"/>
    <cellStyle name="1 26 2 2" xfId="372" xr:uid="{00000000-0005-0000-0000-000038010000}"/>
    <cellStyle name="1 26 3" xfId="373" xr:uid="{00000000-0005-0000-0000-000039010000}"/>
    <cellStyle name="1 26 3 2" xfId="374" xr:uid="{00000000-0005-0000-0000-00003A010000}"/>
    <cellStyle name="1 26 4" xfId="375" xr:uid="{00000000-0005-0000-0000-00003B010000}"/>
    <cellStyle name="1 26 4 2" xfId="376" xr:uid="{00000000-0005-0000-0000-00003C010000}"/>
    <cellStyle name="1 26 5" xfId="377" xr:uid="{00000000-0005-0000-0000-00003D010000}"/>
    <cellStyle name="1 26 5 2" xfId="378" xr:uid="{00000000-0005-0000-0000-00003E010000}"/>
    <cellStyle name="1 26 6" xfId="379" xr:uid="{00000000-0005-0000-0000-00003F010000}"/>
    <cellStyle name="1 26 6 2" xfId="380" xr:uid="{00000000-0005-0000-0000-000040010000}"/>
    <cellStyle name="1 26 7" xfId="381" xr:uid="{00000000-0005-0000-0000-000041010000}"/>
    <cellStyle name="1 26 7 2" xfId="382" xr:uid="{00000000-0005-0000-0000-000042010000}"/>
    <cellStyle name="1 26 8" xfId="383" xr:uid="{00000000-0005-0000-0000-000043010000}"/>
    <cellStyle name="1 26 8 2" xfId="384" xr:uid="{00000000-0005-0000-0000-000044010000}"/>
    <cellStyle name="1 26 9" xfId="385" xr:uid="{00000000-0005-0000-0000-000045010000}"/>
    <cellStyle name="1 26 9 2" xfId="386" xr:uid="{00000000-0005-0000-0000-000046010000}"/>
    <cellStyle name="1 27" xfId="387" xr:uid="{00000000-0005-0000-0000-000047010000}"/>
    <cellStyle name="1 27 10" xfId="388" xr:uid="{00000000-0005-0000-0000-000048010000}"/>
    <cellStyle name="1 27 2" xfId="389" xr:uid="{00000000-0005-0000-0000-000049010000}"/>
    <cellStyle name="1 27 2 2" xfId="390" xr:uid="{00000000-0005-0000-0000-00004A010000}"/>
    <cellStyle name="1 27 3" xfId="391" xr:uid="{00000000-0005-0000-0000-00004B010000}"/>
    <cellStyle name="1 27 3 2" xfId="392" xr:uid="{00000000-0005-0000-0000-00004C010000}"/>
    <cellStyle name="1 27 4" xfId="393" xr:uid="{00000000-0005-0000-0000-00004D010000}"/>
    <cellStyle name="1 27 4 2" xfId="394" xr:uid="{00000000-0005-0000-0000-00004E010000}"/>
    <cellStyle name="1 27 5" xfId="395" xr:uid="{00000000-0005-0000-0000-00004F010000}"/>
    <cellStyle name="1 27 5 2" xfId="396" xr:uid="{00000000-0005-0000-0000-000050010000}"/>
    <cellStyle name="1 27 6" xfId="397" xr:uid="{00000000-0005-0000-0000-000051010000}"/>
    <cellStyle name="1 27 6 2" xfId="398" xr:uid="{00000000-0005-0000-0000-000052010000}"/>
    <cellStyle name="1 27 7" xfId="399" xr:uid="{00000000-0005-0000-0000-000053010000}"/>
    <cellStyle name="1 27 7 2" xfId="400" xr:uid="{00000000-0005-0000-0000-000054010000}"/>
    <cellStyle name="1 27 8" xfId="401" xr:uid="{00000000-0005-0000-0000-000055010000}"/>
    <cellStyle name="1 27 8 2" xfId="402" xr:uid="{00000000-0005-0000-0000-000056010000}"/>
    <cellStyle name="1 27 9" xfId="403" xr:uid="{00000000-0005-0000-0000-000057010000}"/>
    <cellStyle name="1 27 9 2" xfId="404" xr:uid="{00000000-0005-0000-0000-000058010000}"/>
    <cellStyle name="1 28" xfId="405" xr:uid="{00000000-0005-0000-0000-000059010000}"/>
    <cellStyle name="1 28 10" xfId="406" xr:uid="{00000000-0005-0000-0000-00005A010000}"/>
    <cellStyle name="1 28 2" xfId="407" xr:uid="{00000000-0005-0000-0000-00005B010000}"/>
    <cellStyle name="1 28 2 2" xfId="408" xr:uid="{00000000-0005-0000-0000-00005C010000}"/>
    <cellStyle name="1 28 3" xfId="409" xr:uid="{00000000-0005-0000-0000-00005D010000}"/>
    <cellStyle name="1 28 3 2" xfId="410" xr:uid="{00000000-0005-0000-0000-00005E010000}"/>
    <cellStyle name="1 28 4" xfId="411" xr:uid="{00000000-0005-0000-0000-00005F010000}"/>
    <cellStyle name="1 28 4 2" xfId="412" xr:uid="{00000000-0005-0000-0000-000060010000}"/>
    <cellStyle name="1 28 5" xfId="413" xr:uid="{00000000-0005-0000-0000-000061010000}"/>
    <cellStyle name="1 28 5 2" xfId="414" xr:uid="{00000000-0005-0000-0000-000062010000}"/>
    <cellStyle name="1 28 6" xfId="415" xr:uid="{00000000-0005-0000-0000-000063010000}"/>
    <cellStyle name="1 28 6 2" xfId="416" xr:uid="{00000000-0005-0000-0000-000064010000}"/>
    <cellStyle name="1 28 7" xfId="417" xr:uid="{00000000-0005-0000-0000-000065010000}"/>
    <cellStyle name="1 28 7 2" xfId="418" xr:uid="{00000000-0005-0000-0000-000066010000}"/>
    <cellStyle name="1 28 8" xfId="419" xr:uid="{00000000-0005-0000-0000-000067010000}"/>
    <cellStyle name="1 28 8 2" xfId="420" xr:uid="{00000000-0005-0000-0000-000068010000}"/>
    <cellStyle name="1 28 9" xfId="421" xr:uid="{00000000-0005-0000-0000-000069010000}"/>
    <cellStyle name="1 28 9 2" xfId="422" xr:uid="{00000000-0005-0000-0000-00006A010000}"/>
    <cellStyle name="1 29" xfId="423" xr:uid="{00000000-0005-0000-0000-00006B010000}"/>
    <cellStyle name="1 29 10" xfId="424" xr:uid="{00000000-0005-0000-0000-00006C010000}"/>
    <cellStyle name="1 29 2" xfId="425" xr:uid="{00000000-0005-0000-0000-00006D010000}"/>
    <cellStyle name="1 29 2 2" xfId="426" xr:uid="{00000000-0005-0000-0000-00006E010000}"/>
    <cellStyle name="1 29 3" xfId="427" xr:uid="{00000000-0005-0000-0000-00006F010000}"/>
    <cellStyle name="1 29 3 2" xfId="428" xr:uid="{00000000-0005-0000-0000-000070010000}"/>
    <cellStyle name="1 29 4" xfId="429" xr:uid="{00000000-0005-0000-0000-000071010000}"/>
    <cellStyle name="1 29 4 2" xfId="430" xr:uid="{00000000-0005-0000-0000-000072010000}"/>
    <cellStyle name="1 29 5" xfId="431" xr:uid="{00000000-0005-0000-0000-000073010000}"/>
    <cellStyle name="1 29 5 2" xfId="432" xr:uid="{00000000-0005-0000-0000-000074010000}"/>
    <cellStyle name="1 29 6" xfId="433" xr:uid="{00000000-0005-0000-0000-000075010000}"/>
    <cellStyle name="1 29 6 2" xfId="434" xr:uid="{00000000-0005-0000-0000-000076010000}"/>
    <cellStyle name="1 29 7" xfId="435" xr:uid="{00000000-0005-0000-0000-000077010000}"/>
    <cellStyle name="1 29 7 2" xfId="436" xr:uid="{00000000-0005-0000-0000-000078010000}"/>
    <cellStyle name="1 29 8" xfId="437" xr:uid="{00000000-0005-0000-0000-000079010000}"/>
    <cellStyle name="1 29 8 2" xfId="438" xr:uid="{00000000-0005-0000-0000-00007A010000}"/>
    <cellStyle name="1 29 9" xfId="439" xr:uid="{00000000-0005-0000-0000-00007B010000}"/>
    <cellStyle name="1 29 9 2" xfId="440" xr:uid="{00000000-0005-0000-0000-00007C010000}"/>
    <cellStyle name="1 3" xfId="441" xr:uid="{00000000-0005-0000-0000-00007D010000}"/>
    <cellStyle name="1 3 10" xfId="442" xr:uid="{00000000-0005-0000-0000-00007E010000}"/>
    <cellStyle name="1 3 2" xfId="443" xr:uid="{00000000-0005-0000-0000-00007F010000}"/>
    <cellStyle name="1 3 2 2" xfId="444" xr:uid="{00000000-0005-0000-0000-000080010000}"/>
    <cellStyle name="1 3 3" xfId="445" xr:uid="{00000000-0005-0000-0000-000081010000}"/>
    <cellStyle name="1 3 3 2" xfId="446" xr:uid="{00000000-0005-0000-0000-000082010000}"/>
    <cellStyle name="1 3 4" xfId="447" xr:uid="{00000000-0005-0000-0000-000083010000}"/>
    <cellStyle name="1 3 4 2" xfId="448" xr:uid="{00000000-0005-0000-0000-000084010000}"/>
    <cellStyle name="1 3 5" xfId="449" xr:uid="{00000000-0005-0000-0000-000085010000}"/>
    <cellStyle name="1 3 5 2" xfId="450" xr:uid="{00000000-0005-0000-0000-000086010000}"/>
    <cellStyle name="1 3 6" xfId="451" xr:uid="{00000000-0005-0000-0000-000087010000}"/>
    <cellStyle name="1 3 6 2" xfId="452" xr:uid="{00000000-0005-0000-0000-000088010000}"/>
    <cellStyle name="1 3 7" xfId="453" xr:uid="{00000000-0005-0000-0000-000089010000}"/>
    <cellStyle name="1 3 7 2" xfId="454" xr:uid="{00000000-0005-0000-0000-00008A010000}"/>
    <cellStyle name="1 3 8" xfId="455" xr:uid="{00000000-0005-0000-0000-00008B010000}"/>
    <cellStyle name="1 3 8 2" xfId="456" xr:uid="{00000000-0005-0000-0000-00008C010000}"/>
    <cellStyle name="1 3 9" xfId="457" xr:uid="{00000000-0005-0000-0000-00008D010000}"/>
    <cellStyle name="1 3 9 2" xfId="458" xr:uid="{00000000-0005-0000-0000-00008E010000}"/>
    <cellStyle name="1 30" xfId="459" xr:uid="{00000000-0005-0000-0000-00008F010000}"/>
    <cellStyle name="1 30 10" xfId="460" xr:uid="{00000000-0005-0000-0000-000090010000}"/>
    <cellStyle name="1 30 2" xfId="461" xr:uid="{00000000-0005-0000-0000-000091010000}"/>
    <cellStyle name="1 30 2 2" xfId="462" xr:uid="{00000000-0005-0000-0000-000092010000}"/>
    <cellStyle name="1 30 3" xfId="463" xr:uid="{00000000-0005-0000-0000-000093010000}"/>
    <cellStyle name="1 30 3 2" xfId="464" xr:uid="{00000000-0005-0000-0000-000094010000}"/>
    <cellStyle name="1 30 4" xfId="465" xr:uid="{00000000-0005-0000-0000-000095010000}"/>
    <cellStyle name="1 30 4 2" xfId="466" xr:uid="{00000000-0005-0000-0000-000096010000}"/>
    <cellStyle name="1 30 5" xfId="467" xr:uid="{00000000-0005-0000-0000-000097010000}"/>
    <cellStyle name="1 30 5 2" xfId="468" xr:uid="{00000000-0005-0000-0000-000098010000}"/>
    <cellStyle name="1 30 6" xfId="469" xr:uid="{00000000-0005-0000-0000-000099010000}"/>
    <cellStyle name="1 30 6 2" xfId="470" xr:uid="{00000000-0005-0000-0000-00009A010000}"/>
    <cellStyle name="1 30 7" xfId="471" xr:uid="{00000000-0005-0000-0000-00009B010000}"/>
    <cellStyle name="1 30 7 2" xfId="472" xr:uid="{00000000-0005-0000-0000-00009C010000}"/>
    <cellStyle name="1 30 8" xfId="473" xr:uid="{00000000-0005-0000-0000-00009D010000}"/>
    <cellStyle name="1 30 8 2" xfId="474" xr:uid="{00000000-0005-0000-0000-00009E010000}"/>
    <cellStyle name="1 30 9" xfId="475" xr:uid="{00000000-0005-0000-0000-00009F010000}"/>
    <cellStyle name="1 30 9 2" xfId="476" xr:uid="{00000000-0005-0000-0000-0000A0010000}"/>
    <cellStyle name="1 31" xfId="477" xr:uid="{00000000-0005-0000-0000-0000A1010000}"/>
    <cellStyle name="1 31 10" xfId="478" xr:uid="{00000000-0005-0000-0000-0000A2010000}"/>
    <cellStyle name="1 31 2" xfId="479" xr:uid="{00000000-0005-0000-0000-0000A3010000}"/>
    <cellStyle name="1 31 2 2" xfId="480" xr:uid="{00000000-0005-0000-0000-0000A4010000}"/>
    <cellStyle name="1 31 3" xfId="481" xr:uid="{00000000-0005-0000-0000-0000A5010000}"/>
    <cellStyle name="1 31 3 2" xfId="482" xr:uid="{00000000-0005-0000-0000-0000A6010000}"/>
    <cellStyle name="1 31 4" xfId="483" xr:uid="{00000000-0005-0000-0000-0000A7010000}"/>
    <cellStyle name="1 31 4 2" xfId="484" xr:uid="{00000000-0005-0000-0000-0000A8010000}"/>
    <cellStyle name="1 31 5" xfId="485" xr:uid="{00000000-0005-0000-0000-0000A9010000}"/>
    <cellStyle name="1 31 5 2" xfId="486" xr:uid="{00000000-0005-0000-0000-0000AA010000}"/>
    <cellStyle name="1 31 6" xfId="487" xr:uid="{00000000-0005-0000-0000-0000AB010000}"/>
    <cellStyle name="1 31 6 2" xfId="488" xr:uid="{00000000-0005-0000-0000-0000AC010000}"/>
    <cellStyle name="1 31 7" xfId="489" xr:uid="{00000000-0005-0000-0000-0000AD010000}"/>
    <cellStyle name="1 31 7 2" xfId="490" xr:uid="{00000000-0005-0000-0000-0000AE010000}"/>
    <cellStyle name="1 31 8" xfId="491" xr:uid="{00000000-0005-0000-0000-0000AF010000}"/>
    <cellStyle name="1 31 8 2" xfId="492" xr:uid="{00000000-0005-0000-0000-0000B0010000}"/>
    <cellStyle name="1 31 9" xfId="493" xr:uid="{00000000-0005-0000-0000-0000B1010000}"/>
    <cellStyle name="1 31 9 2" xfId="494" xr:uid="{00000000-0005-0000-0000-0000B2010000}"/>
    <cellStyle name="1 32" xfId="495" xr:uid="{00000000-0005-0000-0000-0000B3010000}"/>
    <cellStyle name="1 32 10" xfId="496" xr:uid="{00000000-0005-0000-0000-0000B4010000}"/>
    <cellStyle name="1 32 2" xfId="497" xr:uid="{00000000-0005-0000-0000-0000B5010000}"/>
    <cellStyle name="1 32 2 2" xfId="498" xr:uid="{00000000-0005-0000-0000-0000B6010000}"/>
    <cellStyle name="1 32 3" xfId="499" xr:uid="{00000000-0005-0000-0000-0000B7010000}"/>
    <cellStyle name="1 32 3 2" xfId="500" xr:uid="{00000000-0005-0000-0000-0000B8010000}"/>
    <cellStyle name="1 32 4" xfId="501" xr:uid="{00000000-0005-0000-0000-0000B9010000}"/>
    <cellStyle name="1 32 4 2" xfId="502" xr:uid="{00000000-0005-0000-0000-0000BA010000}"/>
    <cellStyle name="1 32 5" xfId="503" xr:uid="{00000000-0005-0000-0000-0000BB010000}"/>
    <cellStyle name="1 32 5 2" xfId="504" xr:uid="{00000000-0005-0000-0000-0000BC010000}"/>
    <cellStyle name="1 32 6" xfId="505" xr:uid="{00000000-0005-0000-0000-0000BD010000}"/>
    <cellStyle name="1 32 6 2" xfId="506" xr:uid="{00000000-0005-0000-0000-0000BE010000}"/>
    <cellStyle name="1 32 7" xfId="507" xr:uid="{00000000-0005-0000-0000-0000BF010000}"/>
    <cellStyle name="1 32 7 2" xfId="508" xr:uid="{00000000-0005-0000-0000-0000C0010000}"/>
    <cellStyle name="1 32 8" xfId="509" xr:uid="{00000000-0005-0000-0000-0000C1010000}"/>
    <cellStyle name="1 32 8 2" xfId="510" xr:uid="{00000000-0005-0000-0000-0000C2010000}"/>
    <cellStyle name="1 32 9" xfId="511" xr:uid="{00000000-0005-0000-0000-0000C3010000}"/>
    <cellStyle name="1 32 9 2" xfId="512" xr:uid="{00000000-0005-0000-0000-0000C4010000}"/>
    <cellStyle name="1 33" xfId="513" xr:uid="{00000000-0005-0000-0000-0000C5010000}"/>
    <cellStyle name="1 33 10" xfId="514" xr:uid="{00000000-0005-0000-0000-0000C6010000}"/>
    <cellStyle name="1 33 2" xfId="515" xr:uid="{00000000-0005-0000-0000-0000C7010000}"/>
    <cellStyle name="1 33 2 2" xfId="516" xr:uid="{00000000-0005-0000-0000-0000C8010000}"/>
    <cellStyle name="1 33 3" xfId="517" xr:uid="{00000000-0005-0000-0000-0000C9010000}"/>
    <cellStyle name="1 33 3 2" xfId="518" xr:uid="{00000000-0005-0000-0000-0000CA010000}"/>
    <cellStyle name="1 33 4" xfId="519" xr:uid="{00000000-0005-0000-0000-0000CB010000}"/>
    <cellStyle name="1 33 4 2" xfId="520" xr:uid="{00000000-0005-0000-0000-0000CC010000}"/>
    <cellStyle name="1 33 5" xfId="521" xr:uid="{00000000-0005-0000-0000-0000CD010000}"/>
    <cellStyle name="1 33 5 2" xfId="522" xr:uid="{00000000-0005-0000-0000-0000CE010000}"/>
    <cellStyle name="1 33 6" xfId="523" xr:uid="{00000000-0005-0000-0000-0000CF010000}"/>
    <cellStyle name="1 33 6 2" xfId="524" xr:uid="{00000000-0005-0000-0000-0000D0010000}"/>
    <cellStyle name="1 33 7" xfId="525" xr:uid="{00000000-0005-0000-0000-0000D1010000}"/>
    <cellStyle name="1 33 7 2" xfId="526" xr:uid="{00000000-0005-0000-0000-0000D2010000}"/>
    <cellStyle name="1 33 8" xfId="527" xr:uid="{00000000-0005-0000-0000-0000D3010000}"/>
    <cellStyle name="1 33 8 2" xfId="528" xr:uid="{00000000-0005-0000-0000-0000D4010000}"/>
    <cellStyle name="1 33 9" xfId="529" xr:uid="{00000000-0005-0000-0000-0000D5010000}"/>
    <cellStyle name="1 33 9 2" xfId="530" xr:uid="{00000000-0005-0000-0000-0000D6010000}"/>
    <cellStyle name="1 34" xfId="531" xr:uid="{00000000-0005-0000-0000-0000D7010000}"/>
    <cellStyle name="1 34 10" xfId="532" xr:uid="{00000000-0005-0000-0000-0000D8010000}"/>
    <cellStyle name="1 34 2" xfId="533" xr:uid="{00000000-0005-0000-0000-0000D9010000}"/>
    <cellStyle name="1 34 2 2" xfId="534" xr:uid="{00000000-0005-0000-0000-0000DA010000}"/>
    <cellStyle name="1 34 3" xfId="535" xr:uid="{00000000-0005-0000-0000-0000DB010000}"/>
    <cellStyle name="1 34 3 2" xfId="536" xr:uid="{00000000-0005-0000-0000-0000DC010000}"/>
    <cellStyle name="1 34 4" xfId="537" xr:uid="{00000000-0005-0000-0000-0000DD010000}"/>
    <cellStyle name="1 34 4 2" xfId="538" xr:uid="{00000000-0005-0000-0000-0000DE010000}"/>
    <cellStyle name="1 34 5" xfId="539" xr:uid="{00000000-0005-0000-0000-0000DF010000}"/>
    <cellStyle name="1 34 5 2" xfId="540" xr:uid="{00000000-0005-0000-0000-0000E0010000}"/>
    <cellStyle name="1 34 6" xfId="541" xr:uid="{00000000-0005-0000-0000-0000E1010000}"/>
    <cellStyle name="1 34 6 2" xfId="542" xr:uid="{00000000-0005-0000-0000-0000E2010000}"/>
    <cellStyle name="1 34 7" xfId="543" xr:uid="{00000000-0005-0000-0000-0000E3010000}"/>
    <cellStyle name="1 34 7 2" xfId="544" xr:uid="{00000000-0005-0000-0000-0000E4010000}"/>
    <cellStyle name="1 34 8" xfId="545" xr:uid="{00000000-0005-0000-0000-0000E5010000}"/>
    <cellStyle name="1 34 8 2" xfId="546" xr:uid="{00000000-0005-0000-0000-0000E6010000}"/>
    <cellStyle name="1 34 9" xfId="547" xr:uid="{00000000-0005-0000-0000-0000E7010000}"/>
    <cellStyle name="1 34 9 2" xfId="548" xr:uid="{00000000-0005-0000-0000-0000E8010000}"/>
    <cellStyle name="1 35" xfId="549" xr:uid="{00000000-0005-0000-0000-0000E9010000}"/>
    <cellStyle name="1 35 10" xfId="550" xr:uid="{00000000-0005-0000-0000-0000EA010000}"/>
    <cellStyle name="1 35 2" xfId="551" xr:uid="{00000000-0005-0000-0000-0000EB010000}"/>
    <cellStyle name="1 35 2 2" xfId="552" xr:uid="{00000000-0005-0000-0000-0000EC010000}"/>
    <cellStyle name="1 35 3" xfId="553" xr:uid="{00000000-0005-0000-0000-0000ED010000}"/>
    <cellStyle name="1 35 3 2" xfId="554" xr:uid="{00000000-0005-0000-0000-0000EE010000}"/>
    <cellStyle name="1 35 4" xfId="555" xr:uid="{00000000-0005-0000-0000-0000EF010000}"/>
    <cellStyle name="1 35 4 2" xfId="556" xr:uid="{00000000-0005-0000-0000-0000F0010000}"/>
    <cellStyle name="1 35 5" xfId="557" xr:uid="{00000000-0005-0000-0000-0000F1010000}"/>
    <cellStyle name="1 35 5 2" xfId="558" xr:uid="{00000000-0005-0000-0000-0000F2010000}"/>
    <cellStyle name="1 35 6" xfId="559" xr:uid="{00000000-0005-0000-0000-0000F3010000}"/>
    <cellStyle name="1 35 6 2" xfId="560" xr:uid="{00000000-0005-0000-0000-0000F4010000}"/>
    <cellStyle name="1 35 7" xfId="561" xr:uid="{00000000-0005-0000-0000-0000F5010000}"/>
    <cellStyle name="1 35 7 2" xfId="562" xr:uid="{00000000-0005-0000-0000-0000F6010000}"/>
    <cellStyle name="1 35 8" xfId="563" xr:uid="{00000000-0005-0000-0000-0000F7010000}"/>
    <cellStyle name="1 35 8 2" xfId="564" xr:uid="{00000000-0005-0000-0000-0000F8010000}"/>
    <cellStyle name="1 35 9" xfId="565" xr:uid="{00000000-0005-0000-0000-0000F9010000}"/>
    <cellStyle name="1 35 9 2" xfId="566" xr:uid="{00000000-0005-0000-0000-0000FA010000}"/>
    <cellStyle name="1 36" xfId="567" xr:uid="{00000000-0005-0000-0000-0000FB010000}"/>
    <cellStyle name="1 36 10" xfId="568" xr:uid="{00000000-0005-0000-0000-0000FC010000}"/>
    <cellStyle name="1 36 2" xfId="569" xr:uid="{00000000-0005-0000-0000-0000FD010000}"/>
    <cellStyle name="1 36 2 2" xfId="570" xr:uid="{00000000-0005-0000-0000-0000FE010000}"/>
    <cellStyle name="1 36 3" xfId="571" xr:uid="{00000000-0005-0000-0000-0000FF010000}"/>
    <cellStyle name="1 36 3 2" xfId="572" xr:uid="{00000000-0005-0000-0000-000000020000}"/>
    <cellStyle name="1 36 4" xfId="573" xr:uid="{00000000-0005-0000-0000-000001020000}"/>
    <cellStyle name="1 36 4 2" xfId="574" xr:uid="{00000000-0005-0000-0000-000002020000}"/>
    <cellStyle name="1 36 5" xfId="575" xr:uid="{00000000-0005-0000-0000-000003020000}"/>
    <cellStyle name="1 36 5 2" xfId="576" xr:uid="{00000000-0005-0000-0000-000004020000}"/>
    <cellStyle name="1 36 6" xfId="577" xr:uid="{00000000-0005-0000-0000-000005020000}"/>
    <cellStyle name="1 36 6 2" xfId="578" xr:uid="{00000000-0005-0000-0000-000006020000}"/>
    <cellStyle name="1 36 7" xfId="579" xr:uid="{00000000-0005-0000-0000-000007020000}"/>
    <cellStyle name="1 36 7 2" xfId="580" xr:uid="{00000000-0005-0000-0000-000008020000}"/>
    <cellStyle name="1 36 8" xfId="581" xr:uid="{00000000-0005-0000-0000-000009020000}"/>
    <cellStyle name="1 36 8 2" xfId="582" xr:uid="{00000000-0005-0000-0000-00000A020000}"/>
    <cellStyle name="1 36 9" xfId="583" xr:uid="{00000000-0005-0000-0000-00000B020000}"/>
    <cellStyle name="1 36 9 2" xfId="584" xr:uid="{00000000-0005-0000-0000-00000C020000}"/>
    <cellStyle name="1 37" xfId="585" xr:uid="{00000000-0005-0000-0000-00000D020000}"/>
    <cellStyle name="1 37 10" xfId="586" xr:uid="{00000000-0005-0000-0000-00000E020000}"/>
    <cellStyle name="1 37 2" xfId="587" xr:uid="{00000000-0005-0000-0000-00000F020000}"/>
    <cellStyle name="1 37 2 2" xfId="588" xr:uid="{00000000-0005-0000-0000-000010020000}"/>
    <cellStyle name="1 37 3" xfId="589" xr:uid="{00000000-0005-0000-0000-000011020000}"/>
    <cellStyle name="1 37 3 2" xfId="590" xr:uid="{00000000-0005-0000-0000-000012020000}"/>
    <cellStyle name="1 37 4" xfId="591" xr:uid="{00000000-0005-0000-0000-000013020000}"/>
    <cellStyle name="1 37 4 2" xfId="592" xr:uid="{00000000-0005-0000-0000-000014020000}"/>
    <cellStyle name="1 37 5" xfId="593" xr:uid="{00000000-0005-0000-0000-000015020000}"/>
    <cellStyle name="1 37 5 2" xfId="594" xr:uid="{00000000-0005-0000-0000-000016020000}"/>
    <cellStyle name="1 37 6" xfId="595" xr:uid="{00000000-0005-0000-0000-000017020000}"/>
    <cellStyle name="1 37 6 2" xfId="596" xr:uid="{00000000-0005-0000-0000-000018020000}"/>
    <cellStyle name="1 37 7" xfId="597" xr:uid="{00000000-0005-0000-0000-000019020000}"/>
    <cellStyle name="1 37 7 2" xfId="598" xr:uid="{00000000-0005-0000-0000-00001A020000}"/>
    <cellStyle name="1 37 8" xfId="599" xr:uid="{00000000-0005-0000-0000-00001B020000}"/>
    <cellStyle name="1 37 8 2" xfId="600" xr:uid="{00000000-0005-0000-0000-00001C020000}"/>
    <cellStyle name="1 37 9" xfId="601" xr:uid="{00000000-0005-0000-0000-00001D020000}"/>
    <cellStyle name="1 37 9 2" xfId="602" xr:uid="{00000000-0005-0000-0000-00001E020000}"/>
    <cellStyle name="1 38" xfId="603" xr:uid="{00000000-0005-0000-0000-00001F020000}"/>
    <cellStyle name="1 38 10" xfId="604" xr:uid="{00000000-0005-0000-0000-000020020000}"/>
    <cellStyle name="1 38 2" xfId="605" xr:uid="{00000000-0005-0000-0000-000021020000}"/>
    <cellStyle name="1 38 2 2" xfId="606" xr:uid="{00000000-0005-0000-0000-000022020000}"/>
    <cellStyle name="1 38 3" xfId="607" xr:uid="{00000000-0005-0000-0000-000023020000}"/>
    <cellStyle name="1 38 3 2" xfId="608" xr:uid="{00000000-0005-0000-0000-000024020000}"/>
    <cellStyle name="1 38 4" xfId="609" xr:uid="{00000000-0005-0000-0000-000025020000}"/>
    <cellStyle name="1 38 4 2" xfId="610" xr:uid="{00000000-0005-0000-0000-000026020000}"/>
    <cellStyle name="1 38 5" xfId="611" xr:uid="{00000000-0005-0000-0000-000027020000}"/>
    <cellStyle name="1 38 5 2" xfId="612" xr:uid="{00000000-0005-0000-0000-000028020000}"/>
    <cellStyle name="1 38 6" xfId="613" xr:uid="{00000000-0005-0000-0000-000029020000}"/>
    <cellStyle name="1 38 6 2" xfId="614" xr:uid="{00000000-0005-0000-0000-00002A020000}"/>
    <cellStyle name="1 38 7" xfId="615" xr:uid="{00000000-0005-0000-0000-00002B020000}"/>
    <cellStyle name="1 38 7 2" xfId="616" xr:uid="{00000000-0005-0000-0000-00002C020000}"/>
    <cellStyle name="1 38 8" xfId="617" xr:uid="{00000000-0005-0000-0000-00002D020000}"/>
    <cellStyle name="1 38 8 2" xfId="618" xr:uid="{00000000-0005-0000-0000-00002E020000}"/>
    <cellStyle name="1 38 9" xfId="619" xr:uid="{00000000-0005-0000-0000-00002F020000}"/>
    <cellStyle name="1 38 9 2" xfId="620" xr:uid="{00000000-0005-0000-0000-000030020000}"/>
    <cellStyle name="1 39" xfId="621" xr:uid="{00000000-0005-0000-0000-000031020000}"/>
    <cellStyle name="1 39 10" xfId="622" xr:uid="{00000000-0005-0000-0000-000032020000}"/>
    <cellStyle name="1 39 2" xfId="623" xr:uid="{00000000-0005-0000-0000-000033020000}"/>
    <cellStyle name="1 39 2 2" xfId="624" xr:uid="{00000000-0005-0000-0000-000034020000}"/>
    <cellStyle name="1 39 3" xfId="625" xr:uid="{00000000-0005-0000-0000-000035020000}"/>
    <cellStyle name="1 39 3 2" xfId="626" xr:uid="{00000000-0005-0000-0000-000036020000}"/>
    <cellStyle name="1 39 4" xfId="627" xr:uid="{00000000-0005-0000-0000-000037020000}"/>
    <cellStyle name="1 39 4 2" xfId="628" xr:uid="{00000000-0005-0000-0000-000038020000}"/>
    <cellStyle name="1 39 5" xfId="629" xr:uid="{00000000-0005-0000-0000-000039020000}"/>
    <cellStyle name="1 39 5 2" xfId="630" xr:uid="{00000000-0005-0000-0000-00003A020000}"/>
    <cellStyle name="1 39 6" xfId="631" xr:uid="{00000000-0005-0000-0000-00003B020000}"/>
    <cellStyle name="1 39 6 2" xfId="632" xr:uid="{00000000-0005-0000-0000-00003C020000}"/>
    <cellStyle name="1 39 7" xfId="633" xr:uid="{00000000-0005-0000-0000-00003D020000}"/>
    <cellStyle name="1 39 7 2" xfId="634" xr:uid="{00000000-0005-0000-0000-00003E020000}"/>
    <cellStyle name="1 39 8" xfId="635" xr:uid="{00000000-0005-0000-0000-00003F020000}"/>
    <cellStyle name="1 39 8 2" xfId="636" xr:uid="{00000000-0005-0000-0000-000040020000}"/>
    <cellStyle name="1 39 9" xfId="637" xr:uid="{00000000-0005-0000-0000-000041020000}"/>
    <cellStyle name="1 39 9 2" xfId="638" xr:uid="{00000000-0005-0000-0000-000042020000}"/>
    <cellStyle name="1 4" xfId="639" xr:uid="{00000000-0005-0000-0000-000043020000}"/>
    <cellStyle name="1 4 10" xfId="640" xr:uid="{00000000-0005-0000-0000-000044020000}"/>
    <cellStyle name="1 4 2" xfId="641" xr:uid="{00000000-0005-0000-0000-000045020000}"/>
    <cellStyle name="1 4 2 2" xfId="642" xr:uid="{00000000-0005-0000-0000-000046020000}"/>
    <cellStyle name="1 4 3" xfId="643" xr:uid="{00000000-0005-0000-0000-000047020000}"/>
    <cellStyle name="1 4 3 2" xfId="644" xr:uid="{00000000-0005-0000-0000-000048020000}"/>
    <cellStyle name="1 4 4" xfId="645" xr:uid="{00000000-0005-0000-0000-000049020000}"/>
    <cellStyle name="1 4 4 2" xfId="646" xr:uid="{00000000-0005-0000-0000-00004A020000}"/>
    <cellStyle name="1 4 5" xfId="647" xr:uid="{00000000-0005-0000-0000-00004B020000}"/>
    <cellStyle name="1 4 5 2" xfId="648" xr:uid="{00000000-0005-0000-0000-00004C020000}"/>
    <cellStyle name="1 4 6" xfId="649" xr:uid="{00000000-0005-0000-0000-00004D020000}"/>
    <cellStyle name="1 4 6 2" xfId="650" xr:uid="{00000000-0005-0000-0000-00004E020000}"/>
    <cellStyle name="1 4 7" xfId="651" xr:uid="{00000000-0005-0000-0000-00004F020000}"/>
    <cellStyle name="1 4 7 2" xfId="652" xr:uid="{00000000-0005-0000-0000-000050020000}"/>
    <cellStyle name="1 4 8" xfId="653" xr:uid="{00000000-0005-0000-0000-000051020000}"/>
    <cellStyle name="1 4 8 2" xfId="654" xr:uid="{00000000-0005-0000-0000-000052020000}"/>
    <cellStyle name="1 4 9" xfId="655" xr:uid="{00000000-0005-0000-0000-000053020000}"/>
    <cellStyle name="1 4 9 2" xfId="656" xr:uid="{00000000-0005-0000-0000-000054020000}"/>
    <cellStyle name="1 40" xfId="657" xr:uid="{00000000-0005-0000-0000-000055020000}"/>
    <cellStyle name="1 40 10" xfId="658" xr:uid="{00000000-0005-0000-0000-000056020000}"/>
    <cellStyle name="1 40 2" xfId="659" xr:uid="{00000000-0005-0000-0000-000057020000}"/>
    <cellStyle name="1 40 2 2" xfId="660" xr:uid="{00000000-0005-0000-0000-000058020000}"/>
    <cellStyle name="1 40 3" xfId="661" xr:uid="{00000000-0005-0000-0000-000059020000}"/>
    <cellStyle name="1 40 3 2" xfId="662" xr:uid="{00000000-0005-0000-0000-00005A020000}"/>
    <cellStyle name="1 40 4" xfId="663" xr:uid="{00000000-0005-0000-0000-00005B020000}"/>
    <cellStyle name="1 40 4 2" xfId="664" xr:uid="{00000000-0005-0000-0000-00005C020000}"/>
    <cellStyle name="1 40 5" xfId="665" xr:uid="{00000000-0005-0000-0000-00005D020000}"/>
    <cellStyle name="1 40 5 2" xfId="666" xr:uid="{00000000-0005-0000-0000-00005E020000}"/>
    <cellStyle name="1 40 6" xfId="667" xr:uid="{00000000-0005-0000-0000-00005F020000}"/>
    <cellStyle name="1 40 6 2" xfId="668" xr:uid="{00000000-0005-0000-0000-000060020000}"/>
    <cellStyle name="1 40 7" xfId="669" xr:uid="{00000000-0005-0000-0000-000061020000}"/>
    <cellStyle name="1 40 7 2" xfId="670" xr:uid="{00000000-0005-0000-0000-000062020000}"/>
    <cellStyle name="1 40 8" xfId="671" xr:uid="{00000000-0005-0000-0000-000063020000}"/>
    <cellStyle name="1 40 8 2" xfId="672" xr:uid="{00000000-0005-0000-0000-000064020000}"/>
    <cellStyle name="1 40 9" xfId="673" xr:uid="{00000000-0005-0000-0000-000065020000}"/>
    <cellStyle name="1 40 9 2" xfId="674" xr:uid="{00000000-0005-0000-0000-000066020000}"/>
    <cellStyle name="1 41" xfId="675" xr:uid="{00000000-0005-0000-0000-000067020000}"/>
    <cellStyle name="1 41 10" xfId="676" xr:uid="{00000000-0005-0000-0000-000068020000}"/>
    <cellStyle name="1 41 2" xfId="677" xr:uid="{00000000-0005-0000-0000-000069020000}"/>
    <cellStyle name="1 41 2 2" xfId="678" xr:uid="{00000000-0005-0000-0000-00006A020000}"/>
    <cellStyle name="1 41 3" xfId="679" xr:uid="{00000000-0005-0000-0000-00006B020000}"/>
    <cellStyle name="1 41 3 2" xfId="680" xr:uid="{00000000-0005-0000-0000-00006C020000}"/>
    <cellStyle name="1 41 4" xfId="681" xr:uid="{00000000-0005-0000-0000-00006D020000}"/>
    <cellStyle name="1 41 4 2" xfId="682" xr:uid="{00000000-0005-0000-0000-00006E020000}"/>
    <cellStyle name="1 41 5" xfId="683" xr:uid="{00000000-0005-0000-0000-00006F020000}"/>
    <cellStyle name="1 41 5 2" xfId="684" xr:uid="{00000000-0005-0000-0000-000070020000}"/>
    <cellStyle name="1 41 6" xfId="685" xr:uid="{00000000-0005-0000-0000-000071020000}"/>
    <cellStyle name="1 41 6 2" xfId="686" xr:uid="{00000000-0005-0000-0000-000072020000}"/>
    <cellStyle name="1 41 7" xfId="687" xr:uid="{00000000-0005-0000-0000-000073020000}"/>
    <cellStyle name="1 41 7 2" xfId="688" xr:uid="{00000000-0005-0000-0000-000074020000}"/>
    <cellStyle name="1 41 8" xfId="689" xr:uid="{00000000-0005-0000-0000-000075020000}"/>
    <cellStyle name="1 41 8 2" xfId="690" xr:uid="{00000000-0005-0000-0000-000076020000}"/>
    <cellStyle name="1 41 9" xfId="691" xr:uid="{00000000-0005-0000-0000-000077020000}"/>
    <cellStyle name="1 41 9 2" xfId="692" xr:uid="{00000000-0005-0000-0000-000078020000}"/>
    <cellStyle name="1 42" xfId="693" xr:uid="{00000000-0005-0000-0000-000079020000}"/>
    <cellStyle name="1 42 10" xfId="694" xr:uid="{00000000-0005-0000-0000-00007A020000}"/>
    <cellStyle name="1 42 2" xfId="695" xr:uid="{00000000-0005-0000-0000-00007B020000}"/>
    <cellStyle name="1 42 2 2" xfId="696" xr:uid="{00000000-0005-0000-0000-00007C020000}"/>
    <cellStyle name="1 42 3" xfId="697" xr:uid="{00000000-0005-0000-0000-00007D020000}"/>
    <cellStyle name="1 42 3 2" xfId="698" xr:uid="{00000000-0005-0000-0000-00007E020000}"/>
    <cellStyle name="1 42 4" xfId="699" xr:uid="{00000000-0005-0000-0000-00007F020000}"/>
    <cellStyle name="1 42 4 2" xfId="700" xr:uid="{00000000-0005-0000-0000-000080020000}"/>
    <cellStyle name="1 42 5" xfId="701" xr:uid="{00000000-0005-0000-0000-000081020000}"/>
    <cellStyle name="1 42 5 2" xfId="702" xr:uid="{00000000-0005-0000-0000-000082020000}"/>
    <cellStyle name="1 42 6" xfId="703" xr:uid="{00000000-0005-0000-0000-000083020000}"/>
    <cellStyle name="1 42 6 2" xfId="704" xr:uid="{00000000-0005-0000-0000-000084020000}"/>
    <cellStyle name="1 42 7" xfId="705" xr:uid="{00000000-0005-0000-0000-000085020000}"/>
    <cellStyle name="1 42 7 2" xfId="706" xr:uid="{00000000-0005-0000-0000-000086020000}"/>
    <cellStyle name="1 42 8" xfId="707" xr:uid="{00000000-0005-0000-0000-000087020000}"/>
    <cellStyle name="1 42 8 2" xfId="708" xr:uid="{00000000-0005-0000-0000-000088020000}"/>
    <cellStyle name="1 42 9" xfId="709" xr:uid="{00000000-0005-0000-0000-000089020000}"/>
    <cellStyle name="1 42 9 2" xfId="710" xr:uid="{00000000-0005-0000-0000-00008A020000}"/>
    <cellStyle name="1 43" xfId="711" xr:uid="{00000000-0005-0000-0000-00008B020000}"/>
    <cellStyle name="1 43 10" xfId="712" xr:uid="{00000000-0005-0000-0000-00008C020000}"/>
    <cellStyle name="1 43 2" xfId="713" xr:uid="{00000000-0005-0000-0000-00008D020000}"/>
    <cellStyle name="1 43 2 2" xfId="714" xr:uid="{00000000-0005-0000-0000-00008E020000}"/>
    <cellStyle name="1 43 3" xfId="715" xr:uid="{00000000-0005-0000-0000-00008F020000}"/>
    <cellStyle name="1 43 3 2" xfId="716" xr:uid="{00000000-0005-0000-0000-000090020000}"/>
    <cellStyle name="1 43 4" xfId="717" xr:uid="{00000000-0005-0000-0000-000091020000}"/>
    <cellStyle name="1 43 4 2" xfId="718" xr:uid="{00000000-0005-0000-0000-000092020000}"/>
    <cellStyle name="1 43 5" xfId="719" xr:uid="{00000000-0005-0000-0000-000093020000}"/>
    <cellStyle name="1 43 5 2" xfId="720" xr:uid="{00000000-0005-0000-0000-000094020000}"/>
    <cellStyle name="1 43 6" xfId="721" xr:uid="{00000000-0005-0000-0000-000095020000}"/>
    <cellStyle name="1 43 6 2" xfId="722" xr:uid="{00000000-0005-0000-0000-000096020000}"/>
    <cellStyle name="1 43 7" xfId="723" xr:uid="{00000000-0005-0000-0000-000097020000}"/>
    <cellStyle name="1 43 7 2" xfId="724" xr:uid="{00000000-0005-0000-0000-000098020000}"/>
    <cellStyle name="1 43 8" xfId="725" xr:uid="{00000000-0005-0000-0000-000099020000}"/>
    <cellStyle name="1 43 8 2" xfId="726" xr:uid="{00000000-0005-0000-0000-00009A020000}"/>
    <cellStyle name="1 43 9" xfId="727" xr:uid="{00000000-0005-0000-0000-00009B020000}"/>
    <cellStyle name="1 43 9 2" xfId="728" xr:uid="{00000000-0005-0000-0000-00009C020000}"/>
    <cellStyle name="1 44" xfId="729" xr:uid="{00000000-0005-0000-0000-00009D020000}"/>
    <cellStyle name="1 44 10" xfId="730" xr:uid="{00000000-0005-0000-0000-00009E020000}"/>
    <cellStyle name="1 44 2" xfId="731" xr:uid="{00000000-0005-0000-0000-00009F020000}"/>
    <cellStyle name="1 44 2 2" xfId="732" xr:uid="{00000000-0005-0000-0000-0000A0020000}"/>
    <cellStyle name="1 44 3" xfId="733" xr:uid="{00000000-0005-0000-0000-0000A1020000}"/>
    <cellStyle name="1 44 3 2" xfId="734" xr:uid="{00000000-0005-0000-0000-0000A2020000}"/>
    <cellStyle name="1 44 4" xfId="735" xr:uid="{00000000-0005-0000-0000-0000A3020000}"/>
    <cellStyle name="1 44 4 2" xfId="736" xr:uid="{00000000-0005-0000-0000-0000A4020000}"/>
    <cellStyle name="1 44 5" xfId="737" xr:uid="{00000000-0005-0000-0000-0000A5020000}"/>
    <cellStyle name="1 44 5 2" xfId="738" xr:uid="{00000000-0005-0000-0000-0000A6020000}"/>
    <cellStyle name="1 44 6" xfId="739" xr:uid="{00000000-0005-0000-0000-0000A7020000}"/>
    <cellStyle name="1 44 6 2" xfId="740" xr:uid="{00000000-0005-0000-0000-0000A8020000}"/>
    <cellStyle name="1 44 7" xfId="741" xr:uid="{00000000-0005-0000-0000-0000A9020000}"/>
    <cellStyle name="1 44 7 2" xfId="742" xr:uid="{00000000-0005-0000-0000-0000AA020000}"/>
    <cellStyle name="1 44 8" xfId="743" xr:uid="{00000000-0005-0000-0000-0000AB020000}"/>
    <cellStyle name="1 44 8 2" xfId="744" xr:uid="{00000000-0005-0000-0000-0000AC020000}"/>
    <cellStyle name="1 44 9" xfId="745" xr:uid="{00000000-0005-0000-0000-0000AD020000}"/>
    <cellStyle name="1 44 9 2" xfId="746" xr:uid="{00000000-0005-0000-0000-0000AE020000}"/>
    <cellStyle name="1 45" xfId="747" xr:uid="{00000000-0005-0000-0000-0000AF020000}"/>
    <cellStyle name="1 45 10" xfId="748" xr:uid="{00000000-0005-0000-0000-0000B0020000}"/>
    <cellStyle name="1 45 2" xfId="749" xr:uid="{00000000-0005-0000-0000-0000B1020000}"/>
    <cellStyle name="1 45 2 2" xfId="750" xr:uid="{00000000-0005-0000-0000-0000B2020000}"/>
    <cellStyle name="1 45 3" xfId="751" xr:uid="{00000000-0005-0000-0000-0000B3020000}"/>
    <cellStyle name="1 45 3 2" xfId="752" xr:uid="{00000000-0005-0000-0000-0000B4020000}"/>
    <cellStyle name="1 45 4" xfId="753" xr:uid="{00000000-0005-0000-0000-0000B5020000}"/>
    <cellStyle name="1 45 4 2" xfId="754" xr:uid="{00000000-0005-0000-0000-0000B6020000}"/>
    <cellStyle name="1 45 5" xfId="755" xr:uid="{00000000-0005-0000-0000-0000B7020000}"/>
    <cellStyle name="1 45 5 2" xfId="756" xr:uid="{00000000-0005-0000-0000-0000B8020000}"/>
    <cellStyle name="1 45 6" xfId="757" xr:uid="{00000000-0005-0000-0000-0000B9020000}"/>
    <cellStyle name="1 45 6 2" xfId="758" xr:uid="{00000000-0005-0000-0000-0000BA020000}"/>
    <cellStyle name="1 45 7" xfId="759" xr:uid="{00000000-0005-0000-0000-0000BB020000}"/>
    <cellStyle name="1 45 7 2" xfId="760" xr:uid="{00000000-0005-0000-0000-0000BC020000}"/>
    <cellStyle name="1 45 8" xfId="761" xr:uid="{00000000-0005-0000-0000-0000BD020000}"/>
    <cellStyle name="1 45 8 2" xfId="762" xr:uid="{00000000-0005-0000-0000-0000BE020000}"/>
    <cellStyle name="1 45 9" xfId="763" xr:uid="{00000000-0005-0000-0000-0000BF020000}"/>
    <cellStyle name="1 45 9 2" xfId="764" xr:uid="{00000000-0005-0000-0000-0000C0020000}"/>
    <cellStyle name="1 46" xfId="765" xr:uid="{00000000-0005-0000-0000-0000C1020000}"/>
    <cellStyle name="1 46 10" xfId="766" xr:uid="{00000000-0005-0000-0000-0000C2020000}"/>
    <cellStyle name="1 46 2" xfId="767" xr:uid="{00000000-0005-0000-0000-0000C3020000}"/>
    <cellStyle name="1 46 2 2" xfId="768" xr:uid="{00000000-0005-0000-0000-0000C4020000}"/>
    <cellStyle name="1 46 3" xfId="769" xr:uid="{00000000-0005-0000-0000-0000C5020000}"/>
    <cellStyle name="1 46 3 2" xfId="770" xr:uid="{00000000-0005-0000-0000-0000C6020000}"/>
    <cellStyle name="1 46 4" xfId="771" xr:uid="{00000000-0005-0000-0000-0000C7020000}"/>
    <cellStyle name="1 46 4 2" xfId="772" xr:uid="{00000000-0005-0000-0000-0000C8020000}"/>
    <cellStyle name="1 46 5" xfId="773" xr:uid="{00000000-0005-0000-0000-0000C9020000}"/>
    <cellStyle name="1 46 5 2" xfId="774" xr:uid="{00000000-0005-0000-0000-0000CA020000}"/>
    <cellStyle name="1 46 6" xfId="775" xr:uid="{00000000-0005-0000-0000-0000CB020000}"/>
    <cellStyle name="1 46 6 2" xfId="776" xr:uid="{00000000-0005-0000-0000-0000CC020000}"/>
    <cellStyle name="1 46 7" xfId="777" xr:uid="{00000000-0005-0000-0000-0000CD020000}"/>
    <cellStyle name="1 46 7 2" xfId="778" xr:uid="{00000000-0005-0000-0000-0000CE020000}"/>
    <cellStyle name="1 46 8" xfId="779" xr:uid="{00000000-0005-0000-0000-0000CF020000}"/>
    <cellStyle name="1 46 8 2" xfId="780" xr:uid="{00000000-0005-0000-0000-0000D0020000}"/>
    <cellStyle name="1 46 9" xfId="781" xr:uid="{00000000-0005-0000-0000-0000D1020000}"/>
    <cellStyle name="1 46 9 2" xfId="782" xr:uid="{00000000-0005-0000-0000-0000D2020000}"/>
    <cellStyle name="1 47" xfId="783" xr:uid="{00000000-0005-0000-0000-0000D3020000}"/>
    <cellStyle name="1 47 10" xfId="784" xr:uid="{00000000-0005-0000-0000-0000D4020000}"/>
    <cellStyle name="1 47 2" xfId="785" xr:uid="{00000000-0005-0000-0000-0000D5020000}"/>
    <cellStyle name="1 47 2 2" xfId="786" xr:uid="{00000000-0005-0000-0000-0000D6020000}"/>
    <cellStyle name="1 47 3" xfId="787" xr:uid="{00000000-0005-0000-0000-0000D7020000}"/>
    <cellStyle name="1 47 3 2" xfId="788" xr:uid="{00000000-0005-0000-0000-0000D8020000}"/>
    <cellStyle name="1 47 4" xfId="789" xr:uid="{00000000-0005-0000-0000-0000D9020000}"/>
    <cellStyle name="1 47 4 2" xfId="790" xr:uid="{00000000-0005-0000-0000-0000DA020000}"/>
    <cellStyle name="1 47 5" xfId="791" xr:uid="{00000000-0005-0000-0000-0000DB020000}"/>
    <cellStyle name="1 47 5 2" xfId="792" xr:uid="{00000000-0005-0000-0000-0000DC020000}"/>
    <cellStyle name="1 47 6" xfId="793" xr:uid="{00000000-0005-0000-0000-0000DD020000}"/>
    <cellStyle name="1 47 6 2" xfId="794" xr:uid="{00000000-0005-0000-0000-0000DE020000}"/>
    <cellStyle name="1 47 7" xfId="795" xr:uid="{00000000-0005-0000-0000-0000DF020000}"/>
    <cellStyle name="1 47 7 2" xfId="796" xr:uid="{00000000-0005-0000-0000-0000E0020000}"/>
    <cellStyle name="1 47 8" xfId="797" xr:uid="{00000000-0005-0000-0000-0000E1020000}"/>
    <cellStyle name="1 47 8 2" xfId="798" xr:uid="{00000000-0005-0000-0000-0000E2020000}"/>
    <cellStyle name="1 47 9" xfId="799" xr:uid="{00000000-0005-0000-0000-0000E3020000}"/>
    <cellStyle name="1 47 9 2" xfId="800" xr:uid="{00000000-0005-0000-0000-0000E4020000}"/>
    <cellStyle name="1 48" xfId="801" xr:uid="{00000000-0005-0000-0000-0000E5020000}"/>
    <cellStyle name="1 48 10" xfId="802" xr:uid="{00000000-0005-0000-0000-0000E6020000}"/>
    <cellStyle name="1 48 2" xfId="803" xr:uid="{00000000-0005-0000-0000-0000E7020000}"/>
    <cellStyle name="1 48 2 2" xfId="804" xr:uid="{00000000-0005-0000-0000-0000E8020000}"/>
    <cellStyle name="1 48 3" xfId="805" xr:uid="{00000000-0005-0000-0000-0000E9020000}"/>
    <cellStyle name="1 48 3 2" xfId="806" xr:uid="{00000000-0005-0000-0000-0000EA020000}"/>
    <cellStyle name="1 48 4" xfId="807" xr:uid="{00000000-0005-0000-0000-0000EB020000}"/>
    <cellStyle name="1 48 4 2" xfId="808" xr:uid="{00000000-0005-0000-0000-0000EC020000}"/>
    <cellStyle name="1 48 5" xfId="809" xr:uid="{00000000-0005-0000-0000-0000ED020000}"/>
    <cellStyle name="1 48 5 2" xfId="810" xr:uid="{00000000-0005-0000-0000-0000EE020000}"/>
    <cellStyle name="1 48 6" xfId="811" xr:uid="{00000000-0005-0000-0000-0000EF020000}"/>
    <cellStyle name="1 48 6 2" xfId="812" xr:uid="{00000000-0005-0000-0000-0000F0020000}"/>
    <cellStyle name="1 48 7" xfId="813" xr:uid="{00000000-0005-0000-0000-0000F1020000}"/>
    <cellStyle name="1 48 7 2" xfId="814" xr:uid="{00000000-0005-0000-0000-0000F2020000}"/>
    <cellStyle name="1 48 8" xfId="815" xr:uid="{00000000-0005-0000-0000-0000F3020000}"/>
    <cellStyle name="1 48 8 2" xfId="816" xr:uid="{00000000-0005-0000-0000-0000F4020000}"/>
    <cellStyle name="1 48 9" xfId="817" xr:uid="{00000000-0005-0000-0000-0000F5020000}"/>
    <cellStyle name="1 48 9 2" xfId="818" xr:uid="{00000000-0005-0000-0000-0000F6020000}"/>
    <cellStyle name="1 49" xfId="819" xr:uid="{00000000-0005-0000-0000-0000F7020000}"/>
    <cellStyle name="1 49 10" xfId="820" xr:uid="{00000000-0005-0000-0000-0000F8020000}"/>
    <cellStyle name="1 49 2" xfId="821" xr:uid="{00000000-0005-0000-0000-0000F9020000}"/>
    <cellStyle name="1 49 2 2" xfId="822" xr:uid="{00000000-0005-0000-0000-0000FA020000}"/>
    <cellStyle name="1 49 3" xfId="823" xr:uid="{00000000-0005-0000-0000-0000FB020000}"/>
    <cellStyle name="1 49 3 2" xfId="824" xr:uid="{00000000-0005-0000-0000-0000FC020000}"/>
    <cellStyle name="1 49 4" xfId="825" xr:uid="{00000000-0005-0000-0000-0000FD020000}"/>
    <cellStyle name="1 49 4 2" xfId="826" xr:uid="{00000000-0005-0000-0000-0000FE020000}"/>
    <cellStyle name="1 49 5" xfId="827" xr:uid="{00000000-0005-0000-0000-0000FF020000}"/>
    <cellStyle name="1 49 5 2" xfId="828" xr:uid="{00000000-0005-0000-0000-000000030000}"/>
    <cellStyle name="1 49 6" xfId="829" xr:uid="{00000000-0005-0000-0000-000001030000}"/>
    <cellStyle name="1 49 6 2" xfId="830" xr:uid="{00000000-0005-0000-0000-000002030000}"/>
    <cellStyle name="1 49 7" xfId="831" xr:uid="{00000000-0005-0000-0000-000003030000}"/>
    <cellStyle name="1 49 7 2" xfId="832" xr:uid="{00000000-0005-0000-0000-000004030000}"/>
    <cellStyle name="1 49 8" xfId="833" xr:uid="{00000000-0005-0000-0000-000005030000}"/>
    <cellStyle name="1 49 8 2" xfId="834" xr:uid="{00000000-0005-0000-0000-000006030000}"/>
    <cellStyle name="1 49 9" xfId="835" xr:uid="{00000000-0005-0000-0000-000007030000}"/>
    <cellStyle name="1 49 9 2" xfId="836" xr:uid="{00000000-0005-0000-0000-000008030000}"/>
    <cellStyle name="1 5" xfId="837" xr:uid="{00000000-0005-0000-0000-000009030000}"/>
    <cellStyle name="1 5 10" xfId="838" xr:uid="{00000000-0005-0000-0000-00000A030000}"/>
    <cellStyle name="1 5 2" xfId="839" xr:uid="{00000000-0005-0000-0000-00000B030000}"/>
    <cellStyle name="1 5 2 2" xfId="840" xr:uid="{00000000-0005-0000-0000-00000C030000}"/>
    <cellStyle name="1 5 3" xfId="841" xr:uid="{00000000-0005-0000-0000-00000D030000}"/>
    <cellStyle name="1 5 3 2" xfId="842" xr:uid="{00000000-0005-0000-0000-00000E030000}"/>
    <cellStyle name="1 5 4" xfId="843" xr:uid="{00000000-0005-0000-0000-00000F030000}"/>
    <cellStyle name="1 5 4 2" xfId="844" xr:uid="{00000000-0005-0000-0000-000010030000}"/>
    <cellStyle name="1 5 5" xfId="845" xr:uid="{00000000-0005-0000-0000-000011030000}"/>
    <cellStyle name="1 5 5 2" xfId="846" xr:uid="{00000000-0005-0000-0000-000012030000}"/>
    <cellStyle name="1 5 6" xfId="847" xr:uid="{00000000-0005-0000-0000-000013030000}"/>
    <cellStyle name="1 5 6 2" xfId="848" xr:uid="{00000000-0005-0000-0000-000014030000}"/>
    <cellStyle name="1 5 7" xfId="849" xr:uid="{00000000-0005-0000-0000-000015030000}"/>
    <cellStyle name="1 5 7 2" xfId="850" xr:uid="{00000000-0005-0000-0000-000016030000}"/>
    <cellStyle name="1 5 8" xfId="851" xr:uid="{00000000-0005-0000-0000-000017030000}"/>
    <cellStyle name="1 5 8 2" xfId="852" xr:uid="{00000000-0005-0000-0000-000018030000}"/>
    <cellStyle name="1 5 9" xfId="853" xr:uid="{00000000-0005-0000-0000-000019030000}"/>
    <cellStyle name="1 5 9 2" xfId="854" xr:uid="{00000000-0005-0000-0000-00001A030000}"/>
    <cellStyle name="1 50" xfId="855" xr:uid="{00000000-0005-0000-0000-00001B030000}"/>
    <cellStyle name="1 50 10" xfId="856" xr:uid="{00000000-0005-0000-0000-00001C030000}"/>
    <cellStyle name="1 50 2" xfId="857" xr:uid="{00000000-0005-0000-0000-00001D030000}"/>
    <cellStyle name="1 50 2 2" xfId="858" xr:uid="{00000000-0005-0000-0000-00001E030000}"/>
    <cellStyle name="1 50 3" xfId="859" xr:uid="{00000000-0005-0000-0000-00001F030000}"/>
    <cellStyle name="1 50 3 2" xfId="860" xr:uid="{00000000-0005-0000-0000-000020030000}"/>
    <cellStyle name="1 50 4" xfId="861" xr:uid="{00000000-0005-0000-0000-000021030000}"/>
    <cellStyle name="1 50 4 2" xfId="862" xr:uid="{00000000-0005-0000-0000-000022030000}"/>
    <cellStyle name="1 50 5" xfId="863" xr:uid="{00000000-0005-0000-0000-000023030000}"/>
    <cellStyle name="1 50 5 2" xfId="864" xr:uid="{00000000-0005-0000-0000-000024030000}"/>
    <cellStyle name="1 50 6" xfId="865" xr:uid="{00000000-0005-0000-0000-000025030000}"/>
    <cellStyle name="1 50 6 2" xfId="866" xr:uid="{00000000-0005-0000-0000-000026030000}"/>
    <cellStyle name="1 50 7" xfId="867" xr:uid="{00000000-0005-0000-0000-000027030000}"/>
    <cellStyle name="1 50 7 2" xfId="868" xr:uid="{00000000-0005-0000-0000-000028030000}"/>
    <cellStyle name="1 50 8" xfId="869" xr:uid="{00000000-0005-0000-0000-000029030000}"/>
    <cellStyle name="1 50 8 2" xfId="870" xr:uid="{00000000-0005-0000-0000-00002A030000}"/>
    <cellStyle name="1 50 9" xfId="871" xr:uid="{00000000-0005-0000-0000-00002B030000}"/>
    <cellStyle name="1 50 9 2" xfId="872" xr:uid="{00000000-0005-0000-0000-00002C030000}"/>
    <cellStyle name="1 51" xfId="873" xr:uid="{00000000-0005-0000-0000-00002D030000}"/>
    <cellStyle name="1 51 10" xfId="874" xr:uid="{00000000-0005-0000-0000-00002E030000}"/>
    <cellStyle name="1 51 2" xfId="875" xr:uid="{00000000-0005-0000-0000-00002F030000}"/>
    <cellStyle name="1 51 2 2" xfId="876" xr:uid="{00000000-0005-0000-0000-000030030000}"/>
    <cellStyle name="1 51 3" xfId="877" xr:uid="{00000000-0005-0000-0000-000031030000}"/>
    <cellStyle name="1 51 3 2" xfId="878" xr:uid="{00000000-0005-0000-0000-000032030000}"/>
    <cellStyle name="1 51 4" xfId="879" xr:uid="{00000000-0005-0000-0000-000033030000}"/>
    <cellStyle name="1 51 4 2" xfId="880" xr:uid="{00000000-0005-0000-0000-000034030000}"/>
    <cellStyle name="1 51 5" xfId="881" xr:uid="{00000000-0005-0000-0000-000035030000}"/>
    <cellStyle name="1 51 5 2" xfId="882" xr:uid="{00000000-0005-0000-0000-000036030000}"/>
    <cellStyle name="1 51 6" xfId="883" xr:uid="{00000000-0005-0000-0000-000037030000}"/>
    <cellStyle name="1 51 6 2" xfId="884" xr:uid="{00000000-0005-0000-0000-000038030000}"/>
    <cellStyle name="1 51 7" xfId="885" xr:uid="{00000000-0005-0000-0000-000039030000}"/>
    <cellStyle name="1 51 7 2" xfId="886" xr:uid="{00000000-0005-0000-0000-00003A030000}"/>
    <cellStyle name="1 51 8" xfId="887" xr:uid="{00000000-0005-0000-0000-00003B030000}"/>
    <cellStyle name="1 51 8 2" xfId="888" xr:uid="{00000000-0005-0000-0000-00003C030000}"/>
    <cellStyle name="1 51 9" xfId="889" xr:uid="{00000000-0005-0000-0000-00003D030000}"/>
    <cellStyle name="1 51 9 2" xfId="890" xr:uid="{00000000-0005-0000-0000-00003E030000}"/>
    <cellStyle name="1 52" xfId="891" xr:uid="{00000000-0005-0000-0000-00003F030000}"/>
    <cellStyle name="1 52 10" xfId="892" xr:uid="{00000000-0005-0000-0000-000040030000}"/>
    <cellStyle name="1 52 2" xfId="893" xr:uid="{00000000-0005-0000-0000-000041030000}"/>
    <cellStyle name="1 52 2 2" xfId="894" xr:uid="{00000000-0005-0000-0000-000042030000}"/>
    <cellStyle name="1 52 3" xfId="895" xr:uid="{00000000-0005-0000-0000-000043030000}"/>
    <cellStyle name="1 52 3 2" xfId="896" xr:uid="{00000000-0005-0000-0000-000044030000}"/>
    <cellStyle name="1 52 4" xfId="897" xr:uid="{00000000-0005-0000-0000-000045030000}"/>
    <cellStyle name="1 52 4 2" xfId="898" xr:uid="{00000000-0005-0000-0000-000046030000}"/>
    <cellStyle name="1 52 5" xfId="899" xr:uid="{00000000-0005-0000-0000-000047030000}"/>
    <cellStyle name="1 52 5 2" xfId="900" xr:uid="{00000000-0005-0000-0000-000048030000}"/>
    <cellStyle name="1 52 6" xfId="901" xr:uid="{00000000-0005-0000-0000-000049030000}"/>
    <cellStyle name="1 52 6 2" xfId="902" xr:uid="{00000000-0005-0000-0000-00004A030000}"/>
    <cellStyle name="1 52 7" xfId="903" xr:uid="{00000000-0005-0000-0000-00004B030000}"/>
    <cellStyle name="1 52 7 2" xfId="904" xr:uid="{00000000-0005-0000-0000-00004C030000}"/>
    <cellStyle name="1 52 8" xfId="905" xr:uid="{00000000-0005-0000-0000-00004D030000}"/>
    <cellStyle name="1 52 8 2" xfId="906" xr:uid="{00000000-0005-0000-0000-00004E030000}"/>
    <cellStyle name="1 52 9" xfId="907" xr:uid="{00000000-0005-0000-0000-00004F030000}"/>
    <cellStyle name="1 52 9 2" xfId="908" xr:uid="{00000000-0005-0000-0000-000050030000}"/>
    <cellStyle name="1 53" xfId="909" xr:uid="{00000000-0005-0000-0000-000051030000}"/>
    <cellStyle name="1 53 10" xfId="910" xr:uid="{00000000-0005-0000-0000-000052030000}"/>
    <cellStyle name="1 53 2" xfId="911" xr:uid="{00000000-0005-0000-0000-000053030000}"/>
    <cellStyle name="1 53 2 2" xfId="912" xr:uid="{00000000-0005-0000-0000-000054030000}"/>
    <cellStyle name="1 53 3" xfId="913" xr:uid="{00000000-0005-0000-0000-000055030000}"/>
    <cellStyle name="1 53 3 2" xfId="914" xr:uid="{00000000-0005-0000-0000-000056030000}"/>
    <cellStyle name="1 53 4" xfId="915" xr:uid="{00000000-0005-0000-0000-000057030000}"/>
    <cellStyle name="1 53 4 2" xfId="916" xr:uid="{00000000-0005-0000-0000-000058030000}"/>
    <cellStyle name="1 53 5" xfId="917" xr:uid="{00000000-0005-0000-0000-000059030000}"/>
    <cellStyle name="1 53 5 2" xfId="918" xr:uid="{00000000-0005-0000-0000-00005A030000}"/>
    <cellStyle name="1 53 6" xfId="919" xr:uid="{00000000-0005-0000-0000-00005B030000}"/>
    <cellStyle name="1 53 6 2" xfId="920" xr:uid="{00000000-0005-0000-0000-00005C030000}"/>
    <cellStyle name="1 53 7" xfId="921" xr:uid="{00000000-0005-0000-0000-00005D030000}"/>
    <cellStyle name="1 53 7 2" xfId="922" xr:uid="{00000000-0005-0000-0000-00005E030000}"/>
    <cellStyle name="1 53 8" xfId="923" xr:uid="{00000000-0005-0000-0000-00005F030000}"/>
    <cellStyle name="1 53 8 2" xfId="924" xr:uid="{00000000-0005-0000-0000-000060030000}"/>
    <cellStyle name="1 53 9" xfId="925" xr:uid="{00000000-0005-0000-0000-000061030000}"/>
    <cellStyle name="1 53 9 2" xfId="926" xr:uid="{00000000-0005-0000-0000-000062030000}"/>
    <cellStyle name="1 54" xfId="927" xr:uid="{00000000-0005-0000-0000-000063030000}"/>
    <cellStyle name="1 54 10" xfId="928" xr:uid="{00000000-0005-0000-0000-000064030000}"/>
    <cellStyle name="1 54 2" xfId="929" xr:uid="{00000000-0005-0000-0000-000065030000}"/>
    <cellStyle name="1 54 2 2" xfId="930" xr:uid="{00000000-0005-0000-0000-000066030000}"/>
    <cellStyle name="1 54 3" xfId="931" xr:uid="{00000000-0005-0000-0000-000067030000}"/>
    <cellStyle name="1 54 3 2" xfId="932" xr:uid="{00000000-0005-0000-0000-000068030000}"/>
    <cellStyle name="1 54 4" xfId="933" xr:uid="{00000000-0005-0000-0000-000069030000}"/>
    <cellStyle name="1 54 4 2" xfId="934" xr:uid="{00000000-0005-0000-0000-00006A030000}"/>
    <cellStyle name="1 54 5" xfId="935" xr:uid="{00000000-0005-0000-0000-00006B030000}"/>
    <cellStyle name="1 54 5 2" xfId="936" xr:uid="{00000000-0005-0000-0000-00006C030000}"/>
    <cellStyle name="1 54 6" xfId="937" xr:uid="{00000000-0005-0000-0000-00006D030000}"/>
    <cellStyle name="1 54 6 2" xfId="938" xr:uid="{00000000-0005-0000-0000-00006E030000}"/>
    <cellStyle name="1 54 7" xfId="939" xr:uid="{00000000-0005-0000-0000-00006F030000}"/>
    <cellStyle name="1 54 7 2" xfId="940" xr:uid="{00000000-0005-0000-0000-000070030000}"/>
    <cellStyle name="1 54 8" xfId="941" xr:uid="{00000000-0005-0000-0000-000071030000}"/>
    <cellStyle name="1 54 8 2" xfId="942" xr:uid="{00000000-0005-0000-0000-000072030000}"/>
    <cellStyle name="1 54 9" xfId="943" xr:uid="{00000000-0005-0000-0000-000073030000}"/>
    <cellStyle name="1 54 9 2" xfId="944" xr:uid="{00000000-0005-0000-0000-000074030000}"/>
    <cellStyle name="1 55" xfId="945" xr:uid="{00000000-0005-0000-0000-000075030000}"/>
    <cellStyle name="1 55 10" xfId="946" xr:uid="{00000000-0005-0000-0000-000076030000}"/>
    <cellStyle name="1 55 2" xfId="947" xr:uid="{00000000-0005-0000-0000-000077030000}"/>
    <cellStyle name="1 55 2 2" xfId="948" xr:uid="{00000000-0005-0000-0000-000078030000}"/>
    <cellStyle name="1 55 3" xfId="949" xr:uid="{00000000-0005-0000-0000-000079030000}"/>
    <cellStyle name="1 55 3 2" xfId="950" xr:uid="{00000000-0005-0000-0000-00007A030000}"/>
    <cellStyle name="1 55 4" xfId="951" xr:uid="{00000000-0005-0000-0000-00007B030000}"/>
    <cellStyle name="1 55 4 2" xfId="952" xr:uid="{00000000-0005-0000-0000-00007C030000}"/>
    <cellStyle name="1 55 5" xfId="953" xr:uid="{00000000-0005-0000-0000-00007D030000}"/>
    <cellStyle name="1 55 5 2" xfId="954" xr:uid="{00000000-0005-0000-0000-00007E030000}"/>
    <cellStyle name="1 55 6" xfId="955" xr:uid="{00000000-0005-0000-0000-00007F030000}"/>
    <cellStyle name="1 55 6 2" xfId="956" xr:uid="{00000000-0005-0000-0000-000080030000}"/>
    <cellStyle name="1 55 7" xfId="957" xr:uid="{00000000-0005-0000-0000-000081030000}"/>
    <cellStyle name="1 55 7 2" xfId="958" xr:uid="{00000000-0005-0000-0000-000082030000}"/>
    <cellStyle name="1 55 8" xfId="959" xr:uid="{00000000-0005-0000-0000-000083030000}"/>
    <cellStyle name="1 55 8 2" xfId="960" xr:uid="{00000000-0005-0000-0000-000084030000}"/>
    <cellStyle name="1 55 9" xfId="961" xr:uid="{00000000-0005-0000-0000-000085030000}"/>
    <cellStyle name="1 55 9 2" xfId="962" xr:uid="{00000000-0005-0000-0000-000086030000}"/>
    <cellStyle name="1 56" xfId="963" xr:uid="{00000000-0005-0000-0000-000087030000}"/>
    <cellStyle name="1 56 10" xfId="964" xr:uid="{00000000-0005-0000-0000-000088030000}"/>
    <cellStyle name="1 56 2" xfId="965" xr:uid="{00000000-0005-0000-0000-000089030000}"/>
    <cellStyle name="1 56 2 2" xfId="966" xr:uid="{00000000-0005-0000-0000-00008A030000}"/>
    <cellStyle name="1 56 3" xfId="967" xr:uid="{00000000-0005-0000-0000-00008B030000}"/>
    <cellStyle name="1 56 3 2" xfId="968" xr:uid="{00000000-0005-0000-0000-00008C030000}"/>
    <cellStyle name="1 56 4" xfId="969" xr:uid="{00000000-0005-0000-0000-00008D030000}"/>
    <cellStyle name="1 56 4 2" xfId="970" xr:uid="{00000000-0005-0000-0000-00008E030000}"/>
    <cellStyle name="1 56 5" xfId="971" xr:uid="{00000000-0005-0000-0000-00008F030000}"/>
    <cellStyle name="1 56 5 2" xfId="972" xr:uid="{00000000-0005-0000-0000-000090030000}"/>
    <cellStyle name="1 56 6" xfId="973" xr:uid="{00000000-0005-0000-0000-000091030000}"/>
    <cellStyle name="1 56 6 2" xfId="974" xr:uid="{00000000-0005-0000-0000-000092030000}"/>
    <cellStyle name="1 56 7" xfId="975" xr:uid="{00000000-0005-0000-0000-000093030000}"/>
    <cellStyle name="1 56 7 2" xfId="976" xr:uid="{00000000-0005-0000-0000-000094030000}"/>
    <cellStyle name="1 56 8" xfId="977" xr:uid="{00000000-0005-0000-0000-000095030000}"/>
    <cellStyle name="1 56 8 2" xfId="978" xr:uid="{00000000-0005-0000-0000-000096030000}"/>
    <cellStyle name="1 56 9" xfId="979" xr:uid="{00000000-0005-0000-0000-000097030000}"/>
    <cellStyle name="1 56 9 2" xfId="980" xr:uid="{00000000-0005-0000-0000-000098030000}"/>
    <cellStyle name="1 57" xfId="981" xr:uid="{00000000-0005-0000-0000-000099030000}"/>
    <cellStyle name="1 57 10" xfId="982" xr:uid="{00000000-0005-0000-0000-00009A030000}"/>
    <cellStyle name="1 57 2" xfId="983" xr:uid="{00000000-0005-0000-0000-00009B030000}"/>
    <cellStyle name="1 57 2 2" xfId="984" xr:uid="{00000000-0005-0000-0000-00009C030000}"/>
    <cellStyle name="1 57 3" xfId="985" xr:uid="{00000000-0005-0000-0000-00009D030000}"/>
    <cellStyle name="1 57 3 2" xfId="986" xr:uid="{00000000-0005-0000-0000-00009E030000}"/>
    <cellStyle name="1 57 4" xfId="987" xr:uid="{00000000-0005-0000-0000-00009F030000}"/>
    <cellStyle name="1 57 4 2" xfId="988" xr:uid="{00000000-0005-0000-0000-0000A0030000}"/>
    <cellStyle name="1 57 5" xfId="989" xr:uid="{00000000-0005-0000-0000-0000A1030000}"/>
    <cellStyle name="1 57 5 2" xfId="990" xr:uid="{00000000-0005-0000-0000-0000A2030000}"/>
    <cellStyle name="1 57 6" xfId="991" xr:uid="{00000000-0005-0000-0000-0000A3030000}"/>
    <cellStyle name="1 57 6 2" xfId="992" xr:uid="{00000000-0005-0000-0000-0000A4030000}"/>
    <cellStyle name="1 57 7" xfId="993" xr:uid="{00000000-0005-0000-0000-0000A5030000}"/>
    <cellStyle name="1 57 7 2" xfId="994" xr:uid="{00000000-0005-0000-0000-0000A6030000}"/>
    <cellStyle name="1 57 8" xfId="995" xr:uid="{00000000-0005-0000-0000-0000A7030000}"/>
    <cellStyle name="1 57 8 2" xfId="996" xr:uid="{00000000-0005-0000-0000-0000A8030000}"/>
    <cellStyle name="1 57 9" xfId="997" xr:uid="{00000000-0005-0000-0000-0000A9030000}"/>
    <cellStyle name="1 57 9 2" xfId="998" xr:uid="{00000000-0005-0000-0000-0000AA030000}"/>
    <cellStyle name="1 58" xfId="999" xr:uid="{00000000-0005-0000-0000-0000AB030000}"/>
    <cellStyle name="1 58 10" xfId="1000" xr:uid="{00000000-0005-0000-0000-0000AC030000}"/>
    <cellStyle name="1 58 2" xfId="1001" xr:uid="{00000000-0005-0000-0000-0000AD030000}"/>
    <cellStyle name="1 58 2 2" xfId="1002" xr:uid="{00000000-0005-0000-0000-0000AE030000}"/>
    <cellStyle name="1 58 3" xfId="1003" xr:uid="{00000000-0005-0000-0000-0000AF030000}"/>
    <cellStyle name="1 58 3 2" xfId="1004" xr:uid="{00000000-0005-0000-0000-0000B0030000}"/>
    <cellStyle name="1 58 4" xfId="1005" xr:uid="{00000000-0005-0000-0000-0000B1030000}"/>
    <cellStyle name="1 58 4 2" xfId="1006" xr:uid="{00000000-0005-0000-0000-0000B2030000}"/>
    <cellStyle name="1 58 5" xfId="1007" xr:uid="{00000000-0005-0000-0000-0000B3030000}"/>
    <cellStyle name="1 58 5 2" xfId="1008" xr:uid="{00000000-0005-0000-0000-0000B4030000}"/>
    <cellStyle name="1 58 6" xfId="1009" xr:uid="{00000000-0005-0000-0000-0000B5030000}"/>
    <cellStyle name="1 58 6 2" xfId="1010" xr:uid="{00000000-0005-0000-0000-0000B6030000}"/>
    <cellStyle name="1 58 7" xfId="1011" xr:uid="{00000000-0005-0000-0000-0000B7030000}"/>
    <cellStyle name="1 58 7 2" xfId="1012" xr:uid="{00000000-0005-0000-0000-0000B8030000}"/>
    <cellStyle name="1 58 8" xfId="1013" xr:uid="{00000000-0005-0000-0000-0000B9030000}"/>
    <cellStyle name="1 58 8 2" xfId="1014" xr:uid="{00000000-0005-0000-0000-0000BA030000}"/>
    <cellStyle name="1 58 9" xfId="1015" xr:uid="{00000000-0005-0000-0000-0000BB030000}"/>
    <cellStyle name="1 58 9 2" xfId="1016" xr:uid="{00000000-0005-0000-0000-0000BC030000}"/>
    <cellStyle name="1 59" xfId="1017" xr:uid="{00000000-0005-0000-0000-0000BD030000}"/>
    <cellStyle name="1 59 10" xfId="1018" xr:uid="{00000000-0005-0000-0000-0000BE030000}"/>
    <cellStyle name="1 59 2" xfId="1019" xr:uid="{00000000-0005-0000-0000-0000BF030000}"/>
    <cellStyle name="1 59 2 2" xfId="1020" xr:uid="{00000000-0005-0000-0000-0000C0030000}"/>
    <cellStyle name="1 59 3" xfId="1021" xr:uid="{00000000-0005-0000-0000-0000C1030000}"/>
    <cellStyle name="1 59 3 2" xfId="1022" xr:uid="{00000000-0005-0000-0000-0000C2030000}"/>
    <cellStyle name="1 59 4" xfId="1023" xr:uid="{00000000-0005-0000-0000-0000C3030000}"/>
    <cellStyle name="1 59 4 2" xfId="1024" xr:uid="{00000000-0005-0000-0000-0000C4030000}"/>
    <cellStyle name="1 59 5" xfId="1025" xr:uid="{00000000-0005-0000-0000-0000C5030000}"/>
    <cellStyle name="1 59 5 2" xfId="1026" xr:uid="{00000000-0005-0000-0000-0000C6030000}"/>
    <cellStyle name="1 59 6" xfId="1027" xr:uid="{00000000-0005-0000-0000-0000C7030000}"/>
    <cellStyle name="1 59 6 2" xfId="1028" xr:uid="{00000000-0005-0000-0000-0000C8030000}"/>
    <cellStyle name="1 59 7" xfId="1029" xr:uid="{00000000-0005-0000-0000-0000C9030000}"/>
    <cellStyle name="1 59 7 2" xfId="1030" xr:uid="{00000000-0005-0000-0000-0000CA030000}"/>
    <cellStyle name="1 59 8" xfId="1031" xr:uid="{00000000-0005-0000-0000-0000CB030000}"/>
    <cellStyle name="1 59 8 2" xfId="1032" xr:uid="{00000000-0005-0000-0000-0000CC030000}"/>
    <cellStyle name="1 59 9" xfId="1033" xr:uid="{00000000-0005-0000-0000-0000CD030000}"/>
    <cellStyle name="1 59 9 2" xfId="1034" xr:uid="{00000000-0005-0000-0000-0000CE030000}"/>
    <cellStyle name="1 6" xfId="1035" xr:uid="{00000000-0005-0000-0000-0000CF030000}"/>
    <cellStyle name="1 6 10" xfId="1036" xr:uid="{00000000-0005-0000-0000-0000D0030000}"/>
    <cellStyle name="1 6 2" xfId="1037" xr:uid="{00000000-0005-0000-0000-0000D1030000}"/>
    <cellStyle name="1 6 2 2" xfId="1038" xr:uid="{00000000-0005-0000-0000-0000D2030000}"/>
    <cellStyle name="1 6 3" xfId="1039" xr:uid="{00000000-0005-0000-0000-0000D3030000}"/>
    <cellStyle name="1 6 3 2" xfId="1040" xr:uid="{00000000-0005-0000-0000-0000D4030000}"/>
    <cellStyle name="1 6 4" xfId="1041" xr:uid="{00000000-0005-0000-0000-0000D5030000}"/>
    <cellStyle name="1 6 4 2" xfId="1042" xr:uid="{00000000-0005-0000-0000-0000D6030000}"/>
    <cellStyle name="1 6 5" xfId="1043" xr:uid="{00000000-0005-0000-0000-0000D7030000}"/>
    <cellStyle name="1 6 5 2" xfId="1044" xr:uid="{00000000-0005-0000-0000-0000D8030000}"/>
    <cellStyle name="1 6 6" xfId="1045" xr:uid="{00000000-0005-0000-0000-0000D9030000}"/>
    <cellStyle name="1 6 6 2" xfId="1046" xr:uid="{00000000-0005-0000-0000-0000DA030000}"/>
    <cellStyle name="1 6 7" xfId="1047" xr:uid="{00000000-0005-0000-0000-0000DB030000}"/>
    <cellStyle name="1 6 7 2" xfId="1048" xr:uid="{00000000-0005-0000-0000-0000DC030000}"/>
    <cellStyle name="1 6 8" xfId="1049" xr:uid="{00000000-0005-0000-0000-0000DD030000}"/>
    <cellStyle name="1 6 8 2" xfId="1050" xr:uid="{00000000-0005-0000-0000-0000DE030000}"/>
    <cellStyle name="1 6 9" xfId="1051" xr:uid="{00000000-0005-0000-0000-0000DF030000}"/>
    <cellStyle name="1 6 9 2" xfId="1052" xr:uid="{00000000-0005-0000-0000-0000E0030000}"/>
    <cellStyle name="1 60" xfId="1053" xr:uid="{00000000-0005-0000-0000-0000E1030000}"/>
    <cellStyle name="1 60 10" xfId="1054" xr:uid="{00000000-0005-0000-0000-0000E2030000}"/>
    <cellStyle name="1 60 2" xfId="1055" xr:uid="{00000000-0005-0000-0000-0000E3030000}"/>
    <cellStyle name="1 60 2 2" xfId="1056" xr:uid="{00000000-0005-0000-0000-0000E4030000}"/>
    <cellStyle name="1 60 3" xfId="1057" xr:uid="{00000000-0005-0000-0000-0000E5030000}"/>
    <cellStyle name="1 60 3 2" xfId="1058" xr:uid="{00000000-0005-0000-0000-0000E6030000}"/>
    <cellStyle name="1 60 4" xfId="1059" xr:uid="{00000000-0005-0000-0000-0000E7030000}"/>
    <cellStyle name="1 60 4 2" xfId="1060" xr:uid="{00000000-0005-0000-0000-0000E8030000}"/>
    <cellStyle name="1 60 5" xfId="1061" xr:uid="{00000000-0005-0000-0000-0000E9030000}"/>
    <cellStyle name="1 60 5 2" xfId="1062" xr:uid="{00000000-0005-0000-0000-0000EA030000}"/>
    <cellStyle name="1 60 6" xfId="1063" xr:uid="{00000000-0005-0000-0000-0000EB030000}"/>
    <cellStyle name="1 60 6 2" xfId="1064" xr:uid="{00000000-0005-0000-0000-0000EC030000}"/>
    <cellStyle name="1 60 7" xfId="1065" xr:uid="{00000000-0005-0000-0000-0000ED030000}"/>
    <cellStyle name="1 60 7 2" xfId="1066" xr:uid="{00000000-0005-0000-0000-0000EE030000}"/>
    <cellStyle name="1 60 8" xfId="1067" xr:uid="{00000000-0005-0000-0000-0000EF030000}"/>
    <cellStyle name="1 60 8 2" xfId="1068" xr:uid="{00000000-0005-0000-0000-0000F0030000}"/>
    <cellStyle name="1 60 9" xfId="1069" xr:uid="{00000000-0005-0000-0000-0000F1030000}"/>
    <cellStyle name="1 60 9 2" xfId="1070" xr:uid="{00000000-0005-0000-0000-0000F2030000}"/>
    <cellStyle name="1 61" xfId="1071" xr:uid="{00000000-0005-0000-0000-0000F3030000}"/>
    <cellStyle name="1 61 10" xfId="1072" xr:uid="{00000000-0005-0000-0000-0000F4030000}"/>
    <cellStyle name="1 61 2" xfId="1073" xr:uid="{00000000-0005-0000-0000-0000F5030000}"/>
    <cellStyle name="1 61 2 2" xfId="1074" xr:uid="{00000000-0005-0000-0000-0000F6030000}"/>
    <cellStyle name="1 61 3" xfId="1075" xr:uid="{00000000-0005-0000-0000-0000F7030000}"/>
    <cellStyle name="1 61 3 2" xfId="1076" xr:uid="{00000000-0005-0000-0000-0000F8030000}"/>
    <cellStyle name="1 61 4" xfId="1077" xr:uid="{00000000-0005-0000-0000-0000F9030000}"/>
    <cellStyle name="1 61 4 2" xfId="1078" xr:uid="{00000000-0005-0000-0000-0000FA030000}"/>
    <cellStyle name="1 61 5" xfId="1079" xr:uid="{00000000-0005-0000-0000-0000FB030000}"/>
    <cellStyle name="1 61 5 2" xfId="1080" xr:uid="{00000000-0005-0000-0000-0000FC030000}"/>
    <cellStyle name="1 61 6" xfId="1081" xr:uid="{00000000-0005-0000-0000-0000FD030000}"/>
    <cellStyle name="1 61 6 2" xfId="1082" xr:uid="{00000000-0005-0000-0000-0000FE030000}"/>
    <cellStyle name="1 61 7" xfId="1083" xr:uid="{00000000-0005-0000-0000-0000FF030000}"/>
    <cellStyle name="1 61 7 2" xfId="1084" xr:uid="{00000000-0005-0000-0000-000000040000}"/>
    <cellStyle name="1 61 8" xfId="1085" xr:uid="{00000000-0005-0000-0000-000001040000}"/>
    <cellStyle name="1 61 8 2" xfId="1086" xr:uid="{00000000-0005-0000-0000-000002040000}"/>
    <cellStyle name="1 61 9" xfId="1087" xr:uid="{00000000-0005-0000-0000-000003040000}"/>
    <cellStyle name="1 61 9 2" xfId="1088" xr:uid="{00000000-0005-0000-0000-000004040000}"/>
    <cellStyle name="1 7" xfId="1089" xr:uid="{00000000-0005-0000-0000-000005040000}"/>
    <cellStyle name="1 7 10" xfId="1090" xr:uid="{00000000-0005-0000-0000-000006040000}"/>
    <cellStyle name="1 7 2" xfId="1091" xr:uid="{00000000-0005-0000-0000-000007040000}"/>
    <cellStyle name="1 7 2 2" xfId="1092" xr:uid="{00000000-0005-0000-0000-000008040000}"/>
    <cellStyle name="1 7 3" xfId="1093" xr:uid="{00000000-0005-0000-0000-000009040000}"/>
    <cellStyle name="1 7 3 2" xfId="1094" xr:uid="{00000000-0005-0000-0000-00000A040000}"/>
    <cellStyle name="1 7 4" xfId="1095" xr:uid="{00000000-0005-0000-0000-00000B040000}"/>
    <cellStyle name="1 7 4 2" xfId="1096" xr:uid="{00000000-0005-0000-0000-00000C040000}"/>
    <cellStyle name="1 7 5" xfId="1097" xr:uid="{00000000-0005-0000-0000-00000D040000}"/>
    <cellStyle name="1 7 5 2" xfId="1098" xr:uid="{00000000-0005-0000-0000-00000E040000}"/>
    <cellStyle name="1 7 6" xfId="1099" xr:uid="{00000000-0005-0000-0000-00000F040000}"/>
    <cellStyle name="1 7 6 2" xfId="1100" xr:uid="{00000000-0005-0000-0000-000010040000}"/>
    <cellStyle name="1 7 7" xfId="1101" xr:uid="{00000000-0005-0000-0000-000011040000}"/>
    <cellStyle name="1 7 7 2" xfId="1102" xr:uid="{00000000-0005-0000-0000-000012040000}"/>
    <cellStyle name="1 7 8" xfId="1103" xr:uid="{00000000-0005-0000-0000-000013040000}"/>
    <cellStyle name="1 7 8 2" xfId="1104" xr:uid="{00000000-0005-0000-0000-000014040000}"/>
    <cellStyle name="1 7 9" xfId="1105" xr:uid="{00000000-0005-0000-0000-000015040000}"/>
    <cellStyle name="1 7 9 2" xfId="1106" xr:uid="{00000000-0005-0000-0000-000016040000}"/>
    <cellStyle name="1 8" xfId="1107" xr:uid="{00000000-0005-0000-0000-000017040000}"/>
    <cellStyle name="1 8 10" xfId="1108" xr:uid="{00000000-0005-0000-0000-000018040000}"/>
    <cellStyle name="1 8 2" xfId="1109" xr:uid="{00000000-0005-0000-0000-000019040000}"/>
    <cellStyle name="1 8 2 2" xfId="1110" xr:uid="{00000000-0005-0000-0000-00001A040000}"/>
    <cellStyle name="1 8 3" xfId="1111" xr:uid="{00000000-0005-0000-0000-00001B040000}"/>
    <cellStyle name="1 8 3 2" xfId="1112" xr:uid="{00000000-0005-0000-0000-00001C040000}"/>
    <cellStyle name="1 8 4" xfId="1113" xr:uid="{00000000-0005-0000-0000-00001D040000}"/>
    <cellStyle name="1 8 4 2" xfId="1114" xr:uid="{00000000-0005-0000-0000-00001E040000}"/>
    <cellStyle name="1 8 5" xfId="1115" xr:uid="{00000000-0005-0000-0000-00001F040000}"/>
    <cellStyle name="1 8 5 2" xfId="1116" xr:uid="{00000000-0005-0000-0000-000020040000}"/>
    <cellStyle name="1 8 6" xfId="1117" xr:uid="{00000000-0005-0000-0000-000021040000}"/>
    <cellStyle name="1 8 6 2" xfId="1118" xr:uid="{00000000-0005-0000-0000-000022040000}"/>
    <cellStyle name="1 8 7" xfId="1119" xr:uid="{00000000-0005-0000-0000-000023040000}"/>
    <cellStyle name="1 8 7 2" xfId="1120" xr:uid="{00000000-0005-0000-0000-000024040000}"/>
    <cellStyle name="1 8 8" xfId="1121" xr:uid="{00000000-0005-0000-0000-000025040000}"/>
    <cellStyle name="1 8 8 2" xfId="1122" xr:uid="{00000000-0005-0000-0000-000026040000}"/>
    <cellStyle name="1 8 9" xfId="1123" xr:uid="{00000000-0005-0000-0000-000027040000}"/>
    <cellStyle name="1 8 9 2" xfId="1124" xr:uid="{00000000-0005-0000-0000-000028040000}"/>
    <cellStyle name="1 9" xfId="1125" xr:uid="{00000000-0005-0000-0000-000029040000}"/>
    <cellStyle name="1 9 10" xfId="1126" xr:uid="{00000000-0005-0000-0000-00002A040000}"/>
    <cellStyle name="1 9 2" xfId="1127" xr:uid="{00000000-0005-0000-0000-00002B040000}"/>
    <cellStyle name="1 9 2 2" xfId="1128" xr:uid="{00000000-0005-0000-0000-00002C040000}"/>
    <cellStyle name="1 9 3" xfId="1129" xr:uid="{00000000-0005-0000-0000-00002D040000}"/>
    <cellStyle name="1 9 3 2" xfId="1130" xr:uid="{00000000-0005-0000-0000-00002E040000}"/>
    <cellStyle name="1 9 4" xfId="1131" xr:uid="{00000000-0005-0000-0000-00002F040000}"/>
    <cellStyle name="1 9 4 2" xfId="1132" xr:uid="{00000000-0005-0000-0000-000030040000}"/>
    <cellStyle name="1 9 5" xfId="1133" xr:uid="{00000000-0005-0000-0000-000031040000}"/>
    <cellStyle name="1 9 5 2" xfId="1134" xr:uid="{00000000-0005-0000-0000-000032040000}"/>
    <cellStyle name="1 9 6" xfId="1135" xr:uid="{00000000-0005-0000-0000-000033040000}"/>
    <cellStyle name="1 9 6 2" xfId="1136" xr:uid="{00000000-0005-0000-0000-000034040000}"/>
    <cellStyle name="1 9 7" xfId="1137" xr:uid="{00000000-0005-0000-0000-000035040000}"/>
    <cellStyle name="1 9 7 2" xfId="1138" xr:uid="{00000000-0005-0000-0000-000036040000}"/>
    <cellStyle name="1 9 8" xfId="1139" xr:uid="{00000000-0005-0000-0000-000037040000}"/>
    <cellStyle name="1 9 8 2" xfId="1140" xr:uid="{00000000-0005-0000-0000-000038040000}"/>
    <cellStyle name="1 9 9" xfId="1141" xr:uid="{00000000-0005-0000-0000-000039040000}"/>
    <cellStyle name="1 9 9 2" xfId="1142" xr:uid="{00000000-0005-0000-0000-00003A040000}"/>
    <cellStyle name="20% - Accent1" xfId="37" xr:uid="{00000000-0005-0000-0000-00003B040000}"/>
    <cellStyle name="20% - Accent1 2" xfId="1143" xr:uid="{00000000-0005-0000-0000-00003C040000}"/>
    <cellStyle name="20% - Accent1 3" xfId="1144" xr:uid="{00000000-0005-0000-0000-00003D040000}"/>
    <cellStyle name="20% - Accent1 4" xfId="1145" xr:uid="{00000000-0005-0000-0000-00003E040000}"/>
    <cellStyle name="20% - Accent1 5" xfId="1146" xr:uid="{00000000-0005-0000-0000-00003F040000}"/>
    <cellStyle name="20% - Accent1 6" xfId="1147" xr:uid="{00000000-0005-0000-0000-000040040000}"/>
    <cellStyle name="20% - Accent1 7" xfId="1148" xr:uid="{00000000-0005-0000-0000-000041040000}"/>
    <cellStyle name="20% - Accent2" xfId="41" xr:uid="{00000000-0005-0000-0000-000042040000}"/>
    <cellStyle name="20% - Accent2 2" xfId="1149" xr:uid="{00000000-0005-0000-0000-000043040000}"/>
    <cellStyle name="20% - Accent2 3" xfId="1150" xr:uid="{00000000-0005-0000-0000-000044040000}"/>
    <cellStyle name="20% - Accent2 4" xfId="1151" xr:uid="{00000000-0005-0000-0000-000045040000}"/>
    <cellStyle name="20% - Accent2 5" xfId="1152" xr:uid="{00000000-0005-0000-0000-000046040000}"/>
    <cellStyle name="20% - Accent2 6" xfId="1153" xr:uid="{00000000-0005-0000-0000-000047040000}"/>
    <cellStyle name="20% - Accent2 7" xfId="1154" xr:uid="{00000000-0005-0000-0000-000048040000}"/>
    <cellStyle name="20% - Accent3" xfId="45" xr:uid="{00000000-0005-0000-0000-000049040000}"/>
    <cellStyle name="20% - Accent3 2" xfId="1155" xr:uid="{00000000-0005-0000-0000-00004A040000}"/>
    <cellStyle name="20% - Accent3 3" xfId="1156" xr:uid="{00000000-0005-0000-0000-00004B040000}"/>
    <cellStyle name="20% - Accent3 4" xfId="1157" xr:uid="{00000000-0005-0000-0000-00004C040000}"/>
    <cellStyle name="20% - Accent3 5" xfId="1158" xr:uid="{00000000-0005-0000-0000-00004D040000}"/>
    <cellStyle name="20% - Accent3 6" xfId="1159" xr:uid="{00000000-0005-0000-0000-00004E040000}"/>
    <cellStyle name="20% - Accent3 7" xfId="1160" xr:uid="{00000000-0005-0000-0000-00004F040000}"/>
    <cellStyle name="20% - Accent4" xfId="49" xr:uid="{00000000-0005-0000-0000-000050040000}"/>
    <cellStyle name="20% - Accent4 2" xfId="1161" xr:uid="{00000000-0005-0000-0000-000051040000}"/>
    <cellStyle name="20% - Accent4 3" xfId="1162" xr:uid="{00000000-0005-0000-0000-000052040000}"/>
    <cellStyle name="20% - Accent4 4" xfId="1163" xr:uid="{00000000-0005-0000-0000-000053040000}"/>
    <cellStyle name="20% - Accent4 5" xfId="1164" xr:uid="{00000000-0005-0000-0000-000054040000}"/>
    <cellStyle name="20% - Accent4 6" xfId="1165" xr:uid="{00000000-0005-0000-0000-000055040000}"/>
    <cellStyle name="20% - Accent4 7" xfId="1166" xr:uid="{00000000-0005-0000-0000-000056040000}"/>
    <cellStyle name="20% - Accent5" xfId="53" xr:uid="{00000000-0005-0000-0000-000057040000}"/>
    <cellStyle name="20% - Accent5 2" xfId="1167" xr:uid="{00000000-0005-0000-0000-000058040000}"/>
    <cellStyle name="20% - Accent5 3" xfId="1168" xr:uid="{00000000-0005-0000-0000-000059040000}"/>
    <cellStyle name="20% - Accent5 4" xfId="1169" xr:uid="{00000000-0005-0000-0000-00005A040000}"/>
    <cellStyle name="20% - Accent5 5" xfId="1170" xr:uid="{00000000-0005-0000-0000-00005B040000}"/>
    <cellStyle name="20% - Accent5 6" xfId="1171" xr:uid="{00000000-0005-0000-0000-00005C040000}"/>
    <cellStyle name="20% - Accent5 7" xfId="1172" xr:uid="{00000000-0005-0000-0000-00005D040000}"/>
    <cellStyle name="20% - Accent6" xfId="57" xr:uid="{00000000-0005-0000-0000-00005E040000}"/>
    <cellStyle name="20% - Accent6 2" xfId="1173" xr:uid="{00000000-0005-0000-0000-00005F040000}"/>
    <cellStyle name="20% - Accent6 3" xfId="1174" xr:uid="{00000000-0005-0000-0000-000060040000}"/>
    <cellStyle name="20% - Accent6 4" xfId="1175" xr:uid="{00000000-0005-0000-0000-000061040000}"/>
    <cellStyle name="20% - Accent6 5" xfId="1176" xr:uid="{00000000-0005-0000-0000-000062040000}"/>
    <cellStyle name="20% - Accent6 6" xfId="1177" xr:uid="{00000000-0005-0000-0000-000063040000}"/>
    <cellStyle name="20% - Accent6 7" xfId="1178" xr:uid="{00000000-0005-0000-0000-000064040000}"/>
    <cellStyle name="20% - Énfasis1 2" xfId="1179" xr:uid="{00000000-0005-0000-0000-000065040000}"/>
    <cellStyle name="20% - Énfasis1 2 2" xfId="1180" xr:uid="{00000000-0005-0000-0000-000066040000}"/>
    <cellStyle name="20% - Énfasis1 3" xfId="1181" xr:uid="{00000000-0005-0000-0000-000067040000}"/>
    <cellStyle name="20% - Énfasis1 3 2" xfId="1182" xr:uid="{00000000-0005-0000-0000-000068040000}"/>
    <cellStyle name="20% - Énfasis1 4" xfId="1183" xr:uid="{00000000-0005-0000-0000-000069040000}"/>
    <cellStyle name="20% - Énfasis1 4 2" xfId="1184" xr:uid="{00000000-0005-0000-0000-00006A040000}"/>
    <cellStyle name="20% - Énfasis1 5" xfId="1185" xr:uid="{00000000-0005-0000-0000-00006B040000}"/>
    <cellStyle name="20% - Énfasis1 5 2" xfId="1186" xr:uid="{00000000-0005-0000-0000-00006C040000}"/>
    <cellStyle name="20% - Énfasis1 6" xfId="1187" xr:uid="{00000000-0005-0000-0000-00006D040000}"/>
    <cellStyle name="20% - Énfasis1 6 2" xfId="1188" xr:uid="{00000000-0005-0000-0000-00006E040000}"/>
    <cellStyle name="20% - Énfasis1 7" xfId="1189" xr:uid="{00000000-0005-0000-0000-00006F040000}"/>
    <cellStyle name="20% - Énfasis1 7 2" xfId="1190" xr:uid="{00000000-0005-0000-0000-000070040000}"/>
    <cellStyle name="20% - Énfasis1 8" xfId="58871" xr:uid="{00000000-0005-0000-0000-000071040000}"/>
    <cellStyle name="20% - Énfasis2 2" xfId="1191" xr:uid="{00000000-0005-0000-0000-000072040000}"/>
    <cellStyle name="20% - Énfasis2 2 2" xfId="1192" xr:uid="{00000000-0005-0000-0000-000073040000}"/>
    <cellStyle name="20% - Énfasis2 3" xfId="1193" xr:uid="{00000000-0005-0000-0000-000074040000}"/>
    <cellStyle name="20% - Énfasis2 3 2" xfId="1194" xr:uid="{00000000-0005-0000-0000-000075040000}"/>
    <cellStyle name="20% - Énfasis2 4" xfId="1195" xr:uid="{00000000-0005-0000-0000-000076040000}"/>
    <cellStyle name="20% - Énfasis2 4 2" xfId="1196" xr:uid="{00000000-0005-0000-0000-000077040000}"/>
    <cellStyle name="20% - Énfasis2 5" xfId="1197" xr:uid="{00000000-0005-0000-0000-000078040000}"/>
    <cellStyle name="20% - Énfasis2 5 2" xfId="1198" xr:uid="{00000000-0005-0000-0000-000079040000}"/>
    <cellStyle name="20% - Énfasis2 6" xfId="1199" xr:uid="{00000000-0005-0000-0000-00007A040000}"/>
    <cellStyle name="20% - Énfasis2 6 2" xfId="1200" xr:uid="{00000000-0005-0000-0000-00007B040000}"/>
    <cellStyle name="20% - Énfasis2 7" xfId="1201" xr:uid="{00000000-0005-0000-0000-00007C040000}"/>
    <cellStyle name="20% - Énfasis2 7 2" xfId="1202" xr:uid="{00000000-0005-0000-0000-00007D040000}"/>
    <cellStyle name="20% - Énfasis2 8" xfId="58873" xr:uid="{00000000-0005-0000-0000-00007E040000}"/>
    <cellStyle name="20% - Énfasis3 2" xfId="1203" xr:uid="{00000000-0005-0000-0000-00007F040000}"/>
    <cellStyle name="20% - Énfasis3 2 2" xfId="1204" xr:uid="{00000000-0005-0000-0000-000080040000}"/>
    <cellStyle name="20% - Énfasis3 3" xfId="1205" xr:uid="{00000000-0005-0000-0000-000081040000}"/>
    <cellStyle name="20% - Énfasis3 3 2" xfId="1206" xr:uid="{00000000-0005-0000-0000-000082040000}"/>
    <cellStyle name="20% - Énfasis3 4" xfId="1207" xr:uid="{00000000-0005-0000-0000-000083040000}"/>
    <cellStyle name="20% - Énfasis3 4 2" xfId="1208" xr:uid="{00000000-0005-0000-0000-000084040000}"/>
    <cellStyle name="20% - Énfasis3 5" xfId="1209" xr:uid="{00000000-0005-0000-0000-000085040000}"/>
    <cellStyle name="20% - Énfasis3 5 2" xfId="1210" xr:uid="{00000000-0005-0000-0000-000086040000}"/>
    <cellStyle name="20% - Énfasis3 6" xfId="1211" xr:uid="{00000000-0005-0000-0000-000087040000}"/>
    <cellStyle name="20% - Énfasis3 6 2" xfId="1212" xr:uid="{00000000-0005-0000-0000-000088040000}"/>
    <cellStyle name="20% - Énfasis3 7" xfId="1213" xr:uid="{00000000-0005-0000-0000-000089040000}"/>
    <cellStyle name="20% - Énfasis3 7 2" xfId="1214" xr:uid="{00000000-0005-0000-0000-00008A040000}"/>
    <cellStyle name="20% - Énfasis3 8" xfId="58875" xr:uid="{00000000-0005-0000-0000-00008B040000}"/>
    <cellStyle name="20% - Énfasis4 2" xfId="1215" xr:uid="{00000000-0005-0000-0000-00008C040000}"/>
    <cellStyle name="20% - Énfasis4 2 2" xfId="1216" xr:uid="{00000000-0005-0000-0000-00008D040000}"/>
    <cellStyle name="20% - Énfasis4 3" xfId="1217" xr:uid="{00000000-0005-0000-0000-00008E040000}"/>
    <cellStyle name="20% - Énfasis4 3 2" xfId="1218" xr:uid="{00000000-0005-0000-0000-00008F040000}"/>
    <cellStyle name="20% - Énfasis4 4" xfId="1219" xr:uid="{00000000-0005-0000-0000-000090040000}"/>
    <cellStyle name="20% - Énfasis4 4 2" xfId="1220" xr:uid="{00000000-0005-0000-0000-000091040000}"/>
    <cellStyle name="20% - Énfasis4 5" xfId="1221" xr:uid="{00000000-0005-0000-0000-000092040000}"/>
    <cellStyle name="20% - Énfasis4 5 2" xfId="1222" xr:uid="{00000000-0005-0000-0000-000093040000}"/>
    <cellStyle name="20% - Énfasis4 6" xfId="1223" xr:uid="{00000000-0005-0000-0000-000094040000}"/>
    <cellStyle name="20% - Énfasis4 6 2" xfId="1224" xr:uid="{00000000-0005-0000-0000-000095040000}"/>
    <cellStyle name="20% - Énfasis4 7" xfId="1225" xr:uid="{00000000-0005-0000-0000-000096040000}"/>
    <cellStyle name="20% - Énfasis4 7 2" xfId="1226" xr:uid="{00000000-0005-0000-0000-000097040000}"/>
    <cellStyle name="20% - Énfasis4 8" xfId="58877" xr:uid="{00000000-0005-0000-0000-000098040000}"/>
    <cellStyle name="20% - Énfasis5 2" xfId="1227" xr:uid="{00000000-0005-0000-0000-000099040000}"/>
    <cellStyle name="20% - Énfasis5 2 2" xfId="1228" xr:uid="{00000000-0005-0000-0000-00009A040000}"/>
    <cellStyle name="20% - Énfasis5 3" xfId="1229" xr:uid="{00000000-0005-0000-0000-00009B040000}"/>
    <cellStyle name="20% - Énfasis5 3 2" xfId="1230" xr:uid="{00000000-0005-0000-0000-00009C040000}"/>
    <cellStyle name="20% - Énfasis5 4" xfId="1231" xr:uid="{00000000-0005-0000-0000-00009D040000}"/>
    <cellStyle name="20% - Énfasis5 4 2" xfId="1232" xr:uid="{00000000-0005-0000-0000-00009E040000}"/>
    <cellStyle name="20% - Énfasis5 5" xfId="1233" xr:uid="{00000000-0005-0000-0000-00009F040000}"/>
    <cellStyle name="20% - Énfasis5 5 2" xfId="1234" xr:uid="{00000000-0005-0000-0000-0000A0040000}"/>
    <cellStyle name="20% - Énfasis5 6" xfId="1235" xr:uid="{00000000-0005-0000-0000-0000A1040000}"/>
    <cellStyle name="20% - Énfasis5 6 2" xfId="1236" xr:uid="{00000000-0005-0000-0000-0000A2040000}"/>
    <cellStyle name="20% - Énfasis5 7" xfId="1237" xr:uid="{00000000-0005-0000-0000-0000A3040000}"/>
    <cellStyle name="20% - Énfasis5 7 2" xfId="1238" xr:uid="{00000000-0005-0000-0000-0000A4040000}"/>
    <cellStyle name="20% - Énfasis5 8" xfId="58879" xr:uid="{00000000-0005-0000-0000-0000A5040000}"/>
    <cellStyle name="20% - Énfasis6 2" xfId="1239" xr:uid="{00000000-0005-0000-0000-0000A6040000}"/>
    <cellStyle name="20% - Énfasis6 2 2" xfId="1240" xr:uid="{00000000-0005-0000-0000-0000A7040000}"/>
    <cellStyle name="20% - Énfasis6 3" xfId="1241" xr:uid="{00000000-0005-0000-0000-0000A8040000}"/>
    <cellStyle name="20% - Énfasis6 3 2" xfId="1242" xr:uid="{00000000-0005-0000-0000-0000A9040000}"/>
    <cellStyle name="20% - Énfasis6 4" xfId="1243" xr:uid="{00000000-0005-0000-0000-0000AA040000}"/>
    <cellStyle name="20% - Énfasis6 4 2" xfId="1244" xr:uid="{00000000-0005-0000-0000-0000AB040000}"/>
    <cellStyle name="20% - Énfasis6 5" xfId="1245" xr:uid="{00000000-0005-0000-0000-0000AC040000}"/>
    <cellStyle name="20% - Énfasis6 5 2" xfId="1246" xr:uid="{00000000-0005-0000-0000-0000AD040000}"/>
    <cellStyle name="20% - Énfasis6 6" xfId="1247" xr:uid="{00000000-0005-0000-0000-0000AE040000}"/>
    <cellStyle name="20% - Énfasis6 6 2" xfId="1248" xr:uid="{00000000-0005-0000-0000-0000AF040000}"/>
    <cellStyle name="20% - Énfasis6 7" xfId="1249" xr:uid="{00000000-0005-0000-0000-0000B0040000}"/>
    <cellStyle name="20% - Énfasis6 7 2" xfId="1250" xr:uid="{00000000-0005-0000-0000-0000B1040000}"/>
    <cellStyle name="20% - Énfasis6 8" xfId="58881" xr:uid="{00000000-0005-0000-0000-0000B2040000}"/>
    <cellStyle name="2x indented GHG Textfiels" xfId="1251" xr:uid="{00000000-0005-0000-0000-0000B3040000}"/>
    <cellStyle name="2x indented GHG Textfiels 2" xfId="58926" xr:uid="{00000000-0005-0000-0000-0000B4040000}"/>
    <cellStyle name="40% - Accent1" xfId="38" xr:uid="{00000000-0005-0000-0000-0000B5040000}"/>
    <cellStyle name="40% - Accent1 2" xfId="1252" xr:uid="{00000000-0005-0000-0000-0000B6040000}"/>
    <cellStyle name="40% - Accent1 3" xfId="1253" xr:uid="{00000000-0005-0000-0000-0000B7040000}"/>
    <cellStyle name="40% - Accent1 4" xfId="1254" xr:uid="{00000000-0005-0000-0000-0000B8040000}"/>
    <cellStyle name="40% - Accent1 5" xfId="1255" xr:uid="{00000000-0005-0000-0000-0000B9040000}"/>
    <cellStyle name="40% - Accent1 6" xfId="1256" xr:uid="{00000000-0005-0000-0000-0000BA040000}"/>
    <cellStyle name="40% - Accent1 7" xfId="1257" xr:uid="{00000000-0005-0000-0000-0000BB040000}"/>
    <cellStyle name="40% - Accent2" xfId="42" xr:uid="{00000000-0005-0000-0000-0000BC040000}"/>
    <cellStyle name="40% - Accent2 2" xfId="1258" xr:uid="{00000000-0005-0000-0000-0000BD040000}"/>
    <cellStyle name="40% - Accent2 3" xfId="1259" xr:uid="{00000000-0005-0000-0000-0000BE040000}"/>
    <cellStyle name="40% - Accent2 4" xfId="1260" xr:uid="{00000000-0005-0000-0000-0000BF040000}"/>
    <cellStyle name="40% - Accent2 5" xfId="1261" xr:uid="{00000000-0005-0000-0000-0000C0040000}"/>
    <cellStyle name="40% - Accent2 6" xfId="1262" xr:uid="{00000000-0005-0000-0000-0000C1040000}"/>
    <cellStyle name="40% - Accent2 7" xfId="1263" xr:uid="{00000000-0005-0000-0000-0000C2040000}"/>
    <cellStyle name="40% - Accent3" xfId="46" xr:uid="{00000000-0005-0000-0000-0000C3040000}"/>
    <cellStyle name="40% - Accent3 2" xfId="1264" xr:uid="{00000000-0005-0000-0000-0000C4040000}"/>
    <cellStyle name="40% - Accent3 3" xfId="1265" xr:uid="{00000000-0005-0000-0000-0000C5040000}"/>
    <cellStyle name="40% - Accent3 4" xfId="1266" xr:uid="{00000000-0005-0000-0000-0000C6040000}"/>
    <cellStyle name="40% - Accent3 5" xfId="1267" xr:uid="{00000000-0005-0000-0000-0000C7040000}"/>
    <cellStyle name="40% - Accent3 6" xfId="1268" xr:uid="{00000000-0005-0000-0000-0000C8040000}"/>
    <cellStyle name="40% - Accent3 7" xfId="1269" xr:uid="{00000000-0005-0000-0000-0000C9040000}"/>
    <cellStyle name="40% - Accent4" xfId="50" xr:uid="{00000000-0005-0000-0000-0000CA040000}"/>
    <cellStyle name="40% - Accent4 2" xfId="1270" xr:uid="{00000000-0005-0000-0000-0000CB040000}"/>
    <cellStyle name="40% - Accent4 3" xfId="1271" xr:uid="{00000000-0005-0000-0000-0000CC040000}"/>
    <cellStyle name="40% - Accent4 4" xfId="1272" xr:uid="{00000000-0005-0000-0000-0000CD040000}"/>
    <cellStyle name="40% - Accent4 5" xfId="1273" xr:uid="{00000000-0005-0000-0000-0000CE040000}"/>
    <cellStyle name="40% - Accent4 6" xfId="1274" xr:uid="{00000000-0005-0000-0000-0000CF040000}"/>
    <cellStyle name="40% - Accent4 7" xfId="1275" xr:uid="{00000000-0005-0000-0000-0000D0040000}"/>
    <cellStyle name="40% - Accent5" xfId="54" xr:uid="{00000000-0005-0000-0000-0000D1040000}"/>
    <cellStyle name="40% - Accent5 2" xfId="1276" xr:uid="{00000000-0005-0000-0000-0000D2040000}"/>
    <cellStyle name="40% - Accent5 3" xfId="1277" xr:uid="{00000000-0005-0000-0000-0000D3040000}"/>
    <cellStyle name="40% - Accent5 4" xfId="1278" xr:uid="{00000000-0005-0000-0000-0000D4040000}"/>
    <cellStyle name="40% - Accent5 5" xfId="1279" xr:uid="{00000000-0005-0000-0000-0000D5040000}"/>
    <cellStyle name="40% - Accent5 6" xfId="1280" xr:uid="{00000000-0005-0000-0000-0000D6040000}"/>
    <cellStyle name="40% - Accent5 7" xfId="1281" xr:uid="{00000000-0005-0000-0000-0000D7040000}"/>
    <cellStyle name="40% - Accent6" xfId="58" xr:uid="{00000000-0005-0000-0000-0000D8040000}"/>
    <cellStyle name="40% - Accent6 2" xfId="1282" xr:uid="{00000000-0005-0000-0000-0000D9040000}"/>
    <cellStyle name="40% - Accent6 3" xfId="1283" xr:uid="{00000000-0005-0000-0000-0000DA040000}"/>
    <cellStyle name="40% - Accent6 4" xfId="1284" xr:uid="{00000000-0005-0000-0000-0000DB040000}"/>
    <cellStyle name="40% - Accent6 5" xfId="1285" xr:uid="{00000000-0005-0000-0000-0000DC040000}"/>
    <cellStyle name="40% - Accent6 6" xfId="1286" xr:uid="{00000000-0005-0000-0000-0000DD040000}"/>
    <cellStyle name="40% - Accent6 7" xfId="1287" xr:uid="{00000000-0005-0000-0000-0000DE040000}"/>
    <cellStyle name="40% - Énfasis1 2" xfId="1288" xr:uid="{00000000-0005-0000-0000-0000DF040000}"/>
    <cellStyle name="40% - Énfasis1 2 2" xfId="1289" xr:uid="{00000000-0005-0000-0000-0000E0040000}"/>
    <cellStyle name="40% - Énfasis1 3" xfId="1290" xr:uid="{00000000-0005-0000-0000-0000E1040000}"/>
    <cellStyle name="40% - Énfasis1 3 2" xfId="1291" xr:uid="{00000000-0005-0000-0000-0000E2040000}"/>
    <cellStyle name="40% - Énfasis1 4" xfId="1292" xr:uid="{00000000-0005-0000-0000-0000E3040000}"/>
    <cellStyle name="40% - Énfasis1 4 2" xfId="1293" xr:uid="{00000000-0005-0000-0000-0000E4040000}"/>
    <cellStyle name="40% - Énfasis1 5" xfId="1294" xr:uid="{00000000-0005-0000-0000-0000E5040000}"/>
    <cellStyle name="40% - Énfasis1 5 2" xfId="1295" xr:uid="{00000000-0005-0000-0000-0000E6040000}"/>
    <cellStyle name="40% - Énfasis1 6" xfId="1296" xr:uid="{00000000-0005-0000-0000-0000E7040000}"/>
    <cellStyle name="40% - Énfasis1 6 2" xfId="1297" xr:uid="{00000000-0005-0000-0000-0000E8040000}"/>
    <cellStyle name="40% - Énfasis1 7" xfId="1298" xr:uid="{00000000-0005-0000-0000-0000E9040000}"/>
    <cellStyle name="40% - Énfasis1 7 2" xfId="1299" xr:uid="{00000000-0005-0000-0000-0000EA040000}"/>
    <cellStyle name="40% - Énfasis1 8" xfId="58872" xr:uid="{00000000-0005-0000-0000-0000EB040000}"/>
    <cellStyle name="40% - Énfasis2 2" xfId="1300" xr:uid="{00000000-0005-0000-0000-0000EC040000}"/>
    <cellStyle name="40% - Énfasis2 2 2" xfId="1301" xr:uid="{00000000-0005-0000-0000-0000ED040000}"/>
    <cellStyle name="40% - Énfasis2 3" xfId="1302" xr:uid="{00000000-0005-0000-0000-0000EE040000}"/>
    <cellStyle name="40% - Énfasis2 3 2" xfId="1303" xr:uid="{00000000-0005-0000-0000-0000EF040000}"/>
    <cellStyle name="40% - Énfasis2 4" xfId="1304" xr:uid="{00000000-0005-0000-0000-0000F0040000}"/>
    <cellStyle name="40% - Énfasis2 4 2" xfId="1305" xr:uid="{00000000-0005-0000-0000-0000F1040000}"/>
    <cellStyle name="40% - Énfasis2 5" xfId="1306" xr:uid="{00000000-0005-0000-0000-0000F2040000}"/>
    <cellStyle name="40% - Énfasis2 5 2" xfId="1307" xr:uid="{00000000-0005-0000-0000-0000F3040000}"/>
    <cellStyle name="40% - Énfasis2 6" xfId="1308" xr:uid="{00000000-0005-0000-0000-0000F4040000}"/>
    <cellStyle name="40% - Énfasis2 6 2" xfId="1309" xr:uid="{00000000-0005-0000-0000-0000F5040000}"/>
    <cellStyle name="40% - Énfasis2 7" xfId="1310" xr:uid="{00000000-0005-0000-0000-0000F6040000}"/>
    <cellStyle name="40% - Énfasis2 7 2" xfId="1311" xr:uid="{00000000-0005-0000-0000-0000F7040000}"/>
    <cellStyle name="40% - Énfasis2 8" xfId="58874" xr:uid="{00000000-0005-0000-0000-0000F8040000}"/>
    <cellStyle name="40% - Énfasis3 2" xfId="1312" xr:uid="{00000000-0005-0000-0000-0000F9040000}"/>
    <cellStyle name="40% - Énfasis3 2 2" xfId="1313" xr:uid="{00000000-0005-0000-0000-0000FA040000}"/>
    <cellStyle name="40% - Énfasis3 3" xfId="1314" xr:uid="{00000000-0005-0000-0000-0000FB040000}"/>
    <cellStyle name="40% - Énfasis3 3 2" xfId="1315" xr:uid="{00000000-0005-0000-0000-0000FC040000}"/>
    <cellStyle name="40% - Énfasis3 4" xfId="1316" xr:uid="{00000000-0005-0000-0000-0000FD040000}"/>
    <cellStyle name="40% - Énfasis3 4 2" xfId="1317" xr:uid="{00000000-0005-0000-0000-0000FE040000}"/>
    <cellStyle name="40% - Énfasis3 5" xfId="1318" xr:uid="{00000000-0005-0000-0000-0000FF040000}"/>
    <cellStyle name="40% - Énfasis3 5 2" xfId="1319" xr:uid="{00000000-0005-0000-0000-000000050000}"/>
    <cellStyle name="40% - Énfasis3 6" xfId="1320" xr:uid="{00000000-0005-0000-0000-000001050000}"/>
    <cellStyle name="40% - Énfasis3 6 2" xfId="1321" xr:uid="{00000000-0005-0000-0000-000002050000}"/>
    <cellStyle name="40% - Énfasis3 7" xfId="1322" xr:uid="{00000000-0005-0000-0000-000003050000}"/>
    <cellStyle name="40% - Énfasis3 7 2" xfId="1323" xr:uid="{00000000-0005-0000-0000-000004050000}"/>
    <cellStyle name="40% - Énfasis3 8" xfId="58876" xr:uid="{00000000-0005-0000-0000-000005050000}"/>
    <cellStyle name="40% - Énfasis4 2" xfId="1324" xr:uid="{00000000-0005-0000-0000-000006050000}"/>
    <cellStyle name="40% - Énfasis4 2 2" xfId="1325" xr:uid="{00000000-0005-0000-0000-000007050000}"/>
    <cellStyle name="40% - Énfasis4 3" xfId="1326" xr:uid="{00000000-0005-0000-0000-000008050000}"/>
    <cellStyle name="40% - Énfasis4 3 2" xfId="1327" xr:uid="{00000000-0005-0000-0000-000009050000}"/>
    <cellStyle name="40% - Énfasis4 4" xfId="1328" xr:uid="{00000000-0005-0000-0000-00000A050000}"/>
    <cellStyle name="40% - Énfasis4 4 2" xfId="1329" xr:uid="{00000000-0005-0000-0000-00000B050000}"/>
    <cellStyle name="40% - Énfasis4 5" xfId="1330" xr:uid="{00000000-0005-0000-0000-00000C050000}"/>
    <cellStyle name="40% - Énfasis4 5 2" xfId="1331" xr:uid="{00000000-0005-0000-0000-00000D050000}"/>
    <cellStyle name="40% - Énfasis4 6" xfId="1332" xr:uid="{00000000-0005-0000-0000-00000E050000}"/>
    <cellStyle name="40% - Énfasis4 6 2" xfId="1333" xr:uid="{00000000-0005-0000-0000-00000F050000}"/>
    <cellStyle name="40% - Énfasis4 7" xfId="1334" xr:uid="{00000000-0005-0000-0000-000010050000}"/>
    <cellStyle name="40% - Énfasis4 7 2" xfId="1335" xr:uid="{00000000-0005-0000-0000-000011050000}"/>
    <cellStyle name="40% - Énfasis4 8" xfId="58878" xr:uid="{00000000-0005-0000-0000-000012050000}"/>
    <cellStyle name="40% - Énfasis5 2" xfId="1336" xr:uid="{00000000-0005-0000-0000-000013050000}"/>
    <cellStyle name="40% - Énfasis5 2 2" xfId="1337" xr:uid="{00000000-0005-0000-0000-000014050000}"/>
    <cellStyle name="40% - Énfasis5 3" xfId="1338" xr:uid="{00000000-0005-0000-0000-000015050000}"/>
    <cellStyle name="40% - Énfasis5 3 2" xfId="1339" xr:uid="{00000000-0005-0000-0000-000016050000}"/>
    <cellStyle name="40% - Énfasis5 4" xfId="1340" xr:uid="{00000000-0005-0000-0000-000017050000}"/>
    <cellStyle name="40% - Énfasis5 4 2" xfId="1341" xr:uid="{00000000-0005-0000-0000-000018050000}"/>
    <cellStyle name="40% - Énfasis5 5" xfId="1342" xr:uid="{00000000-0005-0000-0000-000019050000}"/>
    <cellStyle name="40% - Énfasis5 5 2" xfId="1343" xr:uid="{00000000-0005-0000-0000-00001A050000}"/>
    <cellStyle name="40% - Énfasis5 6" xfId="1344" xr:uid="{00000000-0005-0000-0000-00001B050000}"/>
    <cellStyle name="40% - Énfasis5 6 2" xfId="1345" xr:uid="{00000000-0005-0000-0000-00001C050000}"/>
    <cellStyle name="40% - Énfasis5 7" xfId="1346" xr:uid="{00000000-0005-0000-0000-00001D050000}"/>
    <cellStyle name="40% - Énfasis5 7 2" xfId="1347" xr:uid="{00000000-0005-0000-0000-00001E050000}"/>
    <cellStyle name="40% - Énfasis5 8" xfId="58880" xr:uid="{00000000-0005-0000-0000-00001F050000}"/>
    <cellStyle name="40% - Énfasis6 2" xfId="1348" xr:uid="{00000000-0005-0000-0000-000020050000}"/>
    <cellStyle name="40% - Énfasis6 2 2" xfId="1349" xr:uid="{00000000-0005-0000-0000-000021050000}"/>
    <cellStyle name="40% - Énfasis6 3" xfId="1350" xr:uid="{00000000-0005-0000-0000-000022050000}"/>
    <cellStyle name="40% - Énfasis6 3 2" xfId="1351" xr:uid="{00000000-0005-0000-0000-000023050000}"/>
    <cellStyle name="40% - Énfasis6 4" xfId="1352" xr:uid="{00000000-0005-0000-0000-000024050000}"/>
    <cellStyle name="40% - Énfasis6 4 2" xfId="1353" xr:uid="{00000000-0005-0000-0000-000025050000}"/>
    <cellStyle name="40% - Énfasis6 5" xfId="1354" xr:uid="{00000000-0005-0000-0000-000026050000}"/>
    <cellStyle name="40% - Énfasis6 5 2" xfId="1355" xr:uid="{00000000-0005-0000-0000-000027050000}"/>
    <cellStyle name="40% - Énfasis6 6" xfId="1356" xr:uid="{00000000-0005-0000-0000-000028050000}"/>
    <cellStyle name="40% - Énfasis6 6 2" xfId="1357" xr:uid="{00000000-0005-0000-0000-000029050000}"/>
    <cellStyle name="40% - Énfasis6 7" xfId="1358" xr:uid="{00000000-0005-0000-0000-00002A050000}"/>
    <cellStyle name="40% - Énfasis6 7 2" xfId="1359" xr:uid="{00000000-0005-0000-0000-00002B050000}"/>
    <cellStyle name="40% - Énfasis6 8" xfId="58882" xr:uid="{00000000-0005-0000-0000-00002C050000}"/>
    <cellStyle name="5x indented GHG Textfiels" xfId="1360" xr:uid="{00000000-0005-0000-0000-00002D050000}"/>
    <cellStyle name="60% - Accent1" xfId="39" xr:uid="{00000000-0005-0000-0000-00002E050000}"/>
    <cellStyle name="60% - Accent1 2" xfId="1361" xr:uid="{00000000-0005-0000-0000-00002F050000}"/>
    <cellStyle name="60% - Accent2" xfId="43" xr:uid="{00000000-0005-0000-0000-000030050000}"/>
    <cellStyle name="60% - Accent2 2" xfId="1362" xr:uid="{00000000-0005-0000-0000-000031050000}"/>
    <cellStyle name="60% - Accent3" xfId="47" xr:uid="{00000000-0005-0000-0000-000032050000}"/>
    <cellStyle name="60% - Accent3 2" xfId="1363" xr:uid="{00000000-0005-0000-0000-000033050000}"/>
    <cellStyle name="60% - Accent4" xfId="51" xr:uid="{00000000-0005-0000-0000-000034050000}"/>
    <cellStyle name="60% - Accent4 2" xfId="1364" xr:uid="{00000000-0005-0000-0000-000035050000}"/>
    <cellStyle name="60% - Accent5" xfId="55" xr:uid="{00000000-0005-0000-0000-000036050000}"/>
    <cellStyle name="60% - Accent5 2" xfId="1365" xr:uid="{00000000-0005-0000-0000-000037050000}"/>
    <cellStyle name="60% - Accent6" xfId="59" xr:uid="{00000000-0005-0000-0000-000038050000}"/>
    <cellStyle name="60% - Accent6 2" xfId="1366" xr:uid="{00000000-0005-0000-0000-000039050000}"/>
    <cellStyle name="60% - Énfasis1 2" xfId="1367" xr:uid="{00000000-0005-0000-0000-00003A050000}"/>
    <cellStyle name="60% - Énfasis1 3" xfId="1368" xr:uid="{00000000-0005-0000-0000-00003B050000}"/>
    <cellStyle name="60% - Énfasis1 4" xfId="1369" xr:uid="{00000000-0005-0000-0000-00003C050000}"/>
    <cellStyle name="60% - Énfasis1 5" xfId="1370" xr:uid="{00000000-0005-0000-0000-00003D050000}"/>
    <cellStyle name="60% - Énfasis1 6" xfId="1371" xr:uid="{00000000-0005-0000-0000-00003E050000}"/>
    <cellStyle name="60% - Énfasis1 7" xfId="1372" xr:uid="{00000000-0005-0000-0000-00003F050000}"/>
    <cellStyle name="60% - Énfasis2 2" xfId="1373" xr:uid="{00000000-0005-0000-0000-000040050000}"/>
    <cellStyle name="60% - Énfasis2 3" xfId="1374" xr:uid="{00000000-0005-0000-0000-000041050000}"/>
    <cellStyle name="60% - Énfasis2 4" xfId="1375" xr:uid="{00000000-0005-0000-0000-000042050000}"/>
    <cellStyle name="60% - Énfasis2 5" xfId="1376" xr:uid="{00000000-0005-0000-0000-000043050000}"/>
    <cellStyle name="60% - Énfasis2 6" xfId="1377" xr:uid="{00000000-0005-0000-0000-000044050000}"/>
    <cellStyle name="60% - Énfasis2 7" xfId="1378" xr:uid="{00000000-0005-0000-0000-000045050000}"/>
    <cellStyle name="60% - Énfasis3 2" xfId="1379" xr:uid="{00000000-0005-0000-0000-000046050000}"/>
    <cellStyle name="60% - Énfasis3 3" xfId="1380" xr:uid="{00000000-0005-0000-0000-000047050000}"/>
    <cellStyle name="60% - Énfasis3 4" xfId="1381" xr:uid="{00000000-0005-0000-0000-000048050000}"/>
    <cellStyle name="60% - Énfasis3 5" xfId="1382" xr:uid="{00000000-0005-0000-0000-000049050000}"/>
    <cellStyle name="60% - Énfasis3 6" xfId="1383" xr:uid="{00000000-0005-0000-0000-00004A050000}"/>
    <cellStyle name="60% - Énfasis3 7" xfId="1384" xr:uid="{00000000-0005-0000-0000-00004B050000}"/>
    <cellStyle name="60% - Énfasis4 2" xfId="1385" xr:uid="{00000000-0005-0000-0000-00004C050000}"/>
    <cellStyle name="60% - Énfasis4 3" xfId="1386" xr:uid="{00000000-0005-0000-0000-00004D050000}"/>
    <cellStyle name="60% - Énfasis4 4" xfId="1387" xr:uid="{00000000-0005-0000-0000-00004E050000}"/>
    <cellStyle name="60% - Énfasis4 5" xfId="1388" xr:uid="{00000000-0005-0000-0000-00004F050000}"/>
    <cellStyle name="60% - Énfasis4 6" xfId="1389" xr:uid="{00000000-0005-0000-0000-000050050000}"/>
    <cellStyle name="60% - Énfasis4 7" xfId="1390" xr:uid="{00000000-0005-0000-0000-000051050000}"/>
    <cellStyle name="60% - Énfasis5 2" xfId="1391" xr:uid="{00000000-0005-0000-0000-000052050000}"/>
    <cellStyle name="60% - Énfasis5 3" xfId="1392" xr:uid="{00000000-0005-0000-0000-000053050000}"/>
    <cellStyle name="60% - Énfasis5 4" xfId="1393" xr:uid="{00000000-0005-0000-0000-000054050000}"/>
    <cellStyle name="60% - Énfasis5 5" xfId="1394" xr:uid="{00000000-0005-0000-0000-000055050000}"/>
    <cellStyle name="60% - Énfasis5 6" xfId="1395" xr:uid="{00000000-0005-0000-0000-000056050000}"/>
    <cellStyle name="60% - Énfasis5 7" xfId="1396" xr:uid="{00000000-0005-0000-0000-000057050000}"/>
    <cellStyle name="60% - Énfasis6 2" xfId="1397" xr:uid="{00000000-0005-0000-0000-000058050000}"/>
    <cellStyle name="60% - Énfasis6 3" xfId="1398" xr:uid="{00000000-0005-0000-0000-000059050000}"/>
    <cellStyle name="60% - Énfasis6 4" xfId="1399" xr:uid="{00000000-0005-0000-0000-00005A050000}"/>
    <cellStyle name="60% - Énfasis6 5" xfId="1400" xr:uid="{00000000-0005-0000-0000-00005B050000}"/>
    <cellStyle name="60% - Énfasis6 6" xfId="1401" xr:uid="{00000000-0005-0000-0000-00005C050000}"/>
    <cellStyle name="60% - Énfasis6 7" xfId="1402" xr:uid="{00000000-0005-0000-0000-00005D050000}"/>
    <cellStyle name="A3 297 x 420 mm" xfId="58715" xr:uid="{00000000-0005-0000-0000-00005E050000}"/>
    <cellStyle name="Accent1" xfId="36" xr:uid="{00000000-0005-0000-0000-00005F050000}"/>
    <cellStyle name="Accent1 2" xfId="1403" xr:uid="{00000000-0005-0000-0000-000060050000}"/>
    <cellStyle name="Accent2" xfId="40" xr:uid="{00000000-0005-0000-0000-000061050000}"/>
    <cellStyle name="Accent2 2" xfId="1404" xr:uid="{00000000-0005-0000-0000-000062050000}"/>
    <cellStyle name="Accent3" xfId="44" xr:uid="{00000000-0005-0000-0000-000063050000}"/>
    <cellStyle name="Accent3 2" xfId="1405" xr:uid="{00000000-0005-0000-0000-000064050000}"/>
    <cellStyle name="Accent4" xfId="48" xr:uid="{00000000-0005-0000-0000-000065050000}"/>
    <cellStyle name="Accent4 2" xfId="1406" xr:uid="{00000000-0005-0000-0000-000066050000}"/>
    <cellStyle name="Accent5" xfId="52" xr:uid="{00000000-0005-0000-0000-000067050000}"/>
    <cellStyle name="Accent5 2" xfId="1407" xr:uid="{00000000-0005-0000-0000-000068050000}"/>
    <cellStyle name="Accent6" xfId="56" xr:uid="{00000000-0005-0000-0000-000069050000}"/>
    <cellStyle name="Accent6 2" xfId="1408" xr:uid="{00000000-0005-0000-0000-00006A050000}"/>
    <cellStyle name="AggblueCels_1x" xfId="58917" xr:uid="{00000000-0005-0000-0000-00006B050000}"/>
    <cellStyle name="AggOrange" xfId="58923" xr:uid="{00000000-0005-0000-0000-00006D050000}"/>
    <cellStyle name="AggOrangeRBorder" xfId="58924" xr:uid="{00000000-0005-0000-0000-00006E050000}"/>
    <cellStyle name="Angulo" xfId="58825" xr:uid="{00000000-0005-0000-0000-00006F050000}"/>
    <cellStyle name="args.style" xfId="1409" xr:uid="{00000000-0005-0000-0000-000070050000}"/>
    <cellStyle name="args.style 10" xfId="1410" xr:uid="{00000000-0005-0000-0000-000071050000}"/>
    <cellStyle name="args.style 11" xfId="1411" xr:uid="{00000000-0005-0000-0000-000072050000}"/>
    <cellStyle name="args.style 12" xfId="1412" xr:uid="{00000000-0005-0000-0000-000073050000}"/>
    <cellStyle name="args.style 13" xfId="1413" xr:uid="{00000000-0005-0000-0000-000074050000}"/>
    <cellStyle name="args.style 14" xfId="1414" xr:uid="{00000000-0005-0000-0000-000075050000}"/>
    <cellStyle name="args.style 15" xfId="1415" xr:uid="{00000000-0005-0000-0000-000076050000}"/>
    <cellStyle name="args.style 16" xfId="1416" xr:uid="{00000000-0005-0000-0000-000077050000}"/>
    <cellStyle name="args.style 17" xfId="1417" xr:uid="{00000000-0005-0000-0000-000078050000}"/>
    <cellStyle name="args.style 18" xfId="1418" xr:uid="{00000000-0005-0000-0000-000079050000}"/>
    <cellStyle name="args.style 19" xfId="1419" xr:uid="{00000000-0005-0000-0000-00007A050000}"/>
    <cellStyle name="args.style 2" xfId="1420" xr:uid="{00000000-0005-0000-0000-00007B050000}"/>
    <cellStyle name="args.style 20" xfId="1421" xr:uid="{00000000-0005-0000-0000-00007C050000}"/>
    <cellStyle name="args.style 21" xfId="1422" xr:uid="{00000000-0005-0000-0000-00007D050000}"/>
    <cellStyle name="args.style 3" xfId="1423" xr:uid="{00000000-0005-0000-0000-00007E050000}"/>
    <cellStyle name="args.style 4" xfId="1424" xr:uid="{00000000-0005-0000-0000-00007F050000}"/>
    <cellStyle name="args.style 5" xfId="1425" xr:uid="{00000000-0005-0000-0000-000080050000}"/>
    <cellStyle name="args.style 6" xfId="1426" xr:uid="{00000000-0005-0000-0000-000081050000}"/>
    <cellStyle name="args.style 7" xfId="1427" xr:uid="{00000000-0005-0000-0000-000082050000}"/>
    <cellStyle name="args.style 8" xfId="1428" xr:uid="{00000000-0005-0000-0000-000083050000}"/>
    <cellStyle name="args.style 9" xfId="1429" xr:uid="{00000000-0005-0000-0000-000084050000}"/>
    <cellStyle name="Bad" xfId="30" xr:uid="{00000000-0005-0000-0000-000085050000}"/>
    <cellStyle name="Bad 2" xfId="1430" xr:uid="{00000000-0005-0000-0000-000086050000}"/>
    <cellStyle name="Bold GHG Numbers (0.00)" xfId="1431" xr:uid="{00000000-0005-0000-0000-000087050000}"/>
    <cellStyle name="Buena 2" xfId="1432" xr:uid="{00000000-0005-0000-0000-000089050000}"/>
    <cellStyle name="Buena 3" xfId="1433" xr:uid="{00000000-0005-0000-0000-00008A050000}"/>
    <cellStyle name="Buena 4" xfId="1434" xr:uid="{00000000-0005-0000-0000-00008B050000}"/>
    <cellStyle name="Buena 5" xfId="1435" xr:uid="{00000000-0005-0000-0000-00008C050000}"/>
    <cellStyle name="Buena 6" xfId="1436" xr:uid="{00000000-0005-0000-0000-00008D050000}"/>
    <cellStyle name="Buena 7" xfId="1437" xr:uid="{00000000-0005-0000-0000-00008E050000}"/>
    <cellStyle name="Bueno" xfId="12621" builtinId="26" customBuiltin="1"/>
    <cellStyle name="Calc Currency (0)" xfId="1438" xr:uid="{00000000-0005-0000-0000-00008F050000}"/>
    <cellStyle name="Calc Currency (0) 10" xfId="1439" xr:uid="{00000000-0005-0000-0000-000090050000}"/>
    <cellStyle name="Calc Currency (0) 10 10" xfId="1440" xr:uid="{00000000-0005-0000-0000-000091050000}"/>
    <cellStyle name="Calc Currency (0) 10 2" xfId="1441" xr:uid="{00000000-0005-0000-0000-000092050000}"/>
    <cellStyle name="Calc Currency (0) 10 2 2" xfId="1442" xr:uid="{00000000-0005-0000-0000-000093050000}"/>
    <cellStyle name="Calc Currency (0) 10 3" xfId="1443" xr:uid="{00000000-0005-0000-0000-000094050000}"/>
    <cellStyle name="Calc Currency (0) 10 3 2" xfId="1444" xr:uid="{00000000-0005-0000-0000-000095050000}"/>
    <cellStyle name="Calc Currency (0) 10 4" xfId="1445" xr:uid="{00000000-0005-0000-0000-000096050000}"/>
    <cellStyle name="Calc Currency (0) 10 4 2" xfId="1446" xr:uid="{00000000-0005-0000-0000-000097050000}"/>
    <cellStyle name="Calc Currency (0) 10 5" xfId="1447" xr:uid="{00000000-0005-0000-0000-000098050000}"/>
    <cellStyle name="Calc Currency (0) 10 5 2" xfId="1448" xr:uid="{00000000-0005-0000-0000-000099050000}"/>
    <cellStyle name="Calc Currency (0) 10 6" xfId="1449" xr:uid="{00000000-0005-0000-0000-00009A050000}"/>
    <cellStyle name="Calc Currency (0) 10 6 2" xfId="1450" xr:uid="{00000000-0005-0000-0000-00009B050000}"/>
    <cellStyle name="Calc Currency (0) 10 7" xfId="1451" xr:uid="{00000000-0005-0000-0000-00009C050000}"/>
    <cellStyle name="Calc Currency (0) 10 7 2" xfId="1452" xr:uid="{00000000-0005-0000-0000-00009D050000}"/>
    <cellStyle name="Calc Currency (0) 10 8" xfId="1453" xr:uid="{00000000-0005-0000-0000-00009E050000}"/>
    <cellStyle name="Calc Currency (0) 10 8 2" xfId="1454" xr:uid="{00000000-0005-0000-0000-00009F050000}"/>
    <cellStyle name="Calc Currency (0) 10 9" xfId="1455" xr:uid="{00000000-0005-0000-0000-0000A0050000}"/>
    <cellStyle name="Calc Currency (0) 10 9 2" xfId="1456" xr:uid="{00000000-0005-0000-0000-0000A1050000}"/>
    <cellStyle name="Calc Currency (0) 11" xfId="1457" xr:uid="{00000000-0005-0000-0000-0000A2050000}"/>
    <cellStyle name="Calc Currency (0) 11 10" xfId="1458" xr:uid="{00000000-0005-0000-0000-0000A3050000}"/>
    <cellStyle name="Calc Currency (0) 11 2" xfId="1459" xr:uid="{00000000-0005-0000-0000-0000A4050000}"/>
    <cellStyle name="Calc Currency (0) 11 2 2" xfId="1460" xr:uid="{00000000-0005-0000-0000-0000A5050000}"/>
    <cellStyle name="Calc Currency (0) 11 3" xfId="1461" xr:uid="{00000000-0005-0000-0000-0000A6050000}"/>
    <cellStyle name="Calc Currency (0) 11 3 2" xfId="1462" xr:uid="{00000000-0005-0000-0000-0000A7050000}"/>
    <cellStyle name="Calc Currency (0) 11 4" xfId="1463" xr:uid="{00000000-0005-0000-0000-0000A8050000}"/>
    <cellStyle name="Calc Currency (0) 11 4 2" xfId="1464" xr:uid="{00000000-0005-0000-0000-0000A9050000}"/>
    <cellStyle name="Calc Currency (0) 11 5" xfId="1465" xr:uid="{00000000-0005-0000-0000-0000AA050000}"/>
    <cellStyle name="Calc Currency (0) 11 5 2" xfId="1466" xr:uid="{00000000-0005-0000-0000-0000AB050000}"/>
    <cellStyle name="Calc Currency (0) 11 6" xfId="1467" xr:uid="{00000000-0005-0000-0000-0000AC050000}"/>
    <cellStyle name="Calc Currency (0) 11 6 2" xfId="1468" xr:uid="{00000000-0005-0000-0000-0000AD050000}"/>
    <cellStyle name="Calc Currency (0) 11 7" xfId="1469" xr:uid="{00000000-0005-0000-0000-0000AE050000}"/>
    <cellStyle name="Calc Currency (0) 11 7 2" xfId="1470" xr:uid="{00000000-0005-0000-0000-0000AF050000}"/>
    <cellStyle name="Calc Currency (0) 11 8" xfId="1471" xr:uid="{00000000-0005-0000-0000-0000B0050000}"/>
    <cellStyle name="Calc Currency (0) 11 8 2" xfId="1472" xr:uid="{00000000-0005-0000-0000-0000B1050000}"/>
    <cellStyle name="Calc Currency (0) 11 9" xfId="1473" xr:uid="{00000000-0005-0000-0000-0000B2050000}"/>
    <cellStyle name="Calc Currency (0) 11 9 2" xfId="1474" xr:uid="{00000000-0005-0000-0000-0000B3050000}"/>
    <cellStyle name="Calc Currency (0) 12" xfId="1475" xr:uid="{00000000-0005-0000-0000-0000B4050000}"/>
    <cellStyle name="Calc Currency (0) 12 10" xfId="1476" xr:uid="{00000000-0005-0000-0000-0000B5050000}"/>
    <cellStyle name="Calc Currency (0) 12 2" xfId="1477" xr:uid="{00000000-0005-0000-0000-0000B6050000}"/>
    <cellStyle name="Calc Currency (0) 12 2 2" xfId="1478" xr:uid="{00000000-0005-0000-0000-0000B7050000}"/>
    <cellStyle name="Calc Currency (0) 12 3" xfId="1479" xr:uid="{00000000-0005-0000-0000-0000B8050000}"/>
    <cellStyle name="Calc Currency (0) 12 3 2" xfId="1480" xr:uid="{00000000-0005-0000-0000-0000B9050000}"/>
    <cellStyle name="Calc Currency (0) 12 4" xfId="1481" xr:uid="{00000000-0005-0000-0000-0000BA050000}"/>
    <cellStyle name="Calc Currency (0) 12 4 2" xfId="1482" xr:uid="{00000000-0005-0000-0000-0000BB050000}"/>
    <cellStyle name="Calc Currency (0) 12 5" xfId="1483" xr:uid="{00000000-0005-0000-0000-0000BC050000}"/>
    <cellStyle name="Calc Currency (0) 12 5 2" xfId="1484" xr:uid="{00000000-0005-0000-0000-0000BD050000}"/>
    <cellStyle name="Calc Currency (0) 12 6" xfId="1485" xr:uid="{00000000-0005-0000-0000-0000BE050000}"/>
    <cellStyle name="Calc Currency (0) 12 6 2" xfId="1486" xr:uid="{00000000-0005-0000-0000-0000BF050000}"/>
    <cellStyle name="Calc Currency (0) 12 7" xfId="1487" xr:uid="{00000000-0005-0000-0000-0000C0050000}"/>
    <cellStyle name="Calc Currency (0) 12 7 2" xfId="1488" xr:uid="{00000000-0005-0000-0000-0000C1050000}"/>
    <cellStyle name="Calc Currency (0) 12 8" xfId="1489" xr:uid="{00000000-0005-0000-0000-0000C2050000}"/>
    <cellStyle name="Calc Currency (0) 12 8 2" xfId="1490" xr:uid="{00000000-0005-0000-0000-0000C3050000}"/>
    <cellStyle name="Calc Currency (0) 12 9" xfId="1491" xr:uid="{00000000-0005-0000-0000-0000C4050000}"/>
    <cellStyle name="Calc Currency (0) 12 9 2" xfId="1492" xr:uid="{00000000-0005-0000-0000-0000C5050000}"/>
    <cellStyle name="Calc Currency (0) 13" xfId="1493" xr:uid="{00000000-0005-0000-0000-0000C6050000}"/>
    <cellStyle name="Calc Currency (0) 13 10" xfId="1494" xr:uid="{00000000-0005-0000-0000-0000C7050000}"/>
    <cellStyle name="Calc Currency (0) 13 2" xfId="1495" xr:uid="{00000000-0005-0000-0000-0000C8050000}"/>
    <cellStyle name="Calc Currency (0) 13 2 2" xfId="1496" xr:uid="{00000000-0005-0000-0000-0000C9050000}"/>
    <cellStyle name="Calc Currency (0) 13 3" xfId="1497" xr:uid="{00000000-0005-0000-0000-0000CA050000}"/>
    <cellStyle name="Calc Currency (0) 13 3 2" xfId="1498" xr:uid="{00000000-0005-0000-0000-0000CB050000}"/>
    <cellStyle name="Calc Currency (0) 13 4" xfId="1499" xr:uid="{00000000-0005-0000-0000-0000CC050000}"/>
    <cellStyle name="Calc Currency (0) 13 4 2" xfId="1500" xr:uid="{00000000-0005-0000-0000-0000CD050000}"/>
    <cellStyle name="Calc Currency (0) 13 5" xfId="1501" xr:uid="{00000000-0005-0000-0000-0000CE050000}"/>
    <cellStyle name="Calc Currency (0) 13 5 2" xfId="1502" xr:uid="{00000000-0005-0000-0000-0000CF050000}"/>
    <cellStyle name="Calc Currency (0) 13 6" xfId="1503" xr:uid="{00000000-0005-0000-0000-0000D0050000}"/>
    <cellStyle name="Calc Currency (0) 13 6 2" xfId="1504" xr:uid="{00000000-0005-0000-0000-0000D1050000}"/>
    <cellStyle name="Calc Currency (0) 13 7" xfId="1505" xr:uid="{00000000-0005-0000-0000-0000D2050000}"/>
    <cellStyle name="Calc Currency (0) 13 7 2" xfId="1506" xr:uid="{00000000-0005-0000-0000-0000D3050000}"/>
    <cellStyle name="Calc Currency (0) 13 8" xfId="1507" xr:uid="{00000000-0005-0000-0000-0000D4050000}"/>
    <cellStyle name="Calc Currency (0) 13 8 2" xfId="1508" xr:uid="{00000000-0005-0000-0000-0000D5050000}"/>
    <cellStyle name="Calc Currency (0) 13 9" xfId="1509" xr:uid="{00000000-0005-0000-0000-0000D6050000}"/>
    <cellStyle name="Calc Currency (0) 13 9 2" xfId="1510" xr:uid="{00000000-0005-0000-0000-0000D7050000}"/>
    <cellStyle name="Calc Currency (0) 14" xfId="1511" xr:uid="{00000000-0005-0000-0000-0000D8050000}"/>
    <cellStyle name="Calc Currency (0) 14 10" xfId="1512" xr:uid="{00000000-0005-0000-0000-0000D9050000}"/>
    <cellStyle name="Calc Currency (0) 14 2" xfId="1513" xr:uid="{00000000-0005-0000-0000-0000DA050000}"/>
    <cellStyle name="Calc Currency (0) 14 2 2" xfId="1514" xr:uid="{00000000-0005-0000-0000-0000DB050000}"/>
    <cellStyle name="Calc Currency (0) 14 3" xfId="1515" xr:uid="{00000000-0005-0000-0000-0000DC050000}"/>
    <cellStyle name="Calc Currency (0) 14 3 2" xfId="1516" xr:uid="{00000000-0005-0000-0000-0000DD050000}"/>
    <cellStyle name="Calc Currency (0) 14 4" xfId="1517" xr:uid="{00000000-0005-0000-0000-0000DE050000}"/>
    <cellStyle name="Calc Currency (0) 14 4 2" xfId="1518" xr:uid="{00000000-0005-0000-0000-0000DF050000}"/>
    <cellStyle name="Calc Currency (0) 14 5" xfId="1519" xr:uid="{00000000-0005-0000-0000-0000E0050000}"/>
    <cellStyle name="Calc Currency (0) 14 5 2" xfId="1520" xr:uid="{00000000-0005-0000-0000-0000E1050000}"/>
    <cellStyle name="Calc Currency (0) 14 6" xfId="1521" xr:uid="{00000000-0005-0000-0000-0000E2050000}"/>
    <cellStyle name="Calc Currency (0) 14 6 2" xfId="1522" xr:uid="{00000000-0005-0000-0000-0000E3050000}"/>
    <cellStyle name="Calc Currency (0) 14 7" xfId="1523" xr:uid="{00000000-0005-0000-0000-0000E4050000}"/>
    <cellStyle name="Calc Currency (0) 14 7 2" xfId="1524" xr:uid="{00000000-0005-0000-0000-0000E5050000}"/>
    <cellStyle name="Calc Currency (0) 14 8" xfId="1525" xr:uid="{00000000-0005-0000-0000-0000E6050000}"/>
    <cellStyle name="Calc Currency (0) 14 8 2" xfId="1526" xr:uid="{00000000-0005-0000-0000-0000E7050000}"/>
    <cellStyle name="Calc Currency (0) 14 9" xfId="1527" xr:uid="{00000000-0005-0000-0000-0000E8050000}"/>
    <cellStyle name="Calc Currency (0) 14 9 2" xfId="1528" xr:uid="{00000000-0005-0000-0000-0000E9050000}"/>
    <cellStyle name="Calc Currency (0) 15" xfId="1529" xr:uid="{00000000-0005-0000-0000-0000EA050000}"/>
    <cellStyle name="Calc Currency (0) 15 10" xfId="1530" xr:uid="{00000000-0005-0000-0000-0000EB050000}"/>
    <cellStyle name="Calc Currency (0) 15 2" xfId="1531" xr:uid="{00000000-0005-0000-0000-0000EC050000}"/>
    <cellStyle name="Calc Currency (0) 15 2 2" xfId="1532" xr:uid="{00000000-0005-0000-0000-0000ED050000}"/>
    <cellStyle name="Calc Currency (0) 15 3" xfId="1533" xr:uid="{00000000-0005-0000-0000-0000EE050000}"/>
    <cellStyle name="Calc Currency (0) 15 3 2" xfId="1534" xr:uid="{00000000-0005-0000-0000-0000EF050000}"/>
    <cellStyle name="Calc Currency (0) 15 4" xfId="1535" xr:uid="{00000000-0005-0000-0000-0000F0050000}"/>
    <cellStyle name="Calc Currency (0) 15 4 2" xfId="1536" xr:uid="{00000000-0005-0000-0000-0000F1050000}"/>
    <cellStyle name="Calc Currency (0) 15 5" xfId="1537" xr:uid="{00000000-0005-0000-0000-0000F2050000}"/>
    <cellStyle name="Calc Currency (0) 15 5 2" xfId="1538" xr:uid="{00000000-0005-0000-0000-0000F3050000}"/>
    <cellStyle name="Calc Currency (0) 15 6" xfId="1539" xr:uid="{00000000-0005-0000-0000-0000F4050000}"/>
    <cellStyle name="Calc Currency (0) 15 6 2" xfId="1540" xr:uid="{00000000-0005-0000-0000-0000F5050000}"/>
    <cellStyle name="Calc Currency (0) 15 7" xfId="1541" xr:uid="{00000000-0005-0000-0000-0000F6050000}"/>
    <cellStyle name="Calc Currency (0) 15 7 2" xfId="1542" xr:uid="{00000000-0005-0000-0000-0000F7050000}"/>
    <cellStyle name="Calc Currency (0) 15 8" xfId="1543" xr:uid="{00000000-0005-0000-0000-0000F8050000}"/>
    <cellStyle name="Calc Currency (0) 15 8 2" xfId="1544" xr:uid="{00000000-0005-0000-0000-0000F9050000}"/>
    <cellStyle name="Calc Currency (0) 15 9" xfId="1545" xr:uid="{00000000-0005-0000-0000-0000FA050000}"/>
    <cellStyle name="Calc Currency (0) 15 9 2" xfId="1546" xr:uid="{00000000-0005-0000-0000-0000FB050000}"/>
    <cellStyle name="Calc Currency (0) 16" xfId="1547" xr:uid="{00000000-0005-0000-0000-0000FC050000}"/>
    <cellStyle name="Calc Currency (0) 16 10" xfId="1548" xr:uid="{00000000-0005-0000-0000-0000FD050000}"/>
    <cellStyle name="Calc Currency (0) 16 2" xfId="1549" xr:uid="{00000000-0005-0000-0000-0000FE050000}"/>
    <cellStyle name="Calc Currency (0) 16 2 2" xfId="1550" xr:uid="{00000000-0005-0000-0000-0000FF050000}"/>
    <cellStyle name="Calc Currency (0) 16 3" xfId="1551" xr:uid="{00000000-0005-0000-0000-000000060000}"/>
    <cellStyle name="Calc Currency (0) 16 3 2" xfId="1552" xr:uid="{00000000-0005-0000-0000-000001060000}"/>
    <cellStyle name="Calc Currency (0) 16 4" xfId="1553" xr:uid="{00000000-0005-0000-0000-000002060000}"/>
    <cellStyle name="Calc Currency (0) 16 4 2" xfId="1554" xr:uid="{00000000-0005-0000-0000-000003060000}"/>
    <cellStyle name="Calc Currency (0) 16 5" xfId="1555" xr:uid="{00000000-0005-0000-0000-000004060000}"/>
    <cellStyle name="Calc Currency (0) 16 5 2" xfId="1556" xr:uid="{00000000-0005-0000-0000-000005060000}"/>
    <cellStyle name="Calc Currency (0) 16 6" xfId="1557" xr:uid="{00000000-0005-0000-0000-000006060000}"/>
    <cellStyle name="Calc Currency (0) 16 6 2" xfId="1558" xr:uid="{00000000-0005-0000-0000-000007060000}"/>
    <cellStyle name="Calc Currency (0) 16 7" xfId="1559" xr:uid="{00000000-0005-0000-0000-000008060000}"/>
    <cellStyle name="Calc Currency (0) 16 7 2" xfId="1560" xr:uid="{00000000-0005-0000-0000-000009060000}"/>
    <cellStyle name="Calc Currency (0) 16 8" xfId="1561" xr:uid="{00000000-0005-0000-0000-00000A060000}"/>
    <cellStyle name="Calc Currency (0) 16 8 2" xfId="1562" xr:uid="{00000000-0005-0000-0000-00000B060000}"/>
    <cellStyle name="Calc Currency (0) 16 9" xfId="1563" xr:uid="{00000000-0005-0000-0000-00000C060000}"/>
    <cellStyle name="Calc Currency (0) 16 9 2" xfId="1564" xr:uid="{00000000-0005-0000-0000-00000D060000}"/>
    <cellStyle name="Calc Currency (0) 17" xfId="1565" xr:uid="{00000000-0005-0000-0000-00000E060000}"/>
    <cellStyle name="Calc Currency (0) 17 10" xfId="1566" xr:uid="{00000000-0005-0000-0000-00000F060000}"/>
    <cellStyle name="Calc Currency (0) 17 2" xfId="1567" xr:uid="{00000000-0005-0000-0000-000010060000}"/>
    <cellStyle name="Calc Currency (0) 17 2 2" xfId="1568" xr:uid="{00000000-0005-0000-0000-000011060000}"/>
    <cellStyle name="Calc Currency (0) 17 3" xfId="1569" xr:uid="{00000000-0005-0000-0000-000012060000}"/>
    <cellStyle name="Calc Currency (0) 17 3 2" xfId="1570" xr:uid="{00000000-0005-0000-0000-000013060000}"/>
    <cellStyle name="Calc Currency (0) 17 4" xfId="1571" xr:uid="{00000000-0005-0000-0000-000014060000}"/>
    <cellStyle name="Calc Currency (0) 17 4 2" xfId="1572" xr:uid="{00000000-0005-0000-0000-000015060000}"/>
    <cellStyle name="Calc Currency (0) 17 5" xfId="1573" xr:uid="{00000000-0005-0000-0000-000016060000}"/>
    <cellStyle name="Calc Currency (0) 17 5 2" xfId="1574" xr:uid="{00000000-0005-0000-0000-000017060000}"/>
    <cellStyle name="Calc Currency (0) 17 6" xfId="1575" xr:uid="{00000000-0005-0000-0000-000018060000}"/>
    <cellStyle name="Calc Currency (0) 17 6 2" xfId="1576" xr:uid="{00000000-0005-0000-0000-000019060000}"/>
    <cellStyle name="Calc Currency (0) 17 7" xfId="1577" xr:uid="{00000000-0005-0000-0000-00001A060000}"/>
    <cellStyle name="Calc Currency (0) 17 7 2" xfId="1578" xr:uid="{00000000-0005-0000-0000-00001B060000}"/>
    <cellStyle name="Calc Currency (0) 17 8" xfId="1579" xr:uid="{00000000-0005-0000-0000-00001C060000}"/>
    <cellStyle name="Calc Currency (0) 17 8 2" xfId="1580" xr:uid="{00000000-0005-0000-0000-00001D060000}"/>
    <cellStyle name="Calc Currency (0) 17 9" xfId="1581" xr:uid="{00000000-0005-0000-0000-00001E060000}"/>
    <cellStyle name="Calc Currency (0) 17 9 2" xfId="1582" xr:uid="{00000000-0005-0000-0000-00001F060000}"/>
    <cellStyle name="Calc Currency (0) 18" xfId="1583" xr:uid="{00000000-0005-0000-0000-000020060000}"/>
    <cellStyle name="Calc Currency (0) 18 10" xfId="1584" xr:uid="{00000000-0005-0000-0000-000021060000}"/>
    <cellStyle name="Calc Currency (0) 18 2" xfId="1585" xr:uid="{00000000-0005-0000-0000-000022060000}"/>
    <cellStyle name="Calc Currency (0) 18 2 2" xfId="1586" xr:uid="{00000000-0005-0000-0000-000023060000}"/>
    <cellStyle name="Calc Currency (0) 18 3" xfId="1587" xr:uid="{00000000-0005-0000-0000-000024060000}"/>
    <cellStyle name="Calc Currency (0) 18 3 2" xfId="1588" xr:uid="{00000000-0005-0000-0000-000025060000}"/>
    <cellStyle name="Calc Currency (0) 18 4" xfId="1589" xr:uid="{00000000-0005-0000-0000-000026060000}"/>
    <cellStyle name="Calc Currency (0) 18 4 2" xfId="1590" xr:uid="{00000000-0005-0000-0000-000027060000}"/>
    <cellStyle name="Calc Currency (0) 18 5" xfId="1591" xr:uid="{00000000-0005-0000-0000-000028060000}"/>
    <cellStyle name="Calc Currency (0) 18 5 2" xfId="1592" xr:uid="{00000000-0005-0000-0000-000029060000}"/>
    <cellStyle name="Calc Currency (0) 18 6" xfId="1593" xr:uid="{00000000-0005-0000-0000-00002A060000}"/>
    <cellStyle name="Calc Currency (0) 18 6 2" xfId="1594" xr:uid="{00000000-0005-0000-0000-00002B060000}"/>
    <cellStyle name="Calc Currency (0) 18 7" xfId="1595" xr:uid="{00000000-0005-0000-0000-00002C060000}"/>
    <cellStyle name="Calc Currency (0) 18 7 2" xfId="1596" xr:uid="{00000000-0005-0000-0000-00002D060000}"/>
    <cellStyle name="Calc Currency (0) 18 8" xfId="1597" xr:uid="{00000000-0005-0000-0000-00002E060000}"/>
    <cellStyle name="Calc Currency (0) 18 8 2" xfId="1598" xr:uid="{00000000-0005-0000-0000-00002F060000}"/>
    <cellStyle name="Calc Currency (0) 18 9" xfId="1599" xr:uid="{00000000-0005-0000-0000-000030060000}"/>
    <cellStyle name="Calc Currency (0) 18 9 2" xfId="1600" xr:uid="{00000000-0005-0000-0000-000031060000}"/>
    <cellStyle name="Calc Currency (0) 19" xfId="1601" xr:uid="{00000000-0005-0000-0000-000032060000}"/>
    <cellStyle name="Calc Currency (0) 19 10" xfId="1602" xr:uid="{00000000-0005-0000-0000-000033060000}"/>
    <cellStyle name="Calc Currency (0) 19 2" xfId="1603" xr:uid="{00000000-0005-0000-0000-000034060000}"/>
    <cellStyle name="Calc Currency (0) 19 2 2" xfId="1604" xr:uid="{00000000-0005-0000-0000-000035060000}"/>
    <cellStyle name="Calc Currency (0) 19 3" xfId="1605" xr:uid="{00000000-0005-0000-0000-000036060000}"/>
    <cellStyle name="Calc Currency (0) 19 3 2" xfId="1606" xr:uid="{00000000-0005-0000-0000-000037060000}"/>
    <cellStyle name="Calc Currency (0) 19 4" xfId="1607" xr:uid="{00000000-0005-0000-0000-000038060000}"/>
    <cellStyle name="Calc Currency (0) 19 4 2" xfId="1608" xr:uid="{00000000-0005-0000-0000-000039060000}"/>
    <cellStyle name="Calc Currency (0) 19 5" xfId="1609" xr:uid="{00000000-0005-0000-0000-00003A060000}"/>
    <cellStyle name="Calc Currency (0) 19 5 2" xfId="1610" xr:uid="{00000000-0005-0000-0000-00003B060000}"/>
    <cellStyle name="Calc Currency (0) 19 6" xfId="1611" xr:uid="{00000000-0005-0000-0000-00003C060000}"/>
    <cellStyle name="Calc Currency (0) 19 6 2" xfId="1612" xr:uid="{00000000-0005-0000-0000-00003D060000}"/>
    <cellStyle name="Calc Currency (0) 19 7" xfId="1613" xr:uid="{00000000-0005-0000-0000-00003E060000}"/>
    <cellStyle name="Calc Currency (0) 19 7 2" xfId="1614" xr:uid="{00000000-0005-0000-0000-00003F060000}"/>
    <cellStyle name="Calc Currency (0) 19 8" xfId="1615" xr:uid="{00000000-0005-0000-0000-000040060000}"/>
    <cellStyle name="Calc Currency (0) 19 8 2" xfId="1616" xr:uid="{00000000-0005-0000-0000-000041060000}"/>
    <cellStyle name="Calc Currency (0) 19 9" xfId="1617" xr:uid="{00000000-0005-0000-0000-000042060000}"/>
    <cellStyle name="Calc Currency (0) 19 9 2" xfId="1618" xr:uid="{00000000-0005-0000-0000-000043060000}"/>
    <cellStyle name="Calc Currency (0) 2" xfId="1619" xr:uid="{00000000-0005-0000-0000-000044060000}"/>
    <cellStyle name="Calc Currency (0) 2 10" xfId="1620" xr:uid="{00000000-0005-0000-0000-000045060000}"/>
    <cellStyle name="Calc Currency (0) 2 2" xfId="1621" xr:uid="{00000000-0005-0000-0000-000046060000}"/>
    <cellStyle name="Calc Currency (0) 2 2 2" xfId="1622" xr:uid="{00000000-0005-0000-0000-000047060000}"/>
    <cellStyle name="Calc Currency (0) 2 3" xfId="1623" xr:uid="{00000000-0005-0000-0000-000048060000}"/>
    <cellStyle name="Calc Currency (0) 2 3 2" xfId="1624" xr:uid="{00000000-0005-0000-0000-000049060000}"/>
    <cellStyle name="Calc Currency (0) 2 4" xfId="1625" xr:uid="{00000000-0005-0000-0000-00004A060000}"/>
    <cellStyle name="Calc Currency (0) 2 4 2" xfId="1626" xr:uid="{00000000-0005-0000-0000-00004B060000}"/>
    <cellStyle name="Calc Currency (0) 2 5" xfId="1627" xr:uid="{00000000-0005-0000-0000-00004C060000}"/>
    <cellStyle name="Calc Currency (0) 2 5 2" xfId="1628" xr:uid="{00000000-0005-0000-0000-00004D060000}"/>
    <cellStyle name="Calc Currency (0) 2 6" xfId="1629" xr:uid="{00000000-0005-0000-0000-00004E060000}"/>
    <cellStyle name="Calc Currency (0) 2 6 2" xfId="1630" xr:uid="{00000000-0005-0000-0000-00004F060000}"/>
    <cellStyle name="Calc Currency (0) 2 7" xfId="1631" xr:uid="{00000000-0005-0000-0000-000050060000}"/>
    <cellStyle name="Calc Currency (0) 2 7 2" xfId="1632" xr:uid="{00000000-0005-0000-0000-000051060000}"/>
    <cellStyle name="Calc Currency (0) 2 8" xfId="1633" xr:uid="{00000000-0005-0000-0000-000052060000}"/>
    <cellStyle name="Calc Currency (0) 2 8 2" xfId="1634" xr:uid="{00000000-0005-0000-0000-000053060000}"/>
    <cellStyle name="Calc Currency (0) 2 9" xfId="1635" xr:uid="{00000000-0005-0000-0000-000054060000}"/>
    <cellStyle name="Calc Currency (0) 2 9 2" xfId="1636" xr:uid="{00000000-0005-0000-0000-000055060000}"/>
    <cellStyle name="Calc Currency (0) 20" xfId="1637" xr:uid="{00000000-0005-0000-0000-000056060000}"/>
    <cellStyle name="Calc Currency (0) 20 10" xfId="1638" xr:uid="{00000000-0005-0000-0000-000057060000}"/>
    <cellStyle name="Calc Currency (0) 20 2" xfId="1639" xr:uid="{00000000-0005-0000-0000-000058060000}"/>
    <cellStyle name="Calc Currency (0) 20 2 2" xfId="1640" xr:uid="{00000000-0005-0000-0000-000059060000}"/>
    <cellStyle name="Calc Currency (0) 20 3" xfId="1641" xr:uid="{00000000-0005-0000-0000-00005A060000}"/>
    <cellStyle name="Calc Currency (0) 20 3 2" xfId="1642" xr:uid="{00000000-0005-0000-0000-00005B060000}"/>
    <cellStyle name="Calc Currency (0) 20 4" xfId="1643" xr:uid="{00000000-0005-0000-0000-00005C060000}"/>
    <cellStyle name="Calc Currency (0) 20 4 2" xfId="1644" xr:uid="{00000000-0005-0000-0000-00005D060000}"/>
    <cellStyle name="Calc Currency (0) 20 5" xfId="1645" xr:uid="{00000000-0005-0000-0000-00005E060000}"/>
    <cellStyle name="Calc Currency (0) 20 5 2" xfId="1646" xr:uid="{00000000-0005-0000-0000-00005F060000}"/>
    <cellStyle name="Calc Currency (0) 20 6" xfId="1647" xr:uid="{00000000-0005-0000-0000-000060060000}"/>
    <cellStyle name="Calc Currency (0) 20 6 2" xfId="1648" xr:uid="{00000000-0005-0000-0000-000061060000}"/>
    <cellStyle name="Calc Currency (0) 20 7" xfId="1649" xr:uid="{00000000-0005-0000-0000-000062060000}"/>
    <cellStyle name="Calc Currency (0) 20 7 2" xfId="1650" xr:uid="{00000000-0005-0000-0000-000063060000}"/>
    <cellStyle name="Calc Currency (0) 20 8" xfId="1651" xr:uid="{00000000-0005-0000-0000-000064060000}"/>
    <cellStyle name="Calc Currency (0) 20 8 2" xfId="1652" xr:uid="{00000000-0005-0000-0000-000065060000}"/>
    <cellStyle name="Calc Currency (0) 20 9" xfId="1653" xr:uid="{00000000-0005-0000-0000-000066060000}"/>
    <cellStyle name="Calc Currency (0) 20 9 2" xfId="1654" xr:uid="{00000000-0005-0000-0000-000067060000}"/>
    <cellStyle name="Calc Currency (0) 21" xfId="1655" xr:uid="{00000000-0005-0000-0000-000068060000}"/>
    <cellStyle name="Calc Currency (0) 21 10" xfId="1656" xr:uid="{00000000-0005-0000-0000-000069060000}"/>
    <cellStyle name="Calc Currency (0) 21 2" xfId="1657" xr:uid="{00000000-0005-0000-0000-00006A060000}"/>
    <cellStyle name="Calc Currency (0) 21 2 2" xfId="1658" xr:uid="{00000000-0005-0000-0000-00006B060000}"/>
    <cellStyle name="Calc Currency (0) 21 3" xfId="1659" xr:uid="{00000000-0005-0000-0000-00006C060000}"/>
    <cellStyle name="Calc Currency (0) 21 3 2" xfId="1660" xr:uid="{00000000-0005-0000-0000-00006D060000}"/>
    <cellStyle name="Calc Currency (0) 21 4" xfId="1661" xr:uid="{00000000-0005-0000-0000-00006E060000}"/>
    <cellStyle name="Calc Currency (0) 21 4 2" xfId="1662" xr:uid="{00000000-0005-0000-0000-00006F060000}"/>
    <cellStyle name="Calc Currency (0) 21 5" xfId="1663" xr:uid="{00000000-0005-0000-0000-000070060000}"/>
    <cellStyle name="Calc Currency (0) 21 5 2" xfId="1664" xr:uid="{00000000-0005-0000-0000-000071060000}"/>
    <cellStyle name="Calc Currency (0) 21 6" xfId="1665" xr:uid="{00000000-0005-0000-0000-000072060000}"/>
    <cellStyle name="Calc Currency (0) 21 6 2" xfId="1666" xr:uid="{00000000-0005-0000-0000-000073060000}"/>
    <cellStyle name="Calc Currency (0) 21 7" xfId="1667" xr:uid="{00000000-0005-0000-0000-000074060000}"/>
    <cellStyle name="Calc Currency (0) 21 7 2" xfId="1668" xr:uid="{00000000-0005-0000-0000-000075060000}"/>
    <cellStyle name="Calc Currency (0) 21 8" xfId="1669" xr:uid="{00000000-0005-0000-0000-000076060000}"/>
    <cellStyle name="Calc Currency (0) 21 8 2" xfId="1670" xr:uid="{00000000-0005-0000-0000-000077060000}"/>
    <cellStyle name="Calc Currency (0) 21 9" xfId="1671" xr:uid="{00000000-0005-0000-0000-000078060000}"/>
    <cellStyle name="Calc Currency (0) 21 9 2" xfId="1672" xr:uid="{00000000-0005-0000-0000-000079060000}"/>
    <cellStyle name="Calc Currency (0) 22" xfId="1673" xr:uid="{00000000-0005-0000-0000-00007A060000}"/>
    <cellStyle name="Calc Currency (0) 3" xfId="1674" xr:uid="{00000000-0005-0000-0000-00007B060000}"/>
    <cellStyle name="Calc Currency (0) 3 10" xfId="1675" xr:uid="{00000000-0005-0000-0000-00007C060000}"/>
    <cellStyle name="Calc Currency (0) 3 2" xfId="1676" xr:uid="{00000000-0005-0000-0000-00007D060000}"/>
    <cellStyle name="Calc Currency (0) 3 2 2" xfId="1677" xr:uid="{00000000-0005-0000-0000-00007E060000}"/>
    <cellStyle name="Calc Currency (0) 3 3" xfId="1678" xr:uid="{00000000-0005-0000-0000-00007F060000}"/>
    <cellStyle name="Calc Currency (0) 3 3 2" xfId="1679" xr:uid="{00000000-0005-0000-0000-000080060000}"/>
    <cellStyle name="Calc Currency (0) 3 4" xfId="1680" xr:uid="{00000000-0005-0000-0000-000081060000}"/>
    <cellStyle name="Calc Currency (0) 3 4 2" xfId="1681" xr:uid="{00000000-0005-0000-0000-000082060000}"/>
    <cellStyle name="Calc Currency (0) 3 5" xfId="1682" xr:uid="{00000000-0005-0000-0000-000083060000}"/>
    <cellStyle name="Calc Currency (0) 3 5 2" xfId="1683" xr:uid="{00000000-0005-0000-0000-000084060000}"/>
    <cellStyle name="Calc Currency (0) 3 6" xfId="1684" xr:uid="{00000000-0005-0000-0000-000085060000}"/>
    <cellStyle name="Calc Currency (0) 3 6 2" xfId="1685" xr:uid="{00000000-0005-0000-0000-000086060000}"/>
    <cellStyle name="Calc Currency (0) 3 7" xfId="1686" xr:uid="{00000000-0005-0000-0000-000087060000}"/>
    <cellStyle name="Calc Currency (0) 3 7 2" xfId="1687" xr:uid="{00000000-0005-0000-0000-000088060000}"/>
    <cellStyle name="Calc Currency (0) 3 8" xfId="1688" xr:uid="{00000000-0005-0000-0000-000089060000}"/>
    <cellStyle name="Calc Currency (0) 3 8 2" xfId="1689" xr:uid="{00000000-0005-0000-0000-00008A060000}"/>
    <cellStyle name="Calc Currency (0) 3 9" xfId="1690" xr:uid="{00000000-0005-0000-0000-00008B060000}"/>
    <cellStyle name="Calc Currency (0) 3 9 2" xfId="1691" xr:uid="{00000000-0005-0000-0000-00008C060000}"/>
    <cellStyle name="Calc Currency (0) 4" xfId="1692" xr:uid="{00000000-0005-0000-0000-00008D060000}"/>
    <cellStyle name="Calc Currency (0) 4 10" xfId="1693" xr:uid="{00000000-0005-0000-0000-00008E060000}"/>
    <cellStyle name="Calc Currency (0) 4 2" xfId="1694" xr:uid="{00000000-0005-0000-0000-00008F060000}"/>
    <cellStyle name="Calc Currency (0) 4 2 2" xfId="1695" xr:uid="{00000000-0005-0000-0000-000090060000}"/>
    <cellStyle name="Calc Currency (0) 4 3" xfId="1696" xr:uid="{00000000-0005-0000-0000-000091060000}"/>
    <cellStyle name="Calc Currency (0) 4 3 2" xfId="1697" xr:uid="{00000000-0005-0000-0000-000092060000}"/>
    <cellStyle name="Calc Currency (0) 4 4" xfId="1698" xr:uid="{00000000-0005-0000-0000-000093060000}"/>
    <cellStyle name="Calc Currency (0) 4 4 2" xfId="1699" xr:uid="{00000000-0005-0000-0000-000094060000}"/>
    <cellStyle name="Calc Currency (0) 4 5" xfId="1700" xr:uid="{00000000-0005-0000-0000-000095060000}"/>
    <cellStyle name="Calc Currency (0) 4 5 2" xfId="1701" xr:uid="{00000000-0005-0000-0000-000096060000}"/>
    <cellStyle name="Calc Currency (0) 4 6" xfId="1702" xr:uid="{00000000-0005-0000-0000-000097060000}"/>
    <cellStyle name="Calc Currency (0) 4 6 2" xfId="1703" xr:uid="{00000000-0005-0000-0000-000098060000}"/>
    <cellStyle name="Calc Currency (0) 4 7" xfId="1704" xr:uid="{00000000-0005-0000-0000-000099060000}"/>
    <cellStyle name="Calc Currency (0) 4 7 2" xfId="1705" xr:uid="{00000000-0005-0000-0000-00009A060000}"/>
    <cellStyle name="Calc Currency (0) 4 8" xfId="1706" xr:uid="{00000000-0005-0000-0000-00009B060000}"/>
    <cellStyle name="Calc Currency (0) 4 8 2" xfId="1707" xr:uid="{00000000-0005-0000-0000-00009C060000}"/>
    <cellStyle name="Calc Currency (0) 4 9" xfId="1708" xr:uid="{00000000-0005-0000-0000-00009D060000}"/>
    <cellStyle name="Calc Currency (0) 4 9 2" xfId="1709" xr:uid="{00000000-0005-0000-0000-00009E060000}"/>
    <cellStyle name="Calc Currency (0) 5" xfId="1710" xr:uid="{00000000-0005-0000-0000-00009F060000}"/>
    <cellStyle name="Calc Currency (0) 5 10" xfId="1711" xr:uid="{00000000-0005-0000-0000-0000A0060000}"/>
    <cellStyle name="Calc Currency (0) 5 2" xfId="1712" xr:uid="{00000000-0005-0000-0000-0000A1060000}"/>
    <cellStyle name="Calc Currency (0) 5 2 2" xfId="1713" xr:uid="{00000000-0005-0000-0000-0000A2060000}"/>
    <cellStyle name="Calc Currency (0) 5 3" xfId="1714" xr:uid="{00000000-0005-0000-0000-0000A3060000}"/>
    <cellStyle name="Calc Currency (0) 5 3 2" xfId="1715" xr:uid="{00000000-0005-0000-0000-0000A4060000}"/>
    <cellStyle name="Calc Currency (0) 5 4" xfId="1716" xr:uid="{00000000-0005-0000-0000-0000A5060000}"/>
    <cellStyle name="Calc Currency (0) 5 4 2" xfId="1717" xr:uid="{00000000-0005-0000-0000-0000A6060000}"/>
    <cellStyle name="Calc Currency (0) 5 5" xfId="1718" xr:uid="{00000000-0005-0000-0000-0000A7060000}"/>
    <cellStyle name="Calc Currency (0) 5 5 2" xfId="1719" xr:uid="{00000000-0005-0000-0000-0000A8060000}"/>
    <cellStyle name="Calc Currency (0) 5 6" xfId="1720" xr:uid="{00000000-0005-0000-0000-0000A9060000}"/>
    <cellStyle name="Calc Currency (0) 5 6 2" xfId="1721" xr:uid="{00000000-0005-0000-0000-0000AA060000}"/>
    <cellStyle name="Calc Currency (0) 5 7" xfId="1722" xr:uid="{00000000-0005-0000-0000-0000AB060000}"/>
    <cellStyle name="Calc Currency (0) 5 7 2" xfId="1723" xr:uid="{00000000-0005-0000-0000-0000AC060000}"/>
    <cellStyle name="Calc Currency (0) 5 8" xfId="1724" xr:uid="{00000000-0005-0000-0000-0000AD060000}"/>
    <cellStyle name="Calc Currency (0) 5 8 2" xfId="1725" xr:uid="{00000000-0005-0000-0000-0000AE060000}"/>
    <cellStyle name="Calc Currency (0) 5 9" xfId="1726" xr:uid="{00000000-0005-0000-0000-0000AF060000}"/>
    <cellStyle name="Calc Currency (0) 5 9 2" xfId="1727" xr:uid="{00000000-0005-0000-0000-0000B0060000}"/>
    <cellStyle name="Calc Currency (0) 6" xfId="1728" xr:uid="{00000000-0005-0000-0000-0000B1060000}"/>
    <cellStyle name="Calc Currency (0) 6 10" xfId="1729" xr:uid="{00000000-0005-0000-0000-0000B2060000}"/>
    <cellStyle name="Calc Currency (0) 6 2" xfId="1730" xr:uid="{00000000-0005-0000-0000-0000B3060000}"/>
    <cellStyle name="Calc Currency (0) 6 2 2" xfId="1731" xr:uid="{00000000-0005-0000-0000-0000B4060000}"/>
    <cellStyle name="Calc Currency (0) 6 3" xfId="1732" xr:uid="{00000000-0005-0000-0000-0000B5060000}"/>
    <cellStyle name="Calc Currency (0) 6 3 2" xfId="1733" xr:uid="{00000000-0005-0000-0000-0000B6060000}"/>
    <cellStyle name="Calc Currency (0) 6 4" xfId="1734" xr:uid="{00000000-0005-0000-0000-0000B7060000}"/>
    <cellStyle name="Calc Currency (0) 6 4 2" xfId="1735" xr:uid="{00000000-0005-0000-0000-0000B8060000}"/>
    <cellStyle name="Calc Currency (0) 6 5" xfId="1736" xr:uid="{00000000-0005-0000-0000-0000B9060000}"/>
    <cellStyle name="Calc Currency (0) 6 5 2" xfId="1737" xr:uid="{00000000-0005-0000-0000-0000BA060000}"/>
    <cellStyle name="Calc Currency (0) 6 6" xfId="1738" xr:uid="{00000000-0005-0000-0000-0000BB060000}"/>
    <cellStyle name="Calc Currency (0) 6 6 2" xfId="1739" xr:uid="{00000000-0005-0000-0000-0000BC060000}"/>
    <cellStyle name="Calc Currency (0) 6 7" xfId="1740" xr:uid="{00000000-0005-0000-0000-0000BD060000}"/>
    <cellStyle name="Calc Currency (0) 6 7 2" xfId="1741" xr:uid="{00000000-0005-0000-0000-0000BE060000}"/>
    <cellStyle name="Calc Currency (0) 6 8" xfId="1742" xr:uid="{00000000-0005-0000-0000-0000BF060000}"/>
    <cellStyle name="Calc Currency (0) 6 8 2" xfId="1743" xr:uid="{00000000-0005-0000-0000-0000C0060000}"/>
    <cellStyle name="Calc Currency (0) 6 9" xfId="1744" xr:uid="{00000000-0005-0000-0000-0000C1060000}"/>
    <cellStyle name="Calc Currency (0) 6 9 2" xfId="1745" xr:uid="{00000000-0005-0000-0000-0000C2060000}"/>
    <cellStyle name="Calc Currency (0) 7" xfId="1746" xr:uid="{00000000-0005-0000-0000-0000C3060000}"/>
    <cellStyle name="Calc Currency (0) 7 10" xfId="1747" xr:uid="{00000000-0005-0000-0000-0000C4060000}"/>
    <cellStyle name="Calc Currency (0) 7 2" xfId="1748" xr:uid="{00000000-0005-0000-0000-0000C5060000}"/>
    <cellStyle name="Calc Currency (0) 7 2 2" xfId="1749" xr:uid="{00000000-0005-0000-0000-0000C6060000}"/>
    <cellStyle name="Calc Currency (0) 7 3" xfId="1750" xr:uid="{00000000-0005-0000-0000-0000C7060000}"/>
    <cellStyle name="Calc Currency (0) 7 3 2" xfId="1751" xr:uid="{00000000-0005-0000-0000-0000C8060000}"/>
    <cellStyle name="Calc Currency (0) 7 4" xfId="1752" xr:uid="{00000000-0005-0000-0000-0000C9060000}"/>
    <cellStyle name="Calc Currency (0) 7 4 2" xfId="1753" xr:uid="{00000000-0005-0000-0000-0000CA060000}"/>
    <cellStyle name="Calc Currency (0) 7 5" xfId="1754" xr:uid="{00000000-0005-0000-0000-0000CB060000}"/>
    <cellStyle name="Calc Currency (0) 7 5 2" xfId="1755" xr:uid="{00000000-0005-0000-0000-0000CC060000}"/>
    <cellStyle name="Calc Currency (0) 7 6" xfId="1756" xr:uid="{00000000-0005-0000-0000-0000CD060000}"/>
    <cellStyle name="Calc Currency (0) 7 6 2" xfId="1757" xr:uid="{00000000-0005-0000-0000-0000CE060000}"/>
    <cellStyle name="Calc Currency (0) 7 7" xfId="1758" xr:uid="{00000000-0005-0000-0000-0000CF060000}"/>
    <cellStyle name="Calc Currency (0) 7 7 2" xfId="1759" xr:uid="{00000000-0005-0000-0000-0000D0060000}"/>
    <cellStyle name="Calc Currency (0) 7 8" xfId="1760" xr:uid="{00000000-0005-0000-0000-0000D1060000}"/>
    <cellStyle name="Calc Currency (0) 7 8 2" xfId="1761" xr:uid="{00000000-0005-0000-0000-0000D2060000}"/>
    <cellStyle name="Calc Currency (0) 7 9" xfId="1762" xr:uid="{00000000-0005-0000-0000-0000D3060000}"/>
    <cellStyle name="Calc Currency (0) 7 9 2" xfId="1763" xr:uid="{00000000-0005-0000-0000-0000D4060000}"/>
    <cellStyle name="Calc Currency (0) 8" xfId="1764" xr:uid="{00000000-0005-0000-0000-0000D5060000}"/>
    <cellStyle name="Calc Currency (0) 8 10" xfId="1765" xr:uid="{00000000-0005-0000-0000-0000D6060000}"/>
    <cellStyle name="Calc Currency (0) 8 2" xfId="1766" xr:uid="{00000000-0005-0000-0000-0000D7060000}"/>
    <cellStyle name="Calc Currency (0) 8 2 2" xfId="1767" xr:uid="{00000000-0005-0000-0000-0000D8060000}"/>
    <cellStyle name="Calc Currency (0) 8 3" xfId="1768" xr:uid="{00000000-0005-0000-0000-0000D9060000}"/>
    <cellStyle name="Calc Currency (0) 8 3 2" xfId="1769" xr:uid="{00000000-0005-0000-0000-0000DA060000}"/>
    <cellStyle name="Calc Currency (0) 8 4" xfId="1770" xr:uid="{00000000-0005-0000-0000-0000DB060000}"/>
    <cellStyle name="Calc Currency (0) 8 4 2" xfId="1771" xr:uid="{00000000-0005-0000-0000-0000DC060000}"/>
    <cellStyle name="Calc Currency (0) 8 5" xfId="1772" xr:uid="{00000000-0005-0000-0000-0000DD060000}"/>
    <cellStyle name="Calc Currency (0) 8 5 2" xfId="1773" xr:uid="{00000000-0005-0000-0000-0000DE060000}"/>
    <cellStyle name="Calc Currency (0) 8 6" xfId="1774" xr:uid="{00000000-0005-0000-0000-0000DF060000}"/>
    <cellStyle name="Calc Currency (0) 8 6 2" xfId="1775" xr:uid="{00000000-0005-0000-0000-0000E0060000}"/>
    <cellStyle name="Calc Currency (0) 8 7" xfId="1776" xr:uid="{00000000-0005-0000-0000-0000E1060000}"/>
    <cellStyle name="Calc Currency (0) 8 7 2" xfId="1777" xr:uid="{00000000-0005-0000-0000-0000E2060000}"/>
    <cellStyle name="Calc Currency (0) 8 8" xfId="1778" xr:uid="{00000000-0005-0000-0000-0000E3060000}"/>
    <cellStyle name="Calc Currency (0) 8 8 2" xfId="1779" xr:uid="{00000000-0005-0000-0000-0000E4060000}"/>
    <cellStyle name="Calc Currency (0) 8 9" xfId="1780" xr:uid="{00000000-0005-0000-0000-0000E5060000}"/>
    <cellStyle name="Calc Currency (0) 8 9 2" xfId="1781" xr:uid="{00000000-0005-0000-0000-0000E6060000}"/>
    <cellStyle name="Calc Currency (0) 9" xfId="1782" xr:uid="{00000000-0005-0000-0000-0000E7060000}"/>
    <cellStyle name="Calc Currency (0) 9 10" xfId="1783" xr:uid="{00000000-0005-0000-0000-0000E8060000}"/>
    <cellStyle name="Calc Currency (0) 9 2" xfId="1784" xr:uid="{00000000-0005-0000-0000-0000E9060000}"/>
    <cellStyle name="Calc Currency (0) 9 2 2" xfId="1785" xr:uid="{00000000-0005-0000-0000-0000EA060000}"/>
    <cellStyle name="Calc Currency (0) 9 3" xfId="1786" xr:uid="{00000000-0005-0000-0000-0000EB060000}"/>
    <cellStyle name="Calc Currency (0) 9 3 2" xfId="1787" xr:uid="{00000000-0005-0000-0000-0000EC060000}"/>
    <cellStyle name="Calc Currency (0) 9 4" xfId="1788" xr:uid="{00000000-0005-0000-0000-0000ED060000}"/>
    <cellStyle name="Calc Currency (0) 9 4 2" xfId="1789" xr:uid="{00000000-0005-0000-0000-0000EE060000}"/>
    <cellStyle name="Calc Currency (0) 9 5" xfId="1790" xr:uid="{00000000-0005-0000-0000-0000EF060000}"/>
    <cellStyle name="Calc Currency (0) 9 5 2" xfId="1791" xr:uid="{00000000-0005-0000-0000-0000F0060000}"/>
    <cellStyle name="Calc Currency (0) 9 6" xfId="1792" xr:uid="{00000000-0005-0000-0000-0000F1060000}"/>
    <cellStyle name="Calc Currency (0) 9 6 2" xfId="1793" xr:uid="{00000000-0005-0000-0000-0000F2060000}"/>
    <cellStyle name="Calc Currency (0) 9 7" xfId="1794" xr:uid="{00000000-0005-0000-0000-0000F3060000}"/>
    <cellStyle name="Calc Currency (0) 9 7 2" xfId="1795" xr:uid="{00000000-0005-0000-0000-0000F4060000}"/>
    <cellStyle name="Calc Currency (0) 9 8" xfId="1796" xr:uid="{00000000-0005-0000-0000-0000F5060000}"/>
    <cellStyle name="Calc Currency (0) 9 8 2" xfId="1797" xr:uid="{00000000-0005-0000-0000-0000F6060000}"/>
    <cellStyle name="Calc Currency (0) 9 9" xfId="1798" xr:uid="{00000000-0005-0000-0000-0000F7060000}"/>
    <cellStyle name="Calc Currency (0) 9 9 2" xfId="1799" xr:uid="{00000000-0005-0000-0000-0000F8060000}"/>
    <cellStyle name="Calculation" xfId="33" xr:uid="{00000000-0005-0000-0000-0000F9060000}"/>
    <cellStyle name="Calculation 10" xfId="1800" xr:uid="{00000000-0005-0000-0000-0000FA060000}"/>
    <cellStyle name="Calculation 10 2" xfId="1801" xr:uid="{00000000-0005-0000-0000-0000FB060000}"/>
    <cellStyle name="Calculation 10 2 2" xfId="1802" xr:uid="{00000000-0005-0000-0000-0000FC060000}"/>
    <cellStyle name="Calculation 10 2 2 2" xfId="1803" xr:uid="{00000000-0005-0000-0000-0000FD060000}"/>
    <cellStyle name="Calculation 10 2 2 3" xfId="1804" xr:uid="{00000000-0005-0000-0000-0000FE060000}"/>
    <cellStyle name="Calculation 10 2 2 4" xfId="1805" xr:uid="{00000000-0005-0000-0000-0000FF060000}"/>
    <cellStyle name="Calculation 10 2 3" xfId="1806" xr:uid="{00000000-0005-0000-0000-000000070000}"/>
    <cellStyle name="Calculation 10 2 3 2" xfId="1807" xr:uid="{00000000-0005-0000-0000-000001070000}"/>
    <cellStyle name="Calculation 10 2 3 3" xfId="1808" xr:uid="{00000000-0005-0000-0000-000002070000}"/>
    <cellStyle name="Calculation 10 2 3 4" xfId="1809" xr:uid="{00000000-0005-0000-0000-000003070000}"/>
    <cellStyle name="Calculation 10 2 4" xfId="1810" xr:uid="{00000000-0005-0000-0000-000004070000}"/>
    <cellStyle name="Calculation 10 2 5" xfId="1811" xr:uid="{00000000-0005-0000-0000-000005070000}"/>
    <cellStyle name="Calculation 10 2 6" xfId="1812" xr:uid="{00000000-0005-0000-0000-000006070000}"/>
    <cellStyle name="Calculation 10 3" xfId="1813" xr:uid="{00000000-0005-0000-0000-000007070000}"/>
    <cellStyle name="Calculation 10 3 2" xfId="1814" xr:uid="{00000000-0005-0000-0000-000008070000}"/>
    <cellStyle name="Calculation 10 3 2 2" xfId="1815" xr:uid="{00000000-0005-0000-0000-000009070000}"/>
    <cellStyle name="Calculation 10 3 2 3" xfId="1816" xr:uid="{00000000-0005-0000-0000-00000A070000}"/>
    <cellStyle name="Calculation 10 3 2 4" xfId="1817" xr:uid="{00000000-0005-0000-0000-00000B070000}"/>
    <cellStyle name="Calculation 10 3 3" xfId="1818" xr:uid="{00000000-0005-0000-0000-00000C070000}"/>
    <cellStyle name="Calculation 10 3 3 2" xfId="1819" xr:uid="{00000000-0005-0000-0000-00000D070000}"/>
    <cellStyle name="Calculation 10 3 3 3" xfId="1820" xr:uid="{00000000-0005-0000-0000-00000E070000}"/>
    <cellStyle name="Calculation 10 3 3 4" xfId="1821" xr:uid="{00000000-0005-0000-0000-00000F070000}"/>
    <cellStyle name="Calculation 10 3 4" xfId="1822" xr:uid="{00000000-0005-0000-0000-000010070000}"/>
    <cellStyle name="Calculation 10 3 5" xfId="1823" xr:uid="{00000000-0005-0000-0000-000011070000}"/>
    <cellStyle name="Calculation 10 3 6" xfId="1824" xr:uid="{00000000-0005-0000-0000-000012070000}"/>
    <cellStyle name="Calculation 10 4" xfId="1825" xr:uid="{00000000-0005-0000-0000-000013070000}"/>
    <cellStyle name="Calculation 10 4 2" xfId="1826" xr:uid="{00000000-0005-0000-0000-000014070000}"/>
    <cellStyle name="Calculation 10 4 3" xfId="1827" xr:uid="{00000000-0005-0000-0000-000015070000}"/>
    <cellStyle name="Calculation 10 4 4" xfId="1828" xr:uid="{00000000-0005-0000-0000-000016070000}"/>
    <cellStyle name="Calculation 10 5" xfId="1829" xr:uid="{00000000-0005-0000-0000-000017070000}"/>
    <cellStyle name="Calculation 10 6" xfId="1830" xr:uid="{00000000-0005-0000-0000-000018070000}"/>
    <cellStyle name="Calculation 11" xfId="1831" xr:uid="{00000000-0005-0000-0000-000019070000}"/>
    <cellStyle name="Calculation 11 2" xfId="1832" xr:uid="{00000000-0005-0000-0000-00001A070000}"/>
    <cellStyle name="Calculation 11 2 2" xfId="1833" xr:uid="{00000000-0005-0000-0000-00001B070000}"/>
    <cellStyle name="Calculation 11 2 2 2" xfId="1834" xr:uid="{00000000-0005-0000-0000-00001C070000}"/>
    <cellStyle name="Calculation 11 2 2 3" xfId="1835" xr:uid="{00000000-0005-0000-0000-00001D070000}"/>
    <cellStyle name="Calculation 11 2 2 4" xfId="1836" xr:uid="{00000000-0005-0000-0000-00001E070000}"/>
    <cellStyle name="Calculation 11 2 3" xfId="1837" xr:uid="{00000000-0005-0000-0000-00001F070000}"/>
    <cellStyle name="Calculation 11 2 3 2" xfId="1838" xr:uid="{00000000-0005-0000-0000-000020070000}"/>
    <cellStyle name="Calculation 11 2 3 3" xfId="1839" xr:uid="{00000000-0005-0000-0000-000021070000}"/>
    <cellStyle name="Calculation 11 2 3 4" xfId="1840" xr:uid="{00000000-0005-0000-0000-000022070000}"/>
    <cellStyle name="Calculation 11 2 4" xfId="1841" xr:uid="{00000000-0005-0000-0000-000023070000}"/>
    <cellStyle name="Calculation 11 2 5" xfId="1842" xr:uid="{00000000-0005-0000-0000-000024070000}"/>
    <cellStyle name="Calculation 11 2 6" xfId="1843" xr:uid="{00000000-0005-0000-0000-000025070000}"/>
    <cellStyle name="Calculation 11 3" xfId="1844" xr:uid="{00000000-0005-0000-0000-000026070000}"/>
    <cellStyle name="Calculation 11 3 2" xfId="1845" xr:uid="{00000000-0005-0000-0000-000027070000}"/>
    <cellStyle name="Calculation 11 3 2 2" xfId="1846" xr:uid="{00000000-0005-0000-0000-000028070000}"/>
    <cellStyle name="Calculation 11 3 2 3" xfId="1847" xr:uid="{00000000-0005-0000-0000-000029070000}"/>
    <cellStyle name="Calculation 11 3 2 4" xfId="1848" xr:uid="{00000000-0005-0000-0000-00002A070000}"/>
    <cellStyle name="Calculation 11 3 3" xfId="1849" xr:uid="{00000000-0005-0000-0000-00002B070000}"/>
    <cellStyle name="Calculation 11 3 3 2" xfId="1850" xr:uid="{00000000-0005-0000-0000-00002C070000}"/>
    <cellStyle name="Calculation 11 3 3 3" xfId="1851" xr:uid="{00000000-0005-0000-0000-00002D070000}"/>
    <cellStyle name="Calculation 11 3 3 4" xfId="1852" xr:uid="{00000000-0005-0000-0000-00002E070000}"/>
    <cellStyle name="Calculation 11 3 4" xfId="1853" xr:uid="{00000000-0005-0000-0000-00002F070000}"/>
    <cellStyle name="Calculation 11 3 5" xfId="1854" xr:uid="{00000000-0005-0000-0000-000030070000}"/>
    <cellStyle name="Calculation 11 3 6" xfId="1855" xr:uid="{00000000-0005-0000-0000-000031070000}"/>
    <cellStyle name="Calculation 11 4" xfId="1856" xr:uid="{00000000-0005-0000-0000-000032070000}"/>
    <cellStyle name="Calculation 11 4 2" xfId="1857" xr:uid="{00000000-0005-0000-0000-000033070000}"/>
    <cellStyle name="Calculation 11 4 3" xfId="1858" xr:uid="{00000000-0005-0000-0000-000034070000}"/>
    <cellStyle name="Calculation 11 4 4" xfId="1859" xr:uid="{00000000-0005-0000-0000-000035070000}"/>
    <cellStyle name="Calculation 11 5" xfId="1860" xr:uid="{00000000-0005-0000-0000-000036070000}"/>
    <cellStyle name="Calculation 11 6" xfId="1861" xr:uid="{00000000-0005-0000-0000-000037070000}"/>
    <cellStyle name="Calculation 12" xfId="1862" xr:uid="{00000000-0005-0000-0000-000038070000}"/>
    <cellStyle name="Calculation 12 2" xfId="1863" xr:uid="{00000000-0005-0000-0000-000039070000}"/>
    <cellStyle name="Calculation 12 2 2" xfId="1864" xr:uid="{00000000-0005-0000-0000-00003A070000}"/>
    <cellStyle name="Calculation 12 2 2 2" xfId="1865" xr:uid="{00000000-0005-0000-0000-00003B070000}"/>
    <cellStyle name="Calculation 12 2 2 3" xfId="1866" xr:uid="{00000000-0005-0000-0000-00003C070000}"/>
    <cellStyle name="Calculation 12 2 2 4" xfId="1867" xr:uid="{00000000-0005-0000-0000-00003D070000}"/>
    <cellStyle name="Calculation 12 2 3" xfId="1868" xr:uid="{00000000-0005-0000-0000-00003E070000}"/>
    <cellStyle name="Calculation 12 2 3 2" xfId="1869" xr:uid="{00000000-0005-0000-0000-00003F070000}"/>
    <cellStyle name="Calculation 12 2 3 3" xfId="1870" xr:uid="{00000000-0005-0000-0000-000040070000}"/>
    <cellStyle name="Calculation 12 2 3 4" xfId="1871" xr:uid="{00000000-0005-0000-0000-000041070000}"/>
    <cellStyle name="Calculation 12 2 4" xfId="1872" xr:uid="{00000000-0005-0000-0000-000042070000}"/>
    <cellStyle name="Calculation 12 2 5" xfId="1873" xr:uid="{00000000-0005-0000-0000-000043070000}"/>
    <cellStyle name="Calculation 12 2 6" xfId="1874" xr:uid="{00000000-0005-0000-0000-000044070000}"/>
    <cellStyle name="Calculation 12 3" xfId="1875" xr:uid="{00000000-0005-0000-0000-000045070000}"/>
    <cellStyle name="Calculation 12 3 2" xfId="1876" xr:uid="{00000000-0005-0000-0000-000046070000}"/>
    <cellStyle name="Calculation 12 3 2 2" xfId="1877" xr:uid="{00000000-0005-0000-0000-000047070000}"/>
    <cellStyle name="Calculation 12 3 2 3" xfId="1878" xr:uid="{00000000-0005-0000-0000-000048070000}"/>
    <cellStyle name="Calculation 12 3 2 4" xfId="1879" xr:uid="{00000000-0005-0000-0000-000049070000}"/>
    <cellStyle name="Calculation 12 3 3" xfId="1880" xr:uid="{00000000-0005-0000-0000-00004A070000}"/>
    <cellStyle name="Calculation 12 3 3 2" xfId="1881" xr:uid="{00000000-0005-0000-0000-00004B070000}"/>
    <cellStyle name="Calculation 12 3 3 3" xfId="1882" xr:uid="{00000000-0005-0000-0000-00004C070000}"/>
    <cellStyle name="Calculation 12 3 3 4" xfId="1883" xr:uid="{00000000-0005-0000-0000-00004D070000}"/>
    <cellStyle name="Calculation 12 3 4" xfId="1884" xr:uid="{00000000-0005-0000-0000-00004E070000}"/>
    <cellStyle name="Calculation 12 3 5" xfId="1885" xr:uid="{00000000-0005-0000-0000-00004F070000}"/>
    <cellStyle name="Calculation 12 3 6" xfId="1886" xr:uid="{00000000-0005-0000-0000-000050070000}"/>
    <cellStyle name="Calculation 12 4" xfId="1887" xr:uid="{00000000-0005-0000-0000-000051070000}"/>
    <cellStyle name="Calculation 12 5" xfId="1888" xr:uid="{00000000-0005-0000-0000-000052070000}"/>
    <cellStyle name="Calculation 12 6" xfId="1889" xr:uid="{00000000-0005-0000-0000-000053070000}"/>
    <cellStyle name="Calculation 13" xfId="1890" xr:uid="{00000000-0005-0000-0000-000054070000}"/>
    <cellStyle name="Calculation 13 2" xfId="1891" xr:uid="{00000000-0005-0000-0000-000055070000}"/>
    <cellStyle name="Calculation 13 2 2" xfId="1892" xr:uid="{00000000-0005-0000-0000-000056070000}"/>
    <cellStyle name="Calculation 13 2 2 2" xfId="1893" xr:uid="{00000000-0005-0000-0000-000057070000}"/>
    <cellStyle name="Calculation 13 2 2 3" xfId="1894" xr:uid="{00000000-0005-0000-0000-000058070000}"/>
    <cellStyle name="Calculation 13 2 2 4" xfId="1895" xr:uid="{00000000-0005-0000-0000-000059070000}"/>
    <cellStyle name="Calculation 13 2 3" xfId="1896" xr:uid="{00000000-0005-0000-0000-00005A070000}"/>
    <cellStyle name="Calculation 13 2 3 2" xfId="1897" xr:uid="{00000000-0005-0000-0000-00005B070000}"/>
    <cellStyle name="Calculation 13 2 3 3" xfId="1898" xr:uid="{00000000-0005-0000-0000-00005C070000}"/>
    <cellStyle name="Calculation 13 2 3 4" xfId="1899" xr:uid="{00000000-0005-0000-0000-00005D070000}"/>
    <cellStyle name="Calculation 13 2 4" xfId="1900" xr:uid="{00000000-0005-0000-0000-00005E070000}"/>
    <cellStyle name="Calculation 13 2 5" xfId="1901" xr:uid="{00000000-0005-0000-0000-00005F070000}"/>
    <cellStyle name="Calculation 13 2 6" xfId="1902" xr:uid="{00000000-0005-0000-0000-000060070000}"/>
    <cellStyle name="Calculation 13 3" xfId="1903" xr:uid="{00000000-0005-0000-0000-000061070000}"/>
    <cellStyle name="Calculation 13 3 2" xfId="1904" xr:uid="{00000000-0005-0000-0000-000062070000}"/>
    <cellStyle name="Calculation 13 3 2 2" xfId="1905" xr:uid="{00000000-0005-0000-0000-000063070000}"/>
    <cellStyle name="Calculation 13 3 2 3" xfId="1906" xr:uid="{00000000-0005-0000-0000-000064070000}"/>
    <cellStyle name="Calculation 13 3 2 4" xfId="1907" xr:uid="{00000000-0005-0000-0000-000065070000}"/>
    <cellStyle name="Calculation 13 3 3" xfId="1908" xr:uid="{00000000-0005-0000-0000-000066070000}"/>
    <cellStyle name="Calculation 13 3 3 2" xfId="1909" xr:uid="{00000000-0005-0000-0000-000067070000}"/>
    <cellStyle name="Calculation 13 3 3 3" xfId="1910" xr:uid="{00000000-0005-0000-0000-000068070000}"/>
    <cellStyle name="Calculation 13 3 3 4" xfId="1911" xr:uid="{00000000-0005-0000-0000-000069070000}"/>
    <cellStyle name="Calculation 13 3 4" xfId="1912" xr:uid="{00000000-0005-0000-0000-00006A070000}"/>
    <cellStyle name="Calculation 13 3 5" xfId="1913" xr:uid="{00000000-0005-0000-0000-00006B070000}"/>
    <cellStyle name="Calculation 13 3 6" xfId="1914" xr:uid="{00000000-0005-0000-0000-00006C070000}"/>
    <cellStyle name="Calculation 13 4" xfId="1915" xr:uid="{00000000-0005-0000-0000-00006D070000}"/>
    <cellStyle name="Calculation 13 5" xfId="1916" xr:uid="{00000000-0005-0000-0000-00006E070000}"/>
    <cellStyle name="Calculation 13 6" xfId="1917" xr:uid="{00000000-0005-0000-0000-00006F070000}"/>
    <cellStyle name="Calculation 14" xfId="1918" xr:uid="{00000000-0005-0000-0000-000070070000}"/>
    <cellStyle name="Calculation 15" xfId="1919" xr:uid="{00000000-0005-0000-0000-000071070000}"/>
    <cellStyle name="Calculation 2" xfId="1920" xr:uid="{00000000-0005-0000-0000-000072070000}"/>
    <cellStyle name="Calculation 2 10" xfId="1921" xr:uid="{00000000-0005-0000-0000-000073070000}"/>
    <cellStyle name="Calculation 2 10 2" xfId="1922" xr:uid="{00000000-0005-0000-0000-000074070000}"/>
    <cellStyle name="Calculation 2 10 2 2" xfId="1923" xr:uid="{00000000-0005-0000-0000-000075070000}"/>
    <cellStyle name="Calculation 2 10 2 2 2" xfId="1924" xr:uid="{00000000-0005-0000-0000-000076070000}"/>
    <cellStyle name="Calculation 2 10 2 2 3" xfId="1925" xr:uid="{00000000-0005-0000-0000-000077070000}"/>
    <cellStyle name="Calculation 2 10 2 2 4" xfId="1926" xr:uid="{00000000-0005-0000-0000-000078070000}"/>
    <cellStyle name="Calculation 2 10 2 3" xfId="1927" xr:uid="{00000000-0005-0000-0000-000079070000}"/>
    <cellStyle name="Calculation 2 10 2 3 2" xfId="1928" xr:uid="{00000000-0005-0000-0000-00007A070000}"/>
    <cellStyle name="Calculation 2 10 2 3 3" xfId="1929" xr:uid="{00000000-0005-0000-0000-00007B070000}"/>
    <cellStyle name="Calculation 2 10 2 3 4" xfId="1930" xr:uid="{00000000-0005-0000-0000-00007C070000}"/>
    <cellStyle name="Calculation 2 10 2 4" xfId="1931" xr:uid="{00000000-0005-0000-0000-00007D070000}"/>
    <cellStyle name="Calculation 2 10 2 5" xfId="1932" xr:uid="{00000000-0005-0000-0000-00007E070000}"/>
    <cellStyle name="Calculation 2 10 2 6" xfId="1933" xr:uid="{00000000-0005-0000-0000-00007F070000}"/>
    <cellStyle name="Calculation 2 10 3" xfId="1934" xr:uid="{00000000-0005-0000-0000-000080070000}"/>
    <cellStyle name="Calculation 2 10 3 2" xfId="1935" xr:uid="{00000000-0005-0000-0000-000081070000}"/>
    <cellStyle name="Calculation 2 10 3 2 2" xfId="1936" xr:uid="{00000000-0005-0000-0000-000082070000}"/>
    <cellStyle name="Calculation 2 10 3 2 3" xfId="1937" xr:uid="{00000000-0005-0000-0000-000083070000}"/>
    <cellStyle name="Calculation 2 10 3 2 4" xfId="1938" xr:uid="{00000000-0005-0000-0000-000084070000}"/>
    <cellStyle name="Calculation 2 10 3 3" xfId="1939" xr:uid="{00000000-0005-0000-0000-000085070000}"/>
    <cellStyle name="Calculation 2 10 3 3 2" xfId="1940" xr:uid="{00000000-0005-0000-0000-000086070000}"/>
    <cellStyle name="Calculation 2 10 3 3 3" xfId="1941" xr:uid="{00000000-0005-0000-0000-000087070000}"/>
    <cellStyle name="Calculation 2 10 3 3 4" xfId="1942" xr:uid="{00000000-0005-0000-0000-000088070000}"/>
    <cellStyle name="Calculation 2 10 3 4" xfId="1943" xr:uid="{00000000-0005-0000-0000-000089070000}"/>
    <cellStyle name="Calculation 2 10 3 5" xfId="1944" xr:uid="{00000000-0005-0000-0000-00008A070000}"/>
    <cellStyle name="Calculation 2 10 3 6" xfId="1945" xr:uid="{00000000-0005-0000-0000-00008B070000}"/>
    <cellStyle name="Calculation 2 10 4" xfId="1946" xr:uid="{00000000-0005-0000-0000-00008C070000}"/>
    <cellStyle name="Calculation 2 10 5" xfId="1947" xr:uid="{00000000-0005-0000-0000-00008D070000}"/>
    <cellStyle name="Calculation 2 10 6" xfId="1948" xr:uid="{00000000-0005-0000-0000-00008E070000}"/>
    <cellStyle name="Calculation 2 11" xfId="1949" xr:uid="{00000000-0005-0000-0000-00008F070000}"/>
    <cellStyle name="Calculation 2 12" xfId="1950" xr:uid="{00000000-0005-0000-0000-000090070000}"/>
    <cellStyle name="Calculation 2 2" xfId="1951" xr:uid="{00000000-0005-0000-0000-000091070000}"/>
    <cellStyle name="Calculation 2 2 2" xfId="1952" xr:uid="{00000000-0005-0000-0000-000092070000}"/>
    <cellStyle name="Calculation 2 2 2 2" xfId="1953" xr:uid="{00000000-0005-0000-0000-000093070000}"/>
    <cellStyle name="Calculation 2 2 2 2 2" xfId="1954" xr:uid="{00000000-0005-0000-0000-000094070000}"/>
    <cellStyle name="Calculation 2 2 2 2 2 2" xfId="1955" xr:uid="{00000000-0005-0000-0000-000095070000}"/>
    <cellStyle name="Calculation 2 2 2 2 2 3" xfId="1956" xr:uid="{00000000-0005-0000-0000-000096070000}"/>
    <cellStyle name="Calculation 2 2 2 2 2 4" xfId="1957" xr:uid="{00000000-0005-0000-0000-000097070000}"/>
    <cellStyle name="Calculation 2 2 2 2 3" xfId="1958" xr:uid="{00000000-0005-0000-0000-000098070000}"/>
    <cellStyle name="Calculation 2 2 2 2 3 2" xfId="1959" xr:uid="{00000000-0005-0000-0000-000099070000}"/>
    <cellStyle name="Calculation 2 2 2 2 3 3" xfId="1960" xr:uid="{00000000-0005-0000-0000-00009A070000}"/>
    <cellStyle name="Calculation 2 2 2 2 3 4" xfId="1961" xr:uid="{00000000-0005-0000-0000-00009B070000}"/>
    <cellStyle name="Calculation 2 2 2 2 4" xfId="1962" xr:uid="{00000000-0005-0000-0000-00009C070000}"/>
    <cellStyle name="Calculation 2 2 2 2 5" xfId="1963" xr:uid="{00000000-0005-0000-0000-00009D070000}"/>
    <cellStyle name="Calculation 2 2 2 2 6" xfId="1964" xr:uid="{00000000-0005-0000-0000-00009E070000}"/>
    <cellStyle name="Calculation 2 2 2 3" xfId="1965" xr:uid="{00000000-0005-0000-0000-00009F070000}"/>
    <cellStyle name="Calculation 2 2 2 3 2" xfId="1966" xr:uid="{00000000-0005-0000-0000-0000A0070000}"/>
    <cellStyle name="Calculation 2 2 2 3 2 2" xfId="1967" xr:uid="{00000000-0005-0000-0000-0000A1070000}"/>
    <cellStyle name="Calculation 2 2 2 3 2 3" xfId="1968" xr:uid="{00000000-0005-0000-0000-0000A2070000}"/>
    <cellStyle name="Calculation 2 2 2 3 2 4" xfId="1969" xr:uid="{00000000-0005-0000-0000-0000A3070000}"/>
    <cellStyle name="Calculation 2 2 2 3 3" xfId="1970" xr:uid="{00000000-0005-0000-0000-0000A4070000}"/>
    <cellStyle name="Calculation 2 2 2 3 3 2" xfId="1971" xr:uid="{00000000-0005-0000-0000-0000A5070000}"/>
    <cellStyle name="Calculation 2 2 2 3 3 3" xfId="1972" xr:uid="{00000000-0005-0000-0000-0000A6070000}"/>
    <cellStyle name="Calculation 2 2 2 3 3 4" xfId="1973" xr:uid="{00000000-0005-0000-0000-0000A7070000}"/>
    <cellStyle name="Calculation 2 2 2 3 4" xfId="1974" xr:uid="{00000000-0005-0000-0000-0000A8070000}"/>
    <cellStyle name="Calculation 2 2 2 3 5" xfId="1975" xr:uid="{00000000-0005-0000-0000-0000A9070000}"/>
    <cellStyle name="Calculation 2 2 2 3 6" xfId="1976" xr:uid="{00000000-0005-0000-0000-0000AA070000}"/>
    <cellStyle name="Calculation 2 2 2 4" xfId="1977" xr:uid="{00000000-0005-0000-0000-0000AB070000}"/>
    <cellStyle name="Calculation 2 2 2 5" xfId="1978" xr:uid="{00000000-0005-0000-0000-0000AC070000}"/>
    <cellStyle name="Calculation 2 2 2 6" xfId="1979" xr:uid="{00000000-0005-0000-0000-0000AD070000}"/>
    <cellStyle name="Calculation 2 2 3" xfId="1980" xr:uid="{00000000-0005-0000-0000-0000AE070000}"/>
    <cellStyle name="Calculation 2 2 4" xfId="1981" xr:uid="{00000000-0005-0000-0000-0000AF070000}"/>
    <cellStyle name="Calculation 2 3" xfId="1982" xr:uid="{00000000-0005-0000-0000-0000B0070000}"/>
    <cellStyle name="Calculation 2 3 2" xfId="1983" xr:uid="{00000000-0005-0000-0000-0000B1070000}"/>
    <cellStyle name="Calculation 2 3 2 2" xfId="1984" xr:uid="{00000000-0005-0000-0000-0000B2070000}"/>
    <cellStyle name="Calculation 2 3 2 2 2" xfId="1985" xr:uid="{00000000-0005-0000-0000-0000B3070000}"/>
    <cellStyle name="Calculation 2 3 2 2 2 2" xfId="1986" xr:uid="{00000000-0005-0000-0000-0000B4070000}"/>
    <cellStyle name="Calculation 2 3 2 2 2 3" xfId="1987" xr:uid="{00000000-0005-0000-0000-0000B5070000}"/>
    <cellStyle name="Calculation 2 3 2 2 2 4" xfId="1988" xr:uid="{00000000-0005-0000-0000-0000B6070000}"/>
    <cellStyle name="Calculation 2 3 2 2 3" xfId="1989" xr:uid="{00000000-0005-0000-0000-0000B7070000}"/>
    <cellStyle name="Calculation 2 3 2 2 3 2" xfId="1990" xr:uid="{00000000-0005-0000-0000-0000B8070000}"/>
    <cellStyle name="Calculation 2 3 2 2 3 3" xfId="1991" xr:uid="{00000000-0005-0000-0000-0000B9070000}"/>
    <cellStyle name="Calculation 2 3 2 2 3 4" xfId="1992" xr:uid="{00000000-0005-0000-0000-0000BA070000}"/>
    <cellStyle name="Calculation 2 3 2 2 4" xfId="1993" xr:uid="{00000000-0005-0000-0000-0000BB070000}"/>
    <cellStyle name="Calculation 2 3 2 2 5" xfId="1994" xr:uid="{00000000-0005-0000-0000-0000BC070000}"/>
    <cellStyle name="Calculation 2 3 2 2 6" xfId="1995" xr:uid="{00000000-0005-0000-0000-0000BD070000}"/>
    <cellStyle name="Calculation 2 3 2 3" xfId="1996" xr:uid="{00000000-0005-0000-0000-0000BE070000}"/>
    <cellStyle name="Calculation 2 3 2 3 2" xfId="1997" xr:uid="{00000000-0005-0000-0000-0000BF070000}"/>
    <cellStyle name="Calculation 2 3 2 3 2 2" xfId="1998" xr:uid="{00000000-0005-0000-0000-0000C0070000}"/>
    <cellStyle name="Calculation 2 3 2 3 2 3" xfId="1999" xr:uid="{00000000-0005-0000-0000-0000C1070000}"/>
    <cellStyle name="Calculation 2 3 2 3 2 4" xfId="2000" xr:uid="{00000000-0005-0000-0000-0000C2070000}"/>
    <cellStyle name="Calculation 2 3 2 3 3" xfId="2001" xr:uid="{00000000-0005-0000-0000-0000C3070000}"/>
    <cellStyle name="Calculation 2 3 2 3 3 2" xfId="2002" xr:uid="{00000000-0005-0000-0000-0000C4070000}"/>
    <cellStyle name="Calculation 2 3 2 3 3 3" xfId="2003" xr:uid="{00000000-0005-0000-0000-0000C5070000}"/>
    <cellStyle name="Calculation 2 3 2 3 3 4" xfId="2004" xr:uid="{00000000-0005-0000-0000-0000C6070000}"/>
    <cellStyle name="Calculation 2 3 2 3 4" xfId="2005" xr:uid="{00000000-0005-0000-0000-0000C7070000}"/>
    <cellStyle name="Calculation 2 3 2 3 5" xfId="2006" xr:uid="{00000000-0005-0000-0000-0000C8070000}"/>
    <cellStyle name="Calculation 2 3 2 3 6" xfId="2007" xr:uid="{00000000-0005-0000-0000-0000C9070000}"/>
    <cellStyle name="Calculation 2 3 2 4" xfId="2008" xr:uid="{00000000-0005-0000-0000-0000CA070000}"/>
    <cellStyle name="Calculation 2 3 2 5" xfId="2009" xr:uid="{00000000-0005-0000-0000-0000CB070000}"/>
    <cellStyle name="Calculation 2 3 2 6" xfId="2010" xr:uid="{00000000-0005-0000-0000-0000CC070000}"/>
    <cellStyle name="Calculation 2 3 3" xfId="2011" xr:uid="{00000000-0005-0000-0000-0000CD070000}"/>
    <cellStyle name="Calculation 2 3 4" xfId="2012" xr:uid="{00000000-0005-0000-0000-0000CE070000}"/>
    <cellStyle name="Calculation 2 4" xfId="2013" xr:uid="{00000000-0005-0000-0000-0000CF070000}"/>
    <cellStyle name="Calculation 2 4 2" xfId="2014" xr:uid="{00000000-0005-0000-0000-0000D0070000}"/>
    <cellStyle name="Calculation 2 4 2 2" xfId="2015" xr:uid="{00000000-0005-0000-0000-0000D1070000}"/>
    <cellStyle name="Calculation 2 4 2 2 2" xfId="2016" xr:uid="{00000000-0005-0000-0000-0000D2070000}"/>
    <cellStyle name="Calculation 2 4 2 2 2 2" xfId="2017" xr:uid="{00000000-0005-0000-0000-0000D3070000}"/>
    <cellStyle name="Calculation 2 4 2 2 2 3" xfId="2018" xr:uid="{00000000-0005-0000-0000-0000D4070000}"/>
    <cellStyle name="Calculation 2 4 2 2 2 4" xfId="2019" xr:uid="{00000000-0005-0000-0000-0000D5070000}"/>
    <cellStyle name="Calculation 2 4 2 2 3" xfId="2020" xr:uid="{00000000-0005-0000-0000-0000D6070000}"/>
    <cellStyle name="Calculation 2 4 2 2 3 2" xfId="2021" xr:uid="{00000000-0005-0000-0000-0000D7070000}"/>
    <cellStyle name="Calculation 2 4 2 2 3 3" xfId="2022" xr:uid="{00000000-0005-0000-0000-0000D8070000}"/>
    <cellStyle name="Calculation 2 4 2 2 3 4" xfId="2023" xr:uid="{00000000-0005-0000-0000-0000D9070000}"/>
    <cellStyle name="Calculation 2 4 2 2 4" xfId="2024" xr:uid="{00000000-0005-0000-0000-0000DA070000}"/>
    <cellStyle name="Calculation 2 4 2 2 5" xfId="2025" xr:uid="{00000000-0005-0000-0000-0000DB070000}"/>
    <cellStyle name="Calculation 2 4 2 2 6" xfId="2026" xr:uid="{00000000-0005-0000-0000-0000DC070000}"/>
    <cellStyle name="Calculation 2 4 2 3" xfId="2027" xr:uid="{00000000-0005-0000-0000-0000DD070000}"/>
    <cellStyle name="Calculation 2 4 2 3 2" xfId="2028" xr:uid="{00000000-0005-0000-0000-0000DE070000}"/>
    <cellStyle name="Calculation 2 4 2 3 2 2" xfId="2029" xr:uid="{00000000-0005-0000-0000-0000DF070000}"/>
    <cellStyle name="Calculation 2 4 2 3 2 3" xfId="2030" xr:uid="{00000000-0005-0000-0000-0000E0070000}"/>
    <cellStyle name="Calculation 2 4 2 3 2 4" xfId="2031" xr:uid="{00000000-0005-0000-0000-0000E1070000}"/>
    <cellStyle name="Calculation 2 4 2 3 3" xfId="2032" xr:uid="{00000000-0005-0000-0000-0000E2070000}"/>
    <cellStyle name="Calculation 2 4 2 3 3 2" xfId="2033" xr:uid="{00000000-0005-0000-0000-0000E3070000}"/>
    <cellStyle name="Calculation 2 4 2 3 3 3" xfId="2034" xr:uid="{00000000-0005-0000-0000-0000E4070000}"/>
    <cellStyle name="Calculation 2 4 2 3 3 4" xfId="2035" xr:uid="{00000000-0005-0000-0000-0000E5070000}"/>
    <cellStyle name="Calculation 2 4 2 3 4" xfId="2036" xr:uid="{00000000-0005-0000-0000-0000E6070000}"/>
    <cellStyle name="Calculation 2 4 2 3 5" xfId="2037" xr:uid="{00000000-0005-0000-0000-0000E7070000}"/>
    <cellStyle name="Calculation 2 4 2 3 6" xfId="2038" xr:uid="{00000000-0005-0000-0000-0000E8070000}"/>
    <cellStyle name="Calculation 2 4 2 4" xfId="2039" xr:uid="{00000000-0005-0000-0000-0000E9070000}"/>
    <cellStyle name="Calculation 2 4 2 5" xfId="2040" xr:uid="{00000000-0005-0000-0000-0000EA070000}"/>
    <cellStyle name="Calculation 2 4 2 6" xfId="2041" xr:uid="{00000000-0005-0000-0000-0000EB070000}"/>
    <cellStyle name="Calculation 2 4 3" xfId="2042" xr:uid="{00000000-0005-0000-0000-0000EC070000}"/>
    <cellStyle name="Calculation 2 4 4" xfId="2043" xr:uid="{00000000-0005-0000-0000-0000ED070000}"/>
    <cellStyle name="Calculation 2 5" xfId="2044" xr:uid="{00000000-0005-0000-0000-0000EE070000}"/>
    <cellStyle name="Calculation 2 5 2" xfId="2045" xr:uid="{00000000-0005-0000-0000-0000EF070000}"/>
    <cellStyle name="Calculation 2 5 2 2" xfId="2046" xr:uid="{00000000-0005-0000-0000-0000F0070000}"/>
    <cellStyle name="Calculation 2 5 2 2 2" xfId="2047" xr:uid="{00000000-0005-0000-0000-0000F1070000}"/>
    <cellStyle name="Calculation 2 5 2 2 2 2" xfId="2048" xr:uid="{00000000-0005-0000-0000-0000F2070000}"/>
    <cellStyle name="Calculation 2 5 2 2 2 3" xfId="2049" xr:uid="{00000000-0005-0000-0000-0000F3070000}"/>
    <cellStyle name="Calculation 2 5 2 2 2 4" xfId="2050" xr:uid="{00000000-0005-0000-0000-0000F4070000}"/>
    <cellStyle name="Calculation 2 5 2 2 3" xfId="2051" xr:uid="{00000000-0005-0000-0000-0000F5070000}"/>
    <cellStyle name="Calculation 2 5 2 2 3 2" xfId="2052" xr:uid="{00000000-0005-0000-0000-0000F6070000}"/>
    <cellStyle name="Calculation 2 5 2 2 3 3" xfId="2053" xr:uid="{00000000-0005-0000-0000-0000F7070000}"/>
    <cellStyle name="Calculation 2 5 2 2 3 4" xfId="2054" xr:uid="{00000000-0005-0000-0000-0000F8070000}"/>
    <cellStyle name="Calculation 2 5 2 2 4" xfId="2055" xr:uid="{00000000-0005-0000-0000-0000F9070000}"/>
    <cellStyle name="Calculation 2 5 2 2 5" xfId="2056" xr:uid="{00000000-0005-0000-0000-0000FA070000}"/>
    <cellStyle name="Calculation 2 5 2 2 6" xfId="2057" xr:uid="{00000000-0005-0000-0000-0000FB070000}"/>
    <cellStyle name="Calculation 2 5 2 3" xfId="2058" xr:uid="{00000000-0005-0000-0000-0000FC070000}"/>
    <cellStyle name="Calculation 2 5 2 3 2" xfId="2059" xr:uid="{00000000-0005-0000-0000-0000FD070000}"/>
    <cellStyle name="Calculation 2 5 2 3 2 2" xfId="2060" xr:uid="{00000000-0005-0000-0000-0000FE070000}"/>
    <cellStyle name="Calculation 2 5 2 3 2 3" xfId="2061" xr:uid="{00000000-0005-0000-0000-0000FF070000}"/>
    <cellStyle name="Calculation 2 5 2 3 2 4" xfId="2062" xr:uid="{00000000-0005-0000-0000-000000080000}"/>
    <cellStyle name="Calculation 2 5 2 3 3" xfId="2063" xr:uid="{00000000-0005-0000-0000-000001080000}"/>
    <cellStyle name="Calculation 2 5 2 3 3 2" xfId="2064" xr:uid="{00000000-0005-0000-0000-000002080000}"/>
    <cellStyle name="Calculation 2 5 2 3 3 3" xfId="2065" xr:uid="{00000000-0005-0000-0000-000003080000}"/>
    <cellStyle name="Calculation 2 5 2 3 3 4" xfId="2066" xr:uid="{00000000-0005-0000-0000-000004080000}"/>
    <cellStyle name="Calculation 2 5 2 3 4" xfId="2067" xr:uid="{00000000-0005-0000-0000-000005080000}"/>
    <cellStyle name="Calculation 2 5 2 3 5" xfId="2068" xr:uid="{00000000-0005-0000-0000-000006080000}"/>
    <cellStyle name="Calculation 2 5 2 3 6" xfId="2069" xr:uid="{00000000-0005-0000-0000-000007080000}"/>
    <cellStyle name="Calculation 2 5 2 4" xfId="2070" xr:uid="{00000000-0005-0000-0000-000008080000}"/>
    <cellStyle name="Calculation 2 5 2 5" xfId="2071" xr:uid="{00000000-0005-0000-0000-000009080000}"/>
    <cellStyle name="Calculation 2 5 2 6" xfId="2072" xr:uid="{00000000-0005-0000-0000-00000A080000}"/>
    <cellStyle name="Calculation 2 5 3" xfId="2073" xr:uid="{00000000-0005-0000-0000-00000B080000}"/>
    <cellStyle name="Calculation 2 5 4" xfId="2074" xr:uid="{00000000-0005-0000-0000-00000C080000}"/>
    <cellStyle name="Calculation 2 6" xfId="2075" xr:uid="{00000000-0005-0000-0000-00000D080000}"/>
    <cellStyle name="Calculation 2 6 2" xfId="2076" xr:uid="{00000000-0005-0000-0000-00000E080000}"/>
    <cellStyle name="Calculation 2 6 2 2" xfId="2077" xr:uid="{00000000-0005-0000-0000-00000F080000}"/>
    <cellStyle name="Calculation 2 6 2 2 2" xfId="2078" xr:uid="{00000000-0005-0000-0000-000010080000}"/>
    <cellStyle name="Calculation 2 6 2 2 3" xfId="2079" xr:uid="{00000000-0005-0000-0000-000011080000}"/>
    <cellStyle name="Calculation 2 6 2 2 4" xfId="2080" xr:uid="{00000000-0005-0000-0000-000012080000}"/>
    <cellStyle name="Calculation 2 6 2 3" xfId="2081" xr:uid="{00000000-0005-0000-0000-000013080000}"/>
    <cellStyle name="Calculation 2 6 2 3 2" xfId="2082" xr:uid="{00000000-0005-0000-0000-000014080000}"/>
    <cellStyle name="Calculation 2 6 2 3 3" xfId="2083" xr:uid="{00000000-0005-0000-0000-000015080000}"/>
    <cellStyle name="Calculation 2 6 2 3 4" xfId="2084" xr:uid="{00000000-0005-0000-0000-000016080000}"/>
    <cellStyle name="Calculation 2 6 2 4" xfId="2085" xr:uid="{00000000-0005-0000-0000-000017080000}"/>
    <cellStyle name="Calculation 2 6 2 5" xfId="2086" xr:uid="{00000000-0005-0000-0000-000018080000}"/>
    <cellStyle name="Calculation 2 6 2 6" xfId="2087" xr:uid="{00000000-0005-0000-0000-000019080000}"/>
    <cellStyle name="Calculation 2 6 3" xfId="2088" xr:uid="{00000000-0005-0000-0000-00001A080000}"/>
    <cellStyle name="Calculation 2 6 3 2" xfId="2089" xr:uid="{00000000-0005-0000-0000-00001B080000}"/>
    <cellStyle name="Calculation 2 6 3 2 2" xfId="2090" xr:uid="{00000000-0005-0000-0000-00001C080000}"/>
    <cellStyle name="Calculation 2 6 3 2 3" xfId="2091" xr:uid="{00000000-0005-0000-0000-00001D080000}"/>
    <cellStyle name="Calculation 2 6 3 2 4" xfId="2092" xr:uid="{00000000-0005-0000-0000-00001E080000}"/>
    <cellStyle name="Calculation 2 6 3 3" xfId="2093" xr:uid="{00000000-0005-0000-0000-00001F080000}"/>
    <cellStyle name="Calculation 2 6 3 3 2" xfId="2094" xr:uid="{00000000-0005-0000-0000-000020080000}"/>
    <cellStyle name="Calculation 2 6 3 3 3" xfId="2095" xr:uid="{00000000-0005-0000-0000-000021080000}"/>
    <cellStyle name="Calculation 2 6 3 3 4" xfId="2096" xr:uid="{00000000-0005-0000-0000-000022080000}"/>
    <cellStyle name="Calculation 2 6 3 4" xfId="2097" xr:uid="{00000000-0005-0000-0000-000023080000}"/>
    <cellStyle name="Calculation 2 6 3 5" xfId="2098" xr:uid="{00000000-0005-0000-0000-000024080000}"/>
    <cellStyle name="Calculation 2 6 3 6" xfId="2099" xr:uid="{00000000-0005-0000-0000-000025080000}"/>
    <cellStyle name="Calculation 2 6 4" xfId="2100" xr:uid="{00000000-0005-0000-0000-000026080000}"/>
    <cellStyle name="Calculation 2 6 4 2" xfId="2101" xr:uid="{00000000-0005-0000-0000-000027080000}"/>
    <cellStyle name="Calculation 2 6 4 3" xfId="2102" xr:uid="{00000000-0005-0000-0000-000028080000}"/>
    <cellStyle name="Calculation 2 6 4 4" xfId="2103" xr:uid="{00000000-0005-0000-0000-000029080000}"/>
    <cellStyle name="Calculation 2 6 5" xfId="2104" xr:uid="{00000000-0005-0000-0000-00002A080000}"/>
    <cellStyle name="Calculation 2 6 6" xfId="2105" xr:uid="{00000000-0005-0000-0000-00002B080000}"/>
    <cellStyle name="Calculation 2 7" xfId="2106" xr:uid="{00000000-0005-0000-0000-00002C080000}"/>
    <cellStyle name="Calculation 2 7 2" xfId="2107" xr:uid="{00000000-0005-0000-0000-00002D080000}"/>
    <cellStyle name="Calculation 2 7 2 2" xfId="2108" xr:uid="{00000000-0005-0000-0000-00002E080000}"/>
    <cellStyle name="Calculation 2 7 2 2 2" xfId="2109" xr:uid="{00000000-0005-0000-0000-00002F080000}"/>
    <cellStyle name="Calculation 2 7 2 2 3" xfId="2110" xr:uid="{00000000-0005-0000-0000-000030080000}"/>
    <cellStyle name="Calculation 2 7 2 2 4" xfId="2111" xr:uid="{00000000-0005-0000-0000-000031080000}"/>
    <cellStyle name="Calculation 2 7 2 3" xfId="2112" xr:uid="{00000000-0005-0000-0000-000032080000}"/>
    <cellStyle name="Calculation 2 7 2 3 2" xfId="2113" xr:uid="{00000000-0005-0000-0000-000033080000}"/>
    <cellStyle name="Calculation 2 7 2 3 3" xfId="2114" xr:uid="{00000000-0005-0000-0000-000034080000}"/>
    <cellStyle name="Calculation 2 7 2 3 4" xfId="2115" xr:uid="{00000000-0005-0000-0000-000035080000}"/>
    <cellStyle name="Calculation 2 7 2 4" xfId="2116" xr:uid="{00000000-0005-0000-0000-000036080000}"/>
    <cellStyle name="Calculation 2 7 2 5" xfId="2117" xr:uid="{00000000-0005-0000-0000-000037080000}"/>
    <cellStyle name="Calculation 2 7 2 6" xfId="2118" xr:uid="{00000000-0005-0000-0000-000038080000}"/>
    <cellStyle name="Calculation 2 7 3" xfId="2119" xr:uid="{00000000-0005-0000-0000-000039080000}"/>
    <cellStyle name="Calculation 2 7 3 2" xfId="2120" xr:uid="{00000000-0005-0000-0000-00003A080000}"/>
    <cellStyle name="Calculation 2 7 3 2 2" xfId="2121" xr:uid="{00000000-0005-0000-0000-00003B080000}"/>
    <cellStyle name="Calculation 2 7 3 2 3" xfId="2122" xr:uid="{00000000-0005-0000-0000-00003C080000}"/>
    <cellStyle name="Calculation 2 7 3 2 4" xfId="2123" xr:uid="{00000000-0005-0000-0000-00003D080000}"/>
    <cellStyle name="Calculation 2 7 3 3" xfId="2124" xr:uid="{00000000-0005-0000-0000-00003E080000}"/>
    <cellStyle name="Calculation 2 7 3 3 2" xfId="2125" xr:uid="{00000000-0005-0000-0000-00003F080000}"/>
    <cellStyle name="Calculation 2 7 3 3 3" xfId="2126" xr:uid="{00000000-0005-0000-0000-000040080000}"/>
    <cellStyle name="Calculation 2 7 3 3 4" xfId="2127" xr:uid="{00000000-0005-0000-0000-000041080000}"/>
    <cellStyle name="Calculation 2 7 3 4" xfId="2128" xr:uid="{00000000-0005-0000-0000-000042080000}"/>
    <cellStyle name="Calculation 2 7 3 5" xfId="2129" xr:uid="{00000000-0005-0000-0000-000043080000}"/>
    <cellStyle name="Calculation 2 7 3 6" xfId="2130" xr:uid="{00000000-0005-0000-0000-000044080000}"/>
    <cellStyle name="Calculation 2 7 4" xfId="2131" xr:uid="{00000000-0005-0000-0000-000045080000}"/>
    <cellStyle name="Calculation 2 7 4 2" xfId="2132" xr:uid="{00000000-0005-0000-0000-000046080000}"/>
    <cellStyle name="Calculation 2 7 4 3" xfId="2133" xr:uid="{00000000-0005-0000-0000-000047080000}"/>
    <cellStyle name="Calculation 2 7 4 4" xfId="2134" xr:uid="{00000000-0005-0000-0000-000048080000}"/>
    <cellStyle name="Calculation 2 7 5" xfId="2135" xr:uid="{00000000-0005-0000-0000-000049080000}"/>
    <cellStyle name="Calculation 2 7 6" xfId="2136" xr:uid="{00000000-0005-0000-0000-00004A080000}"/>
    <cellStyle name="Calculation 2 8" xfId="2137" xr:uid="{00000000-0005-0000-0000-00004B080000}"/>
    <cellStyle name="Calculation 2 8 2" xfId="2138" xr:uid="{00000000-0005-0000-0000-00004C080000}"/>
    <cellStyle name="Calculation 2 8 2 2" xfId="2139" xr:uid="{00000000-0005-0000-0000-00004D080000}"/>
    <cellStyle name="Calculation 2 8 2 2 2" xfId="2140" xr:uid="{00000000-0005-0000-0000-00004E080000}"/>
    <cellStyle name="Calculation 2 8 2 2 3" xfId="2141" xr:uid="{00000000-0005-0000-0000-00004F080000}"/>
    <cellStyle name="Calculation 2 8 2 2 4" xfId="2142" xr:uid="{00000000-0005-0000-0000-000050080000}"/>
    <cellStyle name="Calculation 2 8 2 3" xfId="2143" xr:uid="{00000000-0005-0000-0000-000051080000}"/>
    <cellStyle name="Calculation 2 8 2 3 2" xfId="2144" xr:uid="{00000000-0005-0000-0000-000052080000}"/>
    <cellStyle name="Calculation 2 8 2 3 3" xfId="2145" xr:uid="{00000000-0005-0000-0000-000053080000}"/>
    <cellStyle name="Calculation 2 8 2 3 4" xfId="2146" xr:uid="{00000000-0005-0000-0000-000054080000}"/>
    <cellStyle name="Calculation 2 8 2 4" xfId="2147" xr:uid="{00000000-0005-0000-0000-000055080000}"/>
    <cellStyle name="Calculation 2 8 2 5" xfId="2148" xr:uid="{00000000-0005-0000-0000-000056080000}"/>
    <cellStyle name="Calculation 2 8 2 6" xfId="2149" xr:uid="{00000000-0005-0000-0000-000057080000}"/>
    <cellStyle name="Calculation 2 8 3" xfId="2150" xr:uid="{00000000-0005-0000-0000-000058080000}"/>
    <cellStyle name="Calculation 2 8 3 2" xfId="2151" xr:uid="{00000000-0005-0000-0000-000059080000}"/>
    <cellStyle name="Calculation 2 8 3 2 2" xfId="2152" xr:uid="{00000000-0005-0000-0000-00005A080000}"/>
    <cellStyle name="Calculation 2 8 3 2 3" xfId="2153" xr:uid="{00000000-0005-0000-0000-00005B080000}"/>
    <cellStyle name="Calculation 2 8 3 2 4" xfId="2154" xr:uid="{00000000-0005-0000-0000-00005C080000}"/>
    <cellStyle name="Calculation 2 8 3 3" xfId="2155" xr:uid="{00000000-0005-0000-0000-00005D080000}"/>
    <cellStyle name="Calculation 2 8 3 3 2" xfId="2156" xr:uid="{00000000-0005-0000-0000-00005E080000}"/>
    <cellStyle name="Calculation 2 8 3 3 3" xfId="2157" xr:uid="{00000000-0005-0000-0000-00005F080000}"/>
    <cellStyle name="Calculation 2 8 3 3 4" xfId="2158" xr:uid="{00000000-0005-0000-0000-000060080000}"/>
    <cellStyle name="Calculation 2 8 3 4" xfId="2159" xr:uid="{00000000-0005-0000-0000-000061080000}"/>
    <cellStyle name="Calculation 2 8 3 5" xfId="2160" xr:uid="{00000000-0005-0000-0000-000062080000}"/>
    <cellStyle name="Calculation 2 8 3 6" xfId="2161" xr:uid="{00000000-0005-0000-0000-000063080000}"/>
    <cellStyle name="Calculation 2 8 4" xfId="2162" xr:uid="{00000000-0005-0000-0000-000064080000}"/>
    <cellStyle name="Calculation 2 8 4 2" xfId="2163" xr:uid="{00000000-0005-0000-0000-000065080000}"/>
    <cellStyle name="Calculation 2 8 4 3" xfId="2164" xr:uid="{00000000-0005-0000-0000-000066080000}"/>
    <cellStyle name="Calculation 2 8 4 4" xfId="2165" xr:uid="{00000000-0005-0000-0000-000067080000}"/>
    <cellStyle name="Calculation 2 8 5" xfId="2166" xr:uid="{00000000-0005-0000-0000-000068080000}"/>
    <cellStyle name="Calculation 2 8 6" xfId="2167" xr:uid="{00000000-0005-0000-0000-000069080000}"/>
    <cellStyle name="Calculation 2 9" xfId="2168" xr:uid="{00000000-0005-0000-0000-00006A080000}"/>
    <cellStyle name="Calculation 2 9 2" xfId="2169" xr:uid="{00000000-0005-0000-0000-00006B080000}"/>
    <cellStyle name="Calculation 2 9 2 2" xfId="2170" xr:uid="{00000000-0005-0000-0000-00006C080000}"/>
    <cellStyle name="Calculation 2 9 2 2 2" xfId="2171" xr:uid="{00000000-0005-0000-0000-00006D080000}"/>
    <cellStyle name="Calculation 2 9 2 2 3" xfId="2172" xr:uid="{00000000-0005-0000-0000-00006E080000}"/>
    <cellStyle name="Calculation 2 9 2 2 4" xfId="2173" xr:uid="{00000000-0005-0000-0000-00006F080000}"/>
    <cellStyle name="Calculation 2 9 2 3" xfId="2174" xr:uid="{00000000-0005-0000-0000-000070080000}"/>
    <cellStyle name="Calculation 2 9 2 3 2" xfId="2175" xr:uid="{00000000-0005-0000-0000-000071080000}"/>
    <cellStyle name="Calculation 2 9 2 3 3" xfId="2176" xr:uid="{00000000-0005-0000-0000-000072080000}"/>
    <cellStyle name="Calculation 2 9 2 3 4" xfId="2177" xr:uid="{00000000-0005-0000-0000-000073080000}"/>
    <cellStyle name="Calculation 2 9 2 4" xfId="2178" xr:uid="{00000000-0005-0000-0000-000074080000}"/>
    <cellStyle name="Calculation 2 9 2 5" xfId="2179" xr:uid="{00000000-0005-0000-0000-000075080000}"/>
    <cellStyle name="Calculation 2 9 2 6" xfId="2180" xr:uid="{00000000-0005-0000-0000-000076080000}"/>
    <cellStyle name="Calculation 2 9 3" xfId="2181" xr:uid="{00000000-0005-0000-0000-000077080000}"/>
    <cellStyle name="Calculation 2 9 3 2" xfId="2182" xr:uid="{00000000-0005-0000-0000-000078080000}"/>
    <cellStyle name="Calculation 2 9 3 2 2" xfId="2183" xr:uid="{00000000-0005-0000-0000-000079080000}"/>
    <cellStyle name="Calculation 2 9 3 2 3" xfId="2184" xr:uid="{00000000-0005-0000-0000-00007A080000}"/>
    <cellStyle name="Calculation 2 9 3 2 4" xfId="2185" xr:uid="{00000000-0005-0000-0000-00007B080000}"/>
    <cellStyle name="Calculation 2 9 3 3" xfId="2186" xr:uid="{00000000-0005-0000-0000-00007C080000}"/>
    <cellStyle name="Calculation 2 9 3 3 2" xfId="2187" xr:uid="{00000000-0005-0000-0000-00007D080000}"/>
    <cellStyle name="Calculation 2 9 3 3 3" xfId="2188" xr:uid="{00000000-0005-0000-0000-00007E080000}"/>
    <cellStyle name="Calculation 2 9 3 3 4" xfId="2189" xr:uid="{00000000-0005-0000-0000-00007F080000}"/>
    <cellStyle name="Calculation 2 9 3 4" xfId="2190" xr:uid="{00000000-0005-0000-0000-000080080000}"/>
    <cellStyle name="Calculation 2 9 3 5" xfId="2191" xr:uid="{00000000-0005-0000-0000-000081080000}"/>
    <cellStyle name="Calculation 2 9 3 6" xfId="2192" xr:uid="{00000000-0005-0000-0000-000082080000}"/>
    <cellStyle name="Calculation 2 9 4" xfId="2193" xr:uid="{00000000-0005-0000-0000-000083080000}"/>
    <cellStyle name="Calculation 2 9 4 2" xfId="2194" xr:uid="{00000000-0005-0000-0000-000084080000}"/>
    <cellStyle name="Calculation 2 9 4 3" xfId="2195" xr:uid="{00000000-0005-0000-0000-000085080000}"/>
    <cellStyle name="Calculation 2 9 4 4" xfId="2196" xr:uid="{00000000-0005-0000-0000-000086080000}"/>
    <cellStyle name="Calculation 2 9 5" xfId="2197" xr:uid="{00000000-0005-0000-0000-000087080000}"/>
    <cellStyle name="Calculation 2 9 6" xfId="2198" xr:uid="{00000000-0005-0000-0000-000088080000}"/>
    <cellStyle name="Calculation 3" xfId="2199" xr:uid="{00000000-0005-0000-0000-000089080000}"/>
    <cellStyle name="Calculation 3 10" xfId="2200" xr:uid="{00000000-0005-0000-0000-00008A080000}"/>
    <cellStyle name="Calculation 3 10 2" xfId="2201" xr:uid="{00000000-0005-0000-0000-00008B080000}"/>
    <cellStyle name="Calculation 3 10 2 2" xfId="2202" xr:uid="{00000000-0005-0000-0000-00008C080000}"/>
    <cellStyle name="Calculation 3 10 2 2 2" xfId="2203" xr:uid="{00000000-0005-0000-0000-00008D080000}"/>
    <cellStyle name="Calculation 3 10 2 2 3" xfId="2204" xr:uid="{00000000-0005-0000-0000-00008E080000}"/>
    <cellStyle name="Calculation 3 10 2 2 4" xfId="2205" xr:uid="{00000000-0005-0000-0000-00008F080000}"/>
    <cellStyle name="Calculation 3 10 2 3" xfId="2206" xr:uid="{00000000-0005-0000-0000-000090080000}"/>
    <cellStyle name="Calculation 3 10 2 3 2" xfId="2207" xr:uid="{00000000-0005-0000-0000-000091080000}"/>
    <cellStyle name="Calculation 3 10 2 3 3" xfId="2208" xr:uid="{00000000-0005-0000-0000-000092080000}"/>
    <cellStyle name="Calculation 3 10 2 3 4" xfId="2209" xr:uid="{00000000-0005-0000-0000-000093080000}"/>
    <cellStyle name="Calculation 3 10 2 4" xfId="2210" xr:uid="{00000000-0005-0000-0000-000094080000}"/>
    <cellStyle name="Calculation 3 10 2 5" xfId="2211" xr:uid="{00000000-0005-0000-0000-000095080000}"/>
    <cellStyle name="Calculation 3 10 2 6" xfId="2212" xr:uid="{00000000-0005-0000-0000-000096080000}"/>
    <cellStyle name="Calculation 3 10 3" xfId="2213" xr:uid="{00000000-0005-0000-0000-000097080000}"/>
    <cellStyle name="Calculation 3 10 3 2" xfId="2214" xr:uid="{00000000-0005-0000-0000-000098080000}"/>
    <cellStyle name="Calculation 3 10 3 2 2" xfId="2215" xr:uid="{00000000-0005-0000-0000-000099080000}"/>
    <cellStyle name="Calculation 3 10 3 2 3" xfId="2216" xr:uid="{00000000-0005-0000-0000-00009A080000}"/>
    <cellStyle name="Calculation 3 10 3 2 4" xfId="2217" xr:uid="{00000000-0005-0000-0000-00009B080000}"/>
    <cellStyle name="Calculation 3 10 3 3" xfId="2218" xr:uid="{00000000-0005-0000-0000-00009C080000}"/>
    <cellStyle name="Calculation 3 10 3 3 2" xfId="2219" xr:uid="{00000000-0005-0000-0000-00009D080000}"/>
    <cellStyle name="Calculation 3 10 3 3 3" xfId="2220" xr:uid="{00000000-0005-0000-0000-00009E080000}"/>
    <cellStyle name="Calculation 3 10 3 3 4" xfId="2221" xr:uid="{00000000-0005-0000-0000-00009F080000}"/>
    <cellStyle name="Calculation 3 10 3 4" xfId="2222" xr:uid="{00000000-0005-0000-0000-0000A0080000}"/>
    <cellStyle name="Calculation 3 10 3 5" xfId="2223" xr:uid="{00000000-0005-0000-0000-0000A1080000}"/>
    <cellStyle name="Calculation 3 10 3 6" xfId="2224" xr:uid="{00000000-0005-0000-0000-0000A2080000}"/>
    <cellStyle name="Calculation 3 10 4" xfId="2225" xr:uid="{00000000-0005-0000-0000-0000A3080000}"/>
    <cellStyle name="Calculation 3 10 5" xfId="2226" xr:uid="{00000000-0005-0000-0000-0000A4080000}"/>
    <cellStyle name="Calculation 3 10 6" xfId="2227" xr:uid="{00000000-0005-0000-0000-0000A5080000}"/>
    <cellStyle name="Calculation 3 11" xfId="2228" xr:uid="{00000000-0005-0000-0000-0000A6080000}"/>
    <cellStyle name="Calculation 3 12" xfId="2229" xr:uid="{00000000-0005-0000-0000-0000A7080000}"/>
    <cellStyle name="Calculation 3 2" xfId="2230" xr:uid="{00000000-0005-0000-0000-0000A8080000}"/>
    <cellStyle name="Calculation 3 2 2" xfId="2231" xr:uid="{00000000-0005-0000-0000-0000A9080000}"/>
    <cellStyle name="Calculation 3 2 2 2" xfId="2232" xr:uid="{00000000-0005-0000-0000-0000AA080000}"/>
    <cellStyle name="Calculation 3 2 2 2 2" xfId="2233" xr:uid="{00000000-0005-0000-0000-0000AB080000}"/>
    <cellStyle name="Calculation 3 2 2 2 2 2" xfId="2234" xr:uid="{00000000-0005-0000-0000-0000AC080000}"/>
    <cellStyle name="Calculation 3 2 2 2 2 3" xfId="2235" xr:uid="{00000000-0005-0000-0000-0000AD080000}"/>
    <cellStyle name="Calculation 3 2 2 2 2 4" xfId="2236" xr:uid="{00000000-0005-0000-0000-0000AE080000}"/>
    <cellStyle name="Calculation 3 2 2 2 3" xfId="2237" xr:uid="{00000000-0005-0000-0000-0000AF080000}"/>
    <cellStyle name="Calculation 3 2 2 2 3 2" xfId="2238" xr:uid="{00000000-0005-0000-0000-0000B0080000}"/>
    <cellStyle name="Calculation 3 2 2 2 3 3" xfId="2239" xr:uid="{00000000-0005-0000-0000-0000B1080000}"/>
    <cellStyle name="Calculation 3 2 2 2 3 4" xfId="2240" xr:uid="{00000000-0005-0000-0000-0000B2080000}"/>
    <cellStyle name="Calculation 3 2 2 2 4" xfId="2241" xr:uid="{00000000-0005-0000-0000-0000B3080000}"/>
    <cellStyle name="Calculation 3 2 2 2 5" xfId="2242" xr:uid="{00000000-0005-0000-0000-0000B4080000}"/>
    <cellStyle name="Calculation 3 2 2 2 6" xfId="2243" xr:uid="{00000000-0005-0000-0000-0000B5080000}"/>
    <cellStyle name="Calculation 3 2 2 3" xfId="2244" xr:uid="{00000000-0005-0000-0000-0000B6080000}"/>
    <cellStyle name="Calculation 3 2 2 3 2" xfId="2245" xr:uid="{00000000-0005-0000-0000-0000B7080000}"/>
    <cellStyle name="Calculation 3 2 2 3 2 2" xfId="2246" xr:uid="{00000000-0005-0000-0000-0000B8080000}"/>
    <cellStyle name="Calculation 3 2 2 3 2 3" xfId="2247" xr:uid="{00000000-0005-0000-0000-0000B9080000}"/>
    <cellStyle name="Calculation 3 2 2 3 2 4" xfId="2248" xr:uid="{00000000-0005-0000-0000-0000BA080000}"/>
    <cellStyle name="Calculation 3 2 2 3 3" xfId="2249" xr:uid="{00000000-0005-0000-0000-0000BB080000}"/>
    <cellStyle name="Calculation 3 2 2 3 3 2" xfId="2250" xr:uid="{00000000-0005-0000-0000-0000BC080000}"/>
    <cellStyle name="Calculation 3 2 2 3 3 3" xfId="2251" xr:uid="{00000000-0005-0000-0000-0000BD080000}"/>
    <cellStyle name="Calculation 3 2 2 3 3 4" xfId="2252" xr:uid="{00000000-0005-0000-0000-0000BE080000}"/>
    <cellStyle name="Calculation 3 2 2 3 4" xfId="2253" xr:uid="{00000000-0005-0000-0000-0000BF080000}"/>
    <cellStyle name="Calculation 3 2 2 3 5" xfId="2254" xr:uid="{00000000-0005-0000-0000-0000C0080000}"/>
    <cellStyle name="Calculation 3 2 2 3 6" xfId="2255" xr:uid="{00000000-0005-0000-0000-0000C1080000}"/>
    <cellStyle name="Calculation 3 2 2 4" xfId="2256" xr:uid="{00000000-0005-0000-0000-0000C2080000}"/>
    <cellStyle name="Calculation 3 2 2 5" xfId="2257" xr:uid="{00000000-0005-0000-0000-0000C3080000}"/>
    <cellStyle name="Calculation 3 2 2 6" xfId="2258" xr:uid="{00000000-0005-0000-0000-0000C4080000}"/>
    <cellStyle name="Calculation 3 2 3" xfId="2259" xr:uid="{00000000-0005-0000-0000-0000C5080000}"/>
    <cellStyle name="Calculation 3 2 4" xfId="2260" xr:uid="{00000000-0005-0000-0000-0000C6080000}"/>
    <cellStyle name="Calculation 3 3" xfId="2261" xr:uid="{00000000-0005-0000-0000-0000C7080000}"/>
    <cellStyle name="Calculation 3 3 2" xfId="2262" xr:uid="{00000000-0005-0000-0000-0000C8080000}"/>
    <cellStyle name="Calculation 3 3 2 2" xfId="2263" xr:uid="{00000000-0005-0000-0000-0000C9080000}"/>
    <cellStyle name="Calculation 3 3 2 2 2" xfId="2264" xr:uid="{00000000-0005-0000-0000-0000CA080000}"/>
    <cellStyle name="Calculation 3 3 2 2 2 2" xfId="2265" xr:uid="{00000000-0005-0000-0000-0000CB080000}"/>
    <cellStyle name="Calculation 3 3 2 2 2 3" xfId="2266" xr:uid="{00000000-0005-0000-0000-0000CC080000}"/>
    <cellStyle name="Calculation 3 3 2 2 2 4" xfId="2267" xr:uid="{00000000-0005-0000-0000-0000CD080000}"/>
    <cellStyle name="Calculation 3 3 2 2 3" xfId="2268" xr:uid="{00000000-0005-0000-0000-0000CE080000}"/>
    <cellStyle name="Calculation 3 3 2 2 3 2" xfId="2269" xr:uid="{00000000-0005-0000-0000-0000CF080000}"/>
    <cellStyle name="Calculation 3 3 2 2 3 3" xfId="2270" xr:uid="{00000000-0005-0000-0000-0000D0080000}"/>
    <cellStyle name="Calculation 3 3 2 2 3 4" xfId="2271" xr:uid="{00000000-0005-0000-0000-0000D1080000}"/>
    <cellStyle name="Calculation 3 3 2 2 4" xfId="2272" xr:uid="{00000000-0005-0000-0000-0000D2080000}"/>
    <cellStyle name="Calculation 3 3 2 2 5" xfId="2273" xr:uid="{00000000-0005-0000-0000-0000D3080000}"/>
    <cellStyle name="Calculation 3 3 2 2 6" xfId="2274" xr:uid="{00000000-0005-0000-0000-0000D4080000}"/>
    <cellStyle name="Calculation 3 3 2 3" xfId="2275" xr:uid="{00000000-0005-0000-0000-0000D5080000}"/>
    <cellStyle name="Calculation 3 3 2 3 2" xfId="2276" xr:uid="{00000000-0005-0000-0000-0000D6080000}"/>
    <cellStyle name="Calculation 3 3 2 3 2 2" xfId="2277" xr:uid="{00000000-0005-0000-0000-0000D7080000}"/>
    <cellStyle name="Calculation 3 3 2 3 2 3" xfId="2278" xr:uid="{00000000-0005-0000-0000-0000D8080000}"/>
    <cellStyle name="Calculation 3 3 2 3 2 4" xfId="2279" xr:uid="{00000000-0005-0000-0000-0000D9080000}"/>
    <cellStyle name="Calculation 3 3 2 3 3" xfId="2280" xr:uid="{00000000-0005-0000-0000-0000DA080000}"/>
    <cellStyle name="Calculation 3 3 2 3 3 2" xfId="2281" xr:uid="{00000000-0005-0000-0000-0000DB080000}"/>
    <cellStyle name="Calculation 3 3 2 3 3 3" xfId="2282" xr:uid="{00000000-0005-0000-0000-0000DC080000}"/>
    <cellStyle name="Calculation 3 3 2 3 3 4" xfId="2283" xr:uid="{00000000-0005-0000-0000-0000DD080000}"/>
    <cellStyle name="Calculation 3 3 2 3 4" xfId="2284" xr:uid="{00000000-0005-0000-0000-0000DE080000}"/>
    <cellStyle name="Calculation 3 3 2 3 5" xfId="2285" xr:uid="{00000000-0005-0000-0000-0000DF080000}"/>
    <cellStyle name="Calculation 3 3 2 3 6" xfId="2286" xr:uid="{00000000-0005-0000-0000-0000E0080000}"/>
    <cellStyle name="Calculation 3 3 2 4" xfId="2287" xr:uid="{00000000-0005-0000-0000-0000E1080000}"/>
    <cellStyle name="Calculation 3 3 2 5" xfId="2288" xr:uid="{00000000-0005-0000-0000-0000E2080000}"/>
    <cellStyle name="Calculation 3 3 2 6" xfId="2289" xr:uid="{00000000-0005-0000-0000-0000E3080000}"/>
    <cellStyle name="Calculation 3 3 3" xfId="2290" xr:uid="{00000000-0005-0000-0000-0000E4080000}"/>
    <cellStyle name="Calculation 3 3 4" xfId="2291" xr:uid="{00000000-0005-0000-0000-0000E5080000}"/>
    <cellStyle name="Calculation 3 4" xfId="2292" xr:uid="{00000000-0005-0000-0000-0000E6080000}"/>
    <cellStyle name="Calculation 3 4 2" xfId="2293" xr:uid="{00000000-0005-0000-0000-0000E7080000}"/>
    <cellStyle name="Calculation 3 4 2 2" xfId="2294" xr:uid="{00000000-0005-0000-0000-0000E8080000}"/>
    <cellStyle name="Calculation 3 4 2 2 2" xfId="2295" xr:uid="{00000000-0005-0000-0000-0000E9080000}"/>
    <cellStyle name="Calculation 3 4 2 2 2 2" xfId="2296" xr:uid="{00000000-0005-0000-0000-0000EA080000}"/>
    <cellStyle name="Calculation 3 4 2 2 2 3" xfId="2297" xr:uid="{00000000-0005-0000-0000-0000EB080000}"/>
    <cellStyle name="Calculation 3 4 2 2 2 4" xfId="2298" xr:uid="{00000000-0005-0000-0000-0000EC080000}"/>
    <cellStyle name="Calculation 3 4 2 2 3" xfId="2299" xr:uid="{00000000-0005-0000-0000-0000ED080000}"/>
    <cellStyle name="Calculation 3 4 2 2 3 2" xfId="2300" xr:uid="{00000000-0005-0000-0000-0000EE080000}"/>
    <cellStyle name="Calculation 3 4 2 2 3 3" xfId="2301" xr:uid="{00000000-0005-0000-0000-0000EF080000}"/>
    <cellStyle name="Calculation 3 4 2 2 3 4" xfId="2302" xr:uid="{00000000-0005-0000-0000-0000F0080000}"/>
    <cellStyle name="Calculation 3 4 2 2 4" xfId="2303" xr:uid="{00000000-0005-0000-0000-0000F1080000}"/>
    <cellStyle name="Calculation 3 4 2 2 5" xfId="2304" xr:uid="{00000000-0005-0000-0000-0000F2080000}"/>
    <cellStyle name="Calculation 3 4 2 2 6" xfId="2305" xr:uid="{00000000-0005-0000-0000-0000F3080000}"/>
    <cellStyle name="Calculation 3 4 2 3" xfId="2306" xr:uid="{00000000-0005-0000-0000-0000F4080000}"/>
    <cellStyle name="Calculation 3 4 2 3 2" xfId="2307" xr:uid="{00000000-0005-0000-0000-0000F5080000}"/>
    <cellStyle name="Calculation 3 4 2 3 2 2" xfId="2308" xr:uid="{00000000-0005-0000-0000-0000F6080000}"/>
    <cellStyle name="Calculation 3 4 2 3 2 3" xfId="2309" xr:uid="{00000000-0005-0000-0000-0000F7080000}"/>
    <cellStyle name="Calculation 3 4 2 3 2 4" xfId="2310" xr:uid="{00000000-0005-0000-0000-0000F8080000}"/>
    <cellStyle name="Calculation 3 4 2 3 3" xfId="2311" xr:uid="{00000000-0005-0000-0000-0000F9080000}"/>
    <cellStyle name="Calculation 3 4 2 3 3 2" xfId="2312" xr:uid="{00000000-0005-0000-0000-0000FA080000}"/>
    <cellStyle name="Calculation 3 4 2 3 3 3" xfId="2313" xr:uid="{00000000-0005-0000-0000-0000FB080000}"/>
    <cellStyle name="Calculation 3 4 2 3 3 4" xfId="2314" xr:uid="{00000000-0005-0000-0000-0000FC080000}"/>
    <cellStyle name="Calculation 3 4 2 3 4" xfId="2315" xr:uid="{00000000-0005-0000-0000-0000FD080000}"/>
    <cellStyle name="Calculation 3 4 2 3 5" xfId="2316" xr:uid="{00000000-0005-0000-0000-0000FE080000}"/>
    <cellStyle name="Calculation 3 4 2 3 6" xfId="2317" xr:uid="{00000000-0005-0000-0000-0000FF080000}"/>
    <cellStyle name="Calculation 3 4 2 4" xfId="2318" xr:uid="{00000000-0005-0000-0000-000000090000}"/>
    <cellStyle name="Calculation 3 4 2 5" xfId="2319" xr:uid="{00000000-0005-0000-0000-000001090000}"/>
    <cellStyle name="Calculation 3 4 2 6" xfId="2320" xr:uid="{00000000-0005-0000-0000-000002090000}"/>
    <cellStyle name="Calculation 3 4 3" xfId="2321" xr:uid="{00000000-0005-0000-0000-000003090000}"/>
    <cellStyle name="Calculation 3 4 4" xfId="2322" xr:uid="{00000000-0005-0000-0000-000004090000}"/>
    <cellStyle name="Calculation 3 5" xfId="2323" xr:uid="{00000000-0005-0000-0000-000005090000}"/>
    <cellStyle name="Calculation 3 5 2" xfId="2324" xr:uid="{00000000-0005-0000-0000-000006090000}"/>
    <cellStyle name="Calculation 3 5 2 2" xfId="2325" xr:uid="{00000000-0005-0000-0000-000007090000}"/>
    <cellStyle name="Calculation 3 5 2 2 2" xfId="2326" xr:uid="{00000000-0005-0000-0000-000008090000}"/>
    <cellStyle name="Calculation 3 5 2 2 2 2" xfId="2327" xr:uid="{00000000-0005-0000-0000-000009090000}"/>
    <cellStyle name="Calculation 3 5 2 2 2 3" xfId="2328" xr:uid="{00000000-0005-0000-0000-00000A090000}"/>
    <cellStyle name="Calculation 3 5 2 2 2 4" xfId="2329" xr:uid="{00000000-0005-0000-0000-00000B090000}"/>
    <cellStyle name="Calculation 3 5 2 2 3" xfId="2330" xr:uid="{00000000-0005-0000-0000-00000C090000}"/>
    <cellStyle name="Calculation 3 5 2 2 3 2" xfId="2331" xr:uid="{00000000-0005-0000-0000-00000D090000}"/>
    <cellStyle name="Calculation 3 5 2 2 3 3" xfId="2332" xr:uid="{00000000-0005-0000-0000-00000E090000}"/>
    <cellStyle name="Calculation 3 5 2 2 3 4" xfId="2333" xr:uid="{00000000-0005-0000-0000-00000F090000}"/>
    <cellStyle name="Calculation 3 5 2 2 4" xfId="2334" xr:uid="{00000000-0005-0000-0000-000010090000}"/>
    <cellStyle name="Calculation 3 5 2 2 5" xfId="2335" xr:uid="{00000000-0005-0000-0000-000011090000}"/>
    <cellStyle name="Calculation 3 5 2 2 6" xfId="2336" xr:uid="{00000000-0005-0000-0000-000012090000}"/>
    <cellStyle name="Calculation 3 5 2 3" xfId="2337" xr:uid="{00000000-0005-0000-0000-000013090000}"/>
    <cellStyle name="Calculation 3 5 2 3 2" xfId="2338" xr:uid="{00000000-0005-0000-0000-000014090000}"/>
    <cellStyle name="Calculation 3 5 2 3 2 2" xfId="2339" xr:uid="{00000000-0005-0000-0000-000015090000}"/>
    <cellStyle name="Calculation 3 5 2 3 2 3" xfId="2340" xr:uid="{00000000-0005-0000-0000-000016090000}"/>
    <cellStyle name="Calculation 3 5 2 3 2 4" xfId="2341" xr:uid="{00000000-0005-0000-0000-000017090000}"/>
    <cellStyle name="Calculation 3 5 2 3 3" xfId="2342" xr:uid="{00000000-0005-0000-0000-000018090000}"/>
    <cellStyle name="Calculation 3 5 2 3 3 2" xfId="2343" xr:uid="{00000000-0005-0000-0000-000019090000}"/>
    <cellStyle name="Calculation 3 5 2 3 3 3" xfId="2344" xr:uid="{00000000-0005-0000-0000-00001A090000}"/>
    <cellStyle name="Calculation 3 5 2 3 3 4" xfId="2345" xr:uid="{00000000-0005-0000-0000-00001B090000}"/>
    <cellStyle name="Calculation 3 5 2 3 4" xfId="2346" xr:uid="{00000000-0005-0000-0000-00001C090000}"/>
    <cellStyle name="Calculation 3 5 2 3 5" xfId="2347" xr:uid="{00000000-0005-0000-0000-00001D090000}"/>
    <cellStyle name="Calculation 3 5 2 3 6" xfId="2348" xr:uid="{00000000-0005-0000-0000-00001E090000}"/>
    <cellStyle name="Calculation 3 5 2 4" xfId="2349" xr:uid="{00000000-0005-0000-0000-00001F090000}"/>
    <cellStyle name="Calculation 3 5 2 5" xfId="2350" xr:uid="{00000000-0005-0000-0000-000020090000}"/>
    <cellStyle name="Calculation 3 5 2 6" xfId="2351" xr:uid="{00000000-0005-0000-0000-000021090000}"/>
    <cellStyle name="Calculation 3 5 3" xfId="2352" xr:uid="{00000000-0005-0000-0000-000022090000}"/>
    <cellStyle name="Calculation 3 5 4" xfId="2353" xr:uid="{00000000-0005-0000-0000-000023090000}"/>
    <cellStyle name="Calculation 3 6" xfId="2354" xr:uid="{00000000-0005-0000-0000-000024090000}"/>
    <cellStyle name="Calculation 3 6 2" xfId="2355" xr:uid="{00000000-0005-0000-0000-000025090000}"/>
    <cellStyle name="Calculation 3 6 2 2" xfId="2356" xr:uid="{00000000-0005-0000-0000-000026090000}"/>
    <cellStyle name="Calculation 3 6 2 2 2" xfId="2357" xr:uid="{00000000-0005-0000-0000-000027090000}"/>
    <cellStyle name="Calculation 3 6 2 2 3" xfId="2358" xr:uid="{00000000-0005-0000-0000-000028090000}"/>
    <cellStyle name="Calculation 3 6 2 2 4" xfId="2359" xr:uid="{00000000-0005-0000-0000-000029090000}"/>
    <cellStyle name="Calculation 3 6 2 3" xfId="2360" xr:uid="{00000000-0005-0000-0000-00002A090000}"/>
    <cellStyle name="Calculation 3 6 2 3 2" xfId="2361" xr:uid="{00000000-0005-0000-0000-00002B090000}"/>
    <cellStyle name="Calculation 3 6 2 3 3" xfId="2362" xr:uid="{00000000-0005-0000-0000-00002C090000}"/>
    <cellStyle name="Calculation 3 6 2 3 4" xfId="2363" xr:uid="{00000000-0005-0000-0000-00002D090000}"/>
    <cellStyle name="Calculation 3 6 2 4" xfId="2364" xr:uid="{00000000-0005-0000-0000-00002E090000}"/>
    <cellStyle name="Calculation 3 6 2 5" xfId="2365" xr:uid="{00000000-0005-0000-0000-00002F090000}"/>
    <cellStyle name="Calculation 3 6 2 6" xfId="2366" xr:uid="{00000000-0005-0000-0000-000030090000}"/>
    <cellStyle name="Calculation 3 6 3" xfId="2367" xr:uid="{00000000-0005-0000-0000-000031090000}"/>
    <cellStyle name="Calculation 3 6 3 2" xfId="2368" xr:uid="{00000000-0005-0000-0000-000032090000}"/>
    <cellStyle name="Calculation 3 6 3 2 2" xfId="2369" xr:uid="{00000000-0005-0000-0000-000033090000}"/>
    <cellStyle name="Calculation 3 6 3 2 3" xfId="2370" xr:uid="{00000000-0005-0000-0000-000034090000}"/>
    <cellStyle name="Calculation 3 6 3 2 4" xfId="2371" xr:uid="{00000000-0005-0000-0000-000035090000}"/>
    <cellStyle name="Calculation 3 6 3 3" xfId="2372" xr:uid="{00000000-0005-0000-0000-000036090000}"/>
    <cellStyle name="Calculation 3 6 3 3 2" xfId="2373" xr:uid="{00000000-0005-0000-0000-000037090000}"/>
    <cellStyle name="Calculation 3 6 3 3 3" xfId="2374" xr:uid="{00000000-0005-0000-0000-000038090000}"/>
    <cellStyle name="Calculation 3 6 3 3 4" xfId="2375" xr:uid="{00000000-0005-0000-0000-000039090000}"/>
    <cellStyle name="Calculation 3 6 3 4" xfId="2376" xr:uid="{00000000-0005-0000-0000-00003A090000}"/>
    <cellStyle name="Calculation 3 6 3 5" xfId="2377" xr:uid="{00000000-0005-0000-0000-00003B090000}"/>
    <cellStyle name="Calculation 3 6 3 6" xfId="2378" xr:uid="{00000000-0005-0000-0000-00003C090000}"/>
    <cellStyle name="Calculation 3 6 4" xfId="2379" xr:uid="{00000000-0005-0000-0000-00003D090000}"/>
    <cellStyle name="Calculation 3 6 4 2" xfId="2380" xr:uid="{00000000-0005-0000-0000-00003E090000}"/>
    <cellStyle name="Calculation 3 6 4 3" xfId="2381" xr:uid="{00000000-0005-0000-0000-00003F090000}"/>
    <cellStyle name="Calculation 3 6 4 4" xfId="2382" xr:uid="{00000000-0005-0000-0000-000040090000}"/>
    <cellStyle name="Calculation 3 6 5" xfId="2383" xr:uid="{00000000-0005-0000-0000-000041090000}"/>
    <cellStyle name="Calculation 3 6 6" xfId="2384" xr:uid="{00000000-0005-0000-0000-000042090000}"/>
    <cellStyle name="Calculation 3 7" xfId="2385" xr:uid="{00000000-0005-0000-0000-000043090000}"/>
    <cellStyle name="Calculation 3 7 2" xfId="2386" xr:uid="{00000000-0005-0000-0000-000044090000}"/>
    <cellStyle name="Calculation 3 7 2 2" xfId="2387" xr:uid="{00000000-0005-0000-0000-000045090000}"/>
    <cellStyle name="Calculation 3 7 2 2 2" xfId="2388" xr:uid="{00000000-0005-0000-0000-000046090000}"/>
    <cellStyle name="Calculation 3 7 2 2 3" xfId="2389" xr:uid="{00000000-0005-0000-0000-000047090000}"/>
    <cellStyle name="Calculation 3 7 2 2 4" xfId="2390" xr:uid="{00000000-0005-0000-0000-000048090000}"/>
    <cellStyle name="Calculation 3 7 2 3" xfId="2391" xr:uid="{00000000-0005-0000-0000-000049090000}"/>
    <cellStyle name="Calculation 3 7 2 3 2" xfId="2392" xr:uid="{00000000-0005-0000-0000-00004A090000}"/>
    <cellStyle name="Calculation 3 7 2 3 3" xfId="2393" xr:uid="{00000000-0005-0000-0000-00004B090000}"/>
    <cellStyle name="Calculation 3 7 2 3 4" xfId="2394" xr:uid="{00000000-0005-0000-0000-00004C090000}"/>
    <cellStyle name="Calculation 3 7 2 4" xfId="2395" xr:uid="{00000000-0005-0000-0000-00004D090000}"/>
    <cellStyle name="Calculation 3 7 2 5" xfId="2396" xr:uid="{00000000-0005-0000-0000-00004E090000}"/>
    <cellStyle name="Calculation 3 7 2 6" xfId="2397" xr:uid="{00000000-0005-0000-0000-00004F090000}"/>
    <cellStyle name="Calculation 3 7 3" xfId="2398" xr:uid="{00000000-0005-0000-0000-000050090000}"/>
    <cellStyle name="Calculation 3 7 3 2" xfId="2399" xr:uid="{00000000-0005-0000-0000-000051090000}"/>
    <cellStyle name="Calculation 3 7 3 2 2" xfId="2400" xr:uid="{00000000-0005-0000-0000-000052090000}"/>
    <cellStyle name="Calculation 3 7 3 2 3" xfId="2401" xr:uid="{00000000-0005-0000-0000-000053090000}"/>
    <cellStyle name="Calculation 3 7 3 2 4" xfId="2402" xr:uid="{00000000-0005-0000-0000-000054090000}"/>
    <cellStyle name="Calculation 3 7 3 3" xfId="2403" xr:uid="{00000000-0005-0000-0000-000055090000}"/>
    <cellStyle name="Calculation 3 7 3 3 2" xfId="2404" xr:uid="{00000000-0005-0000-0000-000056090000}"/>
    <cellStyle name="Calculation 3 7 3 3 3" xfId="2405" xr:uid="{00000000-0005-0000-0000-000057090000}"/>
    <cellStyle name="Calculation 3 7 3 3 4" xfId="2406" xr:uid="{00000000-0005-0000-0000-000058090000}"/>
    <cellStyle name="Calculation 3 7 3 4" xfId="2407" xr:uid="{00000000-0005-0000-0000-000059090000}"/>
    <cellStyle name="Calculation 3 7 3 5" xfId="2408" xr:uid="{00000000-0005-0000-0000-00005A090000}"/>
    <cellStyle name="Calculation 3 7 3 6" xfId="2409" xr:uid="{00000000-0005-0000-0000-00005B090000}"/>
    <cellStyle name="Calculation 3 7 4" xfId="2410" xr:uid="{00000000-0005-0000-0000-00005C090000}"/>
    <cellStyle name="Calculation 3 7 4 2" xfId="2411" xr:uid="{00000000-0005-0000-0000-00005D090000}"/>
    <cellStyle name="Calculation 3 7 4 3" xfId="2412" xr:uid="{00000000-0005-0000-0000-00005E090000}"/>
    <cellStyle name="Calculation 3 7 4 4" xfId="2413" xr:uid="{00000000-0005-0000-0000-00005F090000}"/>
    <cellStyle name="Calculation 3 7 5" xfId="2414" xr:uid="{00000000-0005-0000-0000-000060090000}"/>
    <cellStyle name="Calculation 3 7 6" xfId="2415" xr:uid="{00000000-0005-0000-0000-000061090000}"/>
    <cellStyle name="Calculation 3 8" xfId="2416" xr:uid="{00000000-0005-0000-0000-000062090000}"/>
    <cellStyle name="Calculation 3 8 2" xfId="2417" xr:uid="{00000000-0005-0000-0000-000063090000}"/>
    <cellStyle name="Calculation 3 8 2 2" xfId="2418" xr:uid="{00000000-0005-0000-0000-000064090000}"/>
    <cellStyle name="Calculation 3 8 2 2 2" xfId="2419" xr:uid="{00000000-0005-0000-0000-000065090000}"/>
    <cellStyle name="Calculation 3 8 2 2 3" xfId="2420" xr:uid="{00000000-0005-0000-0000-000066090000}"/>
    <cellStyle name="Calculation 3 8 2 2 4" xfId="2421" xr:uid="{00000000-0005-0000-0000-000067090000}"/>
    <cellStyle name="Calculation 3 8 2 3" xfId="2422" xr:uid="{00000000-0005-0000-0000-000068090000}"/>
    <cellStyle name="Calculation 3 8 2 3 2" xfId="2423" xr:uid="{00000000-0005-0000-0000-000069090000}"/>
    <cellStyle name="Calculation 3 8 2 3 3" xfId="2424" xr:uid="{00000000-0005-0000-0000-00006A090000}"/>
    <cellStyle name="Calculation 3 8 2 3 4" xfId="2425" xr:uid="{00000000-0005-0000-0000-00006B090000}"/>
    <cellStyle name="Calculation 3 8 2 4" xfId="2426" xr:uid="{00000000-0005-0000-0000-00006C090000}"/>
    <cellStyle name="Calculation 3 8 2 5" xfId="2427" xr:uid="{00000000-0005-0000-0000-00006D090000}"/>
    <cellStyle name="Calculation 3 8 2 6" xfId="2428" xr:uid="{00000000-0005-0000-0000-00006E090000}"/>
    <cellStyle name="Calculation 3 8 3" xfId="2429" xr:uid="{00000000-0005-0000-0000-00006F090000}"/>
    <cellStyle name="Calculation 3 8 3 2" xfId="2430" xr:uid="{00000000-0005-0000-0000-000070090000}"/>
    <cellStyle name="Calculation 3 8 3 2 2" xfId="2431" xr:uid="{00000000-0005-0000-0000-000071090000}"/>
    <cellStyle name="Calculation 3 8 3 2 3" xfId="2432" xr:uid="{00000000-0005-0000-0000-000072090000}"/>
    <cellStyle name="Calculation 3 8 3 2 4" xfId="2433" xr:uid="{00000000-0005-0000-0000-000073090000}"/>
    <cellStyle name="Calculation 3 8 3 3" xfId="2434" xr:uid="{00000000-0005-0000-0000-000074090000}"/>
    <cellStyle name="Calculation 3 8 3 3 2" xfId="2435" xr:uid="{00000000-0005-0000-0000-000075090000}"/>
    <cellStyle name="Calculation 3 8 3 3 3" xfId="2436" xr:uid="{00000000-0005-0000-0000-000076090000}"/>
    <cellStyle name="Calculation 3 8 3 3 4" xfId="2437" xr:uid="{00000000-0005-0000-0000-000077090000}"/>
    <cellStyle name="Calculation 3 8 3 4" xfId="2438" xr:uid="{00000000-0005-0000-0000-000078090000}"/>
    <cellStyle name="Calculation 3 8 3 5" xfId="2439" xr:uid="{00000000-0005-0000-0000-000079090000}"/>
    <cellStyle name="Calculation 3 8 3 6" xfId="2440" xr:uid="{00000000-0005-0000-0000-00007A090000}"/>
    <cellStyle name="Calculation 3 8 4" xfId="2441" xr:uid="{00000000-0005-0000-0000-00007B090000}"/>
    <cellStyle name="Calculation 3 8 4 2" xfId="2442" xr:uid="{00000000-0005-0000-0000-00007C090000}"/>
    <cellStyle name="Calculation 3 8 4 3" xfId="2443" xr:uid="{00000000-0005-0000-0000-00007D090000}"/>
    <cellStyle name="Calculation 3 8 4 4" xfId="2444" xr:uid="{00000000-0005-0000-0000-00007E090000}"/>
    <cellStyle name="Calculation 3 8 5" xfId="2445" xr:uid="{00000000-0005-0000-0000-00007F090000}"/>
    <cellStyle name="Calculation 3 8 6" xfId="2446" xr:uid="{00000000-0005-0000-0000-000080090000}"/>
    <cellStyle name="Calculation 3 9" xfId="2447" xr:uid="{00000000-0005-0000-0000-000081090000}"/>
    <cellStyle name="Calculation 3 9 2" xfId="2448" xr:uid="{00000000-0005-0000-0000-000082090000}"/>
    <cellStyle name="Calculation 3 9 2 2" xfId="2449" xr:uid="{00000000-0005-0000-0000-000083090000}"/>
    <cellStyle name="Calculation 3 9 2 2 2" xfId="2450" xr:uid="{00000000-0005-0000-0000-000084090000}"/>
    <cellStyle name="Calculation 3 9 2 2 3" xfId="2451" xr:uid="{00000000-0005-0000-0000-000085090000}"/>
    <cellStyle name="Calculation 3 9 2 2 4" xfId="2452" xr:uid="{00000000-0005-0000-0000-000086090000}"/>
    <cellStyle name="Calculation 3 9 2 3" xfId="2453" xr:uid="{00000000-0005-0000-0000-000087090000}"/>
    <cellStyle name="Calculation 3 9 2 3 2" xfId="2454" xr:uid="{00000000-0005-0000-0000-000088090000}"/>
    <cellStyle name="Calculation 3 9 2 3 3" xfId="2455" xr:uid="{00000000-0005-0000-0000-000089090000}"/>
    <cellStyle name="Calculation 3 9 2 3 4" xfId="2456" xr:uid="{00000000-0005-0000-0000-00008A090000}"/>
    <cellStyle name="Calculation 3 9 2 4" xfId="2457" xr:uid="{00000000-0005-0000-0000-00008B090000}"/>
    <cellStyle name="Calculation 3 9 2 5" xfId="2458" xr:uid="{00000000-0005-0000-0000-00008C090000}"/>
    <cellStyle name="Calculation 3 9 2 6" xfId="2459" xr:uid="{00000000-0005-0000-0000-00008D090000}"/>
    <cellStyle name="Calculation 3 9 3" xfId="2460" xr:uid="{00000000-0005-0000-0000-00008E090000}"/>
    <cellStyle name="Calculation 3 9 3 2" xfId="2461" xr:uid="{00000000-0005-0000-0000-00008F090000}"/>
    <cellStyle name="Calculation 3 9 3 2 2" xfId="2462" xr:uid="{00000000-0005-0000-0000-000090090000}"/>
    <cellStyle name="Calculation 3 9 3 2 3" xfId="2463" xr:uid="{00000000-0005-0000-0000-000091090000}"/>
    <cellStyle name="Calculation 3 9 3 2 4" xfId="2464" xr:uid="{00000000-0005-0000-0000-000092090000}"/>
    <cellStyle name="Calculation 3 9 3 3" xfId="2465" xr:uid="{00000000-0005-0000-0000-000093090000}"/>
    <cellStyle name="Calculation 3 9 3 3 2" xfId="2466" xr:uid="{00000000-0005-0000-0000-000094090000}"/>
    <cellStyle name="Calculation 3 9 3 3 3" xfId="2467" xr:uid="{00000000-0005-0000-0000-000095090000}"/>
    <cellStyle name="Calculation 3 9 3 3 4" xfId="2468" xr:uid="{00000000-0005-0000-0000-000096090000}"/>
    <cellStyle name="Calculation 3 9 3 4" xfId="2469" xr:uid="{00000000-0005-0000-0000-000097090000}"/>
    <cellStyle name="Calculation 3 9 3 5" xfId="2470" xr:uid="{00000000-0005-0000-0000-000098090000}"/>
    <cellStyle name="Calculation 3 9 3 6" xfId="2471" xr:uid="{00000000-0005-0000-0000-000099090000}"/>
    <cellStyle name="Calculation 3 9 4" xfId="2472" xr:uid="{00000000-0005-0000-0000-00009A090000}"/>
    <cellStyle name="Calculation 3 9 4 2" xfId="2473" xr:uid="{00000000-0005-0000-0000-00009B090000}"/>
    <cellStyle name="Calculation 3 9 4 3" xfId="2474" xr:uid="{00000000-0005-0000-0000-00009C090000}"/>
    <cellStyle name="Calculation 3 9 4 4" xfId="2475" xr:uid="{00000000-0005-0000-0000-00009D090000}"/>
    <cellStyle name="Calculation 3 9 5" xfId="2476" xr:uid="{00000000-0005-0000-0000-00009E090000}"/>
    <cellStyle name="Calculation 3 9 6" xfId="2477" xr:uid="{00000000-0005-0000-0000-00009F090000}"/>
    <cellStyle name="Calculation 4" xfId="2478" xr:uid="{00000000-0005-0000-0000-0000A0090000}"/>
    <cellStyle name="Calculation 4 2" xfId="2479" xr:uid="{00000000-0005-0000-0000-0000A1090000}"/>
    <cellStyle name="Calculation 4 2 2" xfId="2480" xr:uid="{00000000-0005-0000-0000-0000A2090000}"/>
    <cellStyle name="Calculation 4 2 2 2" xfId="2481" xr:uid="{00000000-0005-0000-0000-0000A3090000}"/>
    <cellStyle name="Calculation 4 2 2 2 2" xfId="2482" xr:uid="{00000000-0005-0000-0000-0000A4090000}"/>
    <cellStyle name="Calculation 4 2 2 2 3" xfId="2483" xr:uid="{00000000-0005-0000-0000-0000A5090000}"/>
    <cellStyle name="Calculation 4 2 2 2 4" xfId="2484" xr:uid="{00000000-0005-0000-0000-0000A6090000}"/>
    <cellStyle name="Calculation 4 2 2 3" xfId="2485" xr:uid="{00000000-0005-0000-0000-0000A7090000}"/>
    <cellStyle name="Calculation 4 2 2 3 2" xfId="2486" xr:uid="{00000000-0005-0000-0000-0000A8090000}"/>
    <cellStyle name="Calculation 4 2 2 3 3" xfId="2487" xr:uid="{00000000-0005-0000-0000-0000A9090000}"/>
    <cellStyle name="Calculation 4 2 2 3 4" xfId="2488" xr:uid="{00000000-0005-0000-0000-0000AA090000}"/>
    <cellStyle name="Calculation 4 2 2 4" xfId="2489" xr:uid="{00000000-0005-0000-0000-0000AB090000}"/>
    <cellStyle name="Calculation 4 2 2 5" xfId="2490" xr:uid="{00000000-0005-0000-0000-0000AC090000}"/>
    <cellStyle name="Calculation 4 2 2 6" xfId="2491" xr:uid="{00000000-0005-0000-0000-0000AD090000}"/>
    <cellStyle name="Calculation 4 2 3" xfId="2492" xr:uid="{00000000-0005-0000-0000-0000AE090000}"/>
    <cellStyle name="Calculation 4 2 3 2" xfId="2493" xr:uid="{00000000-0005-0000-0000-0000AF090000}"/>
    <cellStyle name="Calculation 4 2 3 2 2" xfId="2494" xr:uid="{00000000-0005-0000-0000-0000B0090000}"/>
    <cellStyle name="Calculation 4 2 3 2 3" xfId="2495" xr:uid="{00000000-0005-0000-0000-0000B1090000}"/>
    <cellStyle name="Calculation 4 2 3 2 4" xfId="2496" xr:uid="{00000000-0005-0000-0000-0000B2090000}"/>
    <cellStyle name="Calculation 4 2 3 3" xfId="2497" xr:uid="{00000000-0005-0000-0000-0000B3090000}"/>
    <cellStyle name="Calculation 4 2 3 3 2" xfId="2498" xr:uid="{00000000-0005-0000-0000-0000B4090000}"/>
    <cellStyle name="Calculation 4 2 3 3 3" xfId="2499" xr:uid="{00000000-0005-0000-0000-0000B5090000}"/>
    <cellStyle name="Calculation 4 2 3 3 4" xfId="2500" xr:uid="{00000000-0005-0000-0000-0000B6090000}"/>
    <cellStyle name="Calculation 4 2 3 4" xfId="2501" xr:uid="{00000000-0005-0000-0000-0000B7090000}"/>
    <cellStyle name="Calculation 4 2 3 5" xfId="2502" xr:uid="{00000000-0005-0000-0000-0000B8090000}"/>
    <cellStyle name="Calculation 4 2 3 6" xfId="2503" xr:uid="{00000000-0005-0000-0000-0000B9090000}"/>
    <cellStyle name="Calculation 4 2 4" xfId="2504" xr:uid="{00000000-0005-0000-0000-0000BA090000}"/>
    <cellStyle name="Calculation 4 2 5" xfId="2505" xr:uid="{00000000-0005-0000-0000-0000BB090000}"/>
    <cellStyle name="Calculation 4 2 6" xfId="2506" xr:uid="{00000000-0005-0000-0000-0000BC090000}"/>
    <cellStyle name="Calculation 4 3" xfId="2507" xr:uid="{00000000-0005-0000-0000-0000BD090000}"/>
    <cellStyle name="Calculation 4 4" xfId="2508" xr:uid="{00000000-0005-0000-0000-0000BE090000}"/>
    <cellStyle name="Calculation 5" xfId="2509" xr:uid="{00000000-0005-0000-0000-0000BF090000}"/>
    <cellStyle name="Calculation 5 2" xfId="2510" xr:uid="{00000000-0005-0000-0000-0000C0090000}"/>
    <cellStyle name="Calculation 5 2 2" xfId="2511" xr:uid="{00000000-0005-0000-0000-0000C1090000}"/>
    <cellStyle name="Calculation 5 2 2 2" xfId="2512" xr:uid="{00000000-0005-0000-0000-0000C2090000}"/>
    <cellStyle name="Calculation 5 2 2 2 2" xfId="2513" xr:uid="{00000000-0005-0000-0000-0000C3090000}"/>
    <cellStyle name="Calculation 5 2 2 2 3" xfId="2514" xr:uid="{00000000-0005-0000-0000-0000C4090000}"/>
    <cellStyle name="Calculation 5 2 2 2 4" xfId="2515" xr:uid="{00000000-0005-0000-0000-0000C5090000}"/>
    <cellStyle name="Calculation 5 2 2 3" xfId="2516" xr:uid="{00000000-0005-0000-0000-0000C6090000}"/>
    <cellStyle name="Calculation 5 2 2 3 2" xfId="2517" xr:uid="{00000000-0005-0000-0000-0000C7090000}"/>
    <cellStyle name="Calculation 5 2 2 3 3" xfId="2518" xr:uid="{00000000-0005-0000-0000-0000C8090000}"/>
    <cellStyle name="Calculation 5 2 2 3 4" xfId="2519" xr:uid="{00000000-0005-0000-0000-0000C9090000}"/>
    <cellStyle name="Calculation 5 2 2 4" xfId="2520" xr:uid="{00000000-0005-0000-0000-0000CA090000}"/>
    <cellStyle name="Calculation 5 2 2 5" xfId="2521" xr:uid="{00000000-0005-0000-0000-0000CB090000}"/>
    <cellStyle name="Calculation 5 2 2 6" xfId="2522" xr:uid="{00000000-0005-0000-0000-0000CC090000}"/>
    <cellStyle name="Calculation 5 2 3" xfId="2523" xr:uid="{00000000-0005-0000-0000-0000CD090000}"/>
    <cellStyle name="Calculation 5 2 3 2" xfId="2524" xr:uid="{00000000-0005-0000-0000-0000CE090000}"/>
    <cellStyle name="Calculation 5 2 3 2 2" xfId="2525" xr:uid="{00000000-0005-0000-0000-0000CF090000}"/>
    <cellStyle name="Calculation 5 2 3 2 3" xfId="2526" xr:uid="{00000000-0005-0000-0000-0000D0090000}"/>
    <cellStyle name="Calculation 5 2 3 2 4" xfId="2527" xr:uid="{00000000-0005-0000-0000-0000D1090000}"/>
    <cellStyle name="Calculation 5 2 3 3" xfId="2528" xr:uid="{00000000-0005-0000-0000-0000D2090000}"/>
    <cellStyle name="Calculation 5 2 3 3 2" xfId="2529" xr:uid="{00000000-0005-0000-0000-0000D3090000}"/>
    <cellStyle name="Calculation 5 2 3 3 3" xfId="2530" xr:uid="{00000000-0005-0000-0000-0000D4090000}"/>
    <cellStyle name="Calculation 5 2 3 3 4" xfId="2531" xr:uid="{00000000-0005-0000-0000-0000D5090000}"/>
    <cellStyle name="Calculation 5 2 3 4" xfId="2532" xr:uid="{00000000-0005-0000-0000-0000D6090000}"/>
    <cellStyle name="Calculation 5 2 3 5" xfId="2533" xr:uid="{00000000-0005-0000-0000-0000D7090000}"/>
    <cellStyle name="Calculation 5 2 3 6" xfId="2534" xr:uid="{00000000-0005-0000-0000-0000D8090000}"/>
    <cellStyle name="Calculation 5 2 4" xfId="2535" xr:uid="{00000000-0005-0000-0000-0000D9090000}"/>
    <cellStyle name="Calculation 5 2 5" xfId="2536" xr:uid="{00000000-0005-0000-0000-0000DA090000}"/>
    <cellStyle name="Calculation 5 2 6" xfId="2537" xr:uid="{00000000-0005-0000-0000-0000DB090000}"/>
    <cellStyle name="Calculation 5 3" xfId="2538" xr:uid="{00000000-0005-0000-0000-0000DC090000}"/>
    <cellStyle name="Calculation 5 4" xfId="2539" xr:uid="{00000000-0005-0000-0000-0000DD090000}"/>
    <cellStyle name="Calculation 6" xfId="2540" xr:uid="{00000000-0005-0000-0000-0000DE090000}"/>
    <cellStyle name="Calculation 6 2" xfId="2541" xr:uid="{00000000-0005-0000-0000-0000DF090000}"/>
    <cellStyle name="Calculation 6 2 2" xfId="2542" xr:uid="{00000000-0005-0000-0000-0000E0090000}"/>
    <cellStyle name="Calculation 6 2 2 2" xfId="2543" xr:uid="{00000000-0005-0000-0000-0000E1090000}"/>
    <cellStyle name="Calculation 6 2 2 2 2" xfId="2544" xr:uid="{00000000-0005-0000-0000-0000E2090000}"/>
    <cellStyle name="Calculation 6 2 2 2 3" xfId="2545" xr:uid="{00000000-0005-0000-0000-0000E3090000}"/>
    <cellStyle name="Calculation 6 2 2 2 4" xfId="2546" xr:uid="{00000000-0005-0000-0000-0000E4090000}"/>
    <cellStyle name="Calculation 6 2 2 3" xfId="2547" xr:uid="{00000000-0005-0000-0000-0000E5090000}"/>
    <cellStyle name="Calculation 6 2 2 3 2" xfId="2548" xr:uid="{00000000-0005-0000-0000-0000E6090000}"/>
    <cellStyle name="Calculation 6 2 2 3 3" xfId="2549" xr:uid="{00000000-0005-0000-0000-0000E7090000}"/>
    <cellStyle name="Calculation 6 2 2 3 4" xfId="2550" xr:uid="{00000000-0005-0000-0000-0000E8090000}"/>
    <cellStyle name="Calculation 6 2 2 4" xfId="2551" xr:uid="{00000000-0005-0000-0000-0000E9090000}"/>
    <cellStyle name="Calculation 6 2 2 5" xfId="2552" xr:uid="{00000000-0005-0000-0000-0000EA090000}"/>
    <cellStyle name="Calculation 6 2 2 6" xfId="2553" xr:uid="{00000000-0005-0000-0000-0000EB090000}"/>
    <cellStyle name="Calculation 6 2 3" xfId="2554" xr:uid="{00000000-0005-0000-0000-0000EC090000}"/>
    <cellStyle name="Calculation 6 2 3 2" xfId="2555" xr:uid="{00000000-0005-0000-0000-0000ED090000}"/>
    <cellStyle name="Calculation 6 2 3 2 2" xfId="2556" xr:uid="{00000000-0005-0000-0000-0000EE090000}"/>
    <cellStyle name="Calculation 6 2 3 2 3" xfId="2557" xr:uid="{00000000-0005-0000-0000-0000EF090000}"/>
    <cellStyle name="Calculation 6 2 3 2 4" xfId="2558" xr:uid="{00000000-0005-0000-0000-0000F0090000}"/>
    <cellStyle name="Calculation 6 2 3 3" xfId="2559" xr:uid="{00000000-0005-0000-0000-0000F1090000}"/>
    <cellStyle name="Calculation 6 2 3 3 2" xfId="2560" xr:uid="{00000000-0005-0000-0000-0000F2090000}"/>
    <cellStyle name="Calculation 6 2 3 3 3" xfId="2561" xr:uid="{00000000-0005-0000-0000-0000F3090000}"/>
    <cellStyle name="Calculation 6 2 3 3 4" xfId="2562" xr:uid="{00000000-0005-0000-0000-0000F4090000}"/>
    <cellStyle name="Calculation 6 2 3 4" xfId="2563" xr:uid="{00000000-0005-0000-0000-0000F5090000}"/>
    <cellStyle name="Calculation 6 2 3 5" xfId="2564" xr:uid="{00000000-0005-0000-0000-0000F6090000}"/>
    <cellStyle name="Calculation 6 2 3 6" xfId="2565" xr:uid="{00000000-0005-0000-0000-0000F7090000}"/>
    <cellStyle name="Calculation 6 2 4" xfId="2566" xr:uid="{00000000-0005-0000-0000-0000F8090000}"/>
    <cellStyle name="Calculation 6 2 5" xfId="2567" xr:uid="{00000000-0005-0000-0000-0000F9090000}"/>
    <cellStyle name="Calculation 6 2 6" xfId="2568" xr:uid="{00000000-0005-0000-0000-0000FA090000}"/>
    <cellStyle name="Calculation 6 3" xfId="2569" xr:uid="{00000000-0005-0000-0000-0000FB090000}"/>
    <cellStyle name="Calculation 6 4" xfId="2570" xr:uid="{00000000-0005-0000-0000-0000FC090000}"/>
    <cellStyle name="Calculation 7" xfId="2571" xr:uid="{00000000-0005-0000-0000-0000FD090000}"/>
    <cellStyle name="Calculation 7 2" xfId="2572" xr:uid="{00000000-0005-0000-0000-0000FE090000}"/>
    <cellStyle name="Calculation 7 2 2" xfId="2573" xr:uid="{00000000-0005-0000-0000-0000FF090000}"/>
    <cellStyle name="Calculation 7 2 2 2" xfId="2574" xr:uid="{00000000-0005-0000-0000-0000000A0000}"/>
    <cellStyle name="Calculation 7 2 2 2 2" xfId="2575" xr:uid="{00000000-0005-0000-0000-0000010A0000}"/>
    <cellStyle name="Calculation 7 2 2 2 3" xfId="2576" xr:uid="{00000000-0005-0000-0000-0000020A0000}"/>
    <cellStyle name="Calculation 7 2 2 2 4" xfId="2577" xr:uid="{00000000-0005-0000-0000-0000030A0000}"/>
    <cellStyle name="Calculation 7 2 2 3" xfId="2578" xr:uid="{00000000-0005-0000-0000-0000040A0000}"/>
    <cellStyle name="Calculation 7 2 2 3 2" xfId="2579" xr:uid="{00000000-0005-0000-0000-0000050A0000}"/>
    <cellStyle name="Calculation 7 2 2 3 3" xfId="2580" xr:uid="{00000000-0005-0000-0000-0000060A0000}"/>
    <cellStyle name="Calculation 7 2 2 3 4" xfId="2581" xr:uid="{00000000-0005-0000-0000-0000070A0000}"/>
    <cellStyle name="Calculation 7 2 2 4" xfId="2582" xr:uid="{00000000-0005-0000-0000-0000080A0000}"/>
    <cellStyle name="Calculation 7 2 2 5" xfId="2583" xr:uid="{00000000-0005-0000-0000-0000090A0000}"/>
    <cellStyle name="Calculation 7 2 2 6" xfId="2584" xr:uid="{00000000-0005-0000-0000-00000A0A0000}"/>
    <cellStyle name="Calculation 7 2 3" xfId="2585" xr:uid="{00000000-0005-0000-0000-00000B0A0000}"/>
    <cellStyle name="Calculation 7 2 3 2" xfId="2586" xr:uid="{00000000-0005-0000-0000-00000C0A0000}"/>
    <cellStyle name="Calculation 7 2 3 2 2" xfId="2587" xr:uid="{00000000-0005-0000-0000-00000D0A0000}"/>
    <cellStyle name="Calculation 7 2 3 2 3" xfId="2588" xr:uid="{00000000-0005-0000-0000-00000E0A0000}"/>
    <cellStyle name="Calculation 7 2 3 2 4" xfId="2589" xr:uid="{00000000-0005-0000-0000-00000F0A0000}"/>
    <cellStyle name="Calculation 7 2 3 3" xfId="2590" xr:uid="{00000000-0005-0000-0000-0000100A0000}"/>
    <cellStyle name="Calculation 7 2 3 3 2" xfId="2591" xr:uid="{00000000-0005-0000-0000-0000110A0000}"/>
    <cellStyle name="Calculation 7 2 3 3 3" xfId="2592" xr:uid="{00000000-0005-0000-0000-0000120A0000}"/>
    <cellStyle name="Calculation 7 2 3 3 4" xfId="2593" xr:uid="{00000000-0005-0000-0000-0000130A0000}"/>
    <cellStyle name="Calculation 7 2 3 4" xfId="2594" xr:uid="{00000000-0005-0000-0000-0000140A0000}"/>
    <cellStyle name="Calculation 7 2 3 5" xfId="2595" xr:uid="{00000000-0005-0000-0000-0000150A0000}"/>
    <cellStyle name="Calculation 7 2 3 6" xfId="2596" xr:uid="{00000000-0005-0000-0000-0000160A0000}"/>
    <cellStyle name="Calculation 7 2 4" xfId="2597" xr:uid="{00000000-0005-0000-0000-0000170A0000}"/>
    <cellStyle name="Calculation 7 2 5" xfId="2598" xr:uid="{00000000-0005-0000-0000-0000180A0000}"/>
    <cellStyle name="Calculation 7 2 6" xfId="2599" xr:uid="{00000000-0005-0000-0000-0000190A0000}"/>
    <cellStyle name="Calculation 7 3" xfId="2600" xr:uid="{00000000-0005-0000-0000-00001A0A0000}"/>
    <cellStyle name="Calculation 7 4" xfId="2601" xr:uid="{00000000-0005-0000-0000-00001B0A0000}"/>
    <cellStyle name="Calculation 8" xfId="2602" xr:uid="{00000000-0005-0000-0000-00001C0A0000}"/>
    <cellStyle name="Calculation 8 2" xfId="2603" xr:uid="{00000000-0005-0000-0000-00001D0A0000}"/>
    <cellStyle name="Calculation 8 2 2" xfId="2604" xr:uid="{00000000-0005-0000-0000-00001E0A0000}"/>
    <cellStyle name="Calculation 8 2 2 2" xfId="2605" xr:uid="{00000000-0005-0000-0000-00001F0A0000}"/>
    <cellStyle name="Calculation 8 2 2 3" xfId="2606" xr:uid="{00000000-0005-0000-0000-0000200A0000}"/>
    <cellStyle name="Calculation 8 2 2 4" xfId="2607" xr:uid="{00000000-0005-0000-0000-0000210A0000}"/>
    <cellStyle name="Calculation 8 2 3" xfId="2608" xr:uid="{00000000-0005-0000-0000-0000220A0000}"/>
    <cellStyle name="Calculation 8 2 3 2" xfId="2609" xr:uid="{00000000-0005-0000-0000-0000230A0000}"/>
    <cellStyle name="Calculation 8 2 3 3" xfId="2610" xr:uid="{00000000-0005-0000-0000-0000240A0000}"/>
    <cellStyle name="Calculation 8 2 3 4" xfId="2611" xr:uid="{00000000-0005-0000-0000-0000250A0000}"/>
    <cellStyle name="Calculation 8 2 4" xfId="2612" xr:uid="{00000000-0005-0000-0000-0000260A0000}"/>
    <cellStyle name="Calculation 8 2 5" xfId="2613" xr:uid="{00000000-0005-0000-0000-0000270A0000}"/>
    <cellStyle name="Calculation 8 2 6" xfId="2614" xr:uid="{00000000-0005-0000-0000-0000280A0000}"/>
    <cellStyle name="Calculation 8 3" xfId="2615" xr:uid="{00000000-0005-0000-0000-0000290A0000}"/>
    <cellStyle name="Calculation 8 3 2" xfId="2616" xr:uid="{00000000-0005-0000-0000-00002A0A0000}"/>
    <cellStyle name="Calculation 8 3 2 2" xfId="2617" xr:uid="{00000000-0005-0000-0000-00002B0A0000}"/>
    <cellStyle name="Calculation 8 3 2 3" xfId="2618" xr:uid="{00000000-0005-0000-0000-00002C0A0000}"/>
    <cellStyle name="Calculation 8 3 2 4" xfId="2619" xr:uid="{00000000-0005-0000-0000-00002D0A0000}"/>
    <cellStyle name="Calculation 8 3 3" xfId="2620" xr:uid="{00000000-0005-0000-0000-00002E0A0000}"/>
    <cellStyle name="Calculation 8 3 3 2" xfId="2621" xr:uid="{00000000-0005-0000-0000-00002F0A0000}"/>
    <cellStyle name="Calculation 8 3 3 3" xfId="2622" xr:uid="{00000000-0005-0000-0000-0000300A0000}"/>
    <cellStyle name="Calculation 8 3 3 4" xfId="2623" xr:uid="{00000000-0005-0000-0000-0000310A0000}"/>
    <cellStyle name="Calculation 8 3 4" xfId="2624" xr:uid="{00000000-0005-0000-0000-0000320A0000}"/>
    <cellStyle name="Calculation 8 3 5" xfId="2625" xr:uid="{00000000-0005-0000-0000-0000330A0000}"/>
    <cellStyle name="Calculation 8 3 6" xfId="2626" xr:uid="{00000000-0005-0000-0000-0000340A0000}"/>
    <cellStyle name="Calculation 8 4" xfId="2627" xr:uid="{00000000-0005-0000-0000-0000350A0000}"/>
    <cellStyle name="Calculation 8 4 2" xfId="2628" xr:uid="{00000000-0005-0000-0000-0000360A0000}"/>
    <cellStyle name="Calculation 8 4 3" xfId="2629" xr:uid="{00000000-0005-0000-0000-0000370A0000}"/>
    <cellStyle name="Calculation 8 4 4" xfId="2630" xr:uid="{00000000-0005-0000-0000-0000380A0000}"/>
    <cellStyle name="Calculation 8 5" xfId="2631" xr:uid="{00000000-0005-0000-0000-0000390A0000}"/>
    <cellStyle name="Calculation 8 6" xfId="2632" xr:uid="{00000000-0005-0000-0000-00003A0A0000}"/>
    <cellStyle name="Calculation 9" xfId="2633" xr:uid="{00000000-0005-0000-0000-00003B0A0000}"/>
    <cellStyle name="Calculation 9 2" xfId="2634" xr:uid="{00000000-0005-0000-0000-00003C0A0000}"/>
    <cellStyle name="Calculation 9 2 2" xfId="2635" xr:uid="{00000000-0005-0000-0000-00003D0A0000}"/>
    <cellStyle name="Calculation 9 2 2 2" xfId="2636" xr:uid="{00000000-0005-0000-0000-00003E0A0000}"/>
    <cellStyle name="Calculation 9 2 2 3" xfId="2637" xr:uid="{00000000-0005-0000-0000-00003F0A0000}"/>
    <cellStyle name="Calculation 9 2 2 4" xfId="2638" xr:uid="{00000000-0005-0000-0000-0000400A0000}"/>
    <cellStyle name="Calculation 9 2 3" xfId="2639" xr:uid="{00000000-0005-0000-0000-0000410A0000}"/>
    <cellStyle name="Calculation 9 2 3 2" xfId="2640" xr:uid="{00000000-0005-0000-0000-0000420A0000}"/>
    <cellStyle name="Calculation 9 2 3 3" xfId="2641" xr:uid="{00000000-0005-0000-0000-0000430A0000}"/>
    <cellStyle name="Calculation 9 2 3 4" xfId="2642" xr:uid="{00000000-0005-0000-0000-0000440A0000}"/>
    <cellStyle name="Calculation 9 2 4" xfId="2643" xr:uid="{00000000-0005-0000-0000-0000450A0000}"/>
    <cellStyle name="Calculation 9 2 5" xfId="2644" xr:uid="{00000000-0005-0000-0000-0000460A0000}"/>
    <cellStyle name="Calculation 9 2 6" xfId="2645" xr:uid="{00000000-0005-0000-0000-0000470A0000}"/>
    <cellStyle name="Calculation 9 3" xfId="2646" xr:uid="{00000000-0005-0000-0000-0000480A0000}"/>
    <cellStyle name="Calculation 9 3 2" xfId="2647" xr:uid="{00000000-0005-0000-0000-0000490A0000}"/>
    <cellStyle name="Calculation 9 3 2 2" xfId="2648" xr:uid="{00000000-0005-0000-0000-00004A0A0000}"/>
    <cellStyle name="Calculation 9 3 2 3" xfId="2649" xr:uid="{00000000-0005-0000-0000-00004B0A0000}"/>
    <cellStyle name="Calculation 9 3 2 4" xfId="2650" xr:uid="{00000000-0005-0000-0000-00004C0A0000}"/>
    <cellStyle name="Calculation 9 3 3" xfId="2651" xr:uid="{00000000-0005-0000-0000-00004D0A0000}"/>
    <cellStyle name="Calculation 9 3 3 2" xfId="2652" xr:uid="{00000000-0005-0000-0000-00004E0A0000}"/>
    <cellStyle name="Calculation 9 3 3 3" xfId="2653" xr:uid="{00000000-0005-0000-0000-00004F0A0000}"/>
    <cellStyle name="Calculation 9 3 3 4" xfId="2654" xr:uid="{00000000-0005-0000-0000-0000500A0000}"/>
    <cellStyle name="Calculation 9 3 4" xfId="2655" xr:uid="{00000000-0005-0000-0000-0000510A0000}"/>
    <cellStyle name="Calculation 9 3 5" xfId="2656" xr:uid="{00000000-0005-0000-0000-0000520A0000}"/>
    <cellStyle name="Calculation 9 3 6" xfId="2657" xr:uid="{00000000-0005-0000-0000-0000530A0000}"/>
    <cellStyle name="Calculation 9 4" xfId="2658" xr:uid="{00000000-0005-0000-0000-0000540A0000}"/>
    <cellStyle name="Calculation 9 4 2" xfId="2659" xr:uid="{00000000-0005-0000-0000-0000550A0000}"/>
    <cellStyle name="Calculation 9 4 3" xfId="2660" xr:uid="{00000000-0005-0000-0000-0000560A0000}"/>
    <cellStyle name="Calculation 9 4 4" xfId="2661" xr:uid="{00000000-0005-0000-0000-0000570A0000}"/>
    <cellStyle name="Calculation 9 5" xfId="2662" xr:uid="{00000000-0005-0000-0000-0000580A0000}"/>
    <cellStyle name="Calculation 9 6" xfId="2663" xr:uid="{00000000-0005-0000-0000-0000590A0000}"/>
    <cellStyle name="Cálculo 2" xfId="2664" xr:uid="{00000000-0005-0000-0000-00005A0A0000}"/>
    <cellStyle name="Cálculo 2 10" xfId="2665" xr:uid="{00000000-0005-0000-0000-00005B0A0000}"/>
    <cellStyle name="Cálculo 2 10 2" xfId="2666" xr:uid="{00000000-0005-0000-0000-00005C0A0000}"/>
    <cellStyle name="Cálculo 2 10 2 2" xfId="2667" xr:uid="{00000000-0005-0000-0000-00005D0A0000}"/>
    <cellStyle name="Cálculo 2 10 2 2 2" xfId="2668" xr:uid="{00000000-0005-0000-0000-00005E0A0000}"/>
    <cellStyle name="Cálculo 2 10 2 2 3" xfId="2669" xr:uid="{00000000-0005-0000-0000-00005F0A0000}"/>
    <cellStyle name="Cálculo 2 10 2 2 4" xfId="2670" xr:uid="{00000000-0005-0000-0000-0000600A0000}"/>
    <cellStyle name="Cálculo 2 10 2 3" xfId="2671" xr:uid="{00000000-0005-0000-0000-0000610A0000}"/>
    <cellStyle name="Cálculo 2 10 2 3 2" xfId="2672" xr:uid="{00000000-0005-0000-0000-0000620A0000}"/>
    <cellStyle name="Cálculo 2 10 2 3 3" xfId="2673" xr:uid="{00000000-0005-0000-0000-0000630A0000}"/>
    <cellStyle name="Cálculo 2 10 2 3 4" xfId="2674" xr:uid="{00000000-0005-0000-0000-0000640A0000}"/>
    <cellStyle name="Cálculo 2 10 2 4" xfId="2675" xr:uid="{00000000-0005-0000-0000-0000650A0000}"/>
    <cellStyle name="Cálculo 2 10 2 5" xfId="2676" xr:uid="{00000000-0005-0000-0000-0000660A0000}"/>
    <cellStyle name="Cálculo 2 10 2 6" xfId="2677" xr:uid="{00000000-0005-0000-0000-0000670A0000}"/>
    <cellStyle name="Cálculo 2 10 3" xfId="2678" xr:uid="{00000000-0005-0000-0000-0000680A0000}"/>
    <cellStyle name="Cálculo 2 10 3 2" xfId="2679" xr:uid="{00000000-0005-0000-0000-0000690A0000}"/>
    <cellStyle name="Cálculo 2 10 3 2 2" xfId="2680" xr:uid="{00000000-0005-0000-0000-00006A0A0000}"/>
    <cellStyle name="Cálculo 2 10 3 2 3" xfId="2681" xr:uid="{00000000-0005-0000-0000-00006B0A0000}"/>
    <cellStyle name="Cálculo 2 10 3 2 4" xfId="2682" xr:uid="{00000000-0005-0000-0000-00006C0A0000}"/>
    <cellStyle name="Cálculo 2 10 3 3" xfId="2683" xr:uid="{00000000-0005-0000-0000-00006D0A0000}"/>
    <cellStyle name="Cálculo 2 10 3 3 2" xfId="2684" xr:uid="{00000000-0005-0000-0000-00006E0A0000}"/>
    <cellStyle name="Cálculo 2 10 3 3 3" xfId="2685" xr:uid="{00000000-0005-0000-0000-00006F0A0000}"/>
    <cellStyle name="Cálculo 2 10 3 3 4" xfId="2686" xr:uid="{00000000-0005-0000-0000-0000700A0000}"/>
    <cellStyle name="Cálculo 2 10 3 4" xfId="2687" xr:uid="{00000000-0005-0000-0000-0000710A0000}"/>
    <cellStyle name="Cálculo 2 10 3 5" xfId="2688" xr:uid="{00000000-0005-0000-0000-0000720A0000}"/>
    <cellStyle name="Cálculo 2 10 3 6" xfId="2689" xr:uid="{00000000-0005-0000-0000-0000730A0000}"/>
    <cellStyle name="Cálculo 2 10 4" xfId="2690" xr:uid="{00000000-0005-0000-0000-0000740A0000}"/>
    <cellStyle name="Cálculo 2 10 4 2" xfId="2691" xr:uid="{00000000-0005-0000-0000-0000750A0000}"/>
    <cellStyle name="Cálculo 2 10 4 3" xfId="2692" xr:uid="{00000000-0005-0000-0000-0000760A0000}"/>
    <cellStyle name="Cálculo 2 10 4 4" xfId="2693" xr:uid="{00000000-0005-0000-0000-0000770A0000}"/>
    <cellStyle name="Cálculo 2 10 5" xfId="2694" xr:uid="{00000000-0005-0000-0000-0000780A0000}"/>
    <cellStyle name="Cálculo 2 10 6" xfId="2695" xr:uid="{00000000-0005-0000-0000-0000790A0000}"/>
    <cellStyle name="Cálculo 2 11" xfId="2696" xr:uid="{00000000-0005-0000-0000-00007A0A0000}"/>
    <cellStyle name="Cálculo 2 11 2" xfId="2697" xr:uid="{00000000-0005-0000-0000-00007B0A0000}"/>
    <cellStyle name="Cálculo 2 11 2 2" xfId="2698" xr:uid="{00000000-0005-0000-0000-00007C0A0000}"/>
    <cellStyle name="Cálculo 2 11 2 2 2" xfId="2699" xr:uid="{00000000-0005-0000-0000-00007D0A0000}"/>
    <cellStyle name="Cálculo 2 11 2 2 3" xfId="2700" xr:uid="{00000000-0005-0000-0000-00007E0A0000}"/>
    <cellStyle name="Cálculo 2 11 2 2 4" xfId="2701" xr:uid="{00000000-0005-0000-0000-00007F0A0000}"/>
    <cellStyle name="Cálculo 2 11 2 3" xfId="2702" xr:uid="{00000000-0005-0000-0000-0000800A0000}"/>
    <cellStyle name="Cálculo 2 11 2 3 2" xfId="2703" xr:uid="{00000000-0005-0000-0000-0000810A0000}"/>
    <cellStyle name="Cálculo 2 11 2 3 3" xfId="2704" xr:uid="{00000000-0005-0000-0000-0000820A0000}"/>
    <cellStyle name="Cálculo 2 11 2 3 4" xfId="2705" xr:uid="{00000000-0005-0000-0000-0000830A0000}"/>
    <cellStyle name="Cálculo 2 11 2 4" xfId="2706" xr:uid="{00000000-0005-0000-0000-0000840A0000}"/>
    <cellStyle name="Cálculo 2 11 2 5" xfId="2707" xr:uid="{00000000-0005-0000-0000-0000850A0000}"/>
    <cellStyle name="Cálculo 2 11 2 6" xfId="2708" xr:uid="{00000000-0005-0000-0000-0000860A0000}"/>
    <cellStyle name="Cálculo 2 11 3" xfId="2709" xr:uid="{00000000-0005-0000-0000-0000870A0000}"/>
    <cellStyle name="Cálculo 2 11 3 2" xfId="2710" xr:uid="{00000000-0005-0000-0000-0000880A0000}"/>
    <cellStyle name="Cálculo 2 11 3 2 2" xfId="2711" xr:uid="{00000000-0005-0000-0000-0000890A0000}"/>
    <cellStyle name="Cálculo 2 11 3 2 3" xfId="2712" xr:uid="{00000000-0005-0000-0000-00008A0A0000}"/>
    <cellStyle name="Cálculo 2 11 3 2 4" xfId="2713" xr:uid="{00000000-0005-0000-0000-00008B0A0000}"/>
    <cellStyle name="Cálculo 2 11 3 3" xfId="2714" xr:uid="{00000000-0005-0000-0000-00008C0A0000}"/>
    <cellStyle name="Cálculo 2 11 3 3 2" xfId="2715" xr:uid="{00000000-0005-0000-0000-00008D0A0000}"/>
    <cellStyle name="Cálculo 2 11 3 3 3" xfId="2716" xr:uid="{00000000-0005-0000-0000-00008E0A0000}"/>
    <cellStyle name="Cálculo 2 11 3 3 4" xfId="2717" xr:uid="{00000000-0005-0000-0000-00008F0A0000}"/>
    <cellStyle name="Cálculo 2 11 3 4" xfId="2718" xr:uid="{00000000-0005-0000-0000-0000900A0000}"/>
    <cellStyle name="Cálculo 2 11 3 5" xfId="2719" xr:uid="{00000000-0005-0000-0000-0000910A0000}"/>
    <cellStyle name="Cálculo 2 11 3 6" xfId="2720" xr:uid="{00000000-0005-0000-0000-0000920A0000}"/>
    <cellStyle name="Cálculo 2 11 4" xfId="2721" xr:uid="{00000000-0005-0000-0000-0000930A0000}"/>
    <cellStyle name="Cálculo 2 11 5" xfId="2722" xr:uid="{00000000-0005-0000-0000-0000940A0000}"/>
    <cellStyle name="Cálculo 2 11 6" xfId="2723" xr:uid="{00000000-0005-0000-0000-0000950A0000}"/>
    <cellStyle name="Cálculo 2 12" xfId="2724" xr:uid="{00000000-0005-0000-0000-0000960A0000}"/>
    <cellStyle name="Cálculo 2 13" xfId="2725" xr:uid="{00000000-0005-0000-0000-0000970A0000}"/>
    <cellStyle name="Cálculo 2 2" xfId="2726" xr:uid="{00000000-0005-0000-0000-0000980A0000}"/>
    <cellStyle name="Cálculo 2 2 10" xfId="2727" xr:uid="{00000000-0005-0000-0000-0000990A0000}"/>
    <cellStyle name="Cálculo 2 2 10 2" xfId="2728" xr:uid="{00000000-0005-0000-0000-00009A0A0000}"/>
    <cellStyle name="Cálculo 2 2 10 2 2" xfId="2729" xr:uid="{00000000-0005-0000-0000-00009B0A0000}"/>
    <cellStyle name="Cálculo 2 2 10 2 2 2" xfId="2730" xr:uid="{00000000-0005-0000-0000-00009C0A0000}"/>
    <cellStyle name="Cálculo 2 2 10 2 2 3" xfId="2731" xr:uid="{00000000-0005-0000-0000-00009D0A0000}"/>
    <cellStyle name="Cálculo 2 2 10 2 2 4" xfId="2732" xr:uid="{00000000-0005-0000-0000-00009E0A0000}"/>
    <cellStyle name="Cálculo 2 2 10 2 3" xfId="2733" xr:uid="{00000000-0005-0000-0000-00009F0A0000}"/>
    <cellStyle name="Cálculo 2 2 10 2 3 2" xfId="2734" xr:uid="{00000000-0005-0000-0000-0000A00A0000}"/>
    <cellStyle name="Cálculo 2 2 10 2 3 3" xfId="2735" xr:uid="{00000000-0005-0000-0000-0000A10A0000}"/>
    <cellStyle name="Cálculo 2 2 10 2 3 4" xfId="2736" xr:uid="{00000000-0005-0000-0000-0000A20A0000}"/>
    <cellStyle name="Cálculo 2 2 10 2 4" xfId="2737" xr:uid="{00000000-0005-0000-0000-0000A30A0000}"/>
    <cellStyle name="Cálculo 2 2 10 2 5" xfId="2738" xr:uid="{00000000-0005-0000-0000-0000A40A0000}"/>
    <cellStyle name="Cálculo 2 2 10 2 6" xfId="2739" xr:uid="{00000000-0005-0000-0000-0000A50A0000}"/>
    <cellStyle name="Cálculo 2 2 10 3" xfId="2740" xr:uid="{00000000-0005-0000-0000-0000A60A0000}"/>
    <cellStyle name="Cálculo 2 2 10 3 2" xfId="2741" xr:uid="{00000000-0005-0000-0000-0000A70A0000}"/>
    <cellStyle name="Cálculo 2 2 10 3 2 2" xfId="2742" xr:uid="{00000000-0005-0000-0000-0000A80A0000}"/>
    <cellStyle name="Cálculo 2 2 10 3 2 3" xfId="2743" xr:uid="{00000000-0005-0000-0000-0000A90A0000}"/>
    <cellStyle name="Cálculo 2 2 10 3 2 4" xfId="2744" xr:uid="{00000000-0005-0000-0000-0000AA0A0000}"/>
    <cellStyle name="Cálculo 2 2 10 3 3" xfId="2745" xr:uid="{00000000-0005-0000-0000-0000AB0A0000}"/>
    <cellStyle name="Cálculo 2 2 10 3 3 2" xfId="2746" xr:uid="{00000000-0005-0000-0000-0000AC0A0000}"/>
    <cellStyle name="Cálculo 2 2 10 3 3 3" xfId="2747" xr:uid="{00000000-0005-0000-0000-0000AD0A0000}"/>
    <cellStyle name="Cálculo 2 2 10 3 3 4" xfId="2748" xr:uid="{00000000-0005-0000-0000-0000AE0A0000}"/>
    <cellStyle name="Cálculo 2 2 10 3 4" xfId="2749" xr:uid="{00000000-0005-0000-0000-0000AF0A0000}"/>
    <cellStyle name="Cálculo 2 2 10 3 5" xfId="2750" xr:uid="{00000000-0005-0000-0000-0000B00A0000}"/>
    <cellStyle name="Cálculo 2 2 10 3 6" xfId="2751" xr:uid="{00000000-0005-0000-0000-0000B10A0000}"/>
    <cellStyle name="Cálculo 2 2 10 4" xfId="2752" xr:uid="{00000000-0005-0000-0000-0000B20A0000}"/>
    <cellStyle name="Cálculo 2 2 10 5" xfId="2753" xr:uid="{00000000-0005-0000-0000-0000B30A0000}"/>
    <cellStyle name="Cálculo 2 2 10 6" xfId="2754" xr:uid="{00000000-0005-0000-0000-0000B40A0000}"/>
    <cellStyle name="Cálculo 2 2 11" xfId="2755" xr:uid="{00000000-0005-0000-0000-0000B50A0000}"/>
    <cellStyle name="Cálculo 2 2 12" xfId="2756" xr:uid="{00000000-0005-0000-0000-0000B60A0000}"/>
    <cellStyle name="Cálculo 2 2 2" xfId="2757" xr:uid="{00000000-0005-0000-0000-0000B70A0000}"/>
    <cellStyle name="Cálculo 2 2 2 2" xfId="2758" xr:uid="{00000000-0005-0000-0000-0000B80A0000}"/>
    <cellStyle name="Cálculo 2 2 2 2 2" xfId="2759" xr:uid="{00000000-0005-0000-0000-0000B90A0000}"/>
    <cellStyle name="Cálculo 2 2 2 2 2 2" xfId="2760" xr:uid="{00000000-0005-0000-0000-0000BA0A0000}"/>
    <cellStyle name="Cálculo 2 2 2 2 2 2 2" xfId="2761" xr:uid="{00000000-0005-0000-0000-0000BB0A0000}"/>
    <cellStyle name="Cálculo 2 2 2 2 2 2 3" xfId="2762" xr:uid="{00000000-0005-0000-0000-0000BC0A0000}"/>
    <cellStyle name="Cálculo 2 2 2 2 2 2 4" xfId="2763" xr:uid="{00000000-0005-0000-0000-0000BD0A0000}"/>
    <cellStyle name="Cálculo 2 2 2 2 2 3" xfId="2764" xr:uid="{00000000-0005-0000-0000-0000BE0A0000}"/>
    <cellStyle name="Cálculo 2 2 2 2 2 3 2" xfId="2765" xr:uid="{00000000-0005-0000-0000-0000BF0A0000}"/>
    <cellStyle name="Cálculo 2 2 2 2 2 3 3" xfId="2766" xr:uid="{00000000-0005-0000-0000-0000C00A0000}"/>
    <cellStyle name="Cálculo 2 2 2 2 2 3 4" xfId="2767" xr:uid="{00000000-0005-0000-0000-0000C10A0000}"/>
    <cellStyle name="Cálculo 2 2 2 2 2 4" xfId="2768" xr:uid="{00000000-0005-0000-0000-0000C20A0000}"/>
    <cellStyle name="Cálculo 2 2 2 2 2 5" xfId="2769" xr:uid="{00000000-0005-0000-0000-0000C30A0000}"/>
    <cellStyle name="Cálculo 2 2 2 2 2 6" xfId="2770" xr:uid="{00000000-0005-0000-0000-0000C40A0000}"/>
    <cellStyle name="Cálculo 2 2 2 2 3" xfId="2771" xr:uid="{00000000-0005-0000-0000-0000C50A0000}"/>
    <cellStyle name="Cálculo 2 2 2 2 3 2" xfId="2772" xr:uid="{00000000-0005-0000-0000-0000C60A0000}"/>
    <cellStyle name="Cálculo 2 2 2 2 3 2 2" xfId="2773" xr:uid="{00000000-0005-0000-0000-0000C70A0000}"/>
    <cellStyle name="Cálculo 2 2 2 2 3 2 3" xfId="2774" xr:uid="{00000000-0005-0000-0000-0000C80A0000}"/>
    <cellStyle name="Cálculo 2 2 2 2 3 2 4" xfId="2775" xr:uid="{00000000-0005-0000-0000-0000C90A0000}"/>
    <cellStyle name="Cálculo 2 2 2 2 3 3" xfId="2776" xr:uid="{00000000-0005-0000-0000-0000CA0A0000}"/>
    <cellStyle name="Cálculo 2 2 2 2 3 3 2" xfId="2777" xr:uid="{00000000-0005-0000-0000-0000CB0A0000}"/>
    <cellStyle name="Cálculo 2 2 2 2 3 3 3" xfId="2778" xr:uid="{00000000-0005-0000-0000-0000CC0A0000}"/>
    <cellStyle name="Cálculo 2 2 2 2 3 3 4" xfId="2779" xr:uid="{00000000-0005-0000-0000-0000CD0A0000}"/>
    <cellStyle name="Cálculo 2 2 2 2 3 4" xfId="2780" xr:uid="{00000000-0005-0000-0000-0000CE0A0000}"/>
    <cellStyle name="Cálculo 2 2 2 2 3 5" xfId="2781" xr:uid="{00000000-0005-0000-0000-0000CF0A0000}"/>
    <cellStyle name="Cálculo 2 2 2 2 3 6" xfId="2782" xr:uid="{00000000-0005-0000-0000-0000D00A0000}"/>
    <cellStyle name="Cálculo 2 2 2 2 4" xfId="2783" xr:uid="{00000000-0005-0000-0000-0000D10A0000}"/>
    <cellStyle name="Cálculo 2 2 2 2 5" xfId="2784" xr:uid="{00000000-0005-0000-0000-0000D20A0000}"/>
    <cellStyle name="Cálculo 2 2 2 2 6" xfId="2785" xr:uid="{00000000-0005-0000-0000-0000D30A0000}"/>
    <cellStyle name="Cálculo 2 2 2 3" xfId="2786" xr:uid="{00000000-0005-0000-0000-0000D40A0000}"/>
    <cellStyle name="Cálculo 2 2 2 4" xfId="2787" xr:uid="{00000000-0005-0000-0000-0000D50A0000}"/>
    <cellStyle name="Cálculo 2 2 3" xfId="2788" xr:uid="{00000000-0005-0000-0000-0000D60A0000}"/>
    <cellStyle name="Cálculo 2 2 3 2" xfId="2789" xr:uid="{00000000-0005-0000-0000-0000D70A0000}"/>
    <cellStyle name="Cálculo 2 2 3 2 2" xfId="2790" xr:uid="{00000000-0005-0000-0000-0000D80A0000}"/>
    <cellStyle name="Cálculo 2 2 3 2 2 2" xfId="2791" xr:uid="{00000000-0005-0000-0000-0000D90A0000}"/>
    <cellStyle name="Cálculo 2 2 3 2 2 2 2" xfId="2792" xr:uid="{00000000-0005-0000-0000-0000DA0A0000}"/>
    <cellStyle name="Cálculo 2 2 3 2 2 2 3" xfId="2793" xr:uid="{00000000-0005-0000-0000-0000DB0A0000}"/>
    <cellStyle name="Cálculo 2 2 3 2 2 2 4" xfId="2794" xr:uid="{00000000-0005-0000-0000-0000DC0A0000}"/>
    <cellStyle name="Cálculo 2 2 3 2 2 3" xfId="2795" xr:uid="{00000000-0005-0000-0000-0000DD0A0000}"/>
    <cellStyle name="Cálculo 2 2 3 2 2 3 2" xfId="2796" xr:uid="{00000000-0005-0000-0000-0000DE0A0000}"/>
    <cellStyle name="Cálculo 2 2 3 2 2 3 3" xfId="2797" xr:uid="{00000000-0005-0000-0000-0000DF0A0000}"/>
    <cellStyle name="Cálculo 2 2 3 2 2 3 4" xfId="2798" xr:uid="{00000000-0005-0000-0000-0000E00A0000}"/>
    <cellStyle name="Cálculo 2 2 3 2 2 4" xfId="2799" xr:uid="{00000000-0005-0000-0000-0000E10A0000}"/>
    <cellStyle name="Cálculo 2 2 3 2 2 5" xfId="2800" xr:uid="{00000000-0005-0000-0000-0000E20A0000}"/>
    <cellStyle name="Cálculo 2 2 3 2 2 6" xfId="2801" xr:uid="{00000000-0005-0000-0000-0000E30A0000}"/>
    <cellStyle name="Cálculo 2 2 3 2 3" xfId="2802" xr:uid="{00000000-0005-0000-0000-0000E40A0000}"/>
    <cellStyle name="Cálculo 2 2 3 2 3 2" xfId="2803" xr:uid="{00000000-0005-0000-0000-0000E50A0000}"/>
    <cellStyle name="Cálculo 2 2 3 2 3 2 2" xfId="2804" xr:uid="{00000000-0005-0000-0000-0000E60A0000}"/>
    <cellStyle name="Cálculo 2 2 3 2 3 2 3" xfId="2805" xr:uid="{00000000-0005-0000-0000-0000E70A0000}"/>
    <cellStyle name="Cálculo 2 2 3 2 3 2 4" xfId="2806" xr:uid="{00000000-0005-0000-0000-0000E80A0000}"/>
    <cellStyle name="Cálculo 2 2 3 2 3 3" xfId="2807" xr:uid="{00000000-0005-0000-0000-0000E90A0000}"/>
    <cellStyle name="Cálculo 2 2 3 2 3 3 2" xfId="2808" xr:uid="{00000000-0005-0000-0000-0000EA0A0000}"/>
    <cellStyle name="Cálculo 2 2 3 2 3 3 3" xfId="2809" xr:uid="{00000000-0005-0000-0000-0000EB0A0000}"/>
    <cellStyle name="Cálculo 2 2 3 2 3 3 4" xfId="2810" xr:uid="{00000000-0005-0000-0000-0000EC0A0000}"/>
    <cellStyle name="Cálculo 2 2 3 2 3 4" xfId="2811" xr:uid="{00000000-0005-0000-0000-0000ED0A0000}"/>
    <cellStyle name="Cálculo 2 2 3 2 3 5" xfId="2812" xr:uid="{00000000-0005-0000-0000-0000EE0A0000}"/>
    <cellStyle name="Cálculo 2 2 3 2 3 6" xfId="2813" xr:uid="{00000000-0005-0000-0000-0000EF0A0000}"/>
    <cellStyle name="Cálculo 2 2 3 2 4" xfId="2814" xr:uid="{00000000-0005-0000-0000-0000F00A0000}"/>
    <cellStyle name="Cálculo 2 2 3 2 5" xfId="2815" xr:uid="{00000000-0005-0000-0000-0000F10A0000}"/>
    <cellStyle name="Cálculo 2 2 3 2 6" xfId="2816" xr:uid="{00000000-0005-0000-0000-0000F20A0000}"/>
    <cellStyle name="Cálculo 2 2 3 3" xfId="2817" xr:uid="{00000000-0005-0000-0000-0000F30A0000}"/>
    <cellStyle name="Cálculo 2 2 3 4" xfId="2818" xr:uid="{00000000-0005-0000-0000-0000F40A0000}"/>
    <cellStyle name="Cálculo 2 2 4" xfId="2819" xr:uid="{00000000-0005-0000-0000-0000F50A0000}"/>
    <cellStyle name="Cálculo 2 2 4 2" xfId="2820" xr:uid="{00000000-0005-0000-0000-0000F60A0000}"/>
    <cellStyle name="Cálculo 2 2 4 2 2" xfId="2821" xr:uid="{00000000-0005-0000-0000-0000F70A0000}"/>
    <cellStyle name="Cálculo 2 2 4 2 2 2" xfId="2822" xr:uid="{00000000-0005-0000-0000-0000F80A0000}"/>
    <cellStyle name="Cálculo 2 2 4 2 2 2 2" xfId="2823" xr:uid="{00000000-0005-0000-0000-0000F90A0000}"/>
    <cellStyle name="Cálculo 2 2 4 2 2 2 3" xfId="2824" xr:uid="{00000000-0005-0000-0000-0000FA0A0000}"/>
    <cellStyle name="Cálculo 2 2 4 2 2 2 4" xfId="2825" xr:uid="{00000000-0005-0000-0000-0000FB0A0000}"/>
    <cellStyle name="Cálculo 2 2 4 2 2 3" xfId="2826" xr:uid="{00000000-0005-0000-0000-0000FC0A0000}"/>
    <cellStyle name="Cálculo 2 2 4 2 2 3 2" xfId="2827" xr:uid="{00000000-0005-0000-0000-0000FD0A0000}"/>
    <cellStyle name="Cálculo 2 2 4 2 2 3 3" xfId="2828" xr:uid="{00000000-0005-0000-0000-0000FE0A0000}"/>
    <cellStyle name="Cálculo 2 2 4 2 2 3 4" xfId="2829" xr:uid="{00000000-0005-0000-0000-0000FF0A0000}"/>
    <cellStyle name="Cálculo 2 2 4 2 2 4" xfId="2830" xr:uid="{00000000-0005-0000-0000-0000000B0000}"/>
    <cellStyle name="Cálculo 2 2 4 2 2 5" xfId="2831" xr:uid="{00000000-0005-0000-0000-0000010B0000}"/>
    <cellStyle name="Cálculo 2 2 4 2 2 6" xfId="2832" xr:uid="{00000000-0005-0000-0000-0000020B0000}"/>
    <cellStyle name="Cálculo 2 2 4 2 3" xfId="2833" xr:uid="{00000000-0005-0000-0000-0000030B0000}"/>
    <cellStyle name="Cálculo 2 2 4 2 3 2" xfId="2834" xr:uid="{00000000-0005-0000-0000-0000040B0000}"/>
    <cellStyle name="Cálculo 2 2 4 2 3 2 2" xfId="2835" xr:uid="{00000000-0005-0000-0000-0000050B0000}"/>
    <cellStyle name="Cálculo 2 2 4 2 3 2 3" xfId="2836" xr:uid="{00000000-0005-0000-0000-0000060B0000}"/>
    <cellStyle name="Cálculo 2 2 4 2 3 2 4" xfId="2837" xr:uid="{00000000-0005-0000-0000-0000070B0000}"/>
    <cellStyle name="Cálculo 2 2 4 2 3 3" xfId="2838" xr:uid="{00000000-0005-0000-0000-0000080B0000}"/>
    <cellStyle name="Cálculo 2 2 4 2 3 3 2" xfId="2839" xr:uid="{00000000-0005-0000-0000-0000090B0000}"/>
    <cellStyle name="Cálculo 2 2 4 2 3 3 3" xfId="2840" xr:uid="{00000000-0005-0000-0000-00000A0B0000}"/>
    <cellStyle name="Cálculo 2 2 4 2 3 3 4" xfId="2841" xr:uid="{00000000-0005-0000-0000-00000B0B0000}"/>
    <cellStyle name="Cálculo 2 2 4 2 3 4" xfId="2842" xr:uid="{00000000-0005-0000-0000-00000C0B0000}"/>
    <cellStyle name="Cálculo 2 2 4 2 3 5" xfId="2843" xr:uid="{00000000-0005-0000-0000-00000D0B0000}"/>
    <cellStyle name="Cálculo 2 2 4 2 3 6" xfId="2844" xr:uid="{00000000-0005-0000-0000-00000E0B0000}"/>
    <cellStyle name="Cálculo 2 2 4 2 4" xfId="2845" xr:uid="{00000000-0005-0000-0000-00000F0B0000}"/>
    <cellStyle name="Cálculo 2 2 4 2 5" xfId="2846" xr:uid="{00000000-0005-0000-0000-0000100B0000}"/>
    <cellStyle name="Cálculo 2 2 4 2 6" xfId="2847" xr:uid="{00000000-0005-0000-0000-0000110B0000}"/>
    <cellStyle name="Cálculo 2 2 4 3" xfId="2848" xr:uid="{00000000-0005-0000-0000-0000120B0000}"/>
    <cellStyle name="Cálculo 2 2 4 4" xfId="2849" xr:uid="{00000000-0005-0000-0000-0000130B0000}"/>
    <cellStyle name="Cálculo 2 2 5" xfId="2850" xr:uid="{00000000-0005-0000-0000-0000140B0000}"/>
    <cellStyle name="Cálculo 2 2 5 2" xfId="2851" xr:uid="{00000000-0005-0000-0000-0000150B0000}"/>
    <cellStyle name="Cálculo 2 2 5 2 2" xfId="2852" xr:uid="{00000000-0005-0000-0000-0000160B0000}"/>
    <cellStyle name="Cálculo 2 2 5 2 2 2" xfId="2853" xr:uid="{00000000-0005-0000-0000-0000170B0000}"/>
    <cellStyle name="Cálculo 2 2 5 2 2 2 2" xfId="2854" xr:uid="{00000000-0005-0000-0000-0000180B0000}"/>
    <cellStyle name="Cálculo 2 2 5 2 2 2 3" xfId="2855" xr:uid="{00000000-0005-0000-0000-0000190B0000}"/>
    <cellStyle name="Cálculo 2 2 5 2 2 2 4" xfId="2856" xr:uid="{00000000-0005-0000-0000-00001A0B0000}"/>
    <cellStyle name="Cálculo 2 2 5 2 2 3" xfId="2857" xr:uid="{00000000-0005-0000-0000-00001B0B0000}"/>
    <cellStyle name="Cálculo 2 2 5 2 2 3 2" xfId="2858" xr:uid="{00000000-0005-0000-0000-00001C0B0000}"/>
    <cellStyle name="Cálculo 2 2 5 2 2 3 3" xfId="2859" xr:uid="{00000000-0005-0000-0000-00001D0B0000}"/>
    <cellStyle name="Cálculo 2 2 5 2 2 3 4" xfId="2860" xr:uid="{00000000-0005-0000-0000-00001E0B0000}"/>
    <cellStyle name="Cálculo 2 2 5 2 2 4" xfId="2861" xr:uid="{00000000-0005-0000-0000-00001F0B0000}"/>
    <cellStyle name="Cálculo 2 2 5 2 2 5" xfId="2862" xr:uid="{00000000-0005-0000-0000-0000200B0000}"/>
    <cellStyle name="Cálculo 2 2 5 2 2 6" xfId="2863" xr:uid="{00000000-0005-0000-0000-0000210B0000}"/>
    <cellStyle name="Cálculo 2 2 5 2 3" xfId="2864" xr:uid="{00000000-0005-0000-0000-0000220B0000}"/>
    <cellStyle name="Cálculo 2 2 5 2 3 2" xfId="2865" xr:uid="{00000000-0005-0000-0000-0000230B0000}"/>
    <cellStyle name="Cálculo 2 2 5 2 3 2 2" xfId="2866" xr:uid="{00000000-0005-0000-0000-0000240B0000}"/>
    <cellStyle name="Cálculo 2 2 5 2 3 2 3" xfId="2867" xr:uid="{00000000-0005-0000-0000-0000250B0000}"/>
    <cellStyle name="Cálculo 2 2 5 2 3 2 4" xfId="2868" xr:uid="{00000000-0005-0000-0000-0000260B0000}"/>
    <cellStyle name="Cálculo 2 2 5 2 3 3" xfId="2869" xr:uid="{00000000-0005-0000-0000-0000270B0000}"/>
    <cellStyle name="Cálculo 2 2 5 2 3 3 2" xfId="2870" xr:uid="{00000000-0005-0000-0000-0000280B0000}"/>
    <cellStyle name="Cálculo 2 2 5 2 3 3 3" xfId="2871" xr:uid="{00000000-0005-0000-0000-0000290B0000}"/>
    <cellStyle name="Cálculo 2 2 5 2 3 3 4" xfId="2872" xr:uid="{00000000-0005-0000-0000-00002A0B0000}"/>
    <cellStyle name="Cálculo 2 2 5 2 3 4" xfId="2873" xr:uid="{00000000-0005-0000-0000-00002B0B0000}"/>
    <cellStyle name="Cálculo 2 2 5 2 3 5" xfId="2874" xr:uid="{00000000-0005-0000-0000-00002C0B0000}"/>
    <cellStyle name="Cálculo 2 2 5 2 3 6" xfId="2875" xr:uid="{00000000-0005-0000-0000-00002D0B0000}"/>
    <cellStyle name="Cálculo 2 2 5 2 4" xfId="2876" xr:uid="{00000000-0005-0000-0000-00002E0B0000}"/>
    <cellStyle name="Cálculo 2 2 5 2 5" xfId="2877" xr:uid="{00000000-0005-0000-0000-00002F0B0000}"/>
    <cellStyle name="Cálculo 2 2 5 2 6" xfId="2878" xr:uid="{00000000-0005-0000-0000-0000300B0000}"/>
    <cellStyle name="Cálculo 2 2 5 3" xfId="2879" xr:uid="{00000000-0005-0000-0000-0000310B0000}"/>
    <cellStyle name="Cálculo 2 2 5 4" xfId="2880" xr:uid="{00000000-0005-0000-0000-0000320B0000}"/>
    <cellStyle name="Cálculo 2 2 6" xfId="2881" xr:uid="{00000000-0005-0000-0000-0000330B0000}"/>
    <cellStyle name="Cálculo 2 2 6 2" xfId="2882" xr:uid="{00000000-0005-0000-0000-0000340B0000}"/>
    <cellStyle name="Cálculo 2 2 6 2 2" xfId="2883" xr:uid="{00000000-0005-0000-0000-0000350B0000}"/>
    <cellStyle name="Cálculo 2 2 6 2 2 2" xfId="2884" xr:uid="{00000000-0005-0000-0000-0000360B0000}"/>
    <cellStyle name="Cálculo 2 2 6 2 2 3" xfId="2885" xr:uid="{00000000-0005-0000-0000-0000370B0000}"/>
    <cellStyle name="Cálculo 2 2 6 2 2 4" xfId="2886" xr:uid="{00000000-0005-0000-0000-0000380B0000}"/>
    <cellStyle name="Cálculo 2 2 6 2 3" xfId="2887" xr:uid="{00000000-0005-0000-0000-0000390B0000}"/>
    <cellStyle name="Cálculo 2 2 6 2 3 2" xfId="2888" xr:uid="{00000000-0005-0000-0000-00003A0B0000}"/>
    <cellStyle name="Cálculo 2 2 6 2 3 3" xfId="2889" xr:uid="{00000000-0005-0000-0000-00003B0B0000}"/>
    <cellStyle name="Cálculo 2 2 6 2 3 4" xfId="2890" xr:uid="{00000000-0005-0000-0000-00003C0B0000}"/>
    <cellStyle name="Cálculo 2 2 6 2 4" xfId="2891" xr:uid="{00000000-0005-0000-0000-00003D0B0000}"/>
    <cellStyle name="Cálculo 2 2 6 2 5" xfId="2892" xr:uid="{00000000-0005-0000-0000-00003E0B0000}"/>
    <cellStyle name="Cálculo 2 2 6 2 6" xfId="2893" xr:uid="{00000000-0005-0000-0000-00003F0B0000}"/>
    <cellStyle name="Cálculo 2 2 6 3" xfId="2894" xr:uid="{00000000-0005-0000-0000-0000400B0000}"/>
    <cellStyle name="Cálculo 2 2 6 3 2" xfId="2895" xr:uid="{00000000-0005-0000-0000-0000410B0000}"/>
    <cellStyle name="Cálculo 2 2 6 3 2 2" xfId="2896" xr:uid="{00000000-0005-0000-0000-0000420B0000}"/>
    <cellStyle name="Cálculo 2 2 6 3 2 3" xfId="2897" xr:uid="{00000000-0005-0000-0000-0000430B0000}"/>
    <cellStyle name="Cálculo 2 2 6 3 2 4" xfId="2898" xr:uid="{00000000-0005-0000-0000-0000440B0000}"/>
    <cellStyle name="Cálculo 2 2 6 3 3" xfId="2899" xr:uid="{00000000-0005-0000-0000-0000450B0000}"/>
    <cellStyle name="Cálculo 2 2 6 3 3 2" xfId="2900" xr:uid="{00000000-0005-0000-0000-0000460B0000}"/>
    <cellStyle name="Cálculo 2 2 6 3 3 3" xfId="2901" xr:uid="{00000000-0005-0000-0000-0000470B0000}"/>
    <cellStyle name="Cálculo 2 2 6 3 3 4" xfId="2902" xr:uid="{00000000-0005-0000-0000-0000480B0000}"/>
    <cellStyle name="Cálculo 2 2 6 3 4" xfId="2903" xr:uid="{00000000-0005-0000-0000-0000490B0000}"/>
    <cellStyle name="Cálculo 2 2 6 3 5" xfId="2904" xr:uid="{00000000-0005-0000-0000-00004A0B0000}"/>
    <cellStyle name="Cálculo 2 2 6 3 6" xfId="2905" xr:uid="{00000000-0005-0000-0000-00004B0B0000}"/>
    <cellStyle name="Cálculo 2 2 6 4" xfId="2906" xr:uid="{00000000-0005-0000-0000-00004C0B0000}"/>
    <cellStyle name="Cálculo 2 2 6 4 2" xfId="2907" xr:uid="{00000000-0005-0000-0000-00004D0B0000}"/>
    <cellStyle name="Cálculo 2 2 6 4 3" xfId="2908" xr:uid="{00000000-0005-0000-0000-00004E0B0000}"/>
    <cellStyle name="Cálculo 2 2 6 4 4" xfId="2909" xr:uid="{00000000-0005-0000-0000-00004F0B0000}"/>
    <cellStyle name="Cálculo 2 2 6 5" xfId="2910" xr:uid="{00000000-0005-0000-0000-0000500B0000}"/>
    <cellStyle name="Cálculo 2 2 6 6" xfId="2911" xr:uid="{00000000-0005-0000-0000-0000510B0000}"/>
    <cellStyle name="Cálculo 2 2 7" xfId="2912" xr:uid="{00000000-0005-0000-0000-0000520B0000}"/>
    <cellStyle name="Cálculo 2 2 7 2" xfId="2913" xr:uid="{00000000-0005-0000-0000-0000530B0000}"/>
    <cellStyle name="Cálculo 2 2 7 2 2" xfId="2914" xr:uid="{00000000-0005-0000-0000-0000540B0000}"/>
    <cellStyle name="Cálculo 2 2 7 2 2 2" xfId="2915" xr:uid="{00000000-0005-0000-0000-0000550B0000}"/>
    <cellStyle name="Cálculo 2 2 7 2 2 3" xfId="2916" xr:uid="{00000000-0005-0000-0000-0000560B0000}"/>
    <cellStyle name="Cálculo 2 2 7 2 2 4" xfId="2917" xr:uid="{00000000-0005-0000-0000-0000570B0000}"/>
    <cellStyle name="Cálculo 2 2 7 2 3" xfId="2918" xr:uid="{00000000-0005-0000-0000-0000580B0000}"/>
    <cellStyle name="Cálculo 2 2 7 2 3 2" xfId="2919" xr:uid="{00000000-0005-0000-0000-0000590B0000}"/>
    <cellStyle name="Cálculo 2 2 7 2 3 3" xfId="2920" xr:uid="{00000000-0005-0000-0000-00005A0B0000}"/>
    <cellStyle name="Cálculo 2 2 7 2 3 4" xfId="2921" xr:uid="{00000000-0005-0000-0000-00005B0B0000}"/>
    <cellStyle name="Cálculo 2 2 7 2 4" xfId="2922" xr:uid="{00000000-0005-0000-0000-00005C0B0000}"/>
    <cellStyle name="Cálculo 2 2 7 2 5" xfId="2923" xr:uid="{00000000-0005-0000-0000-00005D0B0000}"/>
    <cellStyle name="Cálculo 2 2 7 2 6" xfId="2924" xr:uid="{00000000-0005-0000-0000-00005E0B0000}"/>
    <cellStyle name="Cálculo 2 2 7 3" xfId="2925" xr:uid="{00000000-0005-0000-0000-00005F0B0000}"/>
    <cellStyle name="Cálculo 2 2 7 3 2" xfId="2926" xr:uid="{00000000-0005-0000-0000-0000600B0000}"/>
    <cellStyle name="Cálculo 2 2 7 3 2 2" xfId="2927" xr:uid="{00000000-0005-0000-0000-0000610B0000}"/>
    <cellStyle name="Cálculo 2 2 7 3 2 3" xfId="2928" xr:uid="{00000000-0005-0000-0000-0000620B0000}"/>
    <cellStyle name="Cálculo 2 2 7 3 2 4" xfId="2929" xr:uid="{00000000-0005-0000-0000-0000630B0000}"/>
    <cellStyle name="Cálculo 2 2 7 3 3" xfId="2930" xr:uid="{00000000-0005-0000-0000-0000640B0000}"/>
    <cellStyle name="Cálculo 2 2 7 3 3 2" xfId="2931" xr:uid="{00000000-0005-0000-0000-0000650B0000}"/>
    <cellStyle name="Cálculo 2 2 7 3 3 3" xfId="2932" xr:uid="{00000000-0005-0000-0000-0000660B0000}"/>
    <cellStyle name="Cálculo 2 2 7 3 3 4" xfId="2933" xr:uid="{00000000-0005-0000-0000-0000670B0000}"/>
    <cellStyle name="Cálculo 2 2 7 3 4" xfId="2934" xr:uid="{00000000-0005-0000-0000-0000680B0000}"/>
    <cellStyle name="Cálculo 2 2 7 3 5" xfId="2935" xr:uid="{00000000-0005-0000-0000-0000690B0000}"/>
    <cellStyle name="Cálculo 2 2 7 3 6" xfId="2936" xr:uid="{00000000-0005-0000-0000-00006A0B0000}"/>
    <cellStyle name="Cálculo 2 2 7 4" xfId="2937" xr:uid="{00000000-0005-0000-0000-00006B0B0000}"/>
    <cellStyle name="Cálculo 2 2 7 4 2" xfId="2938" xr:uid="{00000000-0005-0000-0000-00006C0B0000}"/>
    <cellStyle name="Cálculo 2 2 7 4 3" xfId="2939" xr:uid="{00000000-0005-0000-0000-00006D0B0000}"/>
    <cellStyle name="Cálculo 2 2 7 4 4" xfId="2940" xr:uid="{00000000-0005-0000-0000-00006E0B0000}"/>
    <cellStyle name="Cálculo 2 2 7 5" xfId="2941" xr:uid="{00000000-0005-0000-0000-00006F0B0000}"/>
    <cellStyle name="Cálculo 2 2 7 6" xfId="2942" xr:uid="{00000000-0005-0000-0000-0000700B0000}"/>
    <cellStyle name="Cálculo 2 2 8" xfId="2943" xr:uid="{00000000-0005-0000-0000-0000710B0000}"/>
    <cellStyle name="Cálculo 2 2 8 2" xfId="2944" xr:uid="{00000000-0005-0000-0000-0000720B0000}"/>
    <cellStyle name="Cálculo 2 2 8 2 2" xfId="2945" xr:uid="{00000000-0005-0000-0000-0000730B0000}"/>
    <cellStyle name="Cálculo 2 2 8 2 2 2" xfId="2946" xr:uid="{00000000-0005-0000-0000-0000740B0000}"/>
    <cellStyle name="Cálculo 2 2 8 2 2 3" xfId="2947" xr:uid="{00000000-0005-0000-0000-0000750B0000}"/>
    <cellStyle name="Cálculo 2 2 8 2 2 4" xfId="2948" xr:uid="{00000000-0005-0000-0000-0000760B0000}"/>
    <cellStyle name="Cálculo 2 2 8 2 3" xfId="2949" xr:uid="{00000000-0005-0000-0000-0000770B0000}"/>
    <cellStyle name="Cálculo 2 2 8 2 3 2" xfId="2950" xr:uid="{00000000-0005-0000-0000-0000780B0000}"/>
    <cellStyle name="Cálculo 2 2 8 2 3 3" xfId="2951" xr:uid="{00000000-0005-0000-0000-0000790B0000}"/>
    <cellStyle name="Cálculo 2 2 8 2 3 4" xfId="2952" xr:uid="{00000000-0005-0000-0000-00007A0B0000}"/>
    <cellStyle name="Cálculo 2 2 8 2 4" xfId="2953" xr:uid="{00000000-0005-0000-0000-00007B0B0000}"/>
    <cellStyle name="Cálculo 2 2 8 2 5" xfId="2954" xr:uid="{00000000-0005-0000-0000-00007C0B0000}"/>
    <cellStyle name="Cálculo 2 2 8 2 6" xfId="2955" xr:uid="{00000000-0005-0000-0000-00007D0B0000}"/>
    <cellStyle name="Cálculo 2 2 8 3" xfId="2956" xr:uid="{00000000-0005-0000-0000-00007E0B0000}"/>
    <cellStyle name="Cálculo 2 2 8 3 2" xfId="2957" xr:uid="{00000000-0005-0000-0000-00007F0B0000}"/>
    <cellStyle name="Cálculo 2 2 8 3 2 2" xfId="2958" xr:uid="{00000000-0005-0000-0000-0000800B0000}"/>
    <cellStyle name="Cálculo 2 2 8 3 2 3" xfId="2959" xr:uid="{00000000-0005-0000-0000-0000810B0000}"/>
    <cellStyle name="Cálculo 2 2 8 3 2 4" xfId="2960" xr:uid="{00000000-0005-0000-0000-0000820B0000}"/>
    <cellStyle name="Cálculo 2 2 8 3 3" xfId="2961" xr:uid="{00000000-0005-0000-0000-0000830B0000}"/>
    <cellStyle name="Cálculo 2 2 8 3 3 2" xfId="2962" xr:uid="{00000000-0005-0000-0000-0000840B0000}"/>
    <cellStyle name="Cálculo 2 2 8 3 3 3" xfId="2963" xr:uid="{00000000-0005-0000-0000-0000850B0000}"/>
    <cellStyle name="Cálculo 2 2 8 3 3 4" xfId="2964" xr:uid="{00000000-0005-0000-0000-0000860B0000}"/>
    <cellStyle name="Cálculo 2 2 8 3 4" xfId="2965" xr:uid="{00000000-0005-0000-0000-0000870B0000}"/>
    <cellStyle name="Cálculo 2 2 8 3 5" xfId="2966" xr:uid="{00000000-0005-0000-0000-0000880B0000}"/>
    <cellStyle name="Cálculo 2 2 8 3 6" xfId="2967" xr:uid="{00000000-0005-0000-0000-0000890B0000}"/>
    <cellStyle name="Cálculo 2 2 8 4" xfId="2968" xr:uid="{00000000-0005-0000-0000-00008A0B0000}"/>
    <cellStyle name="Cálculo 2 2 8 4 2" xfId="2969" xr:uid="{00000000-0005-0000-0000-00008B0B0000}"/>
    <cellStyle name="Cálculo 2 2 8 4 3" xfId="2970" xr:uid="{00000000-0005-0000-0000-00008C0B0000}"/>
    <cellStyle name="Cálculo 2 2 8 4 4" xfId="2971" xr:uid="{00000000-0005-0000-0000-00008D0B0000}"/>
    <cellStyle name="Cálculo 2 2 8 5" xfId="2972" xr:uid="{00000000-0005-0000-0000-00008E0B0000}"/>
    <cellStyle name="Cálculo 2 2 8 6" xfId="2973" xr:uid="{00000000-0005-0000-0000-00008F0B0000}"/>
    <cellStyle name="Cálculo 2 2 9" xfId="2974" xr:uid="{00000000-0005-0000-0000-0000900B0000}"/>
    <cellStyle name="Cálculo 2 2 9 2" xfId="2975" xr:uid="{00000000-0005-0000-0000-0000910B0000}"/>
    <cellStyle name="Cálculo 2 2 9 2 2" xfId="2976" xr:uid="{00000000-0005-0000-0000-0000920B0000}"/>
    <cellStyle name="Cálculo 2 2 9 2 2 2" xfId="2977" xr:uid="{00000000-0005-0000-0000-0000930B0000}"/>
    <cellStyle name="Cálculo 2 2 9 2 2 3" xfId="2978" xr:uid="{00000000-0005-0000-0000-0000940B0000}"/>
    <cellStyle name="Cálculo 2 2 9 2 2 4" xfId="2979" xr:uid="{00000000-0005-0000-0000-0000950B0000}"/>
    <cellStyle name="Cálculo 2 2 9 2 3" xfId="2980" xr:uid="{00000000-0005-0000-0000-0000960B0000}"/>
    <cellStyle name="Cálculo 2 2 9 2 3 2" xfId="2981" xr:uid="{00000000-0005-0000-0000-0000970B0000}"/>
    <cellStyle name="Cálculo 2 2 9 2 3 3" xfId="2982" xr:uid="{00000000-0005-0000-0000-0000980B0000}"/>
    <cellStyle name="Cálculo 2 2 9 2 3 4" xfId="2983" xr:uid="{00000000-0005-0000-0000-0000990B0000}"/>
    <cellStyle name="Cálculo 2 2 9 2 4" xfId="2984" xr:uid="{00000000-0005-0000-0000-00009A0B0000}"/>
    <cellStyle name="Cálculo 2 2 9 2 5" xfId="2985" xr:uid="{00000000-0005-0000-0000-00009B0B0000}"/>
    <cellStyle name="Cálculo 2 2 9 2 6" xfId="2986" xr:uid="{00000000-0005-0000-0000-00009C0B0000}"/>
    <cellStyle name="Cálculo 2 2 9 3" xfId="2987" xr:uid="{00000000-0005-0000-0000-00009D0B0000}"/>
    <cellStyle name="Cálculo 2 2 9 3 2" xfId="2988" xr:uid="{00000000-0005-0000-0000-00009E0B0000}"/>
    <cellStyle name="Cálculo 2 2 9 3 2 2" xfId="2989" xr:uid="{00000000-0005-0000-0000-00009F0B0000}"/>
    <cellStyle name="Cálculo 2 2 9 3 2 3" xfId="2990" xr:uid="{00000000-0005-0000-0000-0000A00B0000}"/>
    <cellStyle name="Cálculo 2 2 9 3 2 4" xfId="2991" xr:uid="{00000000-0005-0000-0000-0000A10B0000}"/>
    <cellStyle name="Cálculo 2 2 9 3 3" xfId="2992" xr:uid="{00000000-0005-0000-0000-0000A20B0000}"/>
    <cellStyle name="Cálculo 2 2 9 3 3 2" xfId="2993" xr:uid="{00000000-0005-0000-0000-0000A30B0000}"/>
    <cellStyle name="Cálculo 2 2 9 3 3 3" xfId="2994" xr:uid="{00000000-0005-0000-0000-0000A40B0000}"/>
    <cellStyle name="Cálculo 2 2 9 3 3 4" xfId="2995" xr:uid="{00000000-0005-0000-0000-0000A50B0000}"/>
    <cellStyle name="Cálculo 2 2 9 3 4" xfId="2996" xr:uid="{00000000-0005-0000-0000-0000A60B0000}"/>
    <cellStyle name="Cálculo 2 2 9 3 5" xfId="2997" xr:uid="{00000000-0005-0000-0000-0000A70B0000}"/>
    <cellStyle name="Cálculo 2 2 9 3 6" xfId="2998" xr:uid="{00000000-0005-0000-0000-0000A80B0000}"/>
    <cellStyle name="Cálculo 2 2 9 4" xfId="2999" xr:uid="{00000000-0005-0000-0000-0000A90B0000}"/>
    <cellStyle name="Cálculo 2 2 9 4 2" xfId="3000" xr:uid="{00000000-0005-0000-0000-0000AA0B0000}"/>
    <cellStyle name="Cálculo 2 2 9 4 3" xfId="3001" xr:uid="{00000000-0005-0000-0000-0000AB0B0000}"/>
    <cellStyle name="Cálculo 2 2 9 4 4" xfId="3002" xr:uid="{00000000-0005-0000-0000-0000AC0B0000}"/>
    <cellStyle name="Cálculo 2 2 9 5" xfId="3003" xr:uid="{00000000-0005-0000-0000-0000AD0B0000}"/>
    <cellStyle name="Cálculo 2 2 9 6" xfId="3004" xr:uid="{00000000-0005-0000-0000-0000AE0B0000}"/>
    <cellStyle name="Cálculo 2 3" xfId="3005" xr:uid="{00000000-0005-0000-0000-0000AF0B0000}"/>
    <cellStyle name="Cálculo 2 3 10" xfId="3006" xr:uid="{00000000-0005-0000-0000-0000B00B0000}"/>
    <cellStyle name="Cálculo 2 3 10 2" xfId="3007" xr:uid="{00000000-0005-0000-0000-0000B10B0000}"/>
    <cellStyle name="Cálculo 2 3 10 2 2" xfId="3008" xr:uid="{00000000-0005-0000-0000-0000B20B0000}"/>
    <cellStyle name="Cálculo 2 3 10 2 2 2" xfId="3009" xr:uid="{00000000-0005-0000-0000-0000B30B0000}"/>
    <cellStyle name="Cálculo 2 3 10 2 2 3" xfId="3010" xr:uid="{00000000-0005-0000-0000-0000B40B0000}"/>
    <cellStyle name="Cálculo 2 3 10 2 2 4" xfId="3011" xr:uid="{00000000-0005-0000-0000-0000B50B0000}"/>
    <cellStyle name="Cálculo 2 3 10 2 3" xfId="3012" xr:uid="{00000000-0005-0000-0000-0000B60B0000}"/>
    <cellStyle name="Cálculo 2 3 10 2 3 2" xfId="3013" xr:uid="{00000000-0005-0000-0000-0000B70B0000}"/>
    <cellStyle name="Cálculo 2 3 10 2 3 3" xfId="3014" xr:uid="{00000000-0005-0000-0000-0000B80B0000}"/>
    <cellStyle name="Cálculo 2 3 10 2 3 4" xfId="3015" xr:uid="{00000000-0005-0000-0000-0000B90B0000}"/>
    <cellStyle name="Cálculo 2 3 10 2 4" xfId="3016" xr:uid="{00000000-0005-0000-0000-0000BA0B0000}"/>
    <cellStyle name="Cálculo 2 3 10 2 5" xfId="3017" xr:uid="{00000000-0005-0000-0000-0000BB0B0000}"/>
    <cellStyle name="Cálculo 2 3 10 2 6" xfId="3018" xr:uid="{00000000-0005-0000-0000-0000BC0B0000}"/>
    <cellStyle name="Cálculo 2 3 10 3" xfId="3019" xr:uid="{00000000-0005-0000-0000-0000BD0B0000}"/>
    <cellStyle name="Cálculo 2 3 10 3 2" xfId="3020" xr:uid="{00000000-0005-0000-0000-0000BE0B0000}"/>
    <cellStyle name="Cálculo 2 3 10 3 2 2" xfId="3021" xr:uid="{00000000-0005-0000-0000-0000BF0B0000}"/>
    <cellStyle name="Cálculo 2 3 10 3 2 3" xfId="3022" xr:uid="{00000000-0005-0000-0000-0000C00B0000}"/>
    <cellStyle name="Cálculo 2 3 10 3 2 4" xfId="3023" xr:uid="{00000000-0005-0000-0000-0000C10B0000}"/>
    <cellStyle name="Cálculo 2 3 10 3 3" xfId="3024" xr:uid="{00000000-0005-0000-0000-0000C20B0000}"/>
    <cellStyle name="Cálculo 2 3 10 3 3 2" xfId="3025" xr:uid="{00000000-0005-0000-0000-0000C30B0000}"/>
    <cellStyle name="Cálculo 2 3 10 3 3 3" xfId="3026" xr:uid="{00000000-0005-0000-0000-0000C40B0000}"/>
    <cellStyle name="Cálculo 2 3 10 3 3 4" xfId="3027" xr:uid="{00000000-0005-0000-0000-0000C50B0000}"/>
    <cellStyle name="Cálculo 2 3 10 3 4" xfId="3028" xr:uid="{00000000-0005-0000-0000-0000C60B0000}"/>
    <cellStyle name="Cálculo 2 3 10 3 5" xfId="3029" xr:uid="{00000000-0005-0000-0000-0000C70B0000}"/>
    <cellStyle name="Cálculo 2 3 10 3 6" xfId="3030" xr:uid="{00000000-0005-0000-0000-0000C80B0000}"/>
    <cellStyle name="Cálculo 2 3 10 4" xfId="3031" xr:uid="{00000000-0005-0000-0000-0000C90B0000}"/>
    <cellStyle name="Cálculo 2 3 10 5" xfId="3032" xr:uid="{00000000-0005-0000-0000-0000CA0B0000}"/>
    <cellStyle name="Cálculo 2 3 10 6" xfId="3033" xr:uid="{00000000-0005-0000-0000-0000CB0B0000}"/>
    <cellStyle name="Cálculo 2 3 11" xfId="3034" xr:uid="{00000000-0005-0000-0000-0000CC0B0000}"/>
    <cellStyle name="Cálculo 2 3 12" xfId="3035" xr:uid="{00000000-0005-0000-0000-0000CD0B0000}"/>
    <cellStyle name="Cálculo 2 3 2" xfId="3036" xr:uid="{00000000-0005-0000-0000-0000CE0B0000}"/>
    <cellStyle name="Cálculo 2 3 2 2" xfId="3037" xr:uid="{00000000-0005-0000-0000-0000CF0B0000}"/>
    <cellStyle name="Cálculo 2 3 2 2 2" xfId="3038" xr:uid="{00000000-0005-0000-0000-0000D00B0000}"/>
    <cellStyle name="Cálculo 2 3 2 2 2 2" xfId="3039" xr:uid="{00000000-0005-0000-0000-0000D10B0000}"/>
    <cellStyle name="Cálculo 2 3 2 2 2 2 2" xfId="3040" xr:uid="{00000000-0005-0000-0000-0000D20B0000}"/>
    <cellStyle name="Cálculo 2 3 2 2 2 2 3" xfId="3041" xr:uid="{00000000-0005-0000-0000-0000D30B0000}"/>
    <cellStyle name="Cálculo 2 3 2 2 2 2 4" xfId="3042" xr:uid="{00000000-0005-0000-0000-0000D40B0000}"/>
    <cellStyle name="Cálculo 2 3 2 2 2 3" xfId="3043" xr:uid="{00000000-0005-0000-0000-0000D50B0000}"/>
    <cellStyle name="Cálculo 2 3 2 2 2 3 2" xfId="3044" xr:uid="{00000000-0005-0000-0000-0000D60B0000}"/>
    <cellStyle name="Cálculo 2 3 2 2 2 3 3" xfId="3045" xr:uid="{00000000-0005-0000-0000-0000D70B0000}"/>
    <cellStyle name="Cálculo 2 3 2 2 2 3 4" xfId="3046" xr:uid="{00000000-0005-0000-0000-0000D80B0000}"/>
    <cellStyle name="Cálculo 2 3 2 2 2 4" xfId="3047" xr:uid="{00000000-0005-0000-0000-0000D90B0000}"/>
    <cellStyle name="Cálculo 2 3 2 2 2 5" xfId="3048" xr:uid="{00000000-0005-0000-0000-0000DA0B0000}"/>
    <cellStyle name="Cálculo 2 3 2 2 2 6" xfId="3049" xr:uid="{00000000-0005-0000-0000-0000DB0B0000}"/>
    <cellStyle name="Cálculo 2 3 2 2 3" xfId="3050" xr:uid="{00000000-0005-0000-0000-0000DC0B0000}"/>
    <cellStyle name="Cálculo 2 3 2 2 3 2" xfId="3051" xr:uid="{00000000-0005-0000-0000-0000DD0B0000}"/>
    <cellStyle name="Cálculo 2 3 2 2 3 2 2" xfId="3052" xr:uid="{00000000-0005-0000-0000-0000DE0B0000}"/>
    <cellStyle name="Cálculo 2 3 2 2 3 2 3" xfId="3053" xr:uid="{00000000-0005-0000-0000-0000DF0B0000}"/>
    <cellStyle name="Cálculo 2 3 2 2 3 2 4" xfId="3054" xr:uid="{00000000-0005-0000-0000-0000E00B0000}"/>
    <cellStyle name="Cálculo 2 3 2 2 3 3" xfId="3055" xr:uid="{00000000-0005-0000-0000-0000E10B0000}"/>
    <cellStyle name="Cálculo 2 3 2 2 3 3 2" xfId="3056" xr:uid="{00000000-0005-0000-0000-0000E20B0000}"/>
    <cellStyle name="Cálculo 2 3 2 2 3 3 3" xfId="3057" xr:uid="{00000000-0005-0000-0000-0000E30B0000}"/>
    <cellStyle name="Cálculo 2 3 2 2 3 3 4" xfId="3058" xr:uid="{00000000-0005-0000-0000-0000E40B0000}"/>
    <cellStyle name="Cálculo 2 3 2 2 3 4" xfId="3059" xr:uid="{00000000-0005-0000-0000-0000E50B0000}"/>
    <cellStyle name="Cálculo 2 3 2 2 3 5" xfId="3060" xr:uid="{00000000-0005-0000-0000-0000E60B0000}"/>
    <cellStyle name="Cálculo 2 3 2 2 3 6" xfId="3061" xr:uid="{00000000-0005-0000-0000-0000E70B0000}"/>
    <cellStyle name="Cálculo 2 3 2 2 4" xfId="3062" xr:uid="{00000000-0005-0000-0000-0000E80B0000}"/>
    <cellStyle name="Cálculo 2 3 2 2 5" xfId="3063" xr:uid="{00000000-0005-0000-0000-0000E90B0000}"/>
    <cellStyle name="Cálculo 2 3 2 2 6" xfId="3064" xr:uid="{00000000-0005-0000-0000-0000EA0B0000}"/>
    <cellStyle name="Cálculo 2 3 2 3" xfId="3065" xr:uid="{00000000-0005-0000-0000-0000EB0B0000}"/>
    <cellStyle name="Cálculo 2 3 2 4" xfId="3066" xr:uid="{00000000-0005-0000-0000-0000EC0B0000}"/>
    <cellStyle name="Cálculo 2 3 3" xfId="3067" xr:uid="{00000000-0005-0000-0000-0000ED0B0000}"/>
    <cellStyle name="Cálculo 2 3 3 2" xfId="3068" xr:uid="{00000000-0005-0000-0000-0000EE0B0000}"/>
    <cellStyle name="Cálculo 2 3 3 2 2" xfId="3069" xr:uid="{00000000-0005-0000-0000-0000EF0B0000}"/>
    <cellStyle name="Cálculo 2 3 3 2 2 2" xfId="3070" xr:uid="{00000000-0005-0000-0000-0000F00B0000}"/>
    <cellStyle name="Cálculo 2 3 3 2 2 2 2" xfId="3071" xr:uid="{00000000-0005-0000-0000-0000F10B0000}"/>
    <cellStyle name="Cálculo 2 3 3 2 2 2 3" xfId="3072" xr:uid="{00000000-0005-0000-0000-0000F20B0000}"/>
    <cellStyle name="Cálculo 2 3 3 2 2 2 4" xfId="3073" xr:uid="{00000000-0005-0000-0000-0000F30B0000}"/>
    <cellStyle name="Cálculo 2 3 3 2 2 3" xfId="3074" xr:uid="{00000000-0005-0000-0000-0000F40B0000}"/>
    <cellStyle name="Cálculo 2 3 3 2 2 3 2" xfId="3075" xr:uid="{00000000-0005-0000-0000-0000F50B0000}"/>
    <cellStyle name="Cálculo 2 3 3 2 2 3 3" xfId="3076" xr:uid="{00000000-0005-0000-0000-0000F60B0000}"/>
    <cellStyle name="Cálculo 2 3 3 2 2 3 4" xfId="3077" xr:uid="{00000000-0005-0000-0000-0000F70B0000}"/>
    <cellStyle name="Cálculo 2 3 3 2 2 4" xfId="3078" xr:uid="{00000000-0005-0000-0000-0000F80B0000}"/>
    <cellStyle name="Cálculo 2 3 3 2 2 5" xfId="3079" xr:uid="{00000000-0005-0000-0000-0000F90B0000}"/>
    <cellStyle name="Cálculo 2 3 3 2 2 6" xfId="3080" xr:uid="{00000000-0005-0000-0000-0000FA0B0000}"/>
    <cellStyle name="Cálculo 2 3 3 2 3" xfId="3081" xr:uid="{00000000-0005-0000-0000-0000FB0B0000}"/>
    <cellStyle name="Cálculo 2 3 3 2 3 2" xfId="3082" xr:uid="{00000000-0005-0000-0000-0000FC0B0000}"/>
    <cellStyle name="Cálculo 2 3 3 2 3 2 2" xfId="3083" xr:uid="{00000000-0005-0000-0000-0000FD0B0000}"/>
    <cellStyle name="Cálculo 2 3 3 2 3 2 3" xfId="3084" xr:uid="{00000000-0005-0000-0000-0000FE0B0000}"/>
    <cellStyle name="Cálculo 2 3 3 2 3 2 4" xfId="3085" xr:uid="{00000000-0005-0000-0000-0000FF0B0000}"/>
    <cellStyle name="Cálculo 2 3 3 2 3 3" xfId="3086" xr:uid="{00000000-0005-0000-0000-0000000C0000}"/>
    <cellStyle name="Cálculo 2 3 3 2 3 3 2" xfId="3087" xr:uid="{00000000-0005-0000-0000-0000010C0000}"/>
    <cellStyle name="Cálculo 2 3 3 2 3 3 3" xfId="3088" xr:uid="{00000000-0005-0000-0000-0000020C0000}"/>
    <cellStyle name="Cálculo 2 3 3 2 3 3 4" xfId="3089" xr:uid="{00000000-0005-0000-0000-0000030C0000}"/>
    <cellStyle name="Cálculo 2 3 3 2 3 4" xfId="3090" xr:uid="{00000000-0005-0000-0000-0000040C0000}"/>
    <cellStyle name="Cálculo 2 3 3 2 3 5" xfId="3091" xr:uid="{00000000-0005-0000-0000-0000050C0000}"/>
    <cellStyle name="Cálculo 2 3 3 2 3 6" xfId="3092" xr:uid="{00000000-0005-0000-0000-0000060C0000}"/>
    <cellStyle name="Cálculo 2 3 3 2 4" xfId="3093" xr:uid="{00000000-0005-0000-0000-0000070C0000}"/>
    <cellStyle name="Cálculo 2 3 3 2 5" xfId="3094" xr:uid="{00000000-0005-0000-0000-0000080C0000}"/>
    <cellStyle name="Cálculo 2 3 3 2 6" xfId="3095" xr:uid="{00000000-0005-0000-0000-0000090C0000}"/>
    <cellStyle name="Cálculo 2 3 3 3" xfId="3096" xr:uid="{00000000-0005-0000-0000-00000A0C0000}"/>
    <cellStyle name="Cálculo 2 3 3 4" xfId="3097" xr:uid="{00000000-0005-0000-0000-00000B0C0000}"/>
    <cellStyle name="Cálculo 2 3 4" xfId="3098" xr:uid="{00000000-0005-0000-0000-00000C0C0000}"/>
    <cellStyle name="Cálculo 2 3 4 2" xfId="3099" xr:uid="{00000000-0005-0000-0000-00000D0C0000}"/>
    <cellStyle name="Cálculo 2 3 4 2 2" xfId="3100" xr:uid="{00000000-0005-0000-0000-00000E0C0000}"/>
    <cellStyle name="Cálculo 2 3 4 2 2 2" xfId="3101" xr:uid="{00000000-0005-0000-0000-00000F0C0000}"/>
    <cellStyle name="Cálculo 2 3 4 2 2 2 2" xfId="3102" xr:uid="{00000000-0005-0000-0000-0000100C0000}"/>
    <cellStyle name="Cálculo 2 3 4 2 2 2 3" xfId="3103" xr:uid="{00000000-0005-0000-0000-0000110C0000}"/>
    <cellStyle name="Cálculo 2 3 4 2 2 2 4" xfId="3104" xr:uid="{00000000-0005-0000-0000-0000120C0000}"/>
    <cellStyle name="Cálculo 2 3 4 2 2 3" xfId="3105" xr:uid="{00000000-0005-0000-0000-0000130C0000}"/>
    <cellStyle name="Cálculo 2 3 4 2 2 3 2" xfId="3106" xr:uid="{00000000-0005-0000-0000-0000140C0000}"/>
    <cellStyle name="Cálculo 2 3 4 2 2 3 3" xfId="3107" xr:uid="{00000000-0005-0000-0000-0000150C0000}"/>
    <cellStyle name="Cálculo 2 3 4 2 2 3 4" xfId="3108" xr:uid="{00000000-0005-0000-0000-0000160C0000}"/>
    <cellStyle name="Cálculo 2 3 4 2 2 4" xfId="3109" xr:uid="{00000000-0005-0000-0000-0000170C0000}"/>
    <cellStyle name="Cálculo 2 3 4 2 2 5" xfId="3110" xr:uid="{00000000-0005-0000-0000-0000180C0000}"/>
    <cellStyle name="Cálculo 2 3 4 2 2 6" xfId="3111" xr:uid="{00000000-0005-0000-0000-0000190C0000}"/>
    <cellStyle name="Cálculo 2 3 4 2 3" xfId="3112" xr:uid="{00000000-0005-0000-0000-00001A0C0000}"/>
    <cellStyle name="Cálculo 2 3 4 2 3 2" xfId="3113" xr:uid="{00000000-0005-0000-0000-00001B0C0000}"/>
    <cellStyle name="Cálculo 2 3 4 2 3 2 2" xfId="3114" xr:uid="{00000000-0005-0000-0000-00001C0C0000}"/>
    <cellStyle name="Cálculo 2 3 4 2 3 2 3" xfId="3115" xr:uid="{00000000-0005-0000-0000-00001D0C0000}"/>
    <cellStyle name="Cálculo 2 3 4 2 3 2 4" xfId="3116" xr:uid="{00000000-0005-0000-0000-00001E0C0000}"/>
    <cellStyle name="Cálculo 2 3 4 2 3 3" xfId="3117" xr:uid="{00000000-0005-0000-0000-00001F0C0000}"/>
    <cellStyle name="Cálculo 2 3 4 2 3 3 2" xfId="3118" xr:uid="{00000000-0005-0000-0000-0000200C0000}"/>
    <cellStyle name="Cálculo 2 3 4 2 3 3 3" xfId="3119" xr:uid="{00000000-0005-0000-0000-0000210C0000}"/>
    <cellStyle name="Cálculo 2 3 4 2 3 3 4" xfId="3120" xr:uid="{00000000-0005-0000-0000-0000220C0000}"/>
    <cellStyle name="Cálculo 2 3 4 2 3 4" xfId="3121" xr:uid="{00000000-0005-0000-0000-0000230C0000}"/>
    <cellStyle name="Cálculo 2 3 4 2 3 5" xfId="3122" xr:uid="{00000000-0005-0000-0000-0000240C0000}"/>
    <cellStyle name="Cálculo 2 3 4 2 3 6" xfId="3123" xr:uid="{00000000-0005-0000-0000-0000250C0000}"/>
    <cellStyle name="Cálculo 2 3 4 2 4" xfId="3124" xr:uid="{00000000-0005-0000-0000-0000260C0000}"/>
    <cellStyle name="Cálculo 2 3 4 2 5" xfId="3125" xr:uid="{00000000-0005-0000-0000-0000270C0000}"/>
    <cellStyle name="Cálculo 2 3 4 2 6" xfId="3126" xr:uid="{00000000-0005-0000-0000-0000280C0000}"/>
    <cellStyle name="Cálculo 2 3 4 3" xfId="3127" xr:uid="{00000000-0005-0000-0000-0000290C0000}"/>
    <cellStyle name="Cálculo 2 3 4 4" xfId="3128" xr:uid="{00000000-0005-0000-0000-00002A0C0000}"/>
    <cellStyle name="Cálculo 2 3 5" xfId="3129" xr:uid="{00000000-0005-0000-0000-00002B0C0000}"/>
    <cellStyle name="Cálculo 2 3 5 2" xfId="3130" xr:uid="{00000000-0005-0000-0000-00002C0C0000}"/>
    <cellStyle name="Cálculo 2 3 5 2 2" xfId="3131" xr:uid="{00000000-0005-0000-0000-00002D0C0000}"/>
    <cellStyle name="Cálculo 2 3 5 2 2 2" xfId="3132" xr:uid="{00000000-0005-0000-0000-00002E0C0000}"/>
    <cellStyle name="Cálculo 2 3 5 2 2 2 2" xfId="3133" xr:uid="{00000000-0005-0000-0000-00002F0C0000}"/>
    <cellStyle name="Cálculo 2 3 5 2 2 2 3" xfId="3134" xr:uid="{00000000-0005-0000-0000-0000300C0000}"/>
    <cellStyle name="Cálculo 2 3 5 2 2 2 4" xfId="3135" xr:uid="{00000000-0005-0000-0000-0000310C0000}"/>
    <cellStyle name="Cálculo 2 3 5 2 2 3" xfId="3136" xr:uid="{00000000-0005-0000-0000-0000320C0000}"/>
    <cellStyle name="Cálculo 2 3 5 2 2 3 2" xfId="3137" xr:uid="{00000000-0005-0000-0000-0000330C0000}"/>
    <cellStyle name="Cálculo 2 3 5 2 2 3 3" xfId="3138" xr:uid="{00000000-0005-0000-0000-0000340C0000}"/>
    <cellStyle name="Cálculo 2 3 5 2 2 3 4" xfId="3139" xr:uid="{00000000-0005-0000-0000-0000350C0000}"/>
    <cellStyle name="Cálculo 2 3 5 2 2 4" xfId="3140" xr:uid="{00000000-0005-0000-0000-0000360C0000}"/>
    <cellStyle name="Cálculo 2 3 5 2 2 5" xfId="3141" xr:uid="{00000000-0005-0000-0000-0000370C0000}"/>
    <cellStyle name="Cálculo 2 3 5 2 2 6" xfId="3142" xr:uid="{00000000-0005-0000-0000-0000380C0000}"/>
    <cellStyle name="Cálculo 2 3 5 2 3" xfId="3143" xr:uid="{00000000-0005-0000-0000-0000390C0000}"/>
    <cellStyle name="Cálculo 2 3 5 2 3 2" xfId="3144" xr:uid="{00000000-0005-0000-0000-00003A0C0000}"/>
    <cellStyle name="Cálculo 2 3 5 2 3 2 2" xfId="3145" xr:uid="{00000000-0005-0000-0000-00003B0C0000}"/>
    <cellStyle name="Cálculo 2 3 5 2 3 2 3" xfId="3146" xr:uid="{00000000-0005-0000-0000-00003C0C0000}"/>
    <cellStyle name="Cálculo 2 3 5 2 3 2 4" xfId="3147" xr:uid="{00000000-0005-0000-0000-00003D0C0000}"/>
    <cellStyle name="Cálculo 2 3 5 2 3 3" xfId="3148" xr:uid="{00000000-0005-0000-0000-00003E0C0000}"/>
    <cellStyle name="Cálculo 2 3 5 2 3 3 2" xfId="3149" xr:uid="{00000000-0005-0000-0000-00003F0C0000}"/>
    <cellStyle name="Cálculo 2 3 5 2 3 3 3" xfId="3150" xr:uid="{00000000-0005-0000-0000-0000400C0000}"/>
    <cellStyle name="Cálculo 2 3 5 2 3 3 4" xfId="3151" xr:uid="{00000000-0005-0000-0000-0000410C0000}"/>
    <cellStyle name="Cálculo 2 3 5 2 3 4" xfId="3152" xr:uid="{00000000-0005-0000-0000-0000420C0000}"/>
    <cellStyle name="Cálculo 2 3 5 2 3 5" xfId="3153" xr:uid="{00000000-0005-0000-0000-0000430C0000}"/>
    <cellStyle name="Cálculo 2 3 5 2 3 6" xfId="3154" xr:uid="{00000000-0005-0000-0000-0000440C0000}"/>
    <cellStyle name="Cálculo 2 3 5 2 4" xfId="3155" xr:uid="{00000000-0005-0000-0000-0000450C0000}"/>
    <cellStyle name="Cálculo 2 3 5 2 5" xfId="3156" xr:uid="{00000000-0005-0000-0000-0000460C0000}"/>
    <cellStyle name="Cálculo 2 3 5 2 6" xfId="3157" xr:uid="{00000000-0005-0000-0000-0000470C0000}"/>
    <cellStyle name="Cálculo 2 3 5 3" xfId="3158" xr:uid="{00000000-0005-0000-0000-0000480C0000}"/>
    <cellStyle name="Cálculo 2 3 5 4" xfId="3159" xr:uid="{00000000-0005-0000-0000-0000490C0000}"/>
    <cellStyle name="Cálculo 2 3 6" xfId="3160" xr:uid="{00000000-0005-0000-0000-00004A0C0000}"/>
    <cellStyle name="Cálculo 2 3 6 2" xfId="3161" xr:uid="{00000000-0005-0000-0000-00004B0C0000}"/>
    <cellStyle name="Cálculo 2 3 6 2 2" xfId="3162" xr:uid="{00000000-0005-0000-0000-00004C0C0000}"/>
    <cellStyle name="Cálculo 2 3 6 2 2 2" xfId="3163" xr:uid="{00000000-0005-0000-0000-00004D0C0000}"/>
    <cellStyle name="Cálculo 2 3 6 2 2 3" xfId="3164" xr:uid="{00000000-0005-0000-0000-00004E0C0000}"/>
    <cellStyle name="Cálculo 2 3 6 2 2 4" xfId="3165" xr:uid="{00000000-0005-0000-0000-00004F0C0000}"/>
    <cellStyle name="Cálculo 2 3 6 2 3" xfId="3166" xr:uid="{00000000-0005-0000-0000-0000500C0000}"/>
    <cellStyle name="Cálculo 2 3 6 2 3 2" xfId="3167" xr:uid="{00000000-0005-0000-0000-0000510C0000}"/>
    <cellStyle name="Cálculo 2 3 6 2 3 3" xfId="3168" xr:uid="{00000000-0005-0000-0000-0000520C0000}"/>
    <cellStyle name="Cálculo 2 3 6 2 3 4" xfId="3169" xr:uid="{00000000-0005-0000-0000-0000530C0000}"/>
    <cellStyle name="Cálculo 2 3 6 2 4" xfId="3170" xr:uid="{00000000-0005-0000-0000-0000540C0000}"/>
    <cellStyle name="Cálculo 2 3 6 2 5" xfId="3171" xr:uid="{00000000-0005-0000-0000-0000550C0000}"/>
    <cellStyle name="Cálculo 2 3 6 2 6" xfId="3172" xr:uid="{00000000-0005-0000-0000-0000560C0000}"/>
    <cellStyle name="Cálculo 2 3 6 3" xfId="3173" xr:uid="{00000000-0005-0000-0000-0000570C0000}"/>
    <cellStyle name="Cálculo 2 3 6 3 2" xfId="3174" xr:uid="{00000000-0005-0000-0000-0000580C0000}"/>
    <cellStyle name="Cálculo 2 3 6 3 2 2" xfId="3175" xr:uid="{00000000-0005-0000-0000-0000590C0000}"/>
    <cellStyle name="Cálculo 2 3 6 3 2 3" xfId="3176" xr:uid="{00000000-0005-0000-0000-00005A0C0000}"/>
    <cellStyle name="Cálculo 2 3 6 3 2 4" xfId="3177" xr:uid="{00000000-0005-0000-0000-00005B0C0000}"/>
    <cellStyle name="Cálculo 2 3 6 3 3" xfId="3178" xr:uid="{00000000-0005-0000-0000-00005C0C0000}"/>
    <cellStyle name="Cálculo 2 3 6 3 3 2" xfId="3179" xr:uid="{00000000-0005-0000-0000-00005D0C0000}"/>
    <cellStyle name="Cálculo 2 3 6 3 3 3" xfId="3180" xr:uid="{00000000-0005-0000-0000-00005E0C0000}"/>
    <cellStyle name="Cálculo 2 3 6 3 3 4" xfId="3181" xr:uid="{00000000-0005-0000-0000-00005F0C0000}"/>
    <cellStyle name="Cálculo 2 3 6 3 4" xfId="3182" xr:uid="{00000000-0005-0000-0000-0000600C0000}"/>
    <cellStyle name="Cálculo 2 3 6 3 5" xfId="3183" xr:uid="{00000000-0005-0000-0000-0000610C0000}"/>
    <cellStyle name="Cálculo 2 3 6 3 6" xfId="3184" xr:uid="{00000000-0005-0000-0000-0000620C0000}"/>
    <cellStyle name="Cálculo 2 3 6 4" xfId="3185" xr:uid="{00000000-0005-0000-0000-0000630C0000}"/>
    <cellStyle name="Cálculo 2 3 6 4 2" xfId="3186" xr:uid="{00000000-0005-0000-0000-0000640C0000}"/>
    <cellStyle name="Cálculo 2 3 6 4 3" xfId="3187" xr:uid="{00000000-0005-0000-0000-0000650C0000}"/>
    <cellStyle name="Cálculo 2 3 6 4 4" xfId="3188" xr:uid="{00000000-0005-0000-0000-0000660C0000}"/>
    <cellStyle name="Cálculo 2 3 6 5" xfId="3189" xr:uid="{00000000-0005-0000-0000-0000670C0000}"/>
    <cellStyle name="Cálculo 2 3 6 6" xfId="3190" xr:uid="{00000000-0005-0000-0000-0000680C0000}"/>
    <cellStyle name="Cálculo 2 3 7" xfId="3191" xr:uid="{00000000-0005-0000-0000-0000690C0000}"/>
    <cellStyle name="Cálculo 2 3 7 2" xfId="3192" xr:uid="{00000000-0005-0000-0000-00006A0C0000}"/>
    <cellStyle name="Cálculo 2 3 7 2 2" xfId="3193" xr:uid="{00000000-0005-0000-0000-00006B0C0000}"/>
    <cellStyle name="Cálculo 2 3 7 2 2 2" xfId="3194" xr:uid="{00000000-0005-0000-0000-00006C0C0000}"/>
    <cellStyle name="Cálculo 2 3 7 2 2 3" xfId="3195" xr:uid="{00000000-0005-0000-0000-00006D0C0000}"/>
    <cellStyle name="Cálculo 2 3 7 2 2 4" xfId="3196" xr:uid="{00000000-0005-0000-0000-00006E0C0000}"/>
    <cellStyle name="Cálculo 2 3 7 2 3" xfId="3197" xr:uid="{00000000-0005-0000-0000-00006F0C0000}"/>
    <cellStyle name="Cálculo 2 3 7 2 3 2" xfId="3198" xr:uid="{00000000-0005-0000-0000-0000700C0000}"/>
    <cellStyle name="Cálculo 2 3 7 2 3 3" xfId="3199" xr:uid="{00000000-0005-0000-0000-0000710C0000}"/>
    <cellStyle name="Cálculo 2 3 7 2 3 4" xfId="3200" xr:uid="{00000000-0005-0000-0000-0000720C0000}"/>
    <cellStyle name="Cálculo 2 3 7 2 4" xfId="3201" xr:uid="{00000000-0005-0000-0000-0000730C0000}"/>
    <cellStyle name="Cálculo 2 3 7 2 5" xfId="3202" xr:uid="{00000000-0005-0000-0000-0000740C0000}"/>
    <cellStyle name="Cálculo 2 3 7 2 6" xfId="3203" xr:uid="{00000000-0005-0000-0000-0000750C0000}"/>
    <cellStyle name="Cálculo 2 3 7 3" xfId="3204" xr:uid="{00000000-0005-0000-0000-0000760C0000}"/>
    <cellStyle name="Cálculo 2 3 7 3 2" xfId="3205" xr:uid="{00000000-0005-0000-0000-0000770C0000}"/>
    <cellStyle name="Cálculo 2 3 7 3 2 2" xfId="3206" xr:uid="{00000000-0005-0000-0000-0000780C0000}"/>
    <cellStyle name="Cálculo 2 3 7 3 2 3" xfId="3207" xr:uid="{00000000-0005-0000-0000-0000790C0000}"/>
    <cellStyle name="Cálculo 2 3 7 3 2 4" xfId="3208" xr:uid="{00000000-0005-0000-0000-00007A0C0000}"/>
    <cellStyle name="Cálculo 2 3 7 3 3" xfId="3209" xr:uid="{00000000-0005-0000-0000-00007B0C0000}"/>
    <cellStyle name="Cálculo 2 3 7 3 3 2" xfId="3210" xr:uid="{00000000-0005-0000-0000-00007C0C0000}"/>
    <cellStyle name="Cálculo 2 3 7 3 3 3" xfId="3211" xr:uid="{00000000-0005-0000-0000-00007D0C0000}"/>
    <cellStyle name="Cálculo 2 3 7 3 3 4" xfId="3212" xr:uid="{00000000-0005-0000-0000-00007E0C0000}"/>
    <cellStyle name="Cálculo 2 3 7 3 4" xfId="3213" xr:uid="{00000000-0005-0000-0000-00007F0C0000}"/>
    <cellStyle name="Cálculo 2 3 7 3 5" xfId="3214" xr:uid="{00000000-0005-0000-0000-0000800C0000}"/>
    <cellStyle name="Cálculo 2 3 7 3 6" xfId="3215" xr:uid="{00000000-0005-0000-0000-0000810C0000}"/>
    <cellStyle name="Cálculo 2 3 7 4" xfId="3216" xr:uid="{00000000-0005-0000-0000-0000820C0000}"/>
    <cellStyle name="Cálculo 2 3 7 4 2" xfId="3217" xr:uid="{00000000-0005-0000-0000-0000830C0000}"/>
    <cellStyle name="Cálculo 2 3 7 4 3" xfId="3218" xr:uid="{00000000-0005-0000-0000-0000840C0000}"/>
    <cellStyle name="Cálculo 2 3 7 4 4" xfId="3219" xr:uid="{00000000-0005-0000-0000-0000850C0000}"/>
    <cellStyle name="Cálculo 2 3 7 5" xfId="3220" xr:uid="{00000000-0005-0000-0000-0000860C0000}"/>
    <cellStyle name="Cálculo 2 3 7 6" xfId="3221" xr:uid="{00000000-0005-0000-0000-0000870C0000}"/>
    <cellStyle name="Cálculo 2 3 8" xfId="3222" xr:uid="{00000000-0005-0000-0000-0000880C0000}"/>
    <cellStyle name="Cálculo 2 3 8 2" xfId="3223" xr:uid="{00000000-0005-0000-0000-0000890C0000}"/>
    <cellStyle name="Cálculo 2 3 8 2 2" xfId="3224" xr:uid="{00000000-0005-0000-0000-00008A0C0000}"/>
    <cellStyle name="Cálculo 2 3 8 2 2 2" xfId="3225" xr:uid="{00000000-0005-0000-0000-00008B0C0000}"/>
    <cellStyle name="Cálculo 2 3 8 2 2 3" xfId="3226" xr:uid="{00000000-0005-0000-0000-00008C0C0000}"/>
    <cellStyle name="Cálculo 2 3 8 2 2 4" xfId="3227" xr:uid="{00000000-0005-0000-0000-00008D0C0000}"/>
    <cellStyle name="Cálculo 2 3 8 2 3" xfId="3228" xr:uid="{00000000-0005-0000-0000-00008E0C0000}"/>
    <cellStyle name="Cálculo 2 3 8 2 3 2" xfId="3229" xr:uid="{00000000-0005-0000-0000-00008F0C0000}"/>
    <cellStyle name="Cálculo 2 3 8 2 3 3" xfId="3230" xr:uid="{00000000-0005-0000-0000-0000900C0000}"/>
    <cellStyle name="Cálculo 2 3 8 2 3 4" xfId="3231" xr:uid="{00000000-0005-0000-0000-0000910C0000}"/>
    <cellStyle name="Cálculo 2 3 8 2 4" xfId="3232" xr:uid="{00000000-0005-0000-0000-0000920C0000}"/>
    <cellStyle name="Cálculo 2 3 8 2 5" xfId="3233" xr:uid="{00000000-0005-0000-0000-0000930C0000}"/>
    <cellStyle name="Cálculo 2 3 8 2 6" xfId="3234" xr:uid="{00000000-0005-0000-0000-0000940C0000}"/>
    <cellStyle name="Cálculo 2 3 8 3" xfId="3235" xr:uid="{00000000-0005-0000-0000-0000950C0000}"/>
    <cellStyle name="Cálculo 2 3 8 3 2" xfId="3236" xr:uid="{00000000-0005-0000-0000-0000960C0000}"/>
    <cellStyle name="Cálculo 2 3 8 3 2 2" xfId="3237" xr:uid="{00000000-0005-0000-0000-0000970C0000}"/>
    <cellStyle name="Cálculo 2 3 8 3 2 3" xfId="3238" xr:uid="{00000000-0005-0000-0000-0000980C0000}"/>
    <cellStyle name="Cálculo 2 3 8 3 2 4" xfId="3239" xr:uid="{00000000-0005-0000-0000-0000990C0000}"/>
    <cellStyle name="Cálculo 2 3 8 3 3" xfId="3240" xr:uid="{00000000-0005-0000-0000-00009A0C0000}"/>
    <cellStyle name="Cálculo 2 3 8 3 3 2" xfId="3241" xr:uid="{00000000-0005-0000-0000-00009B0C0000}"/>
    <cellStyle name="Cálculo 2 3 8 3 3 3" xfId="3242" xr:uid="{00000000-0005-0000-0000-00009C0C0000}"/>
    <cellStyle name="Cálculo 2 3 8 3 3 4" xfId="3243" xr:uid="{00000000-0005-0000-0000-00009D0C0000}"/>
    <cellStyle name="Cálculo 2 3 8 3 4" xfId="3244" xr:uid="{00000000-0005-0000-0000-00009E0C0000}"/>
    <cellStyle name="Cálculo 2 3 8 3 5" xfId="3245" xr:uid="{00000000-0005-0000-0000-00009F0C0000}"/>
    <cellStyle name="Cálculo 2 3 8 3 6" xfId="3246" xr:uid="{00000000-0005-0000-0000-0000A00C0000}"/>
    <cellStyle name="Cálculo 2 3 8 4" xfId="3247" xr:uid="{00000000-0005-0000-0000-0000A10C0000}"/>
    <cellStyle name="Cálculo 2 3 8 4 2" xfId="3248" xr:uid="{00000000-0005-0000-0000-0000A20C0000}"/>
    <cellStyle name="Cálculo 2 3 8 4 3" xfId="3249" xr:uid="{00000000-0005-0000-0000-0000A30C0000}"/>
    <cellStyle name="Cálculo 2 3 8 4 4" xfId="3250" xr:uid="{00000000-0005-0000-0000-0000A40C0000}"/>
    <cellStyle name="Cálculo 2 3 8 5" xfId="3251" xr:uid="{00000000-0005-0000-0000-0000A50C0000}"/>
    <cellStyle name="Cálculo 2 3 8 6" xfId="3252" xr:uid="{00000000-0005-0000-0000-0000A60C0000}"/>
    <cellStyle name="Cálculo 2 3 9" xfId="3253" xr:uid="{00000000-0005-0000-0000-0000A70C0000}"/>
    <cellStyle name="Cálculo 2 3 9 2" xfId="3254" xr:uid="{00000000-0005-0000-0000-0000A80C0000}"/>
    <cellStyle name="Cálculo 2 3 9 2 2" xfId="3255" xr:uid="{00000000-0005-0000-0000-0000A90C0000}"/>
    <cellStyle name="Cálculo 2 3 9 2 2 2" xfId="3256" xr:uid="{00000000-0005-0000-0000-0000AA0C0000}"/>
    <cellStyle name="Cálculo 2 3 9 2 2 3" xfId="3257" xr:uid="{00000000-0005-0000-0000-0000AB0C0000}"/>
    <cellStyle name="Cálculo 2 3 9 2 2 4" xfId="3258" xr:uid="{00000000-0005-0000-0000-0000AC0C0000}"/>
    <cellStyle name="Cálculo 2 3 9 2 3" xfId="3259" xr:uid="{00000000-0005-0000-0000-0000AD0C0000}"/>
    <cellStyle name="Cálculo 2 3 9 2 3 2" xfId="3260" xr:uid="{00000000-0005-0000-0000-0000AE0C0000}"/>
    <cellStyle name="Cálculo 2 3 9 2 3 3" xfId="3261" xr:uid="{00000000-0005-0000-0000-0000AF0C0000}"/>
    <cellStyle name="Cálculo 2 3 9 2 3 4" xfId="3262" xr:uid="{00000000-0005-0000-0000-0000B00C0000}"/>
    <cellStyle name="Cálculo 2 3 9 2 4" xfId="3263" xr:uid="{00000000-0005-0000-0000-0000B10C0000}"/>
    <cellStyle name="Cálculo 2 3 9 2 5" xfId="3264" xr:uid="{00000000-0005-0000-0000-0000B20C0000}"/>
    <cellStyle name="Cálculo 2 3 9 2 6" xfId="3265" xr:uid="{00000000-0005-0000-0000-0000B30C0000}"/>
    <cellStyle name="Cálculo 2 3 9 3" xfId="3266" xr:uid="{00000000-0005-0000-0000-0000B40C0000}"/>
    <cellStyle name="Cálculo 2 3 9 3 2" xfId="3267" xr:uid="{00000000-0005-0000-0000-0000B50C0000}"/>
    <cellStyle name="Cálculo 2 3 9 3 2 2" xfId="3268" xr:uid="{00000000-0005-0000-0000-0000B60C0000}"/>
    <cellStyle name="Cálculo 2 3 9 3 2 3" xfId="3269" xr:uid="{00000000-0005-0000-0000-0000B70C0000}"/>
    <cellStyle name="Cálculo 2 3 9 3 2 4" xfId="3270" xr:uid="{00000000-0005-0000-0000-0000B80C0000}"/>
    <cellStyle name="Cálculo 2 3 9 3 3" xfId="3271" xr:uid="{00000000-0005-0000-0000-0000B90C0000}"/>
    <cellStyle name="Cálculo 2 3 9 3 3 2" xfId="3272" xr:uid="{00000000-0005-0000-0000-0000BA0C0000}"/>
    <cellStyle name="Cálculo 2 3 9 3 3 3" xfId="3273" xr:uid="{00000000-0005-0000-0000-0000BB0C0000}"/>
    <cellStyle name="Cálculo 2 3 9 3 3 4" xfId="3274" xr:uid="{00000000-0005-0000-0000-0000BC0C0000}"/>
    <cellStyle name="Cálculo 2 3 9 3 4" xfId="3275" xr:uid="{00000000-0005-0000-0000-0000BD0C0000}"/>
    <cellStyle name="Cálculo 2 3 9 3 5" xfId="3276" xr:uid="{00000000-0005-0000-0000-0000BE0C0000}"/>
    <cellStyle name="Cálculo 2 3 9 3 6" xfId="3277" xr:uid="{00000000-0005-0000-0000-0000BF0C0000}"/>
    <cellStyle name="Cálculo 2 3 9 4" xfId="3278" xr:uid="{00000000-0005-0000-0000-0000C00C0000}"/>
    <cellStyle name="Cálculo 2 3 9 4 2" xfId="3279" xr:uid="{00000000-0005-0000-0000-0000C10C0000}"/>
    <cellStyle name="Cálculo 2 3 9 4 3" xfId="3280" xr:uid="{00000000-0005-0000-0000-0000C20C0000}"/>
    <cellStyle name="Cálculo 2 3 9 4 4" xfId="3281" xr:uid="{00000000-0005-0000-0000-0000C30C0000}"/>
    <cellStyle name="Cálculo 2 3 9 5" xfId="3282" xr:uid="{00000000-0005-0000-0000-0000C40C0000}"/>
    <cellStyle name="Cálculo 2 3 9 6" xfId="3283" xr:uid="{00000000-0005-0000-0000-0000C50C0000}"/>
    <cellStyle name="Cálculo 2 4" xfId="3284" xr:uid="{00000000-0005-0000-0000-0000C60C0000}"/>
    <cellStyle name="Cálculo 2 4 2" xfId="3285" xr:uid="{00000000-0005-0000-0000-0000C70C0000}"/>
    <cellStyle name="Cálculo 2 4 2 2" xfId="3286" xr:uid="{00000000-0005-0000-0000-0000C80C0000}"/>
    <cellStyle name="Cálculo 2 4 2 2 2" xfId="3287" xr:uid="{00000000-0005-0000-0000-0000C90C0000}"/>
    <cellStyle name="Cálculo 2 4 2 2 2 2" xfId="3288" xr:uid="{00000000-0005-0000-0000-0000CA0C0000}"/>
    <cellStyle name="Cálculo 2 4 2 2 2 3" xfId="3289" xr:uid="{00000000-0005-0000-0000-0000CB0C0000}"/>
    <cellStyle name="Cálculo 2 4 2 2 2 4" xfId="3290" xr:uid="{00000000-0005-0000-0000-0000CC0C0000}"/>
    <cellStyle name="Cálculo 2 4 2 2 3" xfId="3291" xr:uid="{00000000-0005-0000-0000-0000CD0C0000}"/>
    <cellStyle name="Cálculo 2 4 2 2 3 2" xfId="3292" xr:uid="{00000000-0005-0000-0000-0000CE0C0000}"/>
    <cellStyle name="Cálculo 2 4 2 2 3 3" xfId="3293" xr:uid="{00000000-0005-0000-0000-0000CF0C0000}"/>
    <cellStyle name="Cálculo 2 4 2 2 3 4" xfId="3294" xr:uid="{00000000-0005-0000-0000-0000D00C0000}"/>
    <cellStyle name="Cálculo 2 4 2 2 4" xfId="3295" xr:uid="{00000000-0005-0000-0000-0000D10C0000}"/>
    <cellStyle name="Cálculo 2 4 2 2 5" xfId="3296" xr:uid="{00000000-0005-0000-0000-0000D20C0000}"/>
    <cellStyle name="Cálculo 2 4 2 2 6" xfId="3297" xr:uid="{00000000-0005-0000-0000-0000D30C0000}"/>
    <cellStyle name="Cálculo 2 4 2 3" xfId="3298" xr:uid="{00000000-0005-0000-0000-0000D40C0000}"/>
    <cellStyle name="Cálculo 2 4 2 3 2" xfId="3299" xr:uid="{00000000-0005-0000-0000-0000D50C0000}"/>
    <cellStyle name="Cálculo 2 4 2 3 2 2" xfId="3300" xr:uid="{00000000-0005-0000-0000-0000D60C0000}"/>
    <cellStyle name="Cálculo 2 4 2 3 2 3" xfId="3301" xr:uid="{00000000-0005-0000-0000-0000D70C0000}"/>
    <cellStyle name="Cálculo 2 4 2 3 2 4" xfId="3302" xr:uid="{00000000-0005-0000-0000-0000D80C0000}"/>
    <cellStyle name="Cálculo 2 4 2 3 3" xfId="3303" xr:uid="{00000000-0005-0000-0000-0000D90C0000}"/>
    <cellStyle name="Cálculo 2 4 2 3 3 2" xfId="3304" xr:uid="{00000000-0005-0000-0000-0000DA0C0000}"/>
    <cellStyle name="Cálculo 2 4 2 3 3 3" xfId="3305" xr:uid="{00000000-0005-0000-0000-0000DB0C0000}"/>
    <cellStyle name="Cálculo 2 4 2 3 3 4" xfId="3306" xr:uid="{00000000-0005-0000-0000-0000DC0C0000}"/>
    <cellStyle name="Cálculo 2 4 2 3 4" xfId="3307" xr:uid="{00000000-0005-0000-0000-0000DD0C0000}"/>
    <cellStyle name="Cálculo 2 4 2 3 5" xfId="3308" xr:uid="{00000000-0005-0000-0000-0000DE0C0000}"/>
    <cellStyle name="Cálculo 2 4 2 3 6" xfId="3309" xr:uid="{00000000-0005-0000-0000-0000DF0C0000}"/>
    <cellStyle name="Cálculo 2 4 2 4" xfId="3310" xr:uid="{00000000-0005-0000-0000-0000E00C0000}"/>
    <cellStyle name="Cálculo 2 4 2 5" xfId="3311" xr:uid="{00000000-0005-0000-0000-0000E10C0000}"/>
    <cellStyle name="Cálculo 2 4 2 6" xfId="3312" xr:uid="{00000000-0005-0000-0000-0000E20C0000}"/>
    <cellStyle name="Cálculo 2 4 3" xfId="3313" xr:uid="{00000000-0005-0000-0000-0000E30C0000}"/>
    <cellStyle name="Cálculo 2 4 4" xfId="3314" xr:uid="{00000000-0005-0000-0000-0000E40C0000}"/>
    <cellStyle name="Cálculo 2 5" xfId="3315" xr:uid="{00000000-0005-0000-0000-0000E50C0000}"/>
    <cellStyle name="Cálculo 2 5 2" xfId="3316" xr:uid="{00000000-0005-0000-0000-0000E60C0000}"/>
    <cellStyle name="Cálculo 2 5 2 2" xfId="3317" xr:uid="{00000000-0005-0000-0000-0000E70C0000}"/>
    <cellStyle name="Cálculo 2 5 2 2 2" xfId="3318" xr:uid="{00000000-0005-0000-0000-0000E80C0000}"/>
    <cellStyle name="Cálculo 2 5 2 2 2 2" xfId="3319" xr:uid="{00000000-0005-0000-0000-0000E90C0000}"/>
    <cellStyle name="Cálculo 2 5 2 2 2 3" xfId="3320" xr:uid="{00000000-0005-0000-0000-0000EA0C0000}"/>
    <cellStyle name="Cálculo 2 5 2 2 2 4" xfId="3321" xr:uid="{00000000-0005-0000-0000-0000EB0C0000}"/>
    <cellStyle name="Cálculo 2 5 2 2 3" xfId="3322" xr:uid="{00000000-0005-0000-0000-0000EC0C0000}"/>
    <cellStyle name="Cálculo 2 5 2 2 3 2" xfId="3323" xr:uid="{00000000-0005-0000-0000-0000ED0C0000}"/>
    <cellStyle name="Cálculo 2 5 2 2 3 3" xfId="3324" xr:uid="{00000000-0005-0000-0000-0000EE0C0000}"/>
    <cellStyle name="Cálculo 2 5 2 2 3 4" xfId="3325" xr:uid="{00000000-0005-0000-0000-0000EF0C0000}"/>
    <cellStyle name="Cálculo 2 5 2 2 4" xfId="3326" xr:uid="{00000000-0005-0000-0000-0000F00C0000}"/>
    <cellStyle name="Cálculo 2 5 2 2 5" xfId="3327" xr:uid="{00000000-0005-0000-0000-0000F10C0000}"/>
    <cellStyle name="Cálculo 2 5 2 2 6" xfId="3328" xr:uid="{00000000-0005-0000-0000-0000F20C0000}"/>
    <cellStyle name="Cálculo 2 5 2 3" xfId="3329" xr:uid="{00000000-0005-0000-0000-0000F30C0000}"/>
    <cellStyle name="Cálculo 2 5 2 3 2" xfId="3330" xr:uid="{00000000-0005-0000-0000-0000F40C0000}"/>
    <cellStyle name="Cálculo 2 5 2 3 2 2" xfId="3331" xr:uid="{00000000-0005-0000-0000-0000F50C0000}"/>
    <cellStyle name="Cálculo 2 5 2 3 2 3" xfId="3332" xr:uid="{00000000-0005-0000-0000-0000F60C0000}"/>
    <cellStyle name="Cálculo 2 5 2 3 2 4" xfId="3333" xr:uid="{00000000-0005-0000-0000-0000F70C0000}"/>
    <cellStyle name="Cálculo 2 5 2 3 3" xfId="3334" xr:uid="{00000000-0005-0000-0000-0000F80C0000}"/>
    <cellStyle name="Cálculo 2 5 2 3 3 2" xfId="3335" xr:uid="{00000000-0005-0000-0000-0000F90C0000}"/>
    <cellStyle name="Cálculo 2 5 2 3 3 3" xfId="3336" xr:uid="{00000000-0005-0000-0000-0000FA0C0000}"/>
    <cellStyle name="Cálculo 2 5 2 3 3 4" xfId="3337" xr:uid="{00000000-0005-0000-0000-0000FB0C0000}"/>
    <cellStyle name="Cálculo 2 5 2 3 4" xfId="3338" xr:uid="{00000000-0005-0000-0000-0000FC0C0000}"/>
    <cellStyle name="Cálculo 2 5 2 3 5" xfId="3339" xr:uid="{00000000-0005-0000-0000-0000FD0C0000}"/>
    <cellStyle name="Cálculo 2 5 2 3 6" xfId="3340" xr:uid="{00000000-0005-0000-0000-0000FE0C0000}"/>
    <cellStyle name="Cálculo 2 5 2 4" xfId="3341" xr:uid="{00000000-0005-0000-0000-0000FF0C0000}"/>
    <cellStyle name="Cálculo 2 5 2 5" xfId="3342" xr:uid="{00000000-0005-0000-0000-0000000D0000}"/>
    <cellStyle name="Cálculo 2 5 2 6" xfId="3343" xr:uid="{00000000-0005-0000-0000-0000010D0000}"/>
    <cellStyle name="Cálculo 2 5 3" xfId="3344" xr:uid="{00000000-0005-0000-0000-0000020D0000}"/>
    <cellStyle name="Cálculo 2 5 4" xfId="3345" xr:uid="{00000000-0005-0000-0000-0000030D0000}"/>
    <cellStyle name="Cálculo 2 6" xfId="3346" xr:uid="{00000000-0005-0000-0000-0000040D0000}"/>
    <cellStyle name="Cálculo 2 6 2" xfId="3347" xr:uid="{00000000-0005-0000-0000-0000050D0000}"/>
    <cellStyle name="Cálculo 2 6 2 2" xfId="3348" xr:uid="{00000000-0005-0000-0000-0000060D0000}"/>
    <cellStyle name="Cálculo 2 6 2 2 2" xfId="3349" xr:uid="{00000000-0005-0000-0000-0000070D0000}"/>
    <cellStyle name="Cálculo 2 6 2 2 2 2" xfId="3350" xr:uid="{00000000-0005-0000-0000-0000080D0000}"/>
    <cellStyle name="Cálculo 2 6 2 2 2 3" xfId="3351" xr:uid="{00000000-0005-0000-0000-0000090D0000}"/>
    <cellStyle name="Cálculo 2 6 2 2 2 4" xfId="3352" xr:uid="{00000000-0005-0000-0000-00000A0D0000}"/>
    <cellStyle name="Cálculo 2 6 2 2 3" xfId="3353" xr:uid="{00000000-0005-0000-0000-00000B0D0000}"/>
    <cellStyle name="Cálculo 2 6 2 2 3 2" xfId="3354" xr:uid="{00000000-0005-0000-0000-00000C0D0000}"/>
    <cellStyle name="Cálculo 2 6 2 2 3 3" xfId="3355" xr:uid="{00000000-0005-0000-0000-00000D0D0000}"/>
    <cellStyle name="Cálculo 2 6 2 2 3 4" xfId="3356" xr:uid="{00000000-0005-0000-0000-00000E0D0000}"/>
    <cellStyle name="Cálculo 2 6 2 2 4" xfId="3357" xr:uid="{00000000-0005-0000-0000-00000F0D0000}"/>
    <cellStyle name="Cálculo 2 6 2 2 5" xfId="3358" xr:uid="{00000000-0005-0000-0000-0000100D0000}"/>
    <cellStyle name="Cálculo 2 6 2 2 6" xfId="3359" xr:uid="{00000000-0005-0000-0000-0000110D0000}"/>
    <cellStyle name="Cálculo 2 6 2 3" xfId="3360" xr:uid="{00000000-0005-0000-0000-0000120D0000}"/>
    <cellStyle name="Cálculo 2 6 2 3 2" xfId="3361" xr:uid="{00000000-0005-0000-0000-0000130D0000}"/>
    <cellStyle name="Cálculo 2 6 2 3 2 2" xfId="3362" xr:uid="{00000000-0005-0000-0000-0000140D0000}"/>
    <cellStyle name="Cálculo 2 6 2 3 2 3" xfId="3363" xr:uid="{00000000-0005-0000-0000-0000150D0000}"/>
    <cellStyle name="Cálculo 2 6 2 3 2 4" xfId="3364" xr:uid="{00000000-0005-0000-0000-0000160D0000}"/>
    <cellStyle name="Cálculo 2 6 2 3 3" xfId="3365" xr:uid="{00000000-0005-0000-0000-0000170D0000}"/>
    <cellStyle name="Cálculo 2 6 2 3 3 2" xfId="3366" xr:uid="{00000000-0005-0000-0000-0000180D0000}"/>
    <cellStyle name="Cálculo 2 6 2 3 3 3" xfId="3367" xr:uid="{00000000-0005-0000-0000-0000190D0000}"/>
    <cellStyle name="Cálculo 2 6 2 3 3 4" xfId="3368" xr:uid="{00000000-0005-0000-0000-00001A0D0000}"/>
    <cellStyle name="Cálculo 2 6 2 3 4" xfId="3369" xr:uid="{00000000-0005-0000-0000-00001B0D0000}"/>
    <cellStyle name="Cálculo 2 6 2 3 5" xfId="3370" xr:uid="{00000000-0005-0000-0000-00001C0D0000}"/>
    <cellStyle name="Cálculo 2 6 2 3 6" xfId="3371" xr:uid="{00000000-0005-0000-0000-00001D0D0000}"/>
    <cellStyle name="Cálculo 2 6 2 4" xfId="3372" xr:uid="{00000000-0005-0000-0000-00001E0D0000}"/>
    <cellStyle name="Cálculo 2 6 2 5" xfId="3373" xr:uid="{00000000-0005-0000-0000-00001F0D0000}"/>
    <cellStyle name="Cálculo 2 6 2 6" xfId="3374" xr:uid="{00000000-0005-0000-0000-0000200D0000}"/>
    <cellStyle name="Cálculo 2 6 3" xfId="3375" xr:uid="{00000000-0005-0000-0000-0000210D0000}"/>
    <cellStyle name="Cálculo 2 6 4" xfId="3376" xr:uid="{00000000-0005-0000-0000-0000220D0000}"/>
    <cellStyle name="Cálculo 2 7" xfId="3377" xr:uid="{00000000-0005-0000-0000-0000230D0000}"/>
    <cellStyle name="Cálculo 2 7 2" xfId="3378" xr:uid="{00000000-0005-0000-0000-0000240D0000}"/>
    <cellStyle name="Cálculo 2 7 2 2" xfId="3379" xr:uid="{00000000-0005-0000-0000-0000250D0000}"/>
    <cellStyle name="Cálculo 2 7 2 2 2" xfId="3380" xr:uid="{00000000-0005-0000-0000-0000260D0000}"/>
    <cellStyle name="Cálculo 2 7 2 2 2 2" xfId="3381" xr:uid="{00000000-0005-0000-0000-0000270D0000}"/>
    <cellStyle name="Cálculo 2 7 2 2 2 3" xfId="3382" xr:uid="{00000000-0005-0000-0000-0000280D0000}"/>
    <cellStyle name="Cálculo 2 7 2 2 2 4" xfId="3383" xr:uid="{00000000-0005-0000-0000-0000290D0000}"/>
    <cellStyle name="Cálculo 2 7 2 2 3" xfId="3384" xr:uid="{00000000-0005-0000-0000-00002A0D0000}"/>
    <cellStyle name="Cálculo 2 7 2 2 3 2" xfId="3385" xr:uid="{00000000-0005-0000-0000-00002B0D0000}"/>
    <cellStyle name="Cálculo 2 7 2 2 3 3" xfId="3386" xr:uid="{00000000-0005-0000-0000-00002C0D0000}"/>
    <cellStyle name="Cálculo 2 7 2 2 3 4" xfId="3387" xr:uid="{00000000-0005-0000-0000-00002D0D0000}"/>
    <cellStyle name="Cálculo 2 7 2 2 4" xfId="3388" xr:uid="{00000000-0005-0000-0000-00002E0D0000}"/>
    <cellStyle name="Cálculo 2 7 2 2 5" xfId="3389" xr:uid="{00000000-0005-0000-0000-00002F0D0000}"/>
    <cellStyle name="Cálculo 2 7 2 2 6" xfId="3390" xr:uid="{00000000-0005-0000-0000-0000300D0000}"/>
    <cellStyle name="Cálculo 2 7 2 3" xfId="3391" xr:uid="{00000000-0005-0000-0000-0000310D0000}"/>
    <cellStyle name="Cálculo 2 7 2 3 2" xfId="3392" xr:uid="{00000000-0005-0000-0000-0000320D0000}"/>
    <cellStyle name="Cálculo 2 7 2 3 2 2" xfId="3393" xr:uid="{00000000-0005-0000-0000-0000330D0000}"/>
    <cellStyle name="Cálculo 2 7 2 3 2 3" xfId="3394" xr:uid="{00000000-0005-0000-0000-0000340D0000}"/>
    <cellStyle name="Cálculo 2 7 2 3 2 4" xfId="3395" xr:uid="{00000000-0005-0000-0000-0000350D0000}"/>
    <cellStyle name="Cálculo 2 7 2 3 3" xfId="3396" xr:uid="{00000000-0005-0000-0000-0000360D0000}"/>
    <cellStyle name="Cálculo 2 7 2 3 3 2" xfId="3397" xr:uid="{00000000-0005-0000-0000-0000370D0000}"/>
    <cellStyle name="Cálculo 2 7 2 3 3 3" xfId="3398" xr:uid="{00000000-0005-0000-0000-0000380D0000}"/>
    <cellStyle name="Cálculo 2 7 2 3 3 4" xfId="3399" xr:uid="{00000000-0005-0000-0000-0000390D0000}"/>
    <cellStyle name="Cálculo 2 7 2 3 4" xfId="3400" xr:uid="{00000000-0005-0000-0000-00003A0D0000}"/>
    <cellStyle name="Cálculo 2 7 2 3 5" xfId="3401" xr:uid="{00000000-0005-0000-0000-00003B0D0000}"/>
    <cellStyle name="Cálculo 2 7 2 3 6" xfId="3402" xr:uid="{00000000-0005-0000-0000-00003C0D0000}"/>
    <cellStyle name="Cálculo 2 7 2 4" xfId="3403" xr:uid="{00000000-0005-0000-0000-00003D0D0000}"/>
    <cellStyle name="Cálculo 2 7 2 5" xfId="3404" xr:uid="{00000000-0005-0000-0000-00003E0D0000}"/>
    <cellStyle name="Cálculo 2 7 2 6" xfId="3405" xr:uid="{00000000-0005-0000-0000-00003F0D0000}"/>
    <cellStyle name="Cálculo 2 7 3" xfId="3406" xr:uid="{00000000-0005-0000-0000-0000400D0000}"/>
    <cellStyle name="Cálculo 2 7 4" xfId="3407" xr:uid="{00000000-0005-0000-0000-0000410D0000}"/>
    <cellStyle name="Cálculo 2 8" xfId="3408" xr:uid="{00000000-0005-0000-0000-0000420D0000}"/>
    <cellStyle name="Cálculo 2 8 2" xfId="3409" xr:uid="{00000000-0005-0000-0000-0000430D0000}"/>
    <cellStyle name="Cálculo 2 8 2 2" xfId="3410" xr:uid="{00000000-0005-0000-0000-0000440D0000}"/>
    <cellStyle name="Cálculo 2 8 2 2 2" xfId="3411" xr:uid="{00000000-0005-0000-0000-0000450D0000}"/>
    <cellStyle name="Cálculo 2 8 2 2 3" xfId="3412" xr:uid="{00000000-0005-0000-0000-0000460D0000}"/>
    <cellStyle name="Cálculo 2 8 2 2 4" xfId="3413" xr:uid="{00000000-0005-0000-0000-0000470D0000}"/>
    <cellStyle name="Cálculo 2 8 2 3" xfId="3414" xr:uid="{00000000-0005-0000-0000-0000480D0000}"/>
    <cellStyle name="Cálculo 2 8 2 3 2" xfId="3415" xr:uid="{00000000-0005-0000-0000-0000490D0000}"/>
    <cellStyle name="Cálculo 2 8 2 3 3" xfId="3416" xr:uid="{00000000-0005-0000-0000-00004A0D0000}"/>
    <cellStyle name="Cálculo 2 8 2 3 4" xfId="3417" xr:uid="{00000000-0005-0000-0000-00004B0D0000}"/>
    <cellStyle name="Cálculo 2 8 2 4" xfId="3418" xr:uid="{00000000-0005-0000-0000-00004C0D0000}"/>
    <cellStyle name="Cálculo 2 8 2 5" xfId="3419" xr:uid="{00000000-0005-0000-0000-00004D0D0000}"/>
    <cellStyle name="Cálculo 2 8 2 6" xfId="3420" xr:uid="{00000000-0005-0000-0000-00004E0D0000}"/>
    <cellStyle name="Cálculo 2 8 3" xfId="3421" xr:uid="{00000000-0005-0000-0000-00004F0D0000}"/>
    <cellStyle name="Cálculo 2 8 3 2" xfId="3422" xr:uid="{00000000-0005-0000-0000-0000500D0000}"/>
    <cellStyle name="Cálculo 2 8 3 2 2" xfId="3423" xr:uid="{00000000-0005-0000-0000-0000510D0000}"/>
    <cellStyle name="Cálculo 2 8 3 2 3" xfId="3424" xr:uid="{00000000-0005-0000-0000-0000520D0000}"/>
    <cellStyle name="Cálculo 2 8 3 2 4" xfId="3425" xr:uid="{00000000-0005-0000-0000-0000530D0000}"/>
    <cellStyle name="Cálculo 2 8 3 3" xfId="3426" xr:uid="{00000000-0005-0000-0000-0000540D0000}"/>
    <cellStyle name="Cálculo 2 8 3 3 2" xfId="3427" xr:uid="{00000000-0005-0000-0000-0000550D0000}"/>
    <cellStyle name="Cálculo 2 8 3 3 3" xfId="3428" xr:uid="{00000000-0005-0000-0000-0000560D0000}"/>
    <cellStyle name="Cálculo 2 8 3 3 4" xfId="3429" xr:uid="{00000000-0005-0000-0000-0000570D0000}"/>
    <cellStyle name="Cálculo 2 8 3 4" xfId="3430" xr:uid="{00000000-0005-0000-0000-0000580D0000}"/>
    <cellStyle name="Cálculo 2 8 3 5" xfId="3431" xr:uid="{00000000-0005-0000-0000-0000590D0000}"/>
    <cellStyle name="Cálculo 2 8 3 6" xfId="3432" xr:uid="{00000000-0005-0000-0000-00005A0D0000}"/>
    <cellStyle name="Cálculo 2 8 4" xfId="3433" xr:uid="{00000000-0005-0000-0000-00005B0D0000}"/>
    <cellStyle name="Cálculo 2 8 4 2" xfId="3434" xr:uid="{00000000-0005-0000-0000-00005C0D0000}"/>
    <cellStyle name="Cálculo 2 8 4 3" xfId="3435" xr:uid="{00000000-0005-0000-0000-00005D0D0000}"/>
    <cellStyle name="Cálculo 2 8 4 4" xfId="3436" xr:uid="{00000000-0005-0000-0000-00005E0D0000}"/>
    <cellStyle name="Cálculo 2 8 5" xfId="3437" xr:uid="{00000000-0005-0000-0000-00005F0D0000}"/>
    <cellStyle name="Cálculo 2 8 6" xfId="3438" xr:uid="{00000000-0005-0000-0000-0000600D0000}"/>
    <cellStyle name="Cálculo 2 9" xfId="3439" xr:uid="{00000000-0005-0000-0000-0000610D0000}"/>
    <cellStyle name="Cálculo 2 9 2" xfId="3440" xr:uid="{00000000-0005-0000-0000-0000620D0000}"/>
    <cellStyle name="Cálculo 2 9 2 2" xfId="3441" xr:uid="{00000000-0005-0000-0000-0000630D0000}"/>
    <cellStyle name="Cálculo 2 9 2 2 2" xfId="3442" xr:uid="{00000000-0005-0000-0000-0000640D0000}"/>
    <cellStyle name="Cálculo 2 9 2 2 3" xfId="3443" xr:uid="{00000000-0005-0000-0000-0000650D0000}"/>
    <cellStyle name="Cálculo 2 9 2 2 4" xfId="3444" xr:uid="{00000000-0005-0000-0000-0000660D0000}"/>
    <cellStyle name="Cálculo 2 9 2 3" xfId="3445" xr:uid="{00000000-0005-0000-0000-0000670D0000}"/>
    <cellStyle name="Cálculo 2 9 2 3 2" xfId="3446" xr:uid="{00000000-0005-0000-0000-0000680D0000}"/>
    <cellStyle name="Cálculo 2 9 2 3 3" xfId="3447" xr:uid="{00000000-0005-0000-0000-0000690D0000}"/>
    <cellStyle name="Cálculo 2 9 2 3 4" xfId="3448" xr:uid="{00000000-0005-0000-0000-00006A0D0000}"/>
    <cellStyle name="Cálculo 2 9 2 4" xfId="3449" xr:uid="{00000000-0005-0000-0000-00006B0D0000}"/>
    <cellStyle name="Cálculo 2 9 2 5" xfId="3450" xr:uid="{00000000-0005-0000-0000-00006C0D0000}"/>
    <cellStyle name="Cálculo 2 9 2 6" xfId="3451" xr:uid="{00000000-0005-0000-0000-00006D0D0000}"/>
    <cellStyle name="Cálculo 2 9 3" xfId="3452" xr:uid="{00000000-0005-0000-0000-00006E0D0000}"/>
    <cellStyle name="Cálculo 2 9 3 2" xfId="3453" xr:uid="{00000000-0005-0000-0000-00006F0D0000}"/>
    <cellStyle name="Cálculo 2 9 3 2 2" xfId="3454" xr:uid="{00000000-0005-0000-0000-0000700D0000}"/>
    <cellStyle name="Cálculo 2 9 3 2 3" xfId="3455" xr:uid="{00000000-0005-0000-0000-0000710D0000}"/>
    <cellStyle name="Cálculo 2 9 3 2 4" xfId="3456" xr:uid="{00000000-0005-0000-0000-0000720D0000}"/>
    <cellStyle name="Cálculo 2 9 3 3" xfId="3457" xr:uid="{00000000-0005-0000-0000-0000730D0000}"/>
    <cellStyle name="Cálculo 2 9 3 3 2" xfId="3458" xr:uid="{00000000-0005-0000-0000-0000740D0000}"/>
    <cellStyle name="Cálculo 2 9 3 3 3" xfId="3459" xr:uid="{00000000-0005-0000-0000-0000750D0000}"/>
    <cellStyle name="Cálculo 2 9 3 3 4" xfId="3460" xr:uid="{00000000-0005-0000-0000-0000760D0000}"/>
    <cellStyle name="Cálculo 2 9 3 4" xfId="3461" xr:uid="{00000000-0005-0000-0000-0000770D0000}"/>
    <cellStyle name="Cálculo 2 9 3 5" xfId="3462" xr:uid="{00000000-0005-0000-0000-0000780D0000}"/>
    <cellStyle name="Cálculo 2 9 3 6" xfId="3463" xr:uid="{00000000-0005-0000-0000-0000790D0000}"/>
    <cellStyle name="Cálculo 2 9 4" xfId="3464" xr:uid="{00000000-0005-0000-0000-00007A0D0000}"/>
    <cellStyle name="Cálculo 2 9 4 2" xfId="3465" xr:uid="{00000000-0005-0000-0000-00007B0D0000}"/>
    <cellStyle name="Cálculo 2 9 4 3" xfId="3466" xr:uid="{00000000-0005-0000-0000-00007C0D0000}"/>
    <cellStyle name="Cálculo 2 9 4 4" xfId="3467" xr:uid="{00000000-0005-0000-0000-00007D0D0000}"/>
    <cellStyle name="Cálculo 2 9 5" xfId="3468" xr:uid="{00000000-0005-0000-0000-00007E0D0000}"/>
    <cellStyle name="Cálculo 2 9 6" xfId="3469" xr:uid="{00000000-0005-0000-0000-00007F0D0000}"/>
    <cellStyle name="Cálculo 3" xfId="3470" xr:uid="{00000000-0005-0000-0000-0000800D0000}"/>
    <cellStyle name="Cálculo 3 10" xfId="3471" xr:uid="{00000000-0005-0000-0000-0000810D0000}"/>
    <cellStyle name="Cálculo 3 10 2" xfId="3472" xr:uid="{00000000-0005-0000-0000-0000820D0000}"/>
    <cellStyle name="Cálculo 3 10 2 2" xfId="3473" xr:uid="{00000000-0005-0000-0000-0000830D0000}"/>
    <cellStyle name="Cálculo 3 10 2 2 2" xfId="3474" xr:uid="{00000000-0005-0000-0000-0000840D0000}"/>
    <cellStyle name="Cálculo 3 10 2 2 3" xfId="3475" xr:uid="{00000000-0005-0000-0000-0000850D0000}"/>
    <cellStyle name="Cálculo 3 10 2 2 4" xfId="3476" xr:uid="{00000000-0005-0000-0000-0000860D0000}"/>
    <cellStyle name="Cálculo 3 10 2 3" xfId="3477" xr:uid="{00000000-0005-0000-0000-0000870D0000}"/>
    <cellStyle name="Cálculo 3 10 2 3 2" xfId="3478" xr:uid="{00000000-0005-0000-0000-0000880D0000}"/>
    <cellStyle name="Cálculo 3 10 2 3 3" xfId="3479" xr:uid="{00000000-0005-0000-0000-0000890D0000}"/>
    <cellStyle name="Cálculo 3 10 2 3 4" xfId="3480" xr:uid="{00000000-0005-0000-0000-00008A0D0000}"/>
    <cellStyle name="Cálculo 3 10 2 4" xfId="3481" xr:uid="{00000000-0005-0000-0000-00008B0D0000}"/>
    <cellStyle name="Cálculo 3 10 2 5" xfId="3482" xr:uid="{00000000-0005-0000-0000-00008C0D0000}"/>
    <cellStyle name="Cálculo 3 10 2 6" xfId="3483" xr:uid="{00000000-0005-0000-0000-00008D0D0000}"/>
    <cellStyle name="Cálculo 3 10 3" xfId="3484" xr:uid="{00000000-0005-0000-0000-00008E0D0000}"/>
    <cellStyle name="Cálculo 3 10 3 2" xfId="3485" xr:uid="{00000000-0005-0000-0000-00008F0D0000}"/>
    <cellStyle name="Cálculo 3 10 3 2 2" xfId="3486" xr:uid="{00000000-0005-0000-0000-0000900D0000}"/>
    <cellStyle name="Cálculo 3 10 3 2 3" xfId="3487" xr:uid="{00000000-0005-0000-0000-0000910D0000}"/>
    <cellStyle name="Cálculo 3 10 3 2 4" xfId="3488" xr:uid="{00000000-0005-0000-0000-0000920D0000}"/>
    <cellStyle name="Cálculo 3 10 3 3" xfId="3489" xr:uid="{00000000-0005-0000-0000-0000930D0000}"/>
    <cellStyle name="Cálculo 3 10 3 3 2" xfId="3490" xr:uid="{00000000-0005-0000-0000-0000940D0000}"/>
    <cellStyle name="Cálculo 3 10 3 3 3" xfId="3491" xr:uid="{00000000-0005-0000-0000-0000950D0000}"/>
    <cellStyle name="Cálculo 3 10 3 3 4" xfId="3492" xr:uid="{00000000-0005-0000-0000-0000960D0000}"/>
    <cellStyle name="Cálculo 3 10 3 4" xfId="3493" xr:uid="{00000000-0005-0000-0000-0000970D0000}"/>
    <cellStyle name="Cálculo 3 10 3 5" xfId="3494" xr:uid="{00000000-0005-0000-0000-0000980D0000}"/>
    <cellStyle name="Cálculo 3 10 3 6" xfId="3495" xr:uid="{00000000-0005-0000-0000-0000990D0000}"/>
    <cellStyle name="Cálculo 3 10 4" xfId="3496" xr:uid="{00000000-0005-0000-0000-00009A0D0000}"/>
    <cellStyle name="Cálculo 3 10 4 2" xfId="3497" xr:uid="{00000000-0005-0000-0000-00009B0D0000}"/>
    <cellStyle name="Cálculo 3 10 4 3" xfId="3498" xr:uid="{00000000-0005-0000-0000-00009C0D0000}"/>
    <cellStyle name="Cálculo 3 10 4 4" xfId="3499" xr:uid="{00000000-0005-0000-0000-00009D0D0000}"/>
    <cellStyle name="Cálculo 3 10 5" xfId="3500" xr:uid="{00000000-0005-0000-0000-00009E0D0000}"/>
    <cellStyle name="Cálculo 3 10 6" xfId="3501" xr:uid="{00000000-0005-0000-0000-00009F0D0000}"/>
    <cellStyle name="Cálculo 3 11" xfId="3502" xr:uid="{00000000-0005-0000-0000-0000A00D0000}"/>
    <cellStyle name="Cálculo 3 11 2" xfId="3503" xr:uid="{00000000-0005-0000-0000-0000A10D0000}"/>
    <cellStyle name="Cálculo 3 11 2 2" xfId="3504" xr:uid="{00000000-0005-0000-0000-0000A20D0000}"/>
    <cellStyle name="Cálculo 3 11 2 2 2" xfId="3505" xr:uid="{00000000-0005-0000-0000-0000A30D0000}"/>
    <cellStyle name="Cálculo 3 11 2 2 3" xfId="3506" xr:uid="{00000000-0005-0000-0000-0000A40D0000}"/>
    <cellStyle name="Cálculo 3 11 2 2 4" xfId="3507" xr:uid="{00000000-0005-0000-0000-0000A50D0000}"/>
    <cellStyle name="Cálculo 3 11 2 3" xfId="3508" xr:uid="{00000000-0005-0000-0000-0000A60D0000}"/>
    <cellStyle name="Cálculo 3 11 2 3 2" xfId="3509" xr:uid="{00000000-0005-0000-0000-0000A70D0000}"/>
    <cellStyle name="Cálculo 3 11 2 3 3" xfId="3510" xr:uid="{00000000-0005-0000-0000-0000A80D0000}"/>
    <cellStyle name="Cálculo 3 11 2 3 4" xfId="3511" xr:uid="{00000000-0005-0000-0000-0000A90D0000}"/>
    <cellStyle name="Cálculo 3 11 2 4" xfId="3512" xr:uid="{00000000-0005-0000-0000-0000AA0D0000}"/>
    <cellStyle name="Cálculo 3 11 2 5" xfId="3513" xr:uid="{00000000-0005-0000-0000-0000AB0D0000}"/>
    <cellStyle name="Cálculo 3 11 2 6" xfId="3514" xr:uid="{00000000-0005-0000-0000-0000AC0D0000}"/>
    <cellStyle name="Cálculo 3 11 3" xfId="3515" xr:uid="{00000000-0005-0000-0000-0000AD0D0000}"/>
    <cellStyle name="Cálculo 3 11 3 2" xfId="3516" xr:uid="{00000000-0005-0000-0000-0000AE0D0000}"/>
    <cellStyle name="Cálculo 3 11 3 2 2" xfId="3517" xr:uid="{00000000-0005-0000-0000-0000AF0D0000}"/>
    <cellStyle name="Cálculo 3 11 3 2 3" xfId="3518" xr:uid="{00000000-0005-0000-0000-0000B00D0000}"/>
    <cellStyle name="Cálculo 3 11 3 2 4" xfId="3519" xr:uid="{00000000-0005-0000-0000-0000B10D0000}"/>
    <cellStyle name="Cálculo 3 11 3 3" xfId="3520" xr:uid="{00000000-0005-0000-0000-0000B20D0000}"/>
    <cellStyle name="Cálculo 3 11 3 3 2" xfId="3521" xr:uid="{00000000-0005-0000-0000-0000B30D0000}"/>
    <cellStyle name="Cálculo 3 11 3 3 3" xfId="3522" xr:uid="{00000000-0005-0000-0000-0000B40D0000}"/>
    <cellStyle name="Cálculo 3 11 3 3 4" xfId="3523" xr:uid="{00000000-0005-0000-0000-0000B50D0000}"/>
    <cellStyle name="Cálculo 3 11 3 4" xfId="3524" xr:uid="{00000000-0005-0000-0000-0000B60D0000}"/>
    <cellStyle name="Cálculo 3 11 3 5" xfId="3525" xr:uid="{00000000-0005-0000-0000-0000B70D0000}"/>
    <cellStyle name="Cálculo 3 11 3 6" xfId="3526" xr:uid="{00000000-0005-0000-0000-0000B80D0000}"/>
    <cellStyle name="Cálculo 3 11 4" xfId="3527" xr:uid="{00000000-0005-0000-0000-0000B90D0000}"/>
    <cellStyle name="Cálculo 3 11 5" xfId="3528" xr:uid="{00000000-0005-0000-0000-0000BA0D0000}"/>
    <cellStyle name="Cálculo 3 11 6" xfId="3529" xr:uid="{00000000-0005-0000-0000-0000BB0D0000}"/>
    <cellStyle name="Cálculo 3 12" xfId="3530" xr:uid="{00000000-0005-0000-0000-0000BC0D0000}"/>
    <cellStyle name="Cálculo 3 13" xfId="3531" xr:uid="{00000000-0005-0000-0000-0000BD0D0000}"/>
    <cellStyle name="Cálculo 3 2" xfId="3532" xr:uid="{00000000-0005-0000-0000-0000BE0D0000}"/>
    <cellStyle name="Cálculo 3 2 10" xfId="3533" xr:uid="{00000000-0005-0000-0000-0000BF0D0000}"/>
    <cellStyle name="Cálculo 3 2 10 2" xfId="3534" xr:uid="{00000000-0005-0000-0000-0000C00D0000}"/>
    <cellStyle name="Cálculo 3 2 10 2 2" xfId="3535" xr:uid="{00000000-0005-0000-0000-0000C10D0000}"/>
    <cellStyle name="Cálculo 3 2 10 2 2 2" xfId="3536" xr:uid="{00000000-0005-0000-0000-0000C20D0000}"/>
    <cellStyle name="Cálculo 3 2 10 2 2 3" xfId="3537" xr:uid="{00000000-0005-0000-0000-0000C30D0000}"/>
    <cellStyle name="Cálculo 3 2 10 2 2 4" xfId="3538" xr:uid="{00000000-0005-0000-0000-0000C40D0000}"/>
    <cellStyle name="Cálculo 3 2 10 2 3" xfId="3539" xr:uid="{00000000-0005-0000-0000-0000C50D0000}"/>
    <cellStyle name="Cálculo 3 2 10 2 3 2" xfId="3540" xr:uid="{00000000-0005-0000-0000-0000C60D0000}"/>
    <cellStyle name="Cálculo 3 2 10 2 3 3" xfId="3541" xr:uid="{00000000-0005-0000-0000-0000C70D0000}"/>
    <cellStyle name="Cálculo 3 2 10 2 3 4" xfId="3542" xr:uid="{00000000-0005-0000-0000-0000C80D0000}"/>
    <cellStyle name="Cálculo 3 2 10 2 4" xfId="3543" xr:uid="{00000000-0005-0000-0000-0000C90D0000}"/>
    <cellStyle name="Cálculo 3 2 10 2 5" xfId="3544" xr:uid="{00000000-0005-0000-0000-0000CA0D0000}"/>
    <cellStyle name="Cálculo 3 2 10 2 6" xfId="3545" xr:uid="{00000000-0005-0000-0000-0000CB0D0000}"/>
    <cellStyle name="Cálculo 3 2 10 3" xfId="3546" xr:uid="{00000000-0005-0000-0000-0000CC0D0000}"/>
    <cellStyle name="Cálculo 3 2 10 3 2" xfId="3547" xr:uid="{00000000-0005-0000-0000-0000CD0D0000}"/>
    <cellStyle name="Cálculo 3 2 10 3 2 2" xfId="3548" xr:uid="{00000000-0005-0000-0000-0000CE0D0000}"/>
    <cellStyle name="Cálculo 3 2 10 3 2 3" xfId="3549" xr:uid="{00000000-0005-0000-0000-0000CF0D0000}"/>
    <cellStyle name="Cálculo 3 2 10 3 2 4" xfId="3550" xr:uid="{00000000-0005-0000-0000-0000D00D0000}"/>
    <cellStyle name="Cálculo 3 2 10 3 3" xfId="3551" xr:uid="{00000000-0005-0000-0000-0000D10D0000}"/>
    <cellStyle name="Cálculo 3 2 10 3 3 2" xfId="3552" xr:uid="{00000000-0005-0000-0000-0000D20D0000}"/>
    <cellStyle name="Cálculo 3 2 10 3 3 3" xfId="3553" xr:uid="{00000000-0005-0000-0000-0000D30D0000}"/>
    <cellStyle name="Cálculo 3 2 10 3 3 4" xfId="3554" xr:uid="{00000000-0005-0000-0000-0000D40D0000}"/>
    <cellStyle name="Cálculo 3 2 10 3 4" xfId="3555" xr:uid="{00000000-0005-0000-0000-0000D50D0000}"/>
    <cellStyle name="Cálculo 3 2 10 3 5" xfId="3556" xr:uid="{00000000-0005-0000-0000-0000D60D0000}"/>
    <cellStyle name="Cálculo 3 2 10 3 6" xfId="3557" xr:uid="{00000000-0005-0000-0000-0000D70D0000}"/>
    <cellStyle name="Cálculo 3 2 10 4" xfId="3558" xr:uid="{00000000-0005-0000-0000-0000D80D0000}"/>
    <cellStyle name="Cálculo 3 2 10 5" xfId="3559" xr:uid="{00000000-0005-0000-0000-0000D90D0000}"/>
    <cellStyle name="Cálculo 3 2 10 6" xfId="3560" xr:uid="{00000000-0005-0000-0000-0000DA0D0000}"/>
    <cellStyle name="Cálculo 3 2 11" xfId="3561" xr:uid="{00000000-0005-0000-0000-0000DB0D0000}"/>
    <cellStyle name="Cálculo 3 2 12" xfId="3562" xr:uid="{00000000-0005-0000-0000-0000DC0D0000}"/>
    <cellStyle name="Cálculo 3 2 2" xfId="3563" xr:uid="{00000000-0005-0000-0000-0000DD0D0000}"/>
    <cellStyle name="Cálculo 3 2 2 2" xfId="3564" xr:uid="{00000000-0005-0000-0000-0000DE0D0000}"/>
    <cellStyle name="Cálculo 3 2 2 2 2" xfId="3565" xr:uid="{00000000-0005-0000-0000-0000DF0D0000}"/>
    <cellStyle name="Cálculo 3 2 2 2 2 2" xfId="3566" xr:uid="{00000000-0005-0000-0000-0000E00D0000}"/>
    <cellStyle name="Cálculo 3 2 2 2 2 2 2" xfId="3567" xr:uid="{00000000-0005-0000-0000-0000E10D0000}"/>
    <cellStyle name="Cálculo 3 2 2 2 2 2 3" xfId="3568" xr:uid="{00000000-0005-0000-0000-0000E20D0000}"/>
    <cellStyle name="Cálculo 3 2 2 2 2 2 4" xfId="3569" xr:uid="{00000000-0005-0000-0000-0000E30D0000}"/>
    <cellStyle name="Cálculo 3 2 2 2 2 3" xfId="3570" xr:uid="{00000000-0005-0000-0000-0000E40D0000}"/>
    <cellStyle name="Cálculo 3 2 2 2 2 3 2" xfId="3571" xr:uid="{00000000-0005-0000-0000-0000E50D0000}"/>
    <cellStyle name="Cálculo 3 2 2 2 2 3 3" xfId="3572" xr:uid="{00000000-0005-0000-0000-0000E60D0000}"/>
    <cellStyle name="Cálculo 3 2 2 2 2 3 4" xfId="3573" xr:uid="{00000000-0005-0000-0000-0000E70D0000}"/>
    <cellStyle name="Cálculo 3 2 2 2 2 4" xfId="3574" xr:uid="{00000000-0005-0000-0000-0000E80D0000}"/>
    <cellStyle name="Cálculo 3 2 2 2 2 5" xfId="3575" xr:uid="{00000000-0005-0000-0000-0000E90D0000}"/>
    <cellStyle name="Cálculo 3 2 2 2 2 6" xfId="3576" xr:uid="{00000000-0005-0000-0000-0000EA0D0000}"/>
    <cellStyle name="Cálculo 3 2 2 2 3" xfId="3577" xr:uid="{00000000-0005-0000-0000-0000EB0D0000}"/>
    <cellStyle name="Cálculo 3 2 2 2 3 2" xfId="3578" xr:uid="{00000000-0005-0000-0000-0000EC0D0000}"/>
    <cellStyle name="Cálculo 3 2 2 2 3 2 2" xfId="3579" xr:uid="{00000000-0005-0000-0000-0000ED0D0000}"/>
    <cellStyle name="Cálculo 3 2 2 2 3 2 3" xfId="3580" xr:uid="{00000000-0005-0000-0000-0000EE0D0000}"/>
    <cellStyle name="Cálculo 3 2 2 2 3 2 4" xfId="3581" xr:uid="{00000000-0005-0000-0000-0000EF0D0000}"/>
    <cellStyle name="Cálculo 3 2 2 2 3 3" xfId="3582" xr:uid="{00000000-0005-0000-0000-0000F00D0000}"/>
    <cellStyle name="Cálculo 3 2 2 2 3 3 2" xfId="3583" xr:uid="{00000000-0005-0000-0000-0000F10D0000}"/>
    <cellStyle name="Cálculo 3 2 2 2 3 3 3" xfId="3584" xr:uid="{00000000-0005-0000-0000-0000F20D0000}"/>
    <cellStyle name="Cálculo 3 2 2 2 3 3 4" xfId="3585" xr:uid="{00000000-0005-0000-0000-0000F30D0000}"/>
    <cellStyle name="Cálculo 3 2 2 2 3 4" xfId="3586" xr:uid="{00000000-0005-0000-0000-0000F40D0000}"/>
    <cellStyle name="Cálculo 3 2 2 2 3 5" xfId="3587" xr:uid="{00000000-0005-0000-0000-0000F50D0000}"/>
    <cellStyle name="Cálculo 3 2 2 2 3 6" xfId="3588" xr:uid="{00000000-0005-0000-0000-0000F60D0000}"/>
    <cellStyle name="Cálculo 3 2 2 2 4" xfId="3589" xr:uid="{00000000-0005-0000-0000-0000F70D0000}"/>
    <cellStyle name="Cálculo 3 2 2 2 5" xfId="3590" xr:uid="{00000000-0005-0000-0000-0000F80D0000}"/>
    <cellStyle name="Cálculo 3 2 2 2 6" xfId="3591" xr:uid="{00000000-0005-0000-0000-0000F90D0000}"/>
    <cellStyle name="Cálculo 3 2 2 3" xfId="3592" xr:uid="{00000000-0005-0000-0000-0000FA0D0000}"/>
    <cellStyle name="Cálculo 3 2 2 4" xfId="3593" xr:uid="{00000000-0005-0000-0000-0000FB0D0000}"/>
    <cellStyle name="Cálculo 3 2 3" xfId="3594" xr:uid="{00000000-0005-0000-0000-0000FC0D0000}"/>
    <cellStyle name="Cálculo 3 2 3 2" xfId="3595" xr:uid="{00000000-0005-0000-0000-0000FD0D0000}"/>
    <cellStyle name="Cálculo 3 2 3 2 2" xfId="3596" xr:uid="{00000000-0005-0000-0000-0000FE0D0000}"/>
    <cellStyle name="Cálculo 3 2 3 2 2 2" xfId="3597" xr:uid="{00000000-0005-0000-0000-0000FF0D0000}"/>
    <cellStyle name="Cálculo 3 2 3 2 2 2 2" xfId="3598" xr:uid="{00000000-0005-0000-0000-0000000E0000}"/>
    <cellStyle name="Cálculo 3 2 3 2 2 2 3" xfId="3599" xr:uid="{00000000-0005-0000-0000-0000010E0000}"/>
    <cellStyle name="Cálculo 3 2 3 2 2 2 4" xfId="3600" xr:uid="{00000000-0005-0000-0000-0000020E0000}"/>
    <cellStyle name="Cálculo 3 2 3 2 2 3" xfId="3601" xr:uid="{00000000-0005-0000-0000-0000030E0000}"/>
    <cellStyle name="Cálculo 3 2 3 2 2 3 2" xfId="3602" xr:uid="{00000000-0005-0000-0000-0000040E0000}"/>
    <cellStyle name="Cálculo 3 2 3 2 2 3 3" xfId="3603" xr:uid="{00000000-0005-0000-0000-0000050E0000}"/>
    <cellStyle name="Cálculo 3 2 3 2 2 3 4" xfId="3604" xr:uid="{00000000-0005-0000-0000-0000060E0000}"/>
    <cellStyle name="Cálculo 3 2 3 2 2 4" xfId="3605" xr:uid="{00000000-0005-0000-0000-0000070E0000}"/>
    <cellStyle name="Cálculo 3 2 3 2 2 5" xfId="3606" xr:uid="{00000000-0005-0000-0000-0000080E0000}"/>
    <cellStyle name="Cálculo 3 2 3 2 2 6" xfId="3607" xr:uid="{00000000-0005-0000-0000-0000090E0000}"/>
    <cellStyle name="Cálculo 3 2 3 2 3" xfId="3608" xr:uid="{00000000-0005-0000-0000-00000A0E0000}"/>
    <cellStyle name="Cálculo 3 2 3 2 3 2" xfId="3609" xr:uid="{00000000-0005-0000-0000-00000B0E0000}"/>
    <cellStyle name="Cálculo 3 2 3 2 3 2 2" xfId="3610" xr:uid="{00000000-0005-0000-0000-00000C0E0000}"/>
    <cellStyle name="Cálculo 3 2 3 2 3 2 3" xfId="3611" xr:uid="{00000000-0005-0000-0000-00000D0E0000}"/>
    <cellStyle name="Cálculo 3 2 3 2 3 2 4" xfId="3612" xr:uid="{00000000-0005-0000-0000-00000E0E0000}"/>
    <cellStyle name="Cálculo 3 2 3 2 3 3" xfId="3613" xr:uid="{00000000-0005-0000-0000-00000F0E0000}"/>
    <cellStyle name="Cálculo 3 2 3 2 3 3 2" xfId="3614" xr:uid="{00000000-0005-0000-0000-0000100E0000}"/>
    <cellStyle name="Cálculo 3 2 3 2 3 3 3" xfId="3615" xr:uid="{00000000-0005-0000-0000-0000110E0000}"/>
    <cellStyle name="Cálculo 3 2 3 2 3 3 4" xfId="3616" xr:uid="{00000000-0005-0000-0000-0000120E0000}"/>
    <cellStyle name="Cálculo 3 2 3 2 3 4" xfId="3617" xr:uid="{00000000-0005-0000-0000-0000130E0000}"/>
    <cellStyle name="Cálculo 3 2 3 2 3 5" xfId="3618" xr:uid="{00000000-0005-0000-0000-0000140E0000}"/>
    <cellStyle name="Cálculo 3 2 3 2 3 6" xfId="3619" xr:uid="{00000000-0005-0000-0000-0000150E0000}"/>
    <cellStyle name="Cálculo 3 2 3 2 4" xfId="3620" xr:uid="{00000000-0005-0000-0000-0000160E0000}"/>
    <cellStyle name="Cálculo 3 2 3 2 5" xfId="3621" xr:uid="{00000000-0005-0000-0000-0000170E0000}"/>
    <cellStyle name="Cálculo 3 2 3 2 6" xfId="3622" xr:uid="{00000000-0005-0000-0000-0000180E0000}"/>
    <cellStyle name="Cálculo 3 2 3 3" xfId="3623" xr:uid="{00000000-0005-0000-0000-0000190E0000}"/>
    <cellStyle name="Cálculo 3 2 3 4" xfId="3624" xr:uid="{00000000-0005-0000-0000-00001A0E0000}"/>
    <cellStyle name="Cálculo 3 2 4" xfId="3625" xr:uid="{00000000-0005-0000-0000-00001B0E0000}"/>
    <cellStyle name="Cálculo 3 2 4 2" xfId="3626" xr:uid="{00000000-0005-0000-0000-00001C0E0000}"/>
    <cellStyle name="Cálculo 3 2 4 2 2" xfId="3627" xr:uid="{00000000-0005-0000-0000-00001D0E0000}"/>
    <cellStyle name="Cálculo 3 2 4 2 2 2" xfId="3628" xr:uid="{00000000-0005-0000-0000-00001E0E0000}"/>
    <cellStyle name="Cálculo 3 2 4 2 2 2 2" xfId="3629" xr:uid="{00000000-0005-0000-0000-00001F0E0000}"/>
    <cellStyle name="Cálculo 3 2 4 2 2 2 3" xfId="3630" xr:uid="{00000000-0005-0000-0000-0000200E0000}"/>
    <cellStyle name="Cálculo 3 2 4 2 2 2 4" xfId="3631" xr:uid="{00000000-0005-0000-0000-0000210E0000}"/>
    <cellStyle name="Cálculo 3 2 4 2 2 3" xfId="3632" xr:uid="{00000000-0005-0000-0000-0000220E0000}"/>
    <cellStyle name="Cálculo 3 2 4 2 2 3 2" xfId="3633" xr:uid="{00000000-0005-0000-0000-0000230E0000}"/>
    <cellStyle name="Cálculo 3 2 4 2 2 3 3" xfId="3634" xr:uid="{00000000-0005-0000-0000-0000240E0000}"/>
    <cellStyle name="Cálculo 3 2 4 2 2 3 4" xfId="3635" xr:uid="{00000000-0005-0000-0000-0000250E0000}"/>
    <cellStyle name="Cálculo 3 2 4 2 2 4" xfId="3636" xr:uid="{00000000-0005-0000-0000-0000260E0000}"/>
    <cellStyle name="Cálculo 3 2 4 2 2 5" xfId="3637" xr:uid="{00000000-0005-0000-0000-0000270E0000}"/>
    <cellStyle name="Cálculo 3 2 4 2 2 6" xfId="3638" xr:uid="{00000000-0005-0000-0000-0000280E0000}"/>
    <cellStyle name="Cálculo 3 2 4 2 3" xfId="3639" xr:uid="{00000000-0005-0000-0000-0000290E0000}"/>
    <cellStyle name="Cálculo 3 2 4 2 3 2" xfId="3640" xr:uid="{00000000-0005-0000-0000-00002A0E0000}"/>
    <cellStyle name="Cálculo 3 2 4 2 3 2 2" xfId="3641" xr:uid="{00000000-0005-0000-0000-00002B0E0000}"/>
    <cellStyle name="Cálculo 3 2 4 2 3 2 3" xfId="3642" xr:uid="{00000000-0005-0000-0000-00002C0E0000}"/>
    <cellStyle name="Cálculo 3 2 4 2 3 2 4" xfId="3643" xr:uid="{00000000-0005-0000-0000-00002D0E0000}"/>
    <cellStyle name="Cálculo 3 2 4 2 3 3" xfId="3644" xr:uid="{00000000-0005-0000-0000-00002E0E0000}"/>
    <cellStyle name="Cálculo 3 2 4 2 3 3 2" xfId="3645" xr:uid="{00000000-0005-0000-0000-00002F0E0000}"/>
    <cellStyle name="Cálculo 3 2 4 2 3 3 3" xfId="3646" xr:uid="{00000000-0005-0000-0000-0000300E0000}"/>
    <cellStyle name="Cálculo 3 2 4 2 3 3 4" xfId="3647" xr:uid="{00000000-0005-0000-0000-0000310E0000}"/>
    <cellStyle name="Cálculo 3 2 4 2 3 4" xfId="3648" xr:uid="{00000000-0005-0000-0000-0000320E0000}"/>
    <cellStyle name="Cálculo 3 2 4 2 3 5" xfId="3649" xr:uid="{00000000-0005-0000-0000-0000330E0000}"/>
    <cellStyle name="Cálculo 3 2 4 2 3 6" xfId="3650" xr:uid="{00000000-0005-0000-0000-0000340E0000}"/>
    <cellStyle name="Cálculo 3 2 4 2 4" xfId="3651" xr:uid="{00000000-0005-0000-0000-0000350E0000}"/>
    <cellStyle name="Cálculo 3 2 4 2 5" xfId="3652" xr:uid="{00000000-0005-0000-0000-0000360E0000}"/>
    <cellStyle name="Cálculo 3 2 4 2 6" xfId="3653" xr:uid="{00000000-0005-0000-0000-0000370E0000}"/>
    <cellStyle name="Cálculo 3 2 4 3" xfId="3654" xr:uid="{00000000-0005-0000-0000-0000380E0000}"/>
    <cellStyle name="Cálculo 3 2 4 4" xfId="3655" xr:uid="{00000000-0005-0000-0000-0000390E0000}"/>
    <cellStyle name="Cálculo 3 2 5" xfId="3656" xr:uid="{00000000-0005-0000-0000-00003A0E0000}"/>
    <cellStyle name="Cálculo 3 2 5 2" xfId="3657" xr:uid="{00000000-0005-0000-0000-00003B0E0000}"/>
    <cellStyle name="Cálculo 3 2 5 2 2" xfId="3658" xr:uid="{00000000-0005-0000-0000-00003C0E0000}"/>
    <cellStyle name="Cálculo 3 2 5 2 2 2" xfId="3659" xr:uid="{00000000-0005-0000-0000-00003D0E0000}"/>
    <cellStyle name="Cálculo 3 2 5 2 2 2 2" xfId="3660" xr:uid="{00000000-0005-0000-0000-00003E0E0000}"/>
    <cellStyle name="Cálculo 3 2 5 2 2 2 3" xfId="3661" xr:uid="{00000000-0005-0000-0000-00003F0E0000}"/>
    <cellStyle name="Cálculo 3 2 5 2 2 2 4" xfId="3662" xr:uid="{00000000-0005-0000-0000-0000400E0000}"/>
    <cellStyle name="Cálculo 3 2 5 2 2 3" xfId="3663" xr:uid="{00000000-0005-0000-0000-0000410E0000}"/>
    <cellStyle name="Cálculo 3 2 5 2 2 3 2" xfId="3664" xr:uid="{00000000-0005-0000-0000-0000420E0000}"/>
    <cellStyle name="Cálculo 3 2 5 2 2 3 3" xfId="3665" xr:uid="{00000000-0005-0000-0000-0000430E0000}"/>
    <cellStyle name="Cálculo 3 2 5 2 2 3 4" xfId="3666" xr:uid="{00000000-0005-0000-0000-0000440E0000}"/>
    <cellStyle name="Cálculo 3 2 5 2 2 4" xfId="3667" xr:uid="{00000000-0005-0000-0000-0000450E0000}"/>
    <cellStyle name="Cálculo 3 2 5 2 2 5" xfId="3668" xr:uid="{00000000-0005-0000-0000-0000460E0000}"/>
    <cellStyle name="Cálculo 3 2 5 2 2 6" xfId="3669" xr:uid="{00000000-0005-0000-0000-0000470E0000}"/>
    <cellStyle name="Cálculo 3 2 5 2 3" xfId="3670" xr:uid="{00000000-0005-0000-0000-0000480E0000}"/>
    <cellStyle name="Cálculo 3 2 5 2 3 2" xfId="3671" xr:uid="{00000000-0005-0000-0000-0000490E0000}"/>
    <cellStyle name="Cálculo 3 2 5 2 3 2 2" xfId="3672" xr:uid="{00000000-0005-0000-0000-00004A0E0000}"/>
    <cellStyle name="Cálculo 3 2 5 2 3 2 3" xfId="3673" xr:uid="{00000000-0005-0000-0000-00004B0E0000}"/>
    <cellStyle name="Cálculo 3 2 5 2 3 2 4" xfId="3674" xr:uid="{00000000-0005-0000-0000-00004C0E0000}"/>
    <cellStyle name="Cálculo 3 2 5 2 3 3" xfId="3675" xr:uid="{00000000-0005-0000-0000-00004D0E0000}"/>
    <cellStyle name="Cálculo 3 2 5 2 3 3 2" xfId="3676" xr:uid="{00000000-0005-0000-0000-00004E0E0000}"/>
    <cellStyle name="Cálculo 3 2 5 2 3 3 3" xfId="3677" xr:uid="{00000000-0005-0000-0000-00004F0E0000}"/>
    <cellStyle name="Cálculo 3 2 5 2 3 3 4" xfId="3678" xr:uid="{00000000-0005-0000-0000-0000500E0000}"/>
    <cellStyle name="Cálculo 3 2 5 2 3 4" xfId="3679" xr:uid="{00000000-0005-0000-0000-0000510E0000}"/>
    <cellStyle name="Cálculo 3 2 5 2 3 5" xfId="3680" xr:uid="{00000000-0005-0000-0000-0000520E0000}"/>
    <cellStyle name="Cálculo 3 2 5 2 3 6" xfId="3681" xr:uid="{00000000-0005-0000-0000-0000530E0000}"/>
    <cellStyle name="Cálculo 3 2 5 2 4" xfId="3682" xr:uid="{00000000-0005-0000-0000-0000540E0000}"/>
    <cellStyle name="Cálculo 3 2 5 2 5" xfId="3683" xr:uid="{00000000-0005-0000-0000-0000550E0000}"/>
    <cellStyle name="Cálculo 3 2 5 2 6" xfId="3684" xr:uid="{00000000-0005-0000-0000-0000560E0000}"/>
    <cellStyle name="Cálculo 3 2 5 3" xfId="3685" xr:uid="{00000000-0005-0000-0000-0000570E0000}"/>
    <cellStyle name="Cálculo 3 2 5 4" xfId="3686" xr:uid="{00000000-0005-0000-0000-0000580E0000}"/>
    <cellStyle name="Cálculo 3 2 6" xfId="3687" xr:uid="{00000000-0005-0000-0000-0000590E0000}"/>
    <cellStyle name="Cálculo 3 2 6 2" xfId="3688" xr:uid="{00000000-0005-0000-0000-00005A0E0000}"/>
    <cellStyle name="Cálculo 3 2 6 2 2" xfId="3689" xr:uid="{00000000-0005-0000-0000-00005B0E0000}"/>
    <cellStyle name="Cálculo 3 2 6 2 2 2" xfId="3690" xr:uid="{00000000-0005-0000-0000-00005C0E0000}"/>
    <cellStyle name="Cálculo 3 2 6 2 2 3" xfId="3691" xr:uid="{00000000-0005-0000-0000-00005D0E0000}"/>
    <cellStyle name="Cálculo 3 2 6 2 2 4" xfId="3692" xr:uid="{00000000-0005-0000-0000-00005E0E0000}"/>
    <cellStyle name="Cálculo 3 2 6 2 3" xfId="3693" xr:uid="{00000000-0005-0000-0000-00005F0E0000}"/>
    <cellStyle name="Cálculo 3 2 6 2 3 2" xfId="3694" xr:uid="{00000000-0005-0000-0000-0000600E0000}"/>
    <cellStyle name="Cálculo 3 2 6 2 3 3" xfId="3695" xr:uid="{00000000-0005-0000-0000-0000610E0000}"/>
    <cellStyle name="Cálculo 3 2 6 2 3 4" xfId="3696" xr:uid="{00000000-0005-0000-0000-0000620E0000}"/>
    <cellStyle name="Cálculo 3 2 6 2 4" xfId="3697" xr:uid="{00000000-0005-0000-0000-0000630E0000}"/>
    <cellStyle name="Cálculo 3 2 6 2 5" xfId="3698" xr:uid="{00000000-0005-0000-0000-0000640E0000}"/>
    <cellStyle name="Cálculo 3 2 6 2 6" xfId="3699" xr:uid="{00000000-0005-0000-0000-0000650E0000}"/>
    <cellStyle name="Cálculo 3 2 6 3" xfId="3700" xr:uid="{00000000-0005-0000-0000-0000660E0000}"/>
    <cellStyle name="Cálculo 3 2 6 3 2" xfId="3701" xr:uid="{00000000-0005-0000-0000-0000670E0000}"/>
    <cellStyle name="Cálculo 3 2 6 3 2 2" xfId="3702" xr:uid="{00000000-0005-0000-0000-0000680E0000}"/>
    <cellStyle name="Cálculo 3 2 6 3 2 3" xfId="3703" xr:uid="{00000000-0005-0000-0000-0000690E0000}"/>
    <cellStyle name="Cálculo 3 2 6 3 2 4" xfId="3704" xr:uid="{00000000-0005-0000-0000-00006A0E0000}"/>
    <cellStyle name="Cálculo 3 2 6 3 3" xfId="3705" xr:uid="{00000000-0005-0000-0000-00006B0E0000}"/>
    <cellStyle name="Cálculo 3 2 6 3 3 2" xfId="3706" xr:uid="{00000000-0005-0000-0000-00006C0E0000}"/>
    <cellStyle name="Cálculo 3 2 6 3 3 3" xfId="3707" xr:uid="{00000000-0005-0000-0000-00006D0E0000}"/>
    <cellStyle name="Cálculo 3 2 6 3 3 4" xfId="3708" xr:uid="{00000000-0005-0000-0000-00006E0E0000}"/>
    <cellStyle name="Cálculo 3 2 6 3 4" xfId="3709" xr:uid="{00000000-0005-0000-0000-00006F0E0000}"/>
    <cellStyle name="Cálculo 3 2 6 3 5" xfId="3710" xr:uid="{00000000-0005-0000-0000-0000700E0000}"/>
    <cellStyle name="Cálculo 3 2 6 3 6" xfId="3711" xr:uid="{00000000-0005-0000-0000-0000710E0000}"/>
    <cellStyle name="Cálculo 3 2 6 4" xfId="3712" xr:uid="{00000000-0005-0000-0000-0000720E0000}"/>
    <cellStyle name="Cálculo 3 2 6 4 2" xfId="3713" xr:uid="{00000000-0005-0000-0000-0000730E0000}"/>
    <cellStyle name="Cálculo 3 2 6 4 3" xfId="3714" xr:uid="{00000000-0005-0000-0000-0000740E0000}"/>
    <cellStyle name="Cálculo 3 2 6 4 4" xfId="3715" xr:uid="{00000000-0005-0000-0000-0000750E0000}"/>
    <cellStyle name="Cálculo 3 2 6 5" xfId="3716" xr:uid="{00000000-0005-0000-0000-0000760E0000}"/>
    <cellStyle name="Cálculo 3 2 6 6" xfId="3717" xr:uid="{00000000-0005-0000-0000-0000770E0000}"/>
    <cellStyle name="Cálculo 3 2 7" xfId="3718" xr:uid="{00000000-0005-0000-0000-0000780E0000}"/>
    <cellStyle name="Cálculo 3 2 7 2" xfId="3719" xr:uid="{00000000-0005-0000-0000-0000790E0000}"/>
    <cellStyle name="Cálculo 3 2 7 2 2" xfId="3720" xr:uid="{00000000-0005-0000-0000-00007A0E0000}"/>
    <cellStyle name="Cálculo 3 2 7 2 2 2" xfId="3721" xr:uid="{00000000-0005-0000-0000-00007B0E0000}"/>
    <cellStyle name="Cálculo 3 2 7 2 2 3" xfId="3722" xr:uid="{00000000-0005-0000-0000-00007C0E0000}"/>
    <cellStyle name="Cálculo 3 2 7 2 2 4" xfId="3723" xr:uid="{00000000-0005-0000-0000-00007D0E0000}"/>
    <cellStyle name="Cálculo 3 2 7 2 3" xfId="3724" xr:uid="{00000000-0005-0000-0000-00007E0E0000}"/>
    <cellStyle name="Cálculo 3 2 7 2 3 2" xfId="3725" xr:uid="{00000000-0005-0000-0000-00007F0E0000}"/>
    <cellStyle name="Cálculo 3 2 7 2 3 3" xfId="3726" xr:uid="{00000000-0005-0000-0000-0000800E0000}"/>
    <cellStyle name="Cálculo 3 2 7 2 3 4" xfId="3727" xr:uid="{00000000-0005-0000-0000-0000810E0000}"/>
    <cellStyle name="Cálculo 3 2 7 2 4" xfId="3728" xr:uid="{00000000-0005-0000-0000-0000820E0000}"/>
    <cellStyle name="Cálculo 3 2 7 2 5" xfId="3729" xr:uid="{00000000-0005-0000-0000-0000830E0000}"/>
    <cellStyle name="Cálculo 3 2 7 2 6" xfId="3730" xr:uid="{00000000-0005-0000-0000-0000840E0000}"/>
    <cellStyle name="Cálculo 3 2 7 3" xfId="3731" xr:uid="{00000000-0005-0000-0000-0000850E0000}"/>
    <cellStyle name="Cálculo 3 2 7 3 2" xfId="3732" xr:uid="{00000000-0005-0000-0000-0000860E0000}"/>
    <cellStyle name="Cálculo 3 2 7 3 2 2" xfId="3733" xr:uid="{00000000-0005-0000-0000-0000870E0000}"/>
    <cellStyle name="Cálculo 3 2 7 3 2 3" xfId="3734" xr:uid="{00000000-0005-0000-0000-0000880E0000}"/>
    <cellStyle name="Cálculo 3 2 7 3 2 4" xfId="3735" xr:uid="{00000000-0005-0000-0000-0000890E0000}"/>
    <cellStyle name="Cálculo 3 2 7 3 3" xfId="3736" xr:uid="{00000000-0005-0000-0000-00008A0E0000}"/>
    <cellStyle name="Cálculo 3 2 7 3 3 2" xfId="3737" xr:uid="{00000000-0005-0000-0000-00008B0E0000}"/>
    <cellStyle name="Cálculo 3 2 7 3 3 3" xfId="3738" xr:uid="{00000000-0005-0000-0000-00008C0E0000}"/>
    <cellStyle name="Cálculo 3 2 7 3 3 4" xfId="3739" xr:uid="{00000000-0005-0000-0000-00008D0E0000}"/>
    <cellStyle name="Cálculo 3 2 7 3 4" xfId="3740" xr:uid="{00000000-0005-0000-0000-00008E0E0000}"/>
    <cellStyle name="Cálculo 3 2 7 3 5" xfId="3741" xr:uid="{00000000-0005-0000-0000-00008F0E0000}"/>
    <cellStyle name="Cálculo 3 2 7 3 6" xfId="3742" xr:uid="{00000000-0005-0000-0000-0000900E0000}"/>
    <cellStyle name="Cálculo 3 2 7 4" xfId="3743" xr:uid="{00000000-0005-0000-0000-0000910E0000}"/>
    <cellStyle name="Cálculo 3 2 7 4 2" xfId="3744" xr:uid="{00000000-0005-0000-0000-0000920E0000}"/>
    <cellStyle name="Cálculo 3 2 7 4 3" xfId="3745" xr:uid="{00000000-0005-0000-0000-0000930E0000}"/>
    <cellStyle name="Cálculo 3 2 7 4 4" xfId="3746" xr:uid="{00000000-0005-0000-0000-0000940E0000}"/>
    <cellStyle name="Cálculo 3 2 7 5" xfId="3747" xr:uid="{00000000-0005-0000-0000-0000950E0000}"/>
    <cellStyle name="Cálculo 3 2 7 6" xfId="3748" xr:uid="{00000000-0005-0000-0000-0000960E0000}"/>
    <cellStyle name="Cálculo 3 2 8" xfId="3749" xr:uid="{00000000-0005-0000-0000-0000970E0000}"/>
    <cellStyle name="Cálculo 3 2 8 2" xfId="3750" xr:uid="{00000000-0005-0000-0000-0000980E0000}"/>
    <cellStyle name="Cálculo 3 2 8 2 2" xfId="3751" xr:uid="{00000000-0005-0000-0000-0000990E0000}"/>
    <cellStyle name="Cálculo 3 2 8 2 2 2" xfId="3752" xr:uid="{00000000-0005-0000-0000-00009A0E0000}"/>
    <cellStyle name="Cálculo 3 2 8 2 2 3" xfId="3753" xr:uid="{00000000-0005-0000-0000-00009B0E0000}"/>
    <cellStyle name="Cálculo 3 2 8 2 2 4" xfId="3754" xr:uid="{00000000-0005-0000-0000-00009C0E0000}"/>
    <cellStyle name="Cálculo 3 2 8 2 3" xfId="3755" xr:uid="{00000000-0005-0000-0000-00009D0E0000}"/>
    <cellStyle name="Cálculo 3 2 8 2 3 2" xfId="3756" xr:uid="{00000000-0005-0000-0000-00009E0E0000}"/>
    <cellStyle name="Cálculo 3 2 8 2 3 3" xfId="3757" xr:uid="{00000000-0005-0000-0000-00009F0E0000}"/>
    <cellStyle name="Cálculo 3 2 8 2 3 4" xfId="3758" xr:uid="{00000000-0005-0000-0000-0000A00E0000}"/>
    <cellStyle name="Cálculo 3 2 8 2 4" xfId="3759" xr:uid="{00000000-0005-0000-0000-0000A10E0000}"/>
    <cellStyle name="Cálculo 3 2 8 2 5" xfId="3760" xr:uid="{00000000-0005-0000-0000-0000A20E0000}"/>
    <cellStyle name="Cálculo 3 2 8 2 6" xfId="3761" xr:uid="{00000000-0005-0000-0000-0000A30E0000}"/>
    <cellStyle name="Cálculo 3 2 8 3" xfId="3762" xr:uid="{00000000-0005-0000-0000-0000A40E0000}"/>
    <cellStyle name="Cálculo 3 2 8 3 2" xfId="3763" xr:uid="{00000000-0005-0000-0000-0000A50E0000}"/>
    <cellStyle name="Cálculo 3 2 8 3 2 2" xfId="3764" xr:uid="{00000000-0005-0000-0000-0000A60E0000}"/>
    <cellStyle name="Cálculo 3 2 8 3 2 3" xfId="3765" xr:uid="{00000000-0005-0000-0000-0000A70E0000}"/>
    <cellStyle name="Cálculo 3 2 8 3 2 4" xfId="3766" xr:uid="{00000000-0005-0000-0000-0000A80E0000}"/>
    <cellStyle name="Cálculo 3 2 8 3 3" xfId="3767" xr:uid="{00000000-0005-0000-0000-0000A90E0000}"/>
    <cellStyle name="Cálculo 3 2 8 3 3 2" xfId="3768" xr:uid="{00000000-0005-0000-0000-0000AA0E0000}"/>
    <cellStyle name="Cálculo 3 2 8 3 3 3" xfId="3769" xr:uid="{00000000-0005-0000-0000-0000AB0E0000}"/>
    <cellStyle name="Cálculo 3 2 8 3 3 4" xfId="3770" xr:uid="{00000000-0005-0000-0000-0000AC0E0000}"/>
    <cellStyle name="Cálculo 3 2 8 3 4" xfId="3771" xr:uid="{00000000-0005-0000-0000-0000AD0E0000}"/>
    <cellStyle name="Cálculo 3 2 8 3 5" xfId="3772" xr:uid="{00000000-0005-0000-0000-0000AE0E0000}"/>
    <cellStyle name="Cálculo 3 2 8 3 6" xfId="3773" xr:uid="{00000000-0005-0000-0000-0000AF0E0000}"/>
    <cellStyle name="Cálculo 3 2 8 4" xfId="3774" xr:uid="{00000000-0005-0000-0000-0000B00E0000}"/>
    <cellStyle name="Cálculo 3 2 8 4 2" xfId="3775" xr:uid="{00000000-0005-0000-0000-0000B10E0000}"/>
    <cellStyle name="Cálculo 3 2 8 4 3" xfId="3776" xr:uid="{00000000-0005-0000-0000-0000B20E0000}"/>
    <cellStyle name="Cálculo 3 2 8 4 4" xfId="3777" xr:uid="{00000000-0005-0000-0000-0000B30E0000}"/>
    <cellStyle name="Cálculo 3 2 8 5" xfId="3778" xr:uid="{00000000-0005-0000-0000-0000B40E0000}"/>
    <cellStyle name="Cálculo 3 2 8 6" xfId="3779" xr:uid="{00000000-0005-0000-0000-0000B50E0000}"/>
    <cellStyle name="Cálculo 3 2 9" xfId="3780" xr:uid="{00000000-0005-0000-0000-0000B60E0000}"/>
    <cellStyle name="Cálculo 3 2 9 2" xfId="3781" xr:uid="{00000000-0005-0000-0000-0000B70E0000}"/>
    <cellStyle name="Cálculo 3 2 9 2 2" xfId="3782" xr:uid="{00000000-0005-0000-0000-0000B80E0000}"/>
    <cellStyle name="Cálculo 3 2 9 2 2 2" xfId="3783" xr:uid="{00000000-0005-0000-0000-0000B90E0000}"/>
    <cellStyle name="Cálculo 3 2 9 2 2 3" xfId="3784" xr:uid="{00000000-0005-0000-0000-0000BA0E0000}"/>
    <cellStyle name="Cálculo 3 2 9 2 2 4" xfId="3785" xr:uid="{00000000-0005-0000-0000-0000BB0E0000}"/>
    <cellStyle name="Cálculo 3 2 9 2 3" xfId="3786" xr:uid="{00000000-0005-0000-0000-0000BC0E0000}"/>
    <cellStyle name="Cálculo 3 2 9 2 3 2" xfId="3787" xr:uid="{00000000-0005-0000-0000-0000BD0E0000}"/>
    <cellStyle name="Cálculo 3 2 9 2 3 3" xfId="3788" xr:uid="{00000000-0005-0000-0000-0000BE0E0000}"/>
    <cellStyle name="Cálculo 3 2 9 2 3 4" xfId="3789" xr:uid="{00000000-0005-0000-0000-0000BF0E0000}"/>
    <cellStyle name="Cálculo 3 2 9 2 4" xfId="3790" xr:uid="{00000000-0005-0000-0000-0000C00E0000}"/>
    <cellStyle name="Cálculo 3 2 9 2 5" xfId="3791" xr:uid="{00000000-0005-0000-0000-0000C10E0000}"/>
    <cellStyle name="Cálculo 3 2 9 2 6" xfId="3792" xr:uid="{00000000-0005-0000-0000-0000C20E0000}"/>
    <cellStyle name="Cálculo 3 2 9 3" xfId="3793" xr:uid="{00000000-0005-0000-0000-0000C30E0000}"/>
    <cellStyle name="Cálculo 3 2 9 3 2" xfId="3794" xr:uid="{00000000-0005-0000-0000-0000C40E0000}"/>
    <cellStyle name="Cálculo 3 2 9 3 2 2" xfId="3795" xr:uid="{00000000-0005-0000-0000-0000C50E0000}"/>
    <cellStyle name="Cálculo 3 2 9 3 2 3" xfId="3796" xr:uid="{00000000-0005-0000-0000-0000C60E0000}"/>
    <cellStyle name="Cálculo 3 2 9 3 2 4" xfId="3797" xr:uid="{00000000-0005-0000-0000-0000C70E0000}"/>
    <cellStyle name="Cálculo 3 2 9 3 3" xfId="3798" xr:uid="{00000000-0005-0000-0000-0000C80E0000}"/>
    <cellStyle name="Cálculo 3 2 9 3 3 2" xfId="3799" xr:uid="{00000000-0005-0000-0000-0000C90E0000}"/>
    <cellStyle name="Cálculo 3 2 9 3 3 3" xfId="3800" xr:uid="{00000000-0005-0000-0000-0000CA0E0000}"/>
    <cellStyle name="Cálculo 3 2 9 3 3 4" xfId="3801" xr:uid="{00000000-0005-0000-0000-0000CB0E0000}"/>
    <cellStyle name="Cálculo 3 2 9 3 4" xfId="3802" xr:uid="{00000000-0005-0000-0000-0000CC0E0000}"/>
    <cellStyle name="Cálculo 3 2 9 3 5" xfId="3803" xr:uid="{00000000-0005-0000-0000-0000CD0E0000}"/>
    <cellStyle name="Cálculo 3 2 9 3 6" xfId="3804" xr:uid="{00000000-0005-0000-0000-0000CE0E0000}"/>
    <cellStyle name="Cálculo 3 2 9 4" xfId="3805" xr:uid="{00000000-0005-0000-0000-0000CF0E0000}"/>
    <cellStyle name="Cálculo 3 2 9 4 2" xfId="3806" xr:uid="{00000000-0005-0000-0000-0000D00E0000}"/>
    <cellStyle name="Cálculo 3 2 9 4 3" xfId="3807" xr:uid="{00000000-0005-0000-0000-0000D10E0000}"/>
    <cellStyle name="Cálculo 3 2 9 4 4" xfId="3808" xr:uid="{00000000-0005-0000-0000-0000D20E0000}"/>
    <cellStyle name="Cálculo 3 2 9 5" xfId="3809" xr:uid="{00000000-0005-0000-0000-0000D30E0000}"/>
    <cellStyle name="Cálculo 3 2 9 6" xfId="3810" xr:uid="{00000000-0005-0000-0000-0000D40E0000}"/>
    <cellStyle name="Cálculo 3 3" xfId="3811" xr:uid="{00000000-0005-0000-0000-0000D50E0000}"/>
    <cellStyle name="Cálculo 3 3 10" xfId="3812" xr:uid="{00000000-0005-0000-0000-0000D60E0000}"/>
    <cellStyle name="Cálculo 3 3 10 2" xfId="3813" xr:uid="{00000000-0005-0000-0000-0000D70E0000}"/>
    <cellStyle name="Cálculo 3 3 10 2 2" xfId="3814" xr:uid="{00000000-0005-0000-0000-0000D80E0000}"/>
    <cellStyle name="Cálculo 3 3 10 2 2 2" xfId="3815" xr:uid="{00000000-0005-0000-0000-0000D90E0000}"/>
    <cellStyle name="Cálculo 3 3 10 2 2 3" xfId="3816" xr:uid="{00000000-0005-0000-0000-0000DA0E0000}"/>
    <cellStyle name="Cálculo 3 3 10 2 2 4" xfId="3817" xr:uid="{00000000-0005-0000-0000-0000DB0E0000}"/>
    <cellStyle name="Cálculo 3 3 10 2 3" xfId="3818" xr:uid="{00000000-0005-0000-0000-0000DC0E0000}"/>
    <cellStyle name="Cálculo 3 3 10 2 3 2" xfId="3819" xr:uid="{00000000-0005-0000-0000-0000DD0E0000}"/>
    <cellStyle name="Cálculo 3 3 10 2 3 3" xfId="3820" xr:uid="{00000000-0005-0000-0000-0000DE0E0000}"/>
    <cellStyle name="Cálculo 3 3 10 2 3 4" xfId="3821" xr:uid="{00000000-0005-0000-0000-0000DF0E0000}"/>
    <cellStyle name="Cálculo 3 3 10 2 4" xfId="3822" xr:uid="{00000000-0005-0000-0000-0000E00E0000}"/>
    <cellStyle name="Cálculo 3 3 10 2 5" xfId="3823" xr:uid="{00000000-0005-0000-0000-0000E10E0000}"/>
    <cellStyle name="Cálculo 3 3 10 2 6" xfId="3824" xr:uid="{00000000-0005-0000-0000-0000E20E0000}"/>
    <cellStyle name="Cálculo 3 3 10 3" xfId="3825" xr:uid="{00000000-0005-0000-0000-0000E30E0000}"/>
    <cellStyle name="Cálculo 3 3 10 3 2" xfId="3826" xr:uid="{00000000-0005-0000-0000-0000E40E0000}"/>
    <cellStyle name="Cálculo 3 3 10 3 2 2" xfId="3827" xr:uid="{00000000-0005-0000-0000-0000E50E0000}"/>
    <cellStyle name="Cálculo 3 3 10 3 2 3" xfId="3828" xr:uid="{00000000-0005-0000-0000-0000E60E0000}"/>
    <cellStyle name="Cálculo 3 3 10 3 2 4" xfId="3829" xr:uid="{00000000-0005-0000-0000-0000E70E0000}"/>
    <cellStyle name="Cálculo 3 3 10 3 3" xfId="3830" xr:uid="{00000000-0005-0000-0000-0000E80E0000}"/>
    <cellStyle name="Cálculo 3 3 10 3 3 2" xfId="3831" xr:uid="{00000000-0005-0000-0000-0000E90E0000}"/>
    <cellStyle name="Cálculo 3 3 10 3 3 3" xfId="3832" xr:uid="{00000000-0005-0000-0000-0000EA0E0000}"/>
    <cellStyle name="Cálculo 3 3 10 3 3 4" xfId="3833" xr:uid="{00000000-0005-0000-0000-0000EB0E0000}"/>
    <cellStyle name="Cálculo 3 3 10 3 4" xfId="3834" xr:uid="{00000000-0005-0000-0000-0000EC0E0000}"/>
    <cellStyle name="Cálculo 3 3 10 3 5" xfId="3835" xr:uid="{00000000-0005-0000-0000-0000ED0E0000}"/>
    <cellStyle name="Cálculo 3 3 10 3 6" xfId="3836" xr:uid="{00000000-0005-0000-0000-0000EE0E0000}"/>
    <cellStyle name="Cálculo 3 3 10 4" xfId="3837" xr:uid="{00000000-0005-0000-0000-0000EF0E0000}"/>
    <cellStyle name="Cálculo 3 3 10 5" xfId="3838" xr:uid="{00000000-0005-0000-0000-0000F00E0000}"/>
    <cellStyle name="Cálculo 3 3 10 6" xfId="3839" xr:uid="{00000000-0005-0000-0000-0000F10E0000}"/>
    <cellStyle name="Cálculo 3 3 11" xfId="3840" xr:uid="{00000000-0005-0000-0000-0000F20E0000}"/>
    <cellStyle name="Cálculo 3 3 12" xfId="3841" xr:uid="{00000000-0005-0000-0000-0000F30E0000}"/>
    <cellStyle name="Cálculo 3 3 2" xfId="3842" xr:uid="{00000000-0005-0000-0000-0000F40E0000}"/>
    <cellStyle name="Cálculo 3 3 2 2" xfId="3843" xr:uid="{00000000-0005-0000-0000-0000F50E0000}"/>
    <cellStyle name="Cálculo 3 3 2 2 2" xfId="3844" xr:uid="{00000000-0005-0000-0000-0000F60E0000}"/>
    <cellStyle name="Cálculo 3 3 2 2 2 2" xfId="3845" xr:uid="{00000000-0005-0000-0000-0000F70E0000}"/>
    <cellStyle name="Cálculo 3 3 2 2 2 2 2" xfId="3846" xr:uid="{00000000-0005-0000-0000-0000F80E0000}"/>
    <cellStyle name="Cálculo 3 3 2 2 2 2 3" xfId="3847" xr:uid="{00000000-0005-0000-0000-0000F90E0000}"/>
    <cellStyle name="Cálculo 3 3 2 2 2 2 4" xfId="3848" xr:uid="{00000000-0005-0000-0000-0000FA0E0000}"/>
    <cellStyle name="Cálculo 3 3 2 2 2 3" xfId="3849" xr:uid="{00000000-0005-0000-0000-0000FB0E0000}"/>
    <cellStyle name="Cálculo 3 3 2 2 2 3 2" xfId="3850" xr:uid="{00000000-0005-0000-0000-0000FC0E0000}"/>
    <cellStyle name="Cálculo 3 3 2 2 2 3 3" xfId="3851" xr:uid="{00000000-0005-0000-0000-0000FD0E0000}"/>
    <cellStyle name="Cálculo 3 3 2 2 2 3 4" xfId="3852" xr:uid="{00000000-0005-0000-0000-0000FE0E0000}"/>
    <cellStyle name="Cálculo 3 3 2 2 2 4" xfId="3853" xr:uid="{00000000-0005-0000-0000-0000FF0E0000}"/>
    <cellStyle name="Cálculo 3 3 2 2 2 5" xfId="3854" xr:uid="{00000000-0005-0000-0000-0000000F0000}"/>
    <cellStyle name="Cálculo 3 3 2 2 2 6" xfId="3855" xr:uid="{00000000-0005-0000-0000-0000010F0000}"/>
    <cellStyle name="Cálculo 3 3 2 2 3" xfId="3856" xr:uid="{00000000-0005-0000-0000-0000020F0000}"/>
    <cellStyle name="Cálculo 3 3 2 2 3 2" xfId="3857" xr:uid="{00000000-0005-0000-0000-0000030F0000}"/>
    <cellStyle name="Cálculo 3 3 2 2 3 2 2" xfId="3858" xr:uid="{00000000-0005-0000-0000-0000040F0000}"/>
    <cellStyle name="Cálculo 3 3 2 2 3 2 3" xfId="3859" xr:uid="{00000000-0005-0000-0000-0000050F0000}"/>
    <cellStyle name="Cálculo 3 3 2 2 3 2 4" xfId="3860" xr:uid="{00000000-0005-0000-0000-0000060F0000}"/>
    <cellStyle name="Cálculo 3 3 2 2 3 3" xfId="3861" xr:uid="{00000000-0005-0000-0000-0000070F0000}"/>
    <cellStyle name="Cálculo 3 3 2 2 3 3 2" xfId="3862" xr:uid="{00000000-0005-0000-0000-0000080F0000}"/>
    <cellStyle name="Cálculo 3 3 2 2 3 3 3" xfId="3863" xr:uid="{00000000-0005-0000-0000-0000090F0000}"/>
    <cellStyle name="Cálculo 3 3 2 2 3 3 4" xfId="3864" xr:uid="{00000000-0005-0000-0000-00000A0F0000}"/>
    <cellStyle name="Cálculo 3 3 2 2 3 4" xfId="3865" xr:uid="{00000000-0005-0000-0000-00000B0F0000}"/>
    <cellStyle name="Cálculo 3 3 2 2 3 5" xfId="3866" xr:uid="{00000000-0005-0000-0000-00000C0F0000}"/>
    <cellStyle name="Cálculo 3 3 2 2 3 6" xfId="3867" xr:uid="{00000000-0005-0000-0000-00000D0F0000}"/>
    <cellStyle name="Cálculo 3 3 2 2 4" xfId="3868" xr:uid="{00000000-0005-0000-0000-00000E0F0000}"/>
    <cellStyle name="Cálculo 3 3 2 2 5" xfId="3869" xr:uid="{00000000-0005-0000-0000-00000F0F0000}"/>
    <cellStyle name="Cálculo 3 3 2 2 6" xfId="3870" xr:uid="{00000000-0005-0000-0000-0000100F0000}"/>
    <cellStyle name="Cálculo 3 3 2 3" xfId="3871" xr:uid="{00000000-0005-0000-0000-0000110F0000}"/>
    <cellStyle name="Cálculo 3 3 2 4" xfId="3872" xr:uid="{00000000-0005-0000-0000-0000120F0000}"/>
    <cellStyle name="Cálculo 3 3 3" xfId="3873" xr:uid="{00000000-0005-0000-0000-0000130F0000}"/>
    <cellStyle name="Cálculo 3 3 3 2" xfId="3874" xr:uid="{00000000-0005-0000-0000-0000140F0000}"/>
    <cellStyle name="Cálculo 3 3 3 2 2" xfId="3875" xr:uid="{00000000-0005-0000-0000-0000150F0000}"/>
    <cellStyle name="Cálculo 3 3 3 2 2 2" xfId="3876" xr:uid="{00000000-0005-0000-0000-0000160F0000}"/>
    <cellStyle name="Cálculo 3 3 3 2 2 2 2" xfId="3877" xr:uid="{00000000-0005-0000-0000-0000170F0000}"/>
    <cellStyle name="Cálculo 3 3 3 2 2 2 3" xfId="3878" xr:uid="{00000000-0005-0000-0000-0000180F0000}"/>
    <cellStyle name="Cálculo 3 3 3 2 2 2 4" xfId="3879" xr:uid="{00000000-0005-0000-0000-0000190F0000}"/>
    <cellStyle name="Cálculo 3 3 3 2 2 3" xfId="3880" xr:uid="{00000000-0005-0000-0000-00001A0F0000}"/>
    <cellStyle name="Cálculo 3 3 3 2 2 3 2" xfId="3881" xr:uid="{00000000-0005-0000-0000-00001B0F0000}"/>
    <cellStyle name="Cálculo 3 3 3 2 2 3 3" xfId="3882" xr:uid="{00000000-0005-0000-0000-00001C0F0000}"/>
    <cellStyle name="Cálculo 3 3 3 2 2 3 4" xfId="3883" xr:uid="{00000000-0005-0000-0000-00001D0F0000}"/>
    <cellStyle name="Cálculo 3 3 3 2 2 4" xfId="3884" xr:uid="{00000000-0005-0000-0000-00001E0F0000}"/>
    <cellStyle name="Cálculo 3 3 3 2 2 5" xfId="3885" xr:uid="{00000000-0005-0000-0000-00001F0F0000}"/>
    <cellStyle name="Cálculo 3 3 3 2 2 6" xfId="3886" xr:uid="{00000000-0005-0000-0000-0000200F0000}"/>
    <cellStyle name="Cálculo 3 3 3 2 3" xfId="3887" xr:uid="{00000000-0005-0000-0000-0000210F0000}"/>
    <cellStyle name="Cálculo 3 3 3 2 3 2" xfId="3888" xr:uid="{00000000-0005-0000-0000-0000220F0000}"/>
    <cellStyle name="Cálculo 3 3 3 2 3 2 2" xfId="3889" xr:uid="{00000000-0005-0000-0000-0000230F0000}"/>
    <cellStyle name="Cálculo 3 3 3 2 3 2 3" xfId="3890" xr:uid="{00000000-0005-0000-0000-0000240F0000}"/>
    <cellStyle name="Cálculo 3 3 3 2 3 2 4" xfId="3891" xr:uid="{00000000-0005-0000-0000-0000250F0000}"/>
    <cellStyle name="Cálculo 3 3 3 2 3 3" xfId="3892" xr:uid="{00000000-0005-0000-0000-0000260F0000}"/>
    <cellStyle name="Cálculo 3 3 3 2 3 3 2" xfId="3893" xr:uid="{00000000-0005-0000-0000-0000270F0000}"/>
    <cellStyle name="Cálculo 3 3 3 2 3 3 3" xfId="3894" xr:uid="{00000000-0005-0000-0000-0000280F0000}"/>
    <cellStyle name="Cálculo 3 3 3 2 3 3 4" xfId="3895" xr:uid="{00000000-0005-0000-0000-0000290F0000}"/>
    <cellStyle name="Cálculo 3 3 3 2 3 4" xfId="3896" xr:uid="{00000000-0005-0000-0000-00002A0F0000}"/>
    <cellStyle name="Cálculo 3 3 3 2 3 5" xfId="3897" xr:uid="{00000000-0005-0000-0000-00002B0F0000}"/>
    <cellStyle name="Cálculo 3 3 3 2 3 6" xfId="3898" xr:uid="{00000000-0005-0000-0000-00002C0F0000}"/>
    <cellStyle name="Cálculo 3 3 3 2 4" xfId="3899" xr:uid="{00000000-0005-0000-0000-00002D0F0000}"/>
    <cellStyle name="Cálculo 3 3 3 2 5" xfId="3900" xr:uid="{00000000-0005-0000-0000-00002E0F0000}"/>
    <cellStyle name="Cálculo 3 3 3 2 6" xfId="3901" xr:uid="{00000000-0005-0000-0000-00002F0F0000}"/>
    <cellStyle name="Cálculo 3 3 3 3" xfId="3902" xr:uid="{00000000-0005-0000-0000-0000300F0000}"/>
    <cellStyle name="Cálculo 3 3 3 4" xfId="3903" xr:uid="{00000000-0005-0000-0000-0000310F0000}"/>
    <cellStyle name="Cálculo 3 3 4" xfId="3904" xr:uid="{00000000-0005-0000-0000-0000320F0000}"/>
    <cellStyle name="Cálculo 3 3 4 2" xfId="3905" xr:uid="{00000000-0005-0000-0000-0000330F0000}"/>
    <cellStyle name="Cálculo 3 3 4 2 2" xfId="3906" xr:uid="{00000000-0005-0000-0000-0000340F0000}"/>
    <cellStyle name="Cálculo 3 3 4 2 2 2" xfId="3907" xr:uid="{00000000-0005-0000-0000-0000350F0000}"/>
    <cellStyle name="Cálculo 3 3 4 2 2 2 2" xfId="3908" xr:uid="{00000000-0005-0000-0000-0000360F0000}"/>
    <cellStyle name="Cálculo 3 3 4 2 2 2 3" xfId="3909" xr:uid="{00000000-0005-0000-0000-0000370F0000}"/>
    <cellStyle name="Cálculo 3 3 4 2 2 2 4" xfId="3910" xr:uid="{00000000-0005-0000-0000-0000380F0000}"/>
    <cellStyle name="Cálculo 3 3 4 2 2 3" xfId="3911" xr:uid="{00000000-0005-0000-0000-0000390F0000}"/>
    <cellStyle name="Cálculo 3 3 4 2 2 3 2" xfId="3912" xr:uid="{00000000-0005-0000-0000-00003A0F0000}"/>
    <cellStyle name="Cálculo 3 3 4 2 2 3 3" xfId="3913" xr:uid="{00000000-0005-0000-0000-00003B0F0000}"/>
    <cellStyle name="Cálculo 3 3 4 2 2 3 4" xfId="3914" xr:uid="{00000000-0005-0000-0000-00003C0F0000}"/>
    <cellStyle name="Cálculo 3 3 4 2 2 4" xfId="3915" xr:uid="{00000000-0005-0000-0000-00003D0F0000}"/>
    <cellStyle name="Cálculo 3 3 4 2 2 5" xfId="3916" xr:uid="{00000000-0005-0000-0000-00003E0F0000}"/>
    <cellStyle name="Cálculo 3 3 4 2 2 6" xfId="3917" xr:uid="{00000000-0005-0000-0000-00003F0F0000}"/>
    <cellStyle name="Cálculo 3 3 4 2 3" xfId="3918" xr:uid="{00000000-0005-0000-0000-0000400F0000}"/>
    <cellStyle name="Cálculo 3 3 4 2 3 2" xfId="3919" xr:uid="{00000000-0005-0000-0000-0000410F0000}"/>
    <cellStyle name="Cálculo 3 3 4 2 3 2 2" xfId="3920" xr:uid="{00000000-0005-0000-0000-0000420F0000}"/>
    <cellStyle name="Cálculo 3 3 4 2 3 2 3" xfId="3921" xr:uid="{00000000-0005-0000-0000-0000430F0000}"/>
    <cellStyle name="Cálculo 3 3 4 2 3 2 4" xfId="3922" xr:uid="{00000000-0005-0000-0000-0000440F0000}"/>
    <cellStyle name="Cálculo 3 3 4 2 3 3" xfId="3923" xr:uid="{00000000-0005-0000-0000-0000450F0000}"/>
    <cellStyle name="Cálculo 3 3 4 2 3 3 2" xfId="3924" xr:uid="{00000000-0005-0000-0000-0000460F0000}"/>
    <cellStyle name="Cálculo 3 3 4 2 3 3 3" xfId="3925" xr:uid="{00000000-0005-0000-0000-0000470F0000}"/>
    <cellStyle name="Cálculo 3 3 4 2 3 3 4" xfId="3926" xr:uid="{00000000-0005-0000-0000-0000480F0000}"/>
    <cellStyle name="Cálculo 3 3 4 2 3 4" xfId="3927" xr:uid="{00000000-0005-0000-0000-0000490F0000}"/>
    <cellStyle name="Cálculo 3 3 4 2 3 5" xfId="3928" xr:uid="{00000000-0005-0000-0000-00004A0F0000}"/>
    <cellStyle name="Cálculo 3 3 4 2 3 6" xfId="3929" xr:uid="{00000000-0005-0000-0000-00004B0F0000}"/>
    <cellStyle name="Cálculo 3 3 4 2 4" xfId="3930" xr:uid="{00000000-0005-0000-0000-00004C0F0000}"/>
    <cellStyle name="Cálculo 3 3 4 2 5" xfId="3931" xr:uid="{00000000-0005-0000-0000-00004D0F0000}"/>
    <cellStyle name="Cálculo 3 3 4 2 6" xfId="3932" xr:uid="{00000000-0005-0000-0000-00004E0F0000}"/>
    <cellStyle name="Cálculo 3 3 4 3" xfId="3933" xr:uid="{00000000-0005-0000-0000-00004F0F0000}"/>
    <cellStyle name="Cálculo 3 3 4 4" xfId="3934" xr:uid="{00000000-0005-0000-0000-0000500F0000}"/>
    <cellStyle name="Cálculo 3 3 5" xfId="3935" xr:uid="{00000000-0005-0000-0000-0000510F0000}"/>
    <cellStyle name="Cálculo 3 3 5 2" xfId="3936" xr:uid="{00000000-0005-0000-0000-0000520F0000}"/>
    <cellStyle name="Cálculo 3 3 5 2 2" xfId="3937" xr:uid="{00000000-0005-0000-0000-0000530F0000}"/>
    <cellStyle name="Cálculo 3 3 5 2 2 2" xfId="3938" xr:uid="{00000000-0005-0000-0000-0000540F0000}"/>
    <cellStyle name="Cálculo 3 3 5 2 2 2 2" xfId="3939" xr:uid="{00000000-0005-0000-0000-0000550F0000}"/>
    <cellStyle name="Cálculo 3 3 5 2 2 2 3" xfId="3940" xr:uid="{00000000-0005-0000-0000-0000560F0000}"/>
    <cellStyle name="Cálculo 3 3 5 2 2 2 4" xfId="3941" xr:uid="{00000000-0005-0000-0000-0000570F0000}"/>
    <cellStyle name="Cálculo 3 3 5 2 2 3" xfId="3942" xr:uid="{00000000-0005-0000-0000-0000580F0000}"/>
    <cellStyle name="Cálculo 3 3 5 2 2 3 2" xfId="3943" xr:uid="{00000000-0005-0000-0000-0000590F0000}"/>
    <cellStyle name="Cálculo 3 3 5 2 2 3 3" xfId="3944" xr:uid="{00000000-0005-0000-0000-00005A0F0000}"/>
    <cellStyle name="Cálculo 3 3 5 2 2 3 4" xfId="3945" xr:uid="{00000000-0005-0000-0000-00005B0F0000}"/>
    <cellStyle name="Cálculo 3 3 5 2 2 4" xfId="3946" xr:uid="{00000000-0005-0000-0000-00005C0F0000}"/>
    <cellStyle name="Cálculo 3 3 5 2 2 5" xfId="3947" xr:uid="{00000000-0005-0000-0000-00005D0F0000}"/>
    <cellStyle name="Cálculo 3 3 5 2 2 6" xfId="3948" xr:uid="{00000000-0005-0000-0000-00005E0F0000}"/>
    <cellStyle name="Cálculo 3 3 5 2 3" xfId="3949" xr:uid="{00000000-0005-0000-0000-00005F0F0000}"/>
    <cellStyle name="Cálculo 3 3 5 2 3 2" xfId="3950" xr:uid="{00000000-0005-0000-0000-0000600F0000}"/>
    <cellStyle name="Cálculo 3 3 5 2 3 2 2" xfId="3951" xr:uid="{00000000-0005-0000-0000-0000610F0000}"/>
    <cellStyle name="Cálculo 3 3 5 2 3 2 3" xfId="3952" xr:uid="{00000000-0005-0000-0000-0000620F0000}"/>
    <cellStyle name="Cálculo 3 3 5 2 3 2 4" xfId="3953" xr:uid="{00000000-0005-0000-0000-0000630F0000}"/>
    <cellStyle name="Cálculo 3 3 5 2 3 3" xfId="3954" xr:uid="{00000000-0005-0000-0000-0000640F0000}"/>
    <cellStyle name="Cálculo 3 3 5 2 3 3 2" xfId="3955" xr:uid="{00000000-0005-0000-0000-0000650F0000}"/>
    <cellStyle name="Cálculo 3 3 5 2 3 3 3" xfId="3956" xr:uid="{00000000-0005-0000-0000-0000660F0000}"/>
    <cellStyle name="Cálculo 3 3 5 2 3 3 4" xfId="3957" xr:uid="{00000000-0005-0000-0000-0000670F0000}"/>
    <cellStyle name="Cálculo 3 3 5 2 3 4" xfId="3958" xr:uid="{00000000-0005-0000-0000-0000680F0000}"/>
    <cellStyle name="Cálculo 3 3 5 2 3 5" xfId="3959" xr:uid="{00000000-0005-0000-0000-0000690F0000}"/>
    <cellStyle name="Cálculo 3 3 5 2 3 6" xfId="3960" xr:uid="{00000000-0005-0000-0000-00006A0F0000}"/>
    <cellStyle name="Cálculo 3 3 5 2 4" xfId="3961" xr:uid="{00000000-0005-0000-0000-00006B0F0000}"/>
    <cellStyle name="Cálculo 3 3 5 2 5" xfId="3962" xr:uid="{00000000-0005-0000-0000-00006C0F0000}"/>
    <cellStyle name="Cálculo 3 3 5 2 6" xfId="3963" xr:uid="{00000000-0005-0000-0000-00006D0F0000}"/>
    <cellStyle name="Cálculo 3 3 5 3" xfId="3964" xr:uid="{00000000-0005-0000-0000-00006E0F0000}"/>
    <cellStyle name="Cálculo 3 3 5 4" xfId="3965" xr:uid="{00000000-0005-0000-0000-00006F0F0000}"/>
    <cellStyle name="Cálculo 3 3 6" xfId="3966" xr:uid="{00000000-0005-0000-0000-0000700F0000}"/>
    <cellStyle name="Cálculo 3 3 6 2" xfId="3967" xr:uid="{00000000-0005-0000-0000-0000710F0000}"/>
    <cellStyle name="Cálculo 3 3 6 2 2" xfId="3968" xr:uid="{00000000-0005-0000-0000-0000720F0000}"/>
    <cellStyle name="Cálculo 3 3 6 2 2 2" xfId="3969" xr:uid="{00000000-0005-0000-0000-0000730F0000}"/>
    <cellStyle name="Cálculo 3 3 6 2 2 3" xfId="3970" xr:uid="{00000000-0005-0000-0000-0000740F0000}"/>
    <cellStyle name="Cálculo 3 3 6 2 2 4" xfId="3971" xr:uid="{00000000-0005-0000-0000-0000750F0000}"/>
    <cellStyle name="Cálculo 3 3 6 2 3" xfId="3972" xr:uid="{00000000-0005-0000-0000-0000760F0000}"/>
    <cellStyle name="Cálculo 3 3 6 2 3 2" xfId="3973" xr:uid="{00000000-0005-0000-0000-0000770F0000}"/>
    <cellStyle name="Cálculo 3 3 6 2 3 3" xfId="3974" xr:uid="{00000000-0005-0000-0000-0000780F0000}"/>
    <cellStyle name="Cálculo 3 3 6 2 3 4" xfId="3975" xr:uid="{00000000-0005-0000-0000-0000790F0000}"/>
    <cellStyle name="Cálculo 3 3 6 2 4" xfId="3976" xr:uid="{00000000-0005-0000-0000-00007A0F0000}"/>
    <cellStyle name="Cálculo 3 3 6 2 5" xfId="3977" xr:uid="{00000000-0005-0000-0000-00007B0F0000}"/>
    <cellStyle name="Cálculo 3 3 6 2 6" xfId="3978" xr:uid="{00000000-0005-0000-0000-00007C0F0000}"/>
    <cellStyle name="Cálculo 3 3 6 3" xfId="3979" xr:uid="{00000000-0005-0000-0000-00007D0F0000}"/>
    <cellStyle name="Cálculo 3 3 6 3 2" xfId="3980" xr:uid="{00000000-0005-0000-0000-00007E0F0000}"/>
    <cellStyle name="Cálculo 3 3 6 3 2 2" xfId="3981" xr:uid="{00000000-0005-0000-0000-00007F0F0000}"/>
    <cellStyle name="Cálculo 3 3 6 3 2 3" xfId="3982" xr:uid="{00000000-0005-0000-0000-0000800F0000}"/>
    <cellStyle name="Cálculo 3 3 6 3 2 4" xfId="3983" xr:uid="{00000000-0005-0000-0000-0000810F0000}"/>
    <cellStyle name="Cálculo 3 3 6 3 3" xfId="3984" xr:uid="{00000000-0005-0000-0000-0000820F0000}"/>
    <cellStyle name="Cálculo 3 3 6 3 3 2" xfId="3985" xr:uid="{00000000-0005-0000-0000-0000830F0000}"/>
    <cellStyle name="Cálculo 3 3 6 3 3 3" xfId="3986" xr:uid="{00000000-0005-0000-0000-0000840F0000}"/>
    <cellStyle name="Cálculo 3 3 6 3 3 4" xfId="3987" xr:uid="{00000000-0005-0000-0000-0000850F0000}"/>
    <cellStyle name="Cálculo 3 3 6 3 4" xfId="3988" xr:uid="{00000000-0005-0000-0000-0000860F0000}"/>
    <cellStyle name="Cálculo 3 3 6 3 5" xfId="3989" xr:uid="{00000000-0005-0000-0000-0000870F0000}"/>
    <cellStyle name="Cálculo 3 3 6 3 6" xfId="3990" xr:uid="{00000000-0005-0000-0000-0000880F0000}"/>
    <cellStyle name="Cálculo 3 3 6 4" xfId="3991" xr:uid="{00000000-0005-0000-0000-0000890F0000}"/>
    <cellStyle name="Cálculo 3 3 6 4 2" xfId="3992" xr:uid="{00000000-0005-0000-0000-00008A0F0000}"/>
    <cellStyle name="Cálculo 3 3 6 4 3" xfId="3993" xr:uid="{00000000-0005-0000-0000-00008B0F0000}"/>
    <cellStyle name="Cálculo 3 3 6 4 4" xfId="3994" xr:uid="{00000000-0005-0000-0000-00008C0F0000}"/>
    <cellStyle name="Cálculo 3 3 6 5" xfId="3995" xr:uid="{00000000-0005-0000-0000-00008D0F0000}"/>
    <cellStyle name="Cálculo 3 3 6 6" xfId="3996" xr:uid="{00000000-0005-0000-0000-00008E0F0000}"/>
    <cellStyle name="Cálculo 3 3 7" xfId="3997" xr:uid="{00000000-0005-0000-0000-00008F0F0000}"/>
    <cellStyle name="Cálculo 3 3 7 2" xfId="3998" xr:uid="{00000000-0005-0000-0000-0000900F0000}"/>
    <cellStyle name="Cálculo 3 3 7 2 2" xfId="3999" xr:uid="{00000000-0005-0000-0000-0000910F0000}"/>
    <cellStyle name="Cálculo 3 3 7 2 2 2" xfId="4000" xr:uid="{00000000-0005-0000-0000-0000920F0000}"/>
    <cellStyle name="Cálculo 3 3 7 2 2 3" xfId="4001" xr:uid="{00000000-0005-0000-0000-0000930F0000}"/>
    <cellStyle name="Cálculo 3 3 7 2 2 4" xfId="4002" xr:uid="{00000000-0005-0000-0000-0000940F0000}"/>
    <cellStyle name="Cálculo 3 3 7 2 3" xfId="4003" xr:uid="{00000000-0005-0000-0000-0000950F0000}"/>
    <cellStyle name="Cálculo 3 3 7 2 3 2" xfId="4004" xr:uid="{00000000-0005-0000-0000-0000960F0000}"/>
    <cellStyle name="Cálculo 3 3 7 2 3 3" xfId="4005" xr:uid="{00000000-0005-0000-0000-0000970F0000}"/>
    <cellStyle name="Cálculo 3 3 7 2 3 4" xfId="4006" xr:uid="{00000000-0005-0000-0000-0000980F0000}"/>
    <cellStyle name="Cálculo 3 3 7 2 4" xfId="4007" xr:uid="{00000000-0005-0000-0000-0000990F0000}"/>
    <cellStyle name="Cálculo 3 3 7 2 5" xfId="4008" xr:uid="{00000000-0005-0000-0000-00009A0F0000}"/>
    <cellStyle name="Cálculo 3 3 7 2 6" xfId="4009" xr:uid="{00000000-0005-0000-0000-00009B0F0000}"/>
    <cellStyle name="Cálculo 3 3 7 3" xfId="4010" xr:uid="{00000000-0005-0000-0000-00009C0F0000}"/>
    <cellStyle name="Cálculo 3 3 7 3 2" xfId="4011" xr:uid="{00000000-0005-0000-0000-00009D0F0000}"/>
    <cellStyle name="Cálculo 3 3 7 3 2 2" xfId="4012" xr:uid="{00000000-0005-0000-0000-00009E0F0000}"/>
    <cellStyle name="Cálculo 3 3 7 3 2 3" xfId="4013" xr:uid="{00000000-0005-0000-0000-00009F0F0000}"/>
    <cellStyle name="Cálculo 3 3 7 3 2 4" xfId="4014" xr:uid="{00000000-0005-0000-0000-0000A00F0000}"/>
    <cellStyle name="Cálculo 3 3 7 3 3" xfId="4015" xr:uid="{00000000-0005-0000-0000-0000A10F0000}"/>
    <cellStyle name="Cálculo 3 3 7 3 3 2" xfId="4016" xr:uid="{00000000-0005-0000-0000-0000A20F0000}"/>
    <cellStyle name="Cálculo 3 3 7 3 3 3" xfId="4017" xr:uid="{00000000-0005-0000-0000-0000A30F0000}"/>
    <cellStyle name="Cálculo 3 3 7 3 3 4" xfId="4018" xr:uid="{00000000-0005-0000-0000-0000A40F0000}"/>
    <cellStyle name="Cálculo 3 3 7 3 4" xfId="4019" xr:uid="{00000000-0005-0000-0000-0000A50F0000}"/>
    <cellStyle name="Cálculo 3 3 7 3 5" xfId="4020" xr:uid="{00000000-0005-0000-0000-0000A60F0000}"/>
    <cellStyle name="Cálculo 3 3 7 3 6" xfId="4021" xr:uid="{00000000-0005-0000-0000-0000A70F0000}"/>
    <cellStyle name="Cálculo 3 3 7 4" xfId="4022" xr:uid="{00000000-0005-0000-0000-0000A80F0000}"/>
    <cellStyle name="Cálculo 3 3 7 4 2" xfId="4023" xr:uid="{00000000-0005-0000-0000-0000A90F0000}"/>
    <cellStyle name="Cálculo 3 3 7 4 3" xfId="4024" xr:uid="{00000000-0005-0000-0000-0000AA0F0000}"/>
    <cellStyle name="Cálculo 3 3 7 4 4" xfId="4025" xr:uid="{00000000-0005-0000-0000-0000AB0F0000}"/>
    <cellStyle name="Cálculo 3 3 7 5" xfId="4026" xr:uid="{00000000-0005-0000-0000-0000AC0F0000}"/>
    <cellStyle name="Cálculo 3 3 7 6" xfId="4027" xr:uid="{00000000-0005-0000-0000-0000AD0F0000}"/>
    <cellStyle name="Cálculo 3 3 8" xfId="4028" xr:uid="{00000000-0005-0000-0000-0000AE0F0000}"/>
    <cellStyle name="Cálculo 3 3 8 2" xfId="4029" xr:uid="{00000000-0005-0000-0000-0000AF0F0000}"/>
    <cellStyle name="Cálculo 3 3 8 2 2" xfId="4030" xr:uid="{00000000-0005-0000-0000-0000B00F0000}"/>
    <cellStyle name="Cálculo 3 3 8 2 2 2" xfId="4031" xr:uid="{00000000-0005-0000-0000-0000B10F0000}"/>
    <cellStyle name="Cálculo 3 3 8 2 2 3" xfId="4032" xr:uid="{00000000-0005-0000-0000-0000B20F0000}"/>
    <cellStyle name="Cálculo 3 3 8 2 2 4" xfId="4033" xr:uid="{00000000-0005-0000-0000-0000B30F0000}"/>
    <cellStyle name="Cálculo 3 3 8 2 3" xfId="4034" xr:uid="{00000000-0005-0000-0000-0000B40F0000}"/>
    <cellStyle name="Cálculo 3 3 8 2 3 2" xfId="4035" xr:uid="{00000000-0005-0000-0000-0000B50F0000}"/>
    <cellStyle name="Cálculo 3 3 8 2 3 3" xfId="4036" xr:uid="{00000000-0005-0000-0000-0000B60F0000}"/>
    <cellStyle name="Cálculo 3 3 8 2 3 4" xfId="4037" xr:uid="{00000000-0005-0000-0000-0000B70F0000}"/>
    <cellStyle name="Cálculo 3 3 8 2 4" xfId="4038" xr:uid="{00000000-0005-0000-0000-0000B80F0000}"/>
    <cellStyle name="Cálculo 3 3 8 2 5" xfId="4039" xr:uid="{00000000-0005-0000-0000-0000B90F0000}"/>
    <cellStyle name="Cálculo 3 3 8 2 6" xfId="4040" xr:uid="{00000000-0005-0000-0000-0000BA0F0000}"/>
    <cellStyle name="Cálculo 3 3 8 3" xfId="4041" xr:uid="{00000000-0005-0000-0000-0000BB0F0000}"/>
    <cellStyle name="Cálculo 3 3 8 3 2" xfId="4042" xr:uid="{00000000-0005-0000-0000-0000BC0F0000}"/>
    <cellStyle name="Cálculo 3 3 8 3 2 2" xfId="4043" xr:uid="{00000000-0005-0000-0000-0000BD0F0000}"/>
    <cellStyle name="Cálculo 3 3 8 3 2 3" xfId="4044" xr:uid="{00000000-0005-0000-0000-0000BE0F0000}"/>
    <cellStyle name="Cálculo 3 3 8 3 2 4" xfId="4045" xr:uid="{00000000-0005-0000-0000-0000BF0F0000}"/>
    <cellStyle name="Cálculo 3 3 8 3 3" xfId="4046" xr:uid="{00000000-0005-0000-0000-0000C00F0000}"/>
    <cellStyle name="Cálculo 3 3 8 3 3 2" xfId="4047" xr:uid="{00000000-0005-0000-0000-0000C10F0000}"/>
    <cellStyle name="Cálculo 3 3 8 3 3 3" xfId="4048" xr:uid="{00000000-0005-0000-0000-0000C20F0000}"/>
    <cellStyle name="Cálculo 3 3 8 3 3 4" xfId="4049" xr:uid="{00000000-0005-0000-0000-0000C30F0000}"/>
    <cellStyle name="Cálculo 3 3 8 3 4" xfId="4050" xr:uid="{00000000-0005-0000-0000-0000C40F0000}"/>
    <cellStyle name="Cálculo 3 3 8 3 5" xfId="4051" xr:uid="{00000000-0005-0000-0000-0000C50F0000}"/>
    <cellStyle name="Cálculo 3 3 8 3 6" xfId="4052" xr:uid="{00000000-0005-0000-0000-0000C60F0000}"/>
    <cellStyle name="Cálculo 3 3 8 4" xfId="4053" xr:uid="{00000000-0005-0000-0000-0000C70F0000}"/>
    <cellStyle name="Cálculo 3 3 8 4 2" xfId="4054" xr:uid="{00000000-0005-0000-0000-0000C80F0000}"/>
    <cellStyle name="Cálculo 3 3 8 4 3" xfId="4055" xr:uid="{00000000-0005-0000-0000-0000C90F0000}"/>
    <cellStyle name="Cálculo 3 3 8 4 4" xfId="4056" xr:uid="{00000000-0005-0000-0000-0000CA0F0000}"/>
    <cellStyle name="Cálculo 3 3 8 5" xfId="4057" xr:uid="{00000000-0005-0000-0000-0000CB0F0000}"/>
    <cellStyle name="Cálculo 3 3 8 6" xfId="4058" xr:uid="{00000000-0005-0000-0000-0000CC0F0000}"/>
    <cellStyle name="Cálculo 3 3 9" xfId="4059" xr:uid="{00000000-0005-0000-0000-0000CD0F0000}"/>
    <cellStyle name="Cálculo 3 3 9 2" xfId="4060" xr:uid="{00000000-0005-0000-0000-0000CE0F0000}"/>
    <cellStyle name="Cálculo 3 3 9 2 2" xfId="4061" xr:uid="{00000000-0005-0000-0000-0000CF0F0000}"/>
    <cellStyle name="Cálculo 3 3 9 2 2 2" xfId="4062" xr:uid="{00000000-0005-0000-0000-0000D00F0000}"/>
    <cellStyle name="Cálculo 3 3 9 2 2 3" xfId="4063" xr:uid="{00000000-0005-0000-0000-0000D10F0000}"/>
    <cellStyle name="Cálculo 3 3 9 2 2 4" xfId="4064" xr:uid="{00000000-0005-0000-0000-0000D20F0000}"/>
    <cellStyle name="Cálculo 3 3 9 2 3" xfId="4065" xr:uid="{00000000-0005-0000-0000-0000D30F0000}"/>
    <cellStyle name="Cálculo 3 3 9 2 3 2" xfId="4066" xr:uid="{00000000-0005-0000-0000-0000D40F0000}"/>
    <cellStyle name="Cálculo 3 3 9 2 3 3" xfId="4067" xr:uid="{00000000-0005-0000-0000-0000D50F0000}"/>
    <cellStyle name="Cálculo 3 3 9 2 3 4" xfId="4068" xr:uid="{00000000-0005-0000-0000-0000D60F0000}"/>
    <cellStyle name="Cálculo 3 3 9 2 4" xfId="4069" xr:uid="{00000000-0005-0000-0000-0000D70F0000}"/>
    <cellStyle name="Cálculo 3 3 9 2 5" xfId="4070" xr:uid="{00000000-0005-0000-0000-0000D80F0000}"/>
    <cellStyle name="Cálculo 3 3 9 2 6" xfId="4071" xr:uid="{00000000-0005-0000-0000-0000D90F0000}"/>
    <cellStyle name="Cálculo 3 3 9 3" xfId="4072" xr:uid="{00000000-0005-0000-0000-0000DA0F0000}"/>
    <cellStyle name="Cálculo 3 3 9 3 2" xfId="4073" xr:uid="{00000000-0005-0000-0000-0000DB0F0000}"/>
    <cellStyle name="Cálculo 3 3 9 3 2 2" xfId="4074" xr:uid="{00000000-0005-0000-0000-0000DC0F0000}"/>
    <cellStyle name="Cálculo 3 3 9 3 2 3" xfId="4075" xr:uid="{00000000-0005-0000-0000-0000DD0F0000}"/>
    <cellStyle name="Cálculo 3 3 9 3 2 4" xfId="4076" xr:uid="{00000000-0005-0000-0000-0000DE0F0000}"/>
    <cellStyle name="Cálculo 3 3 9 3 3" xfId="4077" xr:uid="{00000000-0005-0000-0000-0000DF0F0000}"/>
    <cellStyle name="Cálculo 3 3 9 3 3 2" xfId="4078" xr:uid="{00000000-0005-0000-0000-0000E00F0000}"/>
    <cellStyle name="Cálculo 3 3 9 3 3 3" xfId="4079" xr:uid="{00000000-0005-0000-0000-0000E10F0000}"/>
    <cellStyle name="Cálculo 3 3 9 3 3 4" xfId="4080" xr:uid="{00000000-0005-0000-0000-0000E20F0000}"/>
    <cellStyle name="Cálculo 3 3 9 3 4" xfId="4081" xr:uid="{00000000-0005-0000-0000-0000E30F0000}"/>
    <cellStyle name="Cálculo 3 3 9 3 5" xfId="4082" xr:uid="{00000000-0005-0000-0000-0000E40F0000}"/>
    <cellStyle name="Cálculo 3 3 9 3 6" xfId="4083" xr:uid="{00000000-0005-0000-0000-0000E50F0000}"/>
    <cellStyle name="Cálculo 3 3 9 4" xfId="4084" xr:uid="{00000000-0005-0000-0000-0000E60F0000}"/>
    <cellStyle name="Cálculo 3 3 9 4 2" xfId="4085" xr:uid="{00000000-0005-0000-0000-0000E70F0000}"/>
    <cellStyle name="Cálculo 3 3 9 4 3" xfId="4086" xr:uid="{00000000-0005-0000-0000-0000E80F0000}"/>
    <cellStyle name="Cálculo 3 3 9 4 4" xfId="4087" xr:uid="{00000000-0005-0000-0000-0000E90F0000}"/>
    <cellStyle name="Cálculo 3 3 9 5" xfId="4088" xr:uid="{00000000-0005-0000-0000-0000EA0F0000}"/>
    <cellStyle name="Cálculo 3 3 9 6" xfId="4089" xr:uid="{00000000-0005-0000-0000-0000EB0F0000}"/>
    <cellStyle name="Cálculo 3 4" xfId="4090" xr:uid="{00000000-0005-0000-0000-0000EC0F0000}"/>
    <cellStyle name="Cálculo 3 4 2" xfId="4091" xr:uid="{00000000-0005-0000-0000-0000ED0F0000}"/>
    <cellStyle name="Cálculo 3 4 2 2" xfId="4092" xr:uid="{00000000-0005-0000-0000-0000EE0F0000}"/>
    <cellStyle name="Cálculo 3 4 2 2 2" xfId="4093" xr:uid="{00000000-0005-0000-0000-0000EF0F0000}"/>
    <cellStyle name="Cálculo 3 4 2 2 2 2" xfId="4094" xr:uid="{00000000-0005-0000-0000-0000F00F0000}"/>
    <cellStyle name="Cálculo 3 4 2 2 2 3" xfId="4095" xr:uid="{00000000-0005-0000-0000-0000F10F0000}"/>
    <cellStyle name="Cálculo 3 4 2 2 2 4" xfId="4096" xr:uid="{00000000-0005-0000-0000-0000F20F0000}"/>
    <cellStyle name="Cálculo 3 4 2 2 3" xfId="4097" xr:uid="{00000000-0005-0000-0000-0000F30F0000}"/>
    <cellStyle name="Cálculo 3 4 2 2 3 2" xfId="4098" xr:uid="{00000000-0005-0000-0000-0000F40F0000}"/>
    <cellStyle name="Cálculo 3 4 2 2 3 3" xfId="4099" xr:uid="{00000000-0005-0000-0000-0000F50F0000}"/>
    <cellStyle name="Cálculo 3 4 2 2 3 4" xfId="4100" xr:uid="{00000000-0005-0000-0000-0000F60F0000}"/>
    <cellStyle name="Cálculo 3 4 2 2 4" xfId="4101" xr:uid="{00000000-0005-0000-0000-0000F70F0000}"/>
    <cellStyle name="Cálculo 3 4 2 2 5" xfId="4102" xr:uid="{00000000-0005-0000-0000-0000F80F0000}"/>
    <cellStyle name="Cálculo 3 4 2 2 6" xfId="4103" xr:uid="{00000000-0005-0000-0000-0000F90F0000}"/>
    <cellStyle name="Cálculo 3 4 2 3" xfId="4104" xr:uid="{00000000-0005-0000-0000-0000FA0F0000}"/>
    <cellStyle name="Cálculo 3 4 2 3 2" xfId="4105" xr:uid="{00000000-0005-0000-0000-0000FB0F0000}"/>
    <cellStyle name="Cálculo 3 4 2 3 2 2" xfId="4106" xr:uid="{00000000-0005-0000-0000-0000FC0F0000}"/>
    <cellStyle name="Cálculo 3 4 2 3 2 3" xfId="4107" xr:uid="{00000000-0005-0000-0000-0000FD0F0000}"/>
    <cellStyle name="Cálculo 3 4 2 3 2 4" xfId="4108" xr:uid="{00000000-0005-0000-0000-0000FE0F0000}"/>
    <cellStyle name="Cálculo 3 4 2 3 3" xfId="4109" xr:uid="{00000000-0005-0000-0000-0000FF0F0000}"/>
    <cellStyle name="Cálculo 3 4 2 3 3 2" xfId="4110" xr:uid="{00000000-0005-0000-0000-000000100000}"/>
    <cellStyle name="Cálculo 3 4 2 3 3 3" xfId="4111" xr:uid="{00000000-0005-0000-0000-000001100000}"/>
    <cellStyle name="Cálculo 3 4 2 3 3 4" xfId="4112" xr:uid="{00000000-0005-0000-0000-000002100000}"/>
    <cellStyle name="Cálculo 3 4 2 3 4" xfId="4113" xr:uid="{00000000-0005-0000-0000-000003100000}"/>
    <cellStyle name="Cálculo 3 4 2 3 5" xfId="4114" xr:uid="{00000000-0005-0000-0000-000004100000}"/>
    <cellStyle name="Cálculo 3 4 2 3 6" xfId="4115" xr:uid="{00000000-0005-0000-0000-000005100000}"/>
    <cellStyle name="Cálculo 3 4 2 4" xfId="4116" xr:uid="{00000000-0005-0000-0000-000006100000}"/>
    <cellStyle name="Cálculo 3 4 2 5" xfId="4117" xr:uid="{00000000-0005-0000-0000-000007100000}"/>
    <cellStyle name="Cálculo 3 4 2 6" xfId="4118" xr:uid="{00000000-0005-0000-0000-000008100000}"/>
    <cellStyle name="Cálculo 3 4 3" xfId="4119" xr:uid="{00000000-0005-0000-0000-000009100000}"/>
    <cellStyle name="Cálculo 3 4 4" xfId="4120" xr:uid="{00000000-0005-0000-0000-00000A100000}"/>
    <cellStyle name="Cálculo 3 5" xfId="4121" xr:uid="{00000000-0005-0000-0000-00000B100000}"/>
    <cellStyle name="Cálculo 3 5 2" xfId="4122" xr:uid="{00000000-0005-0000-0000-00000C100000}"/>
    <cellStyle name="Cálculo 3 5 2 2" xfId="4123" xr:uid="{00000000-0005-0000-0000-00000D100000}"/>
    <cellStyle name="Cálculo 3 5 2 2 2" xfId="4124" xr:uid="{00000000-0005-0000-0000-00000E100000}"/>
    <cellStyle name="Cálculo 3 5 2 2 2 2" xfId="4125" xr:uid="{00000000-0005-0000-0000-00000F100000}"/>
    <cellStyle name="Cálculo 3 5 2 2 2 3" xfId="4126" xr:uid="{00000000-0005-0000-0000-000010100000}"/>
    <cellStyle name="Cálculo 3 5 2 2 2 4" xfId="4127" xr:uid="{00000000-0005-0000-0000-000011100000}"/>
    <cellStyle name="Cálculo 3 5 2 2 3" xfId="4128" xr:uid="{00000000-0005-0000-0000-000012100000}"/>
    <cellStyle name="Cálculo 3 5 2 2 3 2" xfId="4129" xr:uid="{00000000-0005-0000-0000-000013100000}"/>
    <cellStyle name="Cálculo 3 5 2 2 3 3" xfId="4130" xr:uid="{00000000-0005-0000-0000-000014100000}"/>
    <cellStyle name="Cálculo 3 5 2 2 3 4" xfId="4131" xr:uid="{00000000-0005-0000-0000-000015100000}"/>
    <cellStyle name="Cálculo 3 5 2 2 4" xfId="4132" xr:uid="{00000000-0005-0000-0000-000016100000}"/>
    <cellStyle name="Cálculo 3 5 2 2 5" xfId="4133" xr:uid="{00000000-0005-0000-0000-000017100000}"/>
    <cellStyle name="Cálculo 3 5 2 2 6" xfId="4134" xr:uid="{00000000-0005-0000-0000-000018100000}"/>
    <cellStyle name="Cálculo 3 5 2 3" xfId="4135" xr:uid="{00000000-0005-0000-0000-000019100000}"/>
    <cellStyle name="Cálculo 3 5 2 3 2" xfId="4136" xr:uid="{00000000-0005-0000-0000-00001A100000}"/>
    <cellStyle name="Cálculo 3 5 2 3 2 2" xfId="4137" xr:uid="{00000000-0005-0000-0000-00001B100000}"/>
    <cellStyle name="Cálculo 3 5 2 3 2 3" xfId="4138" xr:uid="{00000000-0005-0000-0000-00001C100000}"/>
    <cellStyle name="Cálculo 3 5 2 3 2 4" xfId="4139" xr:uid="{00000000-0005-0000-0000-00001D100000}"/>
    <cellStyle name="Cálculo 3 5 2 3 3" xfId="4140" xr:uid="{00000000-0005-0000-0000-00001E100000}"/>
    <cellStyle name="Cálculo 3 5 2 3 3 2" xfId="4141" xr:uid="{00000000-0005-0000-0000-00001F100000}"/>
    <cellStyle name="Cálculo 3 5 2 3 3 3" xfId="4142" xr:uid="{00000000-0005-0000-0000-000020100000}"/>
    <cellStyle name="Cálculo 3 5 2 3 3 4" xfId="4143" xr:uid="{00000000-0005-0000-0000-000021100000}"/>
    <cellStyle name="Cálculo 3 5 2 3 4" xfId="4144" xr:uid="{00000000-0005-0000-0000-000022100000}"/>
    <cellStyle name="Cálculo 3 5 2 3 5" xfId="4145" xr:uid="{00000000-0005-0000-0000-000023100000}"/>
    <cellStyle name="Cálculo 3 5 2 3 6" xfId="4146" xr:uid="{00000000-0005-0000-0000-000024100000}"/>
    <cellStyle name="Cálculo 3 5 2 4" xfId="4147" xr:uid="{00000000-0005-0000-0000-000025100000}"/>
    <cellStyle name="Cálculo 3 5 2 5" xfId="4148" xr:uid="{00000000-0005-0000-0000-000026100000}"/>
    <cellStyle name="Cálculo 3 5 2 6" xfId="4149" xr:uid="{00000000-0005-0000-0000-000027100000}"/>
    <cellStyle name="Cálculo 3 5 3" xfId="4150" xr:uid="{00000000-0005-0000-0000-000028100000}"/>
    <cellStyle name="Cálculo 3 5 4" xfId="4151" xr:uid="{00000000-0005-0000-0000-000029100000}"/>
    <cellStyle name="Cálculo 3 6" xfId="4152" xr:uid="{00000000-0005-0000-0000-00002A100000}"/>
    <cellStyle name="Cálculo 3 6 2" xfId="4153" xr:uid="{00000000-0005-0000-0000-00002B100000}"/>
    <cellStyle name="Cálculo 3 6 2 2" xfId="4154" xr:uid="{00000000-0005-0000-0000-00002C100000}"/>
    <cellStyle name="Cálculo 3 6 2 2 2" xfId="4155" xr:uid="{00000000-0005-0000-0000-00002D100000}"/>
    <cellStyle name="Cálculo 3 6 2 2 2 2" xfId="4156" xr:uid="{00000000-0005-0000-0000-00002E100000}"/>
    <cellStyle name="Cálculo 3 6 2 2 2 3" xfId="4157" xr:uid="{00000000-0005-0000-0000-00002F100000}"/>
    <cellStyle name="Cálculo 3 6 2 2 2 4" xfId="4158" xr:uid="{00000000-0005-0000-0000-000030100000}"/>
    <cellStyle name="Cálculo 3 6 2 2 3" xfId="4159" xr:uid="{00000000-0005-0000-0000-000031100000}"/>
    <cellStyle name="Cálculo 3 6 2 2 3 2" xfId="4160" xr:uid="{00000000-0005-0000-0000-000032100000}"/>
    <cellStyle name="Cálculo 3 6 2 2 3 3" xfId="4161" xr:uid="{00000000-0005-0000-0000-000033100000}"/>
    <cellStyle name="Cálculo 3 6 2 2 3 4" xfId="4162" xr:uid="{00000000-0005-0000-0000-000034100000}"/>
    <cellStyle name="Cálculo 3 6 2 2 4" xfId="4163" xr:uid="{00000000-0005-0000-0000-000035100000}"/>
    <cellStyle name="Cálculo 3 6 2 2 5" xfId="4164" xr:uid="{00000000-0005-0000-0000-000036100000}"/>
    <cellStyle name="Cálculo 3 6 2 2 6" xfId="4165" xr:uid="{00000000-0005-0000-0000-000037100000}"/>
    <cellStyle name="Cálculo 3 6 2 3" xfId="4166" xr:uid="{00000000-0005-0000-0000-000038100000}"/>
    <cellStyle name="Cálculo 3 6 2 3 2" xfId="4167" xr:uid="{00000000-0005-0000-0000-000039100000}"/>
    <cellStyle name="Cálculo 3 6 2 3 2 2" xfId="4168" xr:uid="{00000000-0005-0000-0000-00003A100000}"/>
    <cellStyle name="Cálculo 3 6 2 3 2 3" xfId="4169" xr:uid="{00000000-0005-0000-0000-00003B100000}"/>
    <cellStyle name="Cálculo 3 6 2 3 2 4" xfId="4170" xr:uid="{00000000-0005-0000-0000-00003C100000}"/>
    <cellStyle name="Cálculo 3 6 2 3 3" xfId="4171" xr:uid="{00000000-0005-0000-0000-00003D100000}"/>
    <cellStyle name="Cálculo 3 6 2 3 3 2" xfId="4172" xr:uid="{00000000-0005-0000-0000-00003E100000}"/>
    <cellStyle name="Cálculo 3 6 2 3 3 3" xfId="4173" xr:uid="{00000000-0005-0000-0000-00003F100000}"/>
    <cellStyle name="Cálculo 3 6 2 3 3 4" xfId="4174" xr:uid="{00000000-0005-0000-0000-000040100000}"/>
    <cellStyle name="Cálculo 3 6 2 3 4" xfId="4175" xr:uid="{00000000-0005-0000-0000-000041100000}"/>
    <cellStyle name="Cálculo 3 6 2 3 5" xfId="4176" xr:uid="{00000000-0005-0000-0000-000042100000}"/>
    <cellStyle name="Cálculo 3 6 2 3 6" xfId="4177" xr:uid="{00000000-0005-0000-0000-000043100000}"/>
    <cellStyle name="Cálculo 3 6 2 4" xfId="4178" xr:uid="{00000000-0005-0000-0000-000044100000}"/>
    <cellStyle name="Cálculo 3 6 2 5" xfId="4179" xr:uid="{00000000-0005-0000-0000-000045100000}"/>
    <cellStyle name="Cálculo 3 6 2 6" xfId="4180" xr:uid="{00000000-0005-0000-0000-000046100000}"/>
    <cellStyle name="Cálculo 3 6 3" xfId="4181" xr:uid="{00000000-0005-0000-0000-000047100000}"/>
    <cellStyle name="Cálculo 3 6 4" xfId="4182" xr:uid="{00000000-0005-0000-0000-000048100000}"/>
    <cellStyle name="Cálculo 3 7" xfId="4183" xr:uid="{00000000-0005-0000-0000-000049100000}"/>
    <cellStyle name="Cálculo 3 7 2" xfId="4184" xr:uid="{00000000-0005-0000-0000-00004A100000}"/>
    <cellStyle name="Cálculo 3 7 2 2" xfId="4185" xr:uid="{00000000-0005-0000-0000-00004B100000}"/>
    <cellStyle name="Cálculo 3 7 2 2 2" xfId="4186" xr:uid="{00000000-0005-0000-0000-00004C100000}"/>
    <cellStyle name="Cálculo 3 7 2 2 2 2" xfId="4187" xr:uid="{00000000-0005-0000-0000-00004D100000}"/>
    <cellStyle name="Cálculo 3 7 2 2 2 3" xfId="4188" xr:uid="{00000000-0005-0000-0000-00004E100000}"/>
    <cellStyle name="Cálculo 3 7 2 2 2 4" xfId="4189" xr:uid="{00000000-0005-0000-0000-00004F100000}"/>
    <cellStyle name="Cálculo 3 7 2 2 3" xfId="4190" xr:uid="{00000000-0005-0000-0000-000050100000}"/>
    <cellStyle name="Cálculo 3 7 2 2 3 2" xfId="4191" xr:uid="{00000000-0005-0000-0000-000051100000}"/>
    <cellStyle name="Cálculo 3 7 2 2 3 3" xfId="4192" xr:uid="{00000000-0005-0000-0000-000052100000}"/>
    <cellStyle name="Cálculo 3 7 2 2 3 4" xfId="4193" xr:uid="{00000000-0005-0000-0000-000053100000}"/>
    <cellStyle name="Cálculo 3 7 2 2 4" xfId="4194" xr:uid="{00000000-0005-0000-0000-000054100000}"/>
    <cellStyle name="Cálculo 3 7 2 2 5" xfId="4195" xr:uid="{00000000-0005-0000-0000-000055100000}"/>
    <cellStyle name="Cálculo 3 7 2 2 6" xfId="4196" xr:uid="{00000000-0005-0000-0000-000056100000}"/>
    <cellStyle name="Cálculo 3 7 2 3" xfId="4197" xr:uid="{00000000-0005-0000-0000-000057100000}"/>
    <cellStyle name="Cálculo 3 7 2 3 2" xfId="4198" xr:uid="{00000000-0005-0000-0000-000058100000}"/>
    <cellStyle name="Cálculo 3 7 2 3 2 2" xfId="4199" xr:uid="{00000000-0005-0000-0000-000059100000}"/>
    <cellStyle name="Cálculo 3 7 2 3 2 3" xfId="4200" xr:uid="{00000000-0005-0000-0000-00005A100000}"/>
    <cellStyle name="Cálculo 3 7 2 3 2 4" xfId="4201" xr:uid="{00000000-0005-0000-0000-00005B100000}"/>
    <cellStyle name="Cálculo 3 7 2 3 3" xfId="4202" xr:uid="{00000000-0005-0000-0000-00005C100000}"/>
    <cellStyle name="Cálculo 3 7 2 3 3 2" xfId="4203" xr:uid="{00000000-0005-0000-0000-00005D100000}"/>
    <cellStyle name="Cálculo 3 7 2 3 3 3" xfId="4204" xr:uid="{00000000-0005-0000-0000-00005E100000}"/>
    <cellStyle name="Cálculo 3 7 2 3 3 4" xfId="4205" xr:uid="{00000000-0005-0000-0000-00005F100000}"/>
    <cellStyle name="Cálculo 3 7 2 3 4" xfId="4206" xr:uid="{00000000-0005-0000-0000-000060100000}"/>
    <cellStyle name="Cálculo 3 7 2 3 5" xfId="4207" xr:uid="{00000000-0005-0000-0000-000061100000}"/>
    <cellStyle name="Cálculo 3 7 2 3 6" xfId="4208" xr:uid="{00000000-0005-0000-0000-000062100000}"/>
    <cellStyle name="Cálculo 3 7 2 4" xfId="4209" xr:uid="{00000000-0005-0000-0000-000063100000}"/>
    <cellStyle name="Cálculo 3 7 2 5" xfId="4210" xr:uid="{00000000-0005-0000-0000-000064100000}"/>
    <cellStyle name="Cálculo 3 7 2 6" xfId="4211" xr:uid="{00000000-0005-0000-0000-000065100000}"/>
    <cellStyle name="Cálculo 3 7 3" xfId="4212" xr:uid="{00000000-0005-0000-0000-000066100000}"/>
    <cellStyle name="Cálculo 3 7 4" xfId="4213" xr:uid="{00000000-0005-0000-0000-000067100000}"/>
    <cellStyle name="Cálculo 3 8" xfId="4214" xr:uid="{00000000-0005-0000-0000-000068100000}"/>
    <cellStyle name="Cálculo 3 8 2" xfId="4215" xr:uid="{00000000-0005-0000-0000-000069100000}"/>
    <cellStyle name="Cálculo 3 8 2 2" xfId="4216" xr:uid="{00000000-0005-0000-0000-00006A100000}"/>
    <cellStyle name="Cálculo 3 8 2 2 2" xfId="4217" xr:uid="{00000000-0005-0000-0000-00006B100000}"/>
    <cellStyle name="Cálculo 3 8 2 2 3" xfId="4218" xr:uid="{00000000-0005-0000-0000-00006C100000}"/>
    <cellStyle name="Cálculo 3 8 2 2 4" xfId="4219" xr:uid="{00000000-0005-0000-0000-00006D100000}"/>
    <cellStyle name="Cálculo 3 8 2 3" xfId="4220" xr:uid="{00000000-0005-0000-0000-00006E100000}"/>
    <cellStyle name="Cálculo 3 8 2 3 2" xfId="4221" xr:uid="{00000000-0005-0000-0000-00006F100000}"/>
    <cellStyle name="Cálculo 3 8 2 3 3" xfId="4222" xr:uid="{00000000-0005-0000-0000-000070100000}"/>
    <cellStyle name="Cálculo 3 8 2 3 4" xfId="4223" xr:uid="{00000000-0005-0000-0000-000071100000}"/>
    <cellStyle name="Cálculo 3 8 2 4" xfId="4224" xr:uid="{00000000-0005-0000-0000-000072100000}"/>
    <cellStyle name="Cálculo 3 8 2 5" xfId="4225" xr:uid="{00000000-0005-0000-0000-000073100000}"/>
    <cellStyle name="Cálculo 3 8 2 6" xfId="4226" xr:uid="{00000000-0005-0000-0000-000074100000}"/>
    <cellStyle name="Cálculo 3 8 3" xfId="4227" xr:uid="{00000000-0005-0000-0000-000075100000}"/>
    <cellStyle name="Cálculo 3 8 3 2" xfId="4228" xr:uid="{00000000-0005-0000-0000-000076100000}"/>
    <cellStyle name="Cálculo 3 8 3 2 2" xfId="4229" xr:uid="{00000000-0005-0000-0000-000077100000}"/>
    <cellStyle name="Cálculo 3 8 3 2 3" xfId="4230" xr:uid="{00000000-0005-0000-0000-000078100000}"/>
    <cellStyle name="Cálculo 3 8 3 2 4" xfId="4231" xr:uid="{00000000-0005-0000-0000-000079100000}"/>
    <cellStyle name="Cálculo 3 8 3 3" xfId="4232" xr:uid="{00000000-0005-0000-0000-00007A100000}"/>
    <cellStyle name="Cálculo 3 8 3 3 2" xfId="4233" xr:uid="{00000000-0005-0000-0000-00007B100000}"/>
    <cellStyle name="Cálculo 3 8 3 3 3" xfId="4234" xr:uid="{00000000-0005-0000-0000-00007C100000}"/>
    <cellStyle name="Cálculo 3 8 3 3 4" xfId="4235" xr:uid="{00000000-0005-0000-0000-00007D100000}"/>
    <cellStyle name="Cálculo 3 8 3 4" xfId="4236" xr:uid="{00000000-0005-0000-0000-00007E100000}"/>
    <cellStyle name="Cálculo 3 8 3 5" xfId="4237" xr:uid="{00000000-0005-0000-0000-00007F100000}"/>
    <cellStyle name="Cálculo 3 8 3 6" xfId="4238" xr:uid="{00000000-0005-0000-0000-000080100000}"/>
    <cellStyle name="Cálculo 3 8 4" xfId="4239" xr:uid="{00000000-0005-0000-0000-000081100000}"/>
    <cellStyle name="Cálculo 3 8 4 2" xfId="4240" xr:uid="{00000000-0005-0000-0000-000082100000}"/>
    <cellStyle name="Cálculo 3 8 4 3" xfId="4241" xr:uid="{00000000-0005-0000-0000-000083100000}"/>
    <cellStyle name="Cálculo 3 8 4 4" xfId="4242" xr:uid="{00000000-0005-0000-0000-000084100000}"/>
    <cellStyle name="Cálculo 3 8 5" xfId="4243" xr:uid="{00000000-0005-0000-0000-000085100000}"/>
    <cellStyle name="Cálculo 3 8 6" xfId="4244" xr:uid="{00000000-0005-0000-0000-000086100000}"/>
    <cellStyle name="Cálculo 3 9" xfId="4245" xr:uid="{00000000-0005-0000-0000-000087100000}"/>
    <cellStyle name="Cálculo 3 9 2" xfId="4246" xr:uid="{00000000-0005-0000-0000-000088100000}"/>
    <cellStyle name="Cálculo 3 9 2 2" xfId="4247" xr:uid="{00000000-0005-0000-0000-000089100000}"/>
    <cellStyle name="Cálculo 3 9 2 2 2" xfId="4248" xr:uid="{00000000-0005-0000-0000-00008A100000}"/>
    <cellStyle name="Cálculo 3 9 2 2 3" xfId="4249" xr:uid="{00000000-0005-0000-0000-00008B100000}"/>
    <cellStyle name="Cálculo 3 9 2 2 4" xfId="4250" xr:uid="{00000000-0005-0000-0000-00008C100000}"/>
    <cellStyle name="Cálculo 3 9 2 3" xfId="4251" xr:uid="{00000000-0005-0000-0000-00008D100000}"/>
    <cellStyle name="Cálculo 3 9 2 3 2" xfId="4252" xr:uid="{00000000-0005-0000-0000-00008E100000}"/>
    <cellStyle name="Cálculo 3 9 2 3 3" xfId="4253" xr:uid="{00000000-0005-0000-0000-00008F100000}"/>
    <cellStyle name="Cálculo 3 9 2 3 4" xfId="4254" xr:uid="{00000000-0005-0000-0000-000090100000}"/>
    <cellStyle name="Cálculo 3 9 2 4" xfId="4255" xr:uid="{00000000-0005-0000-0000-000091100000}"/>
    <cellStyle name="Cálculo 3 9 2 5" xfId="4256" xr:uid="{00000000-0005-0000-0000-000092100000}"/>
    <cellStyle name="Cálculo 3 9 2 6" xfId="4257" xr:uid="{00000000-0005-0000-0000-000093100000}"/>
    <cellStyle name="Cálculo 3 9 3" xfId="4258" xr:uid="{00000000-0005-0000-0000-000094100000}"/>
    <cellStyle name="Cálculo 3 9 3 2" xfId="4259" xr:uid="{00000000-0005-0000-0000-000095100000}"/>
    <cellStyle name="Cálculo 3 9 3 2 2" xfId="4260" xr:uid="{00000000-0005-0000-0000-000096100000}"/>
    <cellStyle name="Cálculo 3 9 3 2 3" xfId="4261" xr:uid="{00000000-0005-0000-0000-000097100000}"/>
    <cellStyle name="Cálculo 3 9 3 2 4" xfId="4262" xr:uid="{00000000-0005-0000-0000-000098100000}"/>
    <cellStyle name="Cálculo 3 9 3 3" xfId="4263" xr:uid="{00000000-0005-0000-0000-000099100000}"/>
    <cellStyle name="Cálculo 3 9 3 3 2" xfId="4264" xr:uid="{00000000-0005-0000-0000-00009A100000}"/>
    <cellStyle name="Cálculo 3 9 3 3 3" xfId="4265" xr:uid="{00000000-0005-0000-0000-00009B100000}"/>
    <cellStyle name="Cálculo 3 9 3 3 4" xfId="4266" xr:uid="{00000000-0005-0000-0000-00009C100000}"/>
    <cellStyle name="Cálculo 3 9 3 4" xfId="4267" xr:uid="{00000000-0005-0000-0000-00009D100000}"/>
    <cellStyle name="Cálculo 3 9 3 5" xfId="4268" xr:uid="{00000000-0005-0000-0000-00009E100000}"/>
    <cellStyle name="Cálculo 3 9 3 6" xfId="4269" xr:uid="{00000000-0005-0000-0000-00009F100000}"/>
    <cellStyle name="Cálculo 3 9 4" xfId="4270" xr:uid="{00000000-0005-0000-0000-0000A0100000}"/>
    <cellStyle name="Cálculo 3 9 4 2" xfId="4271" xr:uid="{00000000-0005-0000-0000-0000A1100000}"/>
    <cellStyle name="Cálculo 3 9 4 3" xfId="4272" xr:uid="{00000000-0005-0000-0000-0000A2100000}"/>
    <cellStyle name="Cálculo 3 9 4 4" xfId="4273" xr:uid="{00000000-0005-0000-0000-0000A3100000}"/>
    <cellStyle name="Cálculo 3 9 5" xfId="4274" xr:uid="{00000000-0005-0000-0000-0000A4100000}"/>
    <cellStyle name="Cálculo 3 9 6" xfId="4275" xr:uid="{00000000-0005-0000-0000-0000A5100000}"/>
    <cellStyle name="Cálculo 4" xfId="4276" xr:uid="{00000000-0005-0000-0000-0000A6100000}"/>
    <cellStyle name="Cálculo 4 10" xfId="4277" xr:uid="{00000000-0005-0000-0000-0000A7100000}"/>
    <cellStyle name="Cálculo 4 10 2" xfId="4278" xr:uid="{00000000-0005-0000-0000-0000A8100000}"/>
    <cellStyle name="Cálculo 4 10 2 2" xfId="4279" xr:uid="{00000000-0005-0000-0000-0000A9100000}"/>
    <cellStyle name="Cálculo 4 10 2 2 2" xfId="4280" xr:uid="{00000000-0005-0000-0000-0000AA100000}"/>
    <cellStyle name="Cálculo 4 10 2 2 3" xfId="4281" xr:uid="{00000000-0005-0000-0000-0000AB100000}"/>
    <cellStyle name="Cálculo 4 10 2 2 4" xfId="4282" xr:uid="{00000000-0005-0000-0000-0000AC100000}"/>
    <cellStyle name="Cálculo 4 10 2 3" xfId="4283" xr:uid="{00000000-0005-0000-0000-0000AD100000}"/>
    <cellStyle name="Cálculo 4 10 2 3 2" xfId="4284" xr:uid="{00000000-0005-0000-0000-0000AE100000}"/>
    <cellStyle name="Cálculo 4 10 2 3 3" xfId="4285" xr:uid="{00000000-0005-0000-0000-0000AF100000}"/>
    <cellStyle name="Cálculo 4 10 2 3 4" xfId="4286" xr:uid="{00000000-0005-0000-0000-0000B0100000}"/>
    <cellStyle name="Cálculo 4 10 2 4" xfId="4287" xr:uid="{00000000-0005-0000-0000-0000B1100000}"/>
    <cellStyle name="Cálculo 4 10 2 5" xfId="4288" xr:uid="{00000000-0005-0000-0000-0000B2100000}"/>
    <cellStyle name="Cálculo 4 10 2 6" xfId="4289" xr:uid="{00000000-0005-0000-0000-0000B3100000}"/>
    <cellStyle name="Cálculo 4 10 3" xfId="4290" xr:uid="{00000000-0005-0000-0000-0000B4100000}"/>
    <cellStyle name="Cálculo 4 10 3 2" xfId="4291" xr:uid="{00000000-0005-0000-0000-0000B5100000}"/>
    <cellStyle name="Cálculo 4 10 3 2 2" xfId="4292" xr:uid="{00000000-0005-0000-0000-0000B6100000}"/>
    <cellStyle name="Cálculo 4 10 3 2 3" xfId="4293" xr:uid="{00000000-0005-0000-0000-0000B7100000}"/>
    <cellStyle name="Cálculo 4 10 3 2 4" xfId="4294" xr:uid="{00000000-0005-0000-0000-0000B8100000}"/>
    <cellStyle name="Cálculo 4 10 3 3" xfId="4295" xr:uid="{00000000-0005-0000-0000-0000B9100000}"/>
    <cellStyle name="Cálculo 4 10 3 3 2" xfId="4296" xr:uid="{00000000-0005-0000-0000-0000BA100000}"/>
    <cellStyle name="Cálculo 4 10 3 3 3" xfId="4297" xr:uid="{00000000-0005-0000-0000-0000BB100000}"/>
    <cellStyle name="Cálculo 4 10 3 3 4" xfId="4298" xr:uid="{00000000-0005-0000-0000-0000BC100000}"/>
    <cellStyle name="Cálculo 4 10 3 4" xfId="4299" xr:uid="{00000000-0005-0000-0000-0000BD100000}"/>
    <cellStyle name="Cálculo 4 10 3 5" xfId="4300" xr:uid="{00000000-0005-0000-0000-0000BE100000}"/>
    <cellStyle name="Cálculo 4 10 3 6" xfId="4301" xr:uid="{00000000-0005-0000-0000-0000BF100000}"/>
    <cellStyle name="Cálculo 4 10 4" xfId="4302" xr:uid="{00000000-0005-0000-0000-0000C0100000}"/>
    <cellStyle name="Cálculo 4 10 4 2" xfId="4303" xr:uid="{00000000-0005-0000-0000-0000C1100000}"/>
    <cellStyle name="Cálculo 4 10 4 3" xfId="4304" xr:uid="{00000000-0005-0000-0000-0000C2100000}"/>
    <cellStyle name="Cálculo 4 10 4 4" xfId="4305" xr:uid="{00000000-0005-0000-0000-0000C3100000}"/>
    <cellStyle name="Cálculo 4 10 5" xfId="4306" xr:uid="{00000000-0005-0000-0000-0000C4100000}"/>
    <cellStyle name="Cálculo 4 10 6" xfId="4307" xr:uid="{00000000-0005-0000-0000-0000C5100000}"/>
    <cellStyle name="Cálculo 4 11" xfId="4308" xr:uid="{00000000-0005-0000-0000-0000C6100000}"/>
    <cellStyle name="Cálculo 4 11 2" xfId="4309" xr:uid="{00000000-0005-0000-0000-0000C7100000}"/>
    <cellStyle name="Cálculo 4 11 2 2" xfId="4310" xr:uid="{00000000-0005-0000-0000-0000C8100000}"/>
    <cellStyle name="Cálculo 4 11 2 2 2" xfId="4311" xr:uid="{00000000-0005-0000-0000-0000C9100000}"/>
    <cellStyle name="Cálculo 4 11 2 2 3" xfId="4312" xr:uid="{00000000-0005-0000-0000-0000CA100000}"/>
    <cellStyle name="Cálculo 4 11 2 2 4" xfId="4313" xr:uid="{00000000-0005-0000-0000-0000CB100000}"/>
    <cellStyle name="Cálculo 4 11 2 3" xfId="4314" xr:uid="{00000000-0005-0000-0000-0000CC100000}"/>
    <cellStyle name="Cálculo 4 11 2 3 2" xfId="4315" xr:uid="{00000000-0005-0000-0000-0000CD100000}"/>
    <cellStyle name="Cálculo 4 11 2 3 3" xfId="4316" xr:uid="{00000000-0005-0000-0000-0000CE100000}"/>
    <cellStyle name="Cálculo 4 11 2 3 4" xfId="4317" xr:uid="{00000000-0005-0000-0000-0000CF100000}"/>
    <cellStyle name="Cálculo 4 11 2 4" xfId="4318" xr:uid="{00000000-0005-0000-0000-0000D0100000}"/>
    <cellStyle name="Cálculo 4 11 2 5" xfId="4319" xr:uid="{00000000-0005-0000-0000-0000D1100000}"/>
    <cellStyle name="Cálculo 4 11 2 6" xfId="4320" xr:uid="{00000000-0005-0000-0000-0000D2100000}"/>
    <cellStyle name="Cálculo 4 11 3" xfId="4321" xr:uid="{00000000-0005-0000-0000-0000D3100000}"/>
    <cellStyle name="Cálculo 4 11 3 2" xfId="4322" xr:uid="{00000000-0005-0000-0000-0000D4100000}"/>
    <cellStyle name="Cálculo 4 11 3 2 2" xfId="4323" xr:uid="{00000000-0005-0000-0000-0000D5100000}"/>
    <cellStyle name="Cálculo 4 11 3 2 3" xfId="4324" xr:uid="{00000000-0005-0000-0000-0000D6100000}"/>
    <cellStyle name="Cálculo 4 11 3 2 4" xfId="4325" xr:uid="{00000000-0005-0000-0000-0000D7100000}"/>
    <cellStyle name="Cálculo 4 11 3 3" xfId="4326" xr:uid="{00000000-0005-0000-0000-0000D8100000}"/>
    <cellStyle name="Cálculo 4 11 3 3 2" xfId="4327" xr:uid="{00000000-0005-0000-0000-0000D9100000}"/>
    <cellStyle name="Cálculo 4 11 3 3 3" xfId="4328" xr:uid="{00000000-0005-0000-0000-0000DA100000}"/>
    <cellStyle name="Cálculo 4 11 3 3 4" xfId="4329" xr:uid="{00000000-0005-0000-0000-0000DB100000}"/>
    <cellStyle name="Cálculo 4 11 3 4" xfId="4330" xr:uid="{00000000-0005-0000-0000-0000DC100000}"/>
    <cellStyle name="Cálculo 4 11 3 5" xfId="4331" xr:uid="{00000000-0005-0000-0000-0000DD100000}"/>
    <cellStyle name="Cálculo 4 11 3 6" xfId="4332" xr:uid="{00000000-0005-0000-0000-0000DE100000}"/>
    <cellStyle name="Cálculo 4 11 4" xfId="4333" xr:uid="{00000000-0005-0000-0000-0000DF100000}"/>
    <cellStyle name="Cálculo 4 11 5" xfId="4334" xr:uid="{00000000-0005-0000-0000-0000E0100000}"/>
    <cellStyle name="Cálculo 4 11 6" xfId="4335" xr:uid="{00000000-0005-0000-0000-0000E1100000}"/>
    <cellStyle name="Cálculo 4 12" xfId="4336" xr:uid="{00000000-0005-0000-0000-0000E2100000}"/>
    <cellStyle name="Cálculo 4 13" xfId="4337" xr:uid="{00000000-0005-0000-0000-0000E3100000}"/>
    <cellStyle name="Cálculo 4 2" xfId="4338" xr:uid="{00000000-0005-0000-0000-0000E4100000}"/>
    <cellStyle name="Cálculo 4 2 10" xfId="4339" xr:uid="{00000000-0005-0000-0000-0000E5100000}"/>
    <cellStyle name="Cálculo 4 2 10 2" xfId="4340" xr:uid="{00000000-0005-0000-0000-0000E6100000}"/>
    <cellStyle name="Cálculo 4 2 10 2 2" xfId="4341" xr:uid="{00000000-0005-0000-0000-0000E7100000}"/>
    <cellStyle name="Cálculo 4 2 10 2 2 2" xfId="4342" xr:uid="{00000000-0005-0000-0000-0000E8100000}"/>
    <cellStyle name="Cálculo 4 2 10 2 2 3" xfId="4343" xr:uid="{00000000-0005-0000-0000-0000E9100000}"/>
    <cellStyle name="Cálculo 4 2 10 2 2 4" xfId="4344" xr:uid="{00000000-0005-0000-0000-0000EA100000}"/>
    <cellStyle name="Cálculo 4 2 10 2 3" xfId="4345" xr:uid="{00000000-0005-0000-0000-0000EB100000}"/>
    <cellStyle name="Cálculo 4 2 10 2 3 2" xfId="4346" xr:uid="{00000000-0005-0000-0000-0000EC100000}"/>
    <cellStyle name="Cálculo 4 2 10 2 3 3" xfId="4347" xr:uid="{00000000-0005-0000-0000-0000ED100000}"/>
    <cellStyle name="Cálculo 4 2 10 2 3 4" xfId="4348" xr:uid="{00000000-0005-0000-0000-0000EE100000}"/>
    <cellStyle name="Cálculo 4 2 10 2 4" xfId="4349" xr:uid="{00000000-0005-0000-0000-0000EF100000}"/>
    <cellStyle name="Cálculo 4 2 10 2 5" xfId="4350" xr:uid="{00000000-0005-0000-0000-0000F0100000}"/>
    <cellStyle name="Cálculo 4 2 10 2 6" xfId="4351" xr:uid="{00000000-0005-0000-0000-0000F1100000}"/>
    <cellStyle name="Cálculo 4 2 10 3" xfId="4352" xr:uid="{00000000-0005-0000-0000-0000F2100000}"/>
    <cellStyle name="Cálculo 4 2 10 3 2" xfId="4353" xr:uid="{00000000-0005-0000-0000-0000F3100000}"/>
    <cellStyle name="Cálculo 4 2 10 3 2 2" xfId="4354" xr:uid="{00000000-0005-0000-0000-0000F4100000}"/>
    <cellStyle name="Cálculo 4 2 10 3 2 3" xfId="4355" xr:uid="{00000000-0005-0000-0000-0000F5100000}"/>
    <cellStyle name="Cálculo 4 2 10 3 2 4" xfId="4356" xr:uid="{00000000-0005-0000-0000-0000F6100000}"/>
    <cellStyle name="Cálculo 4 2 10 3 3" xfId="4357" xr:uid="{00000000-0005-0000-0000-0000F7100000}"/>
    <cellStyle name="Cálculo 4 2 10 3 3 2" xfId="4358" xr:uid="{00000000-0005-0000-0000-0000F8100000}"/>
    <cellStyle name="Cálculo 4 2 10 3 3 3" xfId="4359" xr:uid="{00000000-0005-0000-0000-0000F9100000}"/>
    <cellStyle name="Cálculo 4 2 10 3 3 4" xfId="4360" xr:uid="{00000000-0005-0000-0000-0000FA100000}"/>
    <cellStyle name="Cálculo 4 2 10 3 4" xfId="4361" xr:uid="{00000000-0005-0000-0000-0000FB100000}"/>
    <cellStyle name="Cálculo 4 2 10 3 5" xfId="4362" xr:uid="{00000000-0005-0000-0000-0000FC100000}"/>
    <cellStyle name="Cálculo 4 2 10 3 6" xfId="4363" xr:uid="{00000000-0005-0000-0000-0000FD100000}"/>
    <cellStyle name="Cálculo 4 2 10 4" xfId="4364" xr:uid="{00000000-0005-0000-0000-0000FE100000}"/>
    <cellStyle name="Cálculo 4 2 10 5" xfId="4365" xr:uid="{00000000-0005-0000-0000-0000FF100000}"/>
    <cellStyle name="Cálculo 4 2 10 6" xfId="4366" xr:uid="{00000000-0005-0000-0000-000000110000}"/>
    <cellStyle name="Cálculo 4 2 11" xfId="4367" xr:uid="{00000000-0005-0000-0000-000001110000}"/>
    <cellStyle name="Cálculo 4 2 12" xfId="4368" xr:uid="{00000000-0005-0000-0000-000002110000}"/>
    <cellStyle name="Cálculo 4 2 2" xfId="4369" xr:uid="{00000000-0005-0000-0000-000003110000}"/>
    <cellStyle name="Cálculo 4 2 2 2" xfId="4370" xr:uid="{00000000-0005-0000-0000-000004110000}"/>
    <cellStyle name="Cálculo 4 2 2 2 2" xfId="4371" xr:uid="{00000000-0005-0000-0000-000005110000}"/>
    <cellStyle name="Cálculo 4 2 2 2 2 2" xfId="4372" xr:uid="{00000000-0005-0000-0000-000006110000}"/>
    <cellStyle name="Cálculo 4 2 2 2 2 2 2" xfId="4373" xr:uid="{00000000-0005-0000-0000-000007110000}"/>
    <cellStyle name="Cálculo 4 2 2 2 2 2 3" xfId="4374" xr:uid="{00000000-0005-0000-0000-000008110000}"/>
    <cellStyle name="Cálculo 4 2 2 2 2 2 4" xfId="4375" xr:uid="{00000000-0005-0000-0000-000009110000}"/>
    <cellStyle name="Cálculo 4 2 2 2 2 3" xfId="4376" xr:uid="{00000000-0005-0000-0000-00000A110000}"/>
    <cellStyle name="Cálculo 4 2 2 2 2 3 2" xfId="4377" xr:uid="{00000000-0005-0000-0000-00000B110000}"/>
    <cellStyle name="Cálculo 4 2 2 2 2 3 3" xfId="4378" xr:uid="{00000000-0005-0000-0000-00000C110000}"/>
    <cellStyle name="Cálculo 4 2 2 2 2 3 4" xfId="4379" xr:uid="{00000000-0005-0000-0000-00000D110000}"/>
    <cellStyle name="Cálculo 4 2 2 2 2 4" xfId="4380" xr:uid="{00000000-0005-0000-0000-00000E110000}"/>
    <cellStyle name="Cálculo 4 2 2 2 2 5" xfId="4381" xr:uid="{00000000-0005-0000-0000-00000F110000}"/>
    <cellStyle name="Cálculo 4 2 2 2 2 6" xfId="4382" xr:uid="{00000000-0005-0000-0000-000010110000}"/>
    <cellStyle name="Cálculo 4 2 2 2 3" xfId="4383" xr:uid="{00000000-0005-0000-0000-000011110000}"/>
    <cellStyle name="Cálculo 4 2 2 2 3 2" xfId="4384" xr:uid="{00000000-0005-0000-0000-000012110000}"/>
    <cellStyle name="Cálculo 4 2 2 2 3 2 2" xfId="4385" xr:uid="{00000000-0005-0000-0000-000013110000}"/>
    <cellStyle name="Cálculo 4 2 2 2 3 2 3" xfId="4386" xr:uid="{00000000-0005-0000-0000-000014110000}"/>
    <cellStyle name="Cálculo 4 2 2 2 3 2 4" xfId="4387" xr:uid="{00000000-0005-0000-0000-000015110000}"/>
    <cellStyle name="Cálculo 4 2 2 2 3 3" xfId="4388" xr:uid="{00000000-0005-0000-0000-000016110000}"/>
    <cellStyle name="Cálculo 4 2 2 2 3 3 2" xfId="4389" xr:uid="{00000000-0005-0000-0000-000017110000}"/>
    <cellStyle name="Cálculo 4 2 2 2 3 3 3" xfId="4390" xr:uid="{00000000-0005-0000-0000-000018110000}"/>
    <cellStyle name="Cálculo 4 2 2 2 3 3 4" xfId="4391" xr:uid="{00000000-0005-0000-0000-000019110000}"/>
    <cellStyle name="Cálculo 4 2 2 2 3 4" xfId="4392" xr:uid="{00000000-0005-0000-0000-00001A110000}"/>
    <cellStyle name="Cálculo 4 2 2 2 3 5" xfId="4393" xr:uid="{00000000-0005-0000-0000-00001B110000}"/>
    <cellStyle name="Cálculo 4 2 2 2 3 6" xfId="4394" xr:uid="{00000000-0005-0000-0000-00001C110000}"/>
    <cellStyle name="Cálculo 4 2 2 2 4" xfId="4395" xr:uid="{00000000-0005-0000-0000-00001D110000}"/>
    <cellStyle name="Cálculo 4 2 2 2 5" xfId="4396" xr:uid="{00000000-0005-0000-0000-00001E110000}"/>
    <cellStyle name="Cálculo 4 2 2 2 6" xfId="4397" xr:uid="{00000000-0005-0000-0000-00001F110000}"/>
    <cellStyle name="Cálculo 4 2 2 3" xfId="4398" xr:uid="{00000000-0005-0000-0000-000020110000}"/>
    <cellStyle name="Cálculo 4 2 2 4" xfId="4399" xr:uid="{00000000-0005-0000-0000-000021110000}"/>
    <cellStyle name="Cálculo 4 2 3" xfId="4400" xr:uid="{00000000-0005-0000-0000-000022110000}"/>
    <cellStyle name="Cálculo 4 2 3 2" xfId="4401" xr:uid="{00000000-0005-0000-0000-000023110000}"/>
    <cellStyle name="Cálculo 4 2 3 2 2" xfId="4402" xr:uid="{00000000-0005-0000-0000-000024110000}"/>
    <cellStyle name="Cálculo 4 2 3 2 2 2" xfId="4403" xr:uid="{00000000-0005-0000-0000-000025110000}"/>
    <cellStyle name="Cálculo 4 2 3 2 2 2 2" xfId="4404" xr:uid="{00000000-0005-0000-0000-000026110000}"/>
    <cellStyle name="Cálculo 4 2 3 2 2 2 3" xfId="4405" xr:uid="{00000000-0005-0000-0000-000027110000}"/>
    <cellStyle name="Cálculo 4 2 3 2 2 2 4" xfId="4406" xr:uid="{00000000-0005-0000-0000-000028110000}"/>
    <cellStyle name="Cálculo 4 2 3 2 2 3" xfId="4407" xr:uid="{00000000-0005-0000-0000-000029110000}"/>
    <cellStyle name="Cálculo 4 2 3 2 2 3 2" xfId="4408" xr:uid="{00000000-0005-0000-0000-00002A110000}"/>
    <cellStyle name="Cálculo 4 2 3 2 2 3 3" xfId="4409" xr:uid="{00000000-0005-0000-0000-00002B110000}"/>
    <cellStyle name="Cálculo 4 2 3 2 2 3 4" xfId="4410" xr:uid="{00000000-0005-0000-0000-00002C110000}"/>
    <cellStyle name="Cálculo 4 2 3 2 2 4" xfId="4411" xr:uid="{00000000-0005-0000-0000-00002D110000}"/>
    <cellStyle name="Cálculo 4 2 3 2 2 5" xfId="4412" xr:uid="{00000000-0005-0000-0000-00002E110000}"/>
    <cellStyle name="Cálculo 4 2 3 2 2 6" xfId="4413" xr:uid="{00000000-0005-0000-0000-00002F110000}"/>
    <cellStyle name="Cálculo 4 2 3 2 3" xfId="4414" xr:uid="{00000000-0005-0000-0000-000030110000}"/>
    <cellStyle name="Cálculo 4 2 3 2 3 2" xfId="4415" xr:uid="{00000000-0005-0000-0000-000031110000}"/>
    <cellStyle name="Cálculo 4 2 3 2 3 2 2" xfId="4416" xr:uid="{00000000-0005-0000-0000-000032110000}"/>
    <cellStyle name="Cálculo 4 2 3 2 3 2 3" xfId="4417" xr:uid="{00000000-0005-0000-0000-000033110000}"/>
    <cellStyle name="Cálculo 4 2 3 2 3 2 4" xfId="4418" xr:uid="{00000000-0005-0000-0000-000034110000}"/>
    <cellStyle name="Cálculo 4 2 3 2 3 3" xfId="4419" xr:uid="{00000000-0005-0000-0000-000035110000}"/>
    <cellStyle name="Cálculo 4 2 3 2 3 3 2" xfId="4420" xr:uid="{00000000-0005-0000-0000-000036110000}"/>
    <cellStyle name="Cálculo 4 2 3 2 3 3 3" xfId="4421" xr:uid="{00000000-0005-0000-0000-000037110000}"/>
    <cellStyle name="Cálculo 4 2 3 2 3 3 4" xfId="4422" xr:uid="{00000000-0005-0000-0000-000038110000}"/>
    <cellStyle name="Cálculo 4 2 3 2 3 4" xfId="4423" xr:uid="{00000000-0005-0000-0000-000039110000}"/>
    <cellStyle name="Cálculo 4 2 3 2 3 5" xfId="4424" xr:uid="{00000000-0005-0000-0000-00003A110000}"/>
    <cellStyle name="Cálculo 4 2 3 2 3 6" xfId="4425" xr:uid="{00000000-0005-0000-0000-00003B110000}"/>
    <cellStyle name="Cálculo 4 2 3 2 4" xfId="4426" xr:uid="{00000000-0005-0000-0000-00003C110000}"/>
    <cellStyle name="Cálculo 4 2 3 2 5" xfId="4427" xr:uid="{00000000-0005-0000-0000-00003D110000}"/>
    <cellStyle name="Cálculo 4 2 3 2 6" xfId="4428" xr:uid="{00000000-0005-0000-0000-00003E110000}"/>
    <cellStyle name="Cálculo 4 2 3 3" xfId="4429" xr:uid="{00000000-0005-0000-0000-00003F110000}"/>
    <cellStyle name="Cálculo 4 2 3 4" xfId="4430" xr:uid="{00000000-0005-0000-0000-000040110000}"/>
    <cellStyle name="Cálculo 4 2 4" xfId="4431" xr:uid="{00000000-0005-0000-0000-000041110000}"/>
    <cellStyle name="Cálculo 4 2 4 2" xfId="4432" xr:uid="{00000000-0005-0000-0000-000042110000}"/>
    <cellStyle name="Cálculo 4 2 4 2 2" xfId="4433" xr:uid="{00000000-0005-0000-0000-000043110000}"/>
    <cellStyle name="Cálculo 4 2 4 2 2 2" xfId="4434" xr:uid="{00000000-0005-0000-0000-000044110000}"/>
    <cellStyle name="Cálculo 4 2 4 2 2 2 2" xfId="4435" xr:uid="{00000000-0005-0000-0000-000045110000}"/>
    <cellStyle name="Cálculo 4 2 4 2 2 2 3" xfId="4436" xr:uid="{00000000-0005-0000-0000-000046110000}"/>
    <cellStyle name="Cálculo 4 2 4 2 2 2 4" xfId="4437" xr:uid="{00000000-0005-0000-0000-000047110000}"/>
    <cellStyle name="Cálculo 4 2 4 2 2 3" xfId="4438" xr:uid="{00000000-0005-0000-0000-000048110000}"/>
    <cellStyle name="Cálculo 4 2 4 2 2 3 2" xfId="4439" xr:uid="{00000000-0005-0000-0000-000049110000}"/>
    <cellStyle name="Cálculo 4 2 4 2 2 3 3" xfId="4440" xr:uid="{00000000-0005-0000-0000-00004A110000}"/>
    <cellStyle name="Cálculo 4 2 4 2 2 3 4" xfId="4441" xr:uid="{00000000-0005-0000-0000-00004B110000}"/>
    <cellStyle name="Cálculo 4 2 4 2 2 4" xfId="4442" xr:uid="{00000000-0005-0000-0000-00004C110000}"/>
    <cellStyle name="Cálculo 4 2 4 2 2 5" xfId="4443" xr:uid="{00000000-0005-0000-0000-00004D110000}"/>
    <cellStyle name="Cálculo 4 2 4 2 2 6" xfId="4444" xr:uid="{00000000-0005-0000-0000-00004E110000}"/>
    <cellStyle name="Cálculo 4 2 4 2 3" xfId="4445" xr:uid="{00000000-0005-0000-0000-00004F110000}"/>
    <cellStyle name="Cálculo 4 2 4 2 3 2" xfId="4446" xr:uid="{00000000-0005-0000-0000-000050110000}"/>
    <cellStyle name="Cálculo 4 2 4 2 3 2 2" xfId="4447" xr:uid="{00000000-0005-0000-0000-000051110000}"/>
    <cellStyle name="Cálculo 4 2 4 2 3 2 3" xfId="4448" xr:uid="{00000000-0005-0000-0000-000052110000}"/>
    <cellStyle name="Cálculo 4 2 4 2 3 2 4" xfId="4449" xr:uid="{00000000-0005-0000-0000-000053110000}"/>
    <cellStyle name="Cálculo 4 2 4 2 3 3" xfId="4450" xr:uid="{00000000-0005-0000-0000-000054110000}"/>
    <cellStyle name="Cálculo 4 2 4 2 3 3 2" xfId="4451" xr:uid="{00000000-0005-0000-0000-000055110000}"/>
    <cellStyle name="Cálculo 4 2 4 2 3 3 3" xfId="4452" xr:uid="{00000000-0005-0000-0000-000056110000}"/>
    <cellStyle name="Cálculo 4 2 4 2 3 3 4" xfId="4453" xr:uid="{00000000-0005-0000-0000-000057110000}"/>
    <cellStyle name="Cálculo 4 2 4 2 3 4" xfId="4454" xr:uid="{00000000-0005-0000-0000-000058110000}"/>
    <cellStyle name="Cálculo 4 2 4 2 3 5" xfId="4455" xr:uid="{00000000-0005-0000-0000-000059110000}"/>
    <cellStyle name="Cálculo 4 2 4 2 3 6" xfId="4456" xr:uid="{00000000-0005-0000-0000-00005A110000}"/>
    <cellStyle name="Cálculo 4 2 4 2 4" xfId="4457" xr:uid="{00000000-0005-0000-0000-00005B110000}"/>
    <cellStyle name="Cálculo 4 2 4 2 5" xfId="4458" xr:uid="{00000000-0005-0000-0000-00005C110000}"/>
    <cellStyle name="Cálculo 4 2 4 2 6" xfId="4459" xr:uid="{00000000-0005-0000-0000-00005D110000}"/>
    <cellStyle name="Cálculo 4 2 4 3" xfId="4460" xr:uid="{00000000-0005-0000-0000-00005E110000}"/>
    <cellStyle name="Cálculo 4 2 4 4" xfId="4461" xr:uid="{00000000-0005-0000-0000-00005F110000}"/>
    <cellStyle name="Cálculo 4 2 5" xfId="4462" xr:uid="{00000000-0005-0000-0000-000060110000}"/>
    <cellStyle name="Cálculo 4 2 5 2" xfId="4463" xr:uid="{00000000-0005-0000-0000-000061110000}"/>
    <cellStyle name="Cálculo 4 2 5 2 2" xfId="4464" xr:uid="{00000000-0005-0000-0000-000062110000}"/>
    <cellStyle name="Cálculo 4 2 5 2 2 2" xfId="4465" xr:uid="{00000000-0005-0000-0000-000063110000}"/>
    <cellStyle name="Cálculo 4 2 5 2 2 2 2" xfId="4466" xr:uid="{00000000-0005-0000-0000-000064110000}"/>
    <cellStyle name="Cálculo 4 2 5 2 2 2 3" xfId="4467" xr:uid="{00000000-0005-0000-0000-000065110000}"/>
    <cellStyle name="Cálculo 4 2 5 2 2 2 4" xfId="4468" xr:uid="{00000000-0005-0000-0000-000066110000}"/>
    <cellStyle name="Cálculo 4 2 5 2 2 3" xfId="4469" xr:uid="{00000000-0005-0000-0000-000067110000}"/>
    <cellStyle name="Cálculo 4 2 5 2 2 3 2" xfId="4470" xr:uid="{00000000-0005-0000-0000-000068110000}"/>
    <cellStyle name="Cálculo 4 2 5 2 2 3 3" xfId="4471" xr:uid="{00000000-0005-0000-0000-000069110000}"/>
    <cellStyle name="Cálculo 4 2 5 2 2 3 4" xfId="4472" xr:uid="{00000000-0005-0000-0000-00006A110000}"/>
    <cellStyle name="Cálculo 4 2 5 2 2 4" xfId="4473" xr:uid="{00000000-0005-0000-0000-00006B110000}"/>
    <cellStyle name="Cálculo 4 2 5 2 2 5" xfId="4474" xr:uid="{00000000-0005-0000-0000-00006C110000}"/>
    <cellStyle name="Cálculo 4 2 5 2 2 6" xfId="4475" xr:uid="{00000000-0005-0000-0000-00006D110000}"/>
    <cellStyle name="Cálculo 4 2 5 2 3" xfId="4476" xr:uid="{00000000-0005-0000-0000-00006E110000}"/>
    <cellStyle name="Cálculo 4 2 5 2 3 2" xfId="4477" xr:uid="{00000000-0005-0000-0000-00006F110000}"/>
    <cellStyle name="Cálculo 4 2 5 2 3 2 2" xfId="4478" xr:uid="{00000000-0005-0000-0000-000070110000}"/>
    <cellStyle name="Cálculo 4 2 5 2 3 2 3" xfId="4479" xr:uid="{00000000-0005-0000-0000-000071110000}"/>
    <cellStyle name="Cálculo 4 2 5 2 3 2 4" xfId="4480" xr:uid="{00000000-0005-0000-0000-000072110000}"/>
    <cellStyle name="Cálculo 4 2 5 2 3 3" xfId="4481" xr:uid="{00000000-0005-0000-0000-000073110000}"/>
    <cellStyle name="Cálculo 4 2 5 2 3 3 2" xfId="4482" xr:uid="{00000000-0005-0000-0000-000074110000}"/>
    <cellStyle name="Cálculo 4 2 5 2 3 3 3" xfId="4483" xr:uid="{00000000-0005-0000-0000-000075110000}"/>
    <cellStyle name="Cálculo 4 2 5 2 3 3 4" xfId="4484" xr:uid="{00000000-0005-0000-0000-000076110000}"/>
    <cellStyle name="Cálculo 4 2 5 2 3 4" xfId="4485" xr:uid="{00000000-0005-0000-0000-000077110000}"/>
    <cellStyle name="Cálculo 4 2 5 2 3 5" xfId="4486" xr:uid="{00000000-0005-0000-0000-000078110000}"/>
    <cellStyle name="Cálculo 4 2 5 2 3 6" xfId="4487" xr:uid="{00000000-0005-0000-0000-000079110000}"/>
    <cellStyle name="Cálculo 4 2 5 2 4" xfId="4488" xr:uid="{00000000-0005-0000-0000-00007A110000}"/>
    <cellStyle name="Cálculo 4 2 5 2 5" xfId="4489" xr:uid="{00000000-0005-0000-0000-00007B110000}"/>
    <cellStyle name="Cálculo 4 2 5 2 6" xfId="4490" xr:uid="{00000000-0005-0000-0000-00007C110000}"/>
    <cellStyle name="Cálculo 4 2 5 3" xfId="4491" xr:uid="{00000000-0005-0000-0000-00007D110000}"/>
    <cellStyle name="Cálculo 4 2 5 4" xfId="4492" xr:uid="{00000000-0005-0000-0000-00007E110000}"/>
    <cellStyle name="Cálculo 4 2 6" xfId="4493" xr:uid="{00000000-0005-0000-0000-00007F110000}"/>
    <cellStyle name="Cálculo 4 2 6 2" xfId="4494" xr:uid="{00000000-0005-0000-0000-000080110000}"/>
    <cellStyle name="Cálculo 4 2 6 2 2" xfId="4495" xr:uid="{00000000-0005-0000-0000-000081110000}"/>
    <cellStyle name="Cálculo 4 2 6 2 2 2" xfId="4496" xr:uid="{00000000-0005-0000-0000-000082110000}"/>
    <cellStyle name="Cálculo 4 2 6 2 2 3" xfId="4497" xr:uid="{00000000-0005-0000-0000-000083110000}"/>
    <cellStyle name="Cálculo 4 2 6 2 2 4" xfId="4498" xr:uid="{00000000-0005-0000-0000-000084110000}"/>
    <cellStyle name="Cálculo 4 2 6 2 3" xfId="4499" xr:uid="{00000000-0005-0000-0000-000085110000}"/>
    <cellStyle name="Cálculo 4 2 6 2 3 2" xfId="4500" xr:uid="{00000000-0005-0000-0000-000086110000}"/>
    <cellStyle name="Cálculo 4 2 6 2 3 3" xfId="4501" xr:uid="{00000000-0005-0000-0000-000087110000}"/>
    <cellStyle name="Cálculo 4 2 6 2 3 4" xfId="4502" xr:uid="{00000000-0005-0000-0000-000088110000}"/>
    <cellStyle name="Cálculo 4 2 6 2 4" xfId="4503" xr:uid="{00000000-0005-0000-0000-000089110000}"/>
    <cellStyle name="Cálculo 4 2 6 2 5" xfId="4504" xr:uid="{00000000-0005-0000-0000-00008A110000}"/>
    <cellStyle name="Cálculo 4 2 6 2 6" xfId="4505" xr:uid="{00000000-0005-0000-0000-00008B110000}"/>
    <cellStyle name="Cálculo 4 2 6 3" xfId="4506" xr:uid="{00000000-0005-0000-0000-00008C110000}"/>
    <cellStyle name="Cálculo 4 2 6 3 2" xfId="4507" xr:uid="{00000000-0005-0000-0000-00008D110000}"/>
    <cellStyle name="Cálculo 4 2 6 3 2 2" xfId="4508" xr:uid="{00000000-0005-0000-0000-00008E110000}"/>
    <cellStyle name="Cálculo 4 2 6 3 2 3" xfId="4509" xr:uid="{00000000-0005-0000-0000-00008F110000}"/>
    <cellStyle name="Cálculo 4 2 6 3 2 4" xfId="4510" xr:uid="{00000000-0005-0000-0000-000090110000}"/>
    <cellStyle name="Cálculo 4 2 6 3 3" xfId="4511" xr:uid="{00000000-0005-0000-0000-000091110000}"/>
    <cellStyle name="Cálculo 4 2 6 3 3 2" xfId="4512" xr:uid="{00000000-0005-0000-0000-000092110000}"/>
    <cellStyle name="Cálculo 4 2 6 3 3 3" xfId="4513" xr:uid="{00000000-0005-0000-0000-000093110000}"/>
    <cellStyle name="Cálculo 4 2 6 3 3 4" xfId="4514" xr:uid="{00000000-0005-0000-0000-000094110000}"/>
    <cellStyle name="Cálculo 4 2 6 3 4" xfId="4515" xr:uid="{00000000-0005-0000-0000-000095110000}"/>
    <cellStyle name="Cálculo 4 2 6 3 5" xfId="4516" xr:uid="{00000000-0005-0000-0000-000096110000}"/>
    <cellStyle name="Cálculo 4 2 6 3 6" xfId="4517" xr:uid="{00000000-0005-0000-0000-000097110000}"/>
    <cellStyle name="Cálculo 4 2 6 4" xfId="4518" xr:uid="{00000000-0005-0000-0000-000098110000}"/>
    <cellStyle name="Cálculo 4 2 6 4 2" xfId="4519" xr:uid="{00000000-0005-0000-0000-000099110000}"/>
    <cellStyle name="Cálculo 4 2 6 4 3" xfId="4520" xr:uid="{00000000-0005-0000-0000-00009A110000}"/>
    <cellStyle name="Cálculo 4 2 6 4 4" xfId="4521" xr:uid="{00000000-0005-0000-0000-00009B110000}"/>
    <cellStyle name="Cálculo 4 2 6 5" xfId="4522" xr:uid="{00000000-0005-0000-0000-00009C110000}"/>
    <cellStyle name="Cálculo 4 2 6 6" xfId="4523" xr:uid="{00000000-0005-0000-0000-00009D110000}"/>
    <cellStyle name="Cálculo 4 2 7" xfId="4524" xr:uid="{00000000-0005-0000-0000-00009E110000}"/>
    <cellStyle name="Cálculo 4 2 7 2" xfId="4525" xr:uid="{00000000-0005-0000-0000-00009F110000}"/>
    <cellStyle name="Cálculo 4 2 7 2 2" xfId="4526" xr:uid="{00000000-0005-0000-0000-0000A0110000}"/>
    <cellStyle name="Cálculo 4 2 7 2 2 2" xfId="4527" xr:uid="{00000000-0005-0000-0000-0000A1110000}"/>
    <cellStyle name="Cálculo 4 2 7 2 2 3" xfId="4528" xr:uid="{00000000-0005-0000-0000-0000A2110000}"/>
    <cellStyle name="Cálculo 4 2 7 2 2 4" xfId="4529" xr:uid="{00000000-0005-0000-0000-0000A3110000}"/>
    <cellStyle name="Cálculo 4 2 7 2 3" xfId="4530" xr:uid="{00000000-0005-0000-0000-0000A4110000}"/>
    <cellStyle name="Cálculo 4 2 7 2 3 2" xfId="4531" xr:uid="{00000000-0005-0000-0000-0000A5110000}"/>
    <cellStyle name="Cálculo 4 2 7 2 3 3" xfId="4532" xr:uid="{00000000-0005-0000-0000-0000A6110000}"/>
    <cellStyle name="Cálculo 4 2 7 2 3 4" xfId="4533" xr:uid="{00000000-0005-0000-0000-0000A7110000}"/>
    <cellStyle name="Cálculo 4 2 7 2 4" xfId="4534" xr:uid="{00000000-0005-0000-0000-0000A8110000}"/>
    <cellStyle name="Cálculo 4 2 7 2 5" xfId="4535" xr:uid="{00000000-0005-0000-0000-0000A9110000}"/>
    <cellStyle name="Cálculo 4 2 7 2 6" xfId="4536" xr:uid="{00000000-0005-0000-0000-0000AA110000}"/>
    <cellStyle name="Cálculo 4 2 7 3" xfId="4537" xr:uid="{00000000-0005-0000-0000-0000AB110000}"/>
    <cellStyle name="Cálculo 4 2 7 3 2" xfId="4538" xr:uid="{00000000-0005-0000-0000-0000AC110000}"/>
    <cellStyle name="Cálculo 4 2 7 3 2 2" xfId="4539" xr:uid="{00000000-0005-0000-0000-0000AD110000}"/>
    <cellStyle name="Cálculo 4 2 7 3 2 3" xfId="4540" xr:uid="{00000000-0005-0000-0000-0000AE110000}"/>
    <cellStyle name="Cálculo 4 2 7 3 2 4" xfId="4541" xr:uid="{00000000-0005-0000-0000-0000AF110000}"/>
    <cellStyle name="Cálculo 4 2 7 3 3" xfId="4542" xr:uid="{00000000-0005-0000-0000-0000B0110000}"/>
    <cellStyle name="Cálculo 4 2 7 3 3 2" xfId="4543" xr:uid="{00000000-0005-0000-0000-0000B1110000}"/>
    <cellStyle name="Cálculo 4 2 7 3 3 3" xfId="4544" xr:uid="{00000000-0005-0000-0000-0000B2110000}"/>
    <cellStyle name="Cálculo 4 2 7 3 3 4" xfId="4545" xr:uid="{00000000-0005-0000-0000-0000B3110000}"/>
    <cellStyle name="Cálculo 4 2 7 3 4" xfId="4546" xr:uid="{00000000-0005-0000-0000-0000B4110000}"/>
    <cellStyle name="Cálculo 4 2 7 3 5" xfId="4547" xr:uid="{00000000-0005-0000-0000-0000B5110000}"/>
    <cellStyle name="Cálculo 4 2 7 3 6" xfId="4548" xr:uid="{00000000-0005-0000-0000-0000B6110000}"/>
    <cellStyle name="Cálculo 4 2 7 4" xfId="4549" xr:uid="{00000000-0005-0000-0000-0000B7110000}"/>
    <cellStyle name="Cálculo 4 2 7 4 2" xfId="4550" xr:uid="{00000000-0005-0000-0000-0000B8110000}"/>
    <cellStyle name="Cálculo 4 2 7 4 3" xfId="4551" xr:uid="{00000000-0005-0000-0000-0000B9110000}"/>
    <cellStyle name="Cálculo 4 2 7 4 4" xfId="4552" xr:uid="{00000000-0005-0000-0000-0000BA110000}"/>
    <cellStyle name="Cálculo 4 2 7 5" xfId="4553" xr:uid="{00000000-0005-0000-0000-0000BB110000}"/>
    <cellStyle name="Cálculo 4 2 7 6" xfId="4554" xr:uid="{00000000-0005-0000-0000-0000BC110000}"/>
    <cellStyle name="Cálculo 4 2 8" xfId="4555" xr:uid="{00000000-0005-0000-0000-0000BD110000}"/>
    <cellStyle name="Cálculo 4 2 8 2" xfId="4556" xr:uid="{00000000-0005-0000-0000-0000BE110000}"/>
    <cellStyle name="Cálculo 4 2 8 2 2" xfId="4557" xr:uid="{00000000-0005-0000-0000-0000BF110000}"/>
    <cellStyle name="Cálculo 4 2 8 2 2 2" xfId="4558" xr:uid="{00000000-0005-0000-0000-0000C0110000}"/>
    <cellStyle name="Cálculo 4 2 8 2 2 3" xfId="4559" xr:uid="{00000000-0005-0000-0000-0000C1110000}"/>
    <cellStyle name="Cálculo 4 2 8 2 2 4" xfId="4560" xr:uid="{00000000-0005-0000-0000-0000C2110000}"/>
    <cellStyle name="Cálculo 4 2 8 2 3" xfId="4561" xr:uid="{00000000-0005-0000-0000-0000C3110000}"/>
    <cellStyle name="Cálculo 4 2 8 2 3 2" xfId="4562" xr:uid="{00000000-0005-0000-0000-0000C4110000}"/>
    <cellStyle name="Cálculo 4 2 8 2 3 3" xfId="4563" xr:uid="{00000000-0005-0000-0000-0000C5110000}"/>
    <cellStyle name="Cálculo 4 2 8 2 3 4" xfId="4564" xr:uid="{00000000-0005-0000-0000-0000C6110000}"/>
    <cellStyle name="Cálculo 4 2 8 2 4" xfId="4565" xr:uid="{00000000-0005-0000-0000-0000C7110000}"/>
    <cellStyle name="Cálculo 4 2 8 2 5" xfId="4566" xr:uid="{00000000-0005-0000-0000-0000C8110000}"/>
    <cellStyle name="Cálculo 4 2 8 2 6" xfId="4567" xr:uid="{00000000-0005-0000-0000-0000C9110000}"/>
    <cellStyle name="Cálculo 4 2 8 3" xfId="4568" xr:uid="{00000000-0005-0000-0000-0000CA110000}"/>
    <cellStyle name="Cálculo 4 2 8 3 2" xfId="4569" xr:uid="{00000000-0005-0000-0000-0000CB110000}"/>
    <cellStyle name="Cálculo 4 2 8 3 2 2" xfId="4570" xr:uid="{00000000-0005-0000-0000-0000CC110000}"/>
    <cellStyle name="Cálculo 4 2 8 3 2 3" xfId="4571" xr:uid="{00000000-0005-0000-0000-0000CD110000}"/>
    <cellStyle name="Cálculo 4 2 8 3 2 4" xfId="4572" xr:uid="{00000000-0005-0000-0000-0000CE110000}"/>
    <cellStyle name="Cálculo 4 2 8 3 3" xfId="4573" xr:uid="{00000000-0005-0000-0000-0000CF110000}"/>
    <cellStyle name="Cálculo 4 2 8 3 3 2" xfId="4574" xr:uid="{00000000-0005-0000-0000-0000D0110000}"/>
    <cellStyle name="Cálculo 4 2 8 3 3 3" xfId="4575" xr:uid="{00000000-0005-0000-0000-0000D1110000}"/>
    <cellStyle name="Cálculo 4 2 8 3 3 4" xfId="4576" xr:uid="{00000000-0005-0000-0000-0000D2110000}"/>
    <cellStyle name="Cálculo 4 2 8 3 4" xfId="4577" xr:uid="{00000000-0005-0000-0000-0000D3110000}"/>
    <cellStyle name="Cálculo 4 2 8 3 5" xfId="4578" xr:uid="{00000000-0005-0000-0000-0000D4110000}"/>
    <cellStyle name="Cálculo 4 2 8 3 6" xfId="4579" xr:uid="{00000000-0005-0000-0000-0000D5110000}"/>
    <cellStyle name="Cálculo 4 2 8 4" xfId="4580" xr:uid="{00000000-0005-0000-0000-0000D6110000}"/>
    <cellStyle name="Cálculo 4 2 8 4 2" xfId="4581" xr:uid="{00000000-0005-0000-0000-0000D7110000}"/>
    <cellStyle name="Cálculo 4 2 8 4 3" xfId="4582" xr:uid="{00000000-0005-0000-0000-0000D8110000}"/>
    <cellStyle name="Cálculo 4 2 8 4 4" xfId="4583" xr:uid="{00000000-0005-0000-0000-0000D9110000}"/>
    <cellStyle name="Cálculo 4 2 8 5" xfId="4584" xr:uid="{00000000-0005-0000-0000-0000DA110000}"/>
    <cellStyle name="Cálculo 4 2 8 6" xfId="4585" xr:uid="{00000000-0005-0000-0000-0000DB110000}"/>
    <cellStyle name="Cálculo 4 2 9" xfId="4586" xr:uid="{00000000-0005-0000-0000-0000DC110000}"/>
    <cellStyle name="Cálculo 4 2 9 2" xfId="4587" xr:uid="{00000000-0005-0000-0000-0000DD110000}"/>
    <cellStyle name="Cálculo 4 2 9 2 2" xfId="4588" xr:uid="{00000000-0005-0000-0000-0000DE110000}"/>
    <cellStyle name="Cálculo 4 2 9 2 2 2" xfId="4589" xr:uid="{00000000-0005-0000-0000-0000DF110000}"/>
    <cellStyle name="Cálculo 4 2 9 2 2 3" xfId="4590" xr:uid="{00000000-0005-0000-0000-0000E0110000}"/>
    <cellStyle name="Cálculo 4 2 9 2 2 4" xfId="4591" xr:uid="{00000000-0005-0000-0000-0000E1110000}"/>
    <cellStyle name="Cálculo 4 2 9 2 3" xfId="4592" xr:uid="{00000000-0005-0000-0000-0000E2110000}"/>
    <cellStyle name="Cálculo 4 2 9 2 3 2" xfId="4593" xr:uid="{00000000-0005-0000-0000-0000E3110000}"/>
    <cellStyle name="Cálculo 4 2 9 2 3 3" xfId="4594" xr:uid="{00000000-0005-0000-0000-0000E4110000}"/>
    <cellStyle name="Cálculo 4 2 9 2 3 4" xfId="4595" xr:uid="{00000000-0005-0000-0000-0000E5110000}"/>
    <cellStyle name="Cálculo 4 2 9 2 4" xfId="4596" xr:uid="{00000000-0005-0000-0000-0000E6110000}"/>
    <cellStyle name="Cálculo 4 2 9 2 5" xfId="4597" xr:uid="{00000000-0005-0000-0000-0000E7110000}"/>
    <cellStyle name="Cálculo 4 2 9 2 6" xfId="4598" xr:uid="{00000000-0005-0000-0000-0000E8110000}"/>
    <cellStyle name="Cálculo 4 2 9 3" xfId="4599" xr:uid="{00000000-0005-0000-0000-0000E9110000}"/>
    <cellStyle name="Cálculo 4 2 9 3 2" xfId="4600" xr:uid="{00000000-0005-0000-0000-0000EA110000}"/>
    <cellStyle name="Cálculo 4 2 9 3 2 2" xfId="4601" xr:uid="{00000000-0005-0000-0000-0000EB110000}"/>
    <cellStyle name="Cálculo 4 2 9 3 2 3" xfId="4602" xr:uid="{00000000-0005-0000-0000-0000EC110000}"/>
    <cellStyle name="Cálculo 4 2 9 3 2 4" xfId="4603" xr:uid="{00000000-0005-0000-0000-0000ED110000}"/>
    <cellStyle name="Cálculo 4 2 9 3 3" xfId="4604" xr:uid="{00000000-0005-0000-0000-0000EE110000}"/>
    <cellStyle name="Cálculo 4 2 9 3 3 2" xfId="4605" xr:uid="{00000000-0005-0000-0000-0000EF110000}"/>
    <cellStyle name="Cálculo 4 2 9 3 3 3" xfId="4606" xr:uid="{00000000-0005-0000-0000-0000F0110000}"/>
    <cellStyle name="Cálculo 4 2 9 3 3 4" xfId="4607" xr:uid="{00000000-0005-0000-0000-0000F1110000}"/>
    <cellStyle name="Cálculo 4 2 9 3 4" xfId="4608" xr:uid="{00000000-0005-0000-0000-0000F2110000}"/>
    <cellStyle name="Cálculo 4 2 9 3 5" xfId="4609" xr:uid="{00000000-0005-0000-0000-0000F3110000}"/>
    <cellStyle name="Cálculo 4 2 9 3 6" xfId="4610" xr:uid="{00000000-0005-0000-0000-0000F4110000}"/>
    <cellStyle name="Cálculo 4 2 9 4" xfId="4611" xr:uid="{00000000-0005-0000-0000-0000F5110000}"/>
    <cellStyle name="Cálculo 4 2 9 4 2" xfId="4612" xr:uid="{00000000-0005-0000-0000-0000F6110000}"/>
    <cellStyle name="Cálculo 4 2 9 4 3" xfId="4613" xr:uid="{00000000-0005-0000-0000-0000F7110000}"/>
    <cellStyle name="Cálculo 4 2 9 4 4" xfId="4614" xr:uid="{00000000-0005-0000-0000-0000F8110000}"/>
    <cellStyle name="Cálculo 4 2 9 5" xfId="4615" xr:uid="{00000000-0005-0000-0000-0000F9110000}"/>
    <cellStyle name="Cálculo 4 2 9 6" xfId="4616" xr:uid="{00000000-0005-0000-0000-0000FA110000}"/>
    <cellStyle name="Cálculo 4 3" xfId="4617" xr:uid="{00000000-0005-0000-0000-0000FB110000}"/>
    <cellStyle name="Cálculo 4 3 10" xfId="4618" xr:uid="{00000000-0005-0000-0000-0000FC110000}"/>
    <cellStyle name="Cálculo 4 3 10 2" xfId="4619" xr:uid="{00000000-0005-0000-0000-0000FD110000}"/>
    <cellStyle name="Cálculo 4 3 10 2 2" xfId="4620" xr:uid="{00000000-0005-0000-0000-0000FE110000}"/>
    <cellStyle name="Cálculo 4 3 10 2 2 2" xfId="4621" xr:uid="{00000000-0005-0000-0000-0000FF110000}"/>
    <cellStyle name="Cálculo 4 3 10 2 2 3" xfId="4622" xr:uid="{00000000-0005-0000-0000-000000120000}"/>
    <cellStyle name="Cálculo 4 3 10 2 2 4" xfId="4623" xr:uid="{00000000-0005-0000-0000-000001120000}"/>
    <cellStyle name="Cálculo 4 3 10 2 3" xfId="4624" xr:uid="{00000000-0005-0000-0000-000002120000}"/>
    <cellStyle name="Cálculo 4 3 10 2 3 2" xfId="4625" xr:uid="{00000000-0005-0000-0000-000003120000}"/>
    <cellStyle name="Cálculo 4 3 10 2 3 3" xfId="4626" xr:uid="{00000000-0005-0000-0000-000004120000}"/>
    <cellStyle name="Cálculo 4 3 10 2 3 4" xfId="4627" xr:uid="{00000000-0005-0000-0000-000005120000}"/>
    <cellStyle name="Cálculo 4 3 10 2 4" xfId="4628" xr:uid="{00000000-0005-0000-0000-000006120000}"/>
    <cellStyle name="Cálculo 4 3 10 2 5" xfId="4629" xr:uid="{00000000-0005-0000-0000-000007120000}"/>
    <cellStyle name="Cálculo 4 3 10 2 6" xfId="4630" xr:uid="{00000000-0005-0000-0000-000008120000}"/>
    <cellStyle name="Cálculo 4 3 10 3" xfId="4631" xr:uid="{00000000-0005-0000-0000-000009120000}"/>
    <cellStyle name="Cálculo 4 3 10 3 2" xfId="4632" xr:uid="{00000000-0005-0000-0000-00000A120000}"/>
    <cellStyle name="Cálculo 4 3 10 3 2 2" xfId="4633" xr:uid="{00000000-0005-0000-0000-00000B120000}"/>
    <cellStyle name="Cálculo 4 3 10 3 2 3" xfId="4634" xr:uid="{00000000-0005-0000-0000-00000C120000}"/>
    <cellStyle name="Cálculo 4 3 10 3 2 4" xfId="4635" xr:uid="{00000000-0005-0000-0000-00000D120000}"/>
    <cellStyle name="Cálculo 4 3 10 3 3" xfId="4636" xr:uid="{00000000-0005-0000-0000-00000E120000}"/>
    <cellStyle name="Cálculo 4 3 10 3 3 2" xfId="4637" xr:uid="{00000000-0005-0000-0000-00000F120000}"/>
    <cellStyle name="Cálculo 4 3 10 3 3 3" xfId="4638" xr:uid="{00000000-0005-0000-0000-000010120000}"/>
    <cellStyle name="Cálculo 4 3 10 3 3 4" xfId="4639" xr:uid="{00000000-0005-0000-0000-000011120000}"/>
    <cellStyle name="Cálculo 4 3 10 3 4" xfId="4640" xr:uid="{00000000-0005-0000-0000-000012120000}"/>
    <cellStyle name="Cálculo 4 3 10 3 5" xfId="4641" xr:uid="{00000000-0005-0000-0000-000013120000}"/>
    <cellStyle name="Cálculo 4 3 10 3 6" xfId="4642" xr:uid="{00000000-0005-0000-0000-000014120000}"/>
    <cellStyle name="Cálculo 4 3 10 4" xfId="4643" xr:uid="{00000000-0005-0000-0000-000015120000}"/>
    <cellStyle name="Cálculo 4 3 10 5" xfId="4644" xr:uid="{00000000-0005-0000-0000-000016120000}"/>
    <cellStyle name="Cálculo 4 3 10 6" xfId="4645" xr:uid="{00000000-0005-0000-0000-000017120000}"/>
    <cellStyle name="Cálculo 4 3 11" xfId="4646" xr:uid="{00000000-0005-0000-0000-000018120000}"/>
    <cellStyle name="Cálculo 4 3 12" xfId="4647" xr:uid="{00000000-0005-0000-0000-000019120000}"/>
    <cellStyle name="Cálculo 4 3 2" xfId="4648" xr:uid="{00000000-0005-0000-0000-00001A120000}"/>
    <cellStyle name="Cálculo 4 3 2 2" xfId="4649" xr:uid="{00000000-0005-0000-0000-00001B120000}"/>
    <cellStyle name="Cálculo 4 3 2 2 2" xfId="4650" xr:uid="{00000000-0005-0000-0000-00001C120000}"/>
    <cellStyle name="Cálculo 4 3 2 2 2 2" xfId="4651" xr:uid="{00000000-0005-0000-0000-00001D120000}"/>
    <cellStyle name="Cálculo 4 3 2 2 2 2 2" xfId="4652" xr:uid="{00000000-0005-0000-0000-00001E120000}"/>
    <cellStyle name="Cálculo 4 3 2 2 2 2 3" xfId="4653" xr:uid="{00000000-0005-0000-0000-00001F120000}"/>
    <cellStyle name="Cálculo 4 3 2 2 2 2 4" xfId="4654" xr:uid="{00000000-0005-0000-0000-000020120000}"/>
    <cellStyle name="Cálculo 4 3 2 2 2 3" xfId="4655" xr:uid="{00000000-0005-0000-0000-000021120000}"/>
    <cellStyle name="Cálculo 4 3 2 2 2 3 2" xfId="4656" xr:uid="{00000000-0005-0000-0000-000022120000}"/>
    <cellStyle name="Cálculo 4 3 2 2 2 3 3" xfId="4657" xr:uid="{00000000-0005-0000-0000-000023120000}"/>
    <cellStyle name="Cálculo 4 3 2 2 2 3 4" xfId="4658" xr:uid="{00000000-0005-0000-0000-000024120000}"/>
    <cellStyle name="Cálculo 4 3 2 2 2 4" xfId="4659" xr:uid="{00000000-0005-0000-0000-000025120000}"/>
    <cellStyle name="Cálculo 4 3 2 2 2 5" xfId="4660" xr:uid="{00000000-0005-0000-0000-000026120000}"/>
    <cellStyle name="Cálculo 4 3 2 2 2 6" xfId="4661" xr:uid="{00000000-0005-0000-0000-000027120000}"/>
    <cellStyle name="Cálculo 4 3 2 2 3" xfId="4662" xr:uid="{00000000-0005-0000-0000-000028120000}"/>
    <cellStyle name="Cálculo 4 3 2 2 3 2" xfId="4663" xr:uid="{00000000-0005-0000-0000-000029120000}"/>
    <cellStyle name="Cálculo 4 3 2 2 3 2 2" xfId="4664" xr:uid="{00000000-0005-0000-0000-00002A120000}"/>
    <cellStyle name="Cálculo 4 3 2 2 3 2 3" xfId="4665" xr:uid="{00000000-0005-0000-0000-00002B120000}"/>
    <cellStyle name="Cálculo 4 3 2 2 3 2 4" xfId="4666" xr:uid="{00000000-0005-0000-0000-00002C120000}"/>
    <cellStyle name="Cálculo 4 3 2 2 3 3" xfId="4667" xr:uid="{00000000-0005-0000-0000-00002D120000}"/>
    <cellStyle name="Cálculo 4 3 2 2 3 3 2" xfId="4668" xr:uid="{00000000-0005-0000-0000-00002E120000}"/>
    <cellStyle name="Cálculo 4 3 2 2 3 3 3" xfId="4669" xr:uid="{00000000-0005-0000-0000-00002F120000}"/>
    <cellStyle name="Cálculo 4 3 2 2 3 3 4" xfId="4670" xr:uid="{00000000-0005-0000-0000-000030120000}"/>
    <cellStyle name="Cálculo 4 3 2 2 3 4" xfId="4671" xr:uid="{00000000-0005-0000-0000-000031120000}"/>
    <cellStyle name="Cálculo 4 3 2 2 3 5" xfId="4672" xr:uid="{00000000-0005-0000-0000-000032120000}"/>
    <cellStyle name="Cálculo 4 3 2 2 3 6" xfId="4673" xr:uid="{00000000-0005-0000-0000-000033120000}"/>
    <cellStyle name="Cálculo 4 3 2 2 4" xfId="4674" xr:uid="{00000000-0005-0000-0000-000034120000}"/>
    <cellStyle name="Cálculo 4 3 2 2 5" xfId="4675" xr:uid="{00000000-0005-0000-0000-000035120000}"/>
    <cellStyle name="Cálculo 4 3 2 2 6" xfId="4676" xr:uid="{00000000-0005-0000-0000-000036120000}"/>
    <cellStyle name="Cálculo 4 3 2 3" xfId="4677" xr:uid="{00000000-0005-0000-0000-000037120000}"/>
    <cellStyle name="Cálculo 4 3 2 4" xfId="4678" xr:uid="{00000000-0005-0000-0000-000038120000}"/>
    <cellStyle name="Cálculo 4 3 3" xfId="4679" xr:uid="{00000000-0005-0000-0000-000039120000}"/>
    <cellStyle name="Cálculo 4 3 3 2" xfId="4680" xr:uid="{00000000-0005-0000-0000-00003A120000}"/>
    <cellStyle name="Cálculo 4 3 3 2 2" xfId="4681" xr:uid="{00000000-0005-0000-0000-00003B120000}"/>
    <cellStyle name="Cálculo 4 3 3 2 2 2" xfId="4682" xr:uid="{00000000-0005-0000-0000-00003C120000}"/>
    <cellStyle name="Cálculo 4 3 3 2 2 2 2" xfId="4683" xr:uid="{00000000-0005-0000-0000-00003D120000}"/>
    <cellStyle name="Cálculo 4 3 3 2 2 2 3" xfId="4684" xr:uid="{00000000-0005-0000-0000-00003E120000}"/>
    <cellStyle name="Cálculo 4 3 3 2 2 2 4" xfId="4685" xr:uid="{00000000-0005-0000-0000-00003F120000}"/>
    <cellStyle name="Cálculo 4 3 3 2 2 3" xfId="4686" xr:uid="{00000000-0005-0000-0000-000040120000}"/>
    <cellStyle name="Cálculo 4 3 3 2 2 3 2" xfId="4687" xr:uid="{00000000-0005-0000-0000-000041120000}"/>
    <cellStyle name="Cálculo 4 3 3 2 2 3 3" xfId="4688" xr:uid="{00000000-0005-0000-0000-000042120000}"/>
    <cellStyle name="Cálculo 4 3 3 2 2 3 4" xfId="4689" xr:uid="{00000000-0005-0000-0000-000043120000}"/>
    <cellStyle name="Cálculo 4 3 3 2 2 4" xfId="4690" xr:uid="{00000000-0005-0000-0000-000044120000}"/>
    <cellStyle name="Cálculo 4 3 3 2 2 5" xfId="4691" xr:uid="{00000000-0005-0000-0000-000045120000}"/>
    <cellStyle name="Cálculo 4 3 3 2 2 6" xfId="4692" xr:uid="{00000000-0005-0000-0000-000046120000}"/>
    <cellStyle name="Cálculo 4 3 3 2 3" xfId="4693" xr:uid="{00000000-0005-0000-0000-000047120000}"/>
    <cellStyle name="Cálculo 4 3 3 2 3 2" xfId="4694" xr:uid="{00000000-0005-0000-0000-000048120000}"/>
    <cellStyle name="Cálculo 4 3 3 2 3 2 2" xfId="4695" xr:uid="{00000000-0005-0000-0000-000049120000}"/>
    <cellStyle name="Cálculo 4 3 3 2 3 2 3" xfId="4696" xr:uid="{00000000-0005-0000-0000-00004A120000}"/>
    <cellStyle name="Cálculo 4 3 3 2 3 2 4" xfId="4697" xr:uid="{00000000-0005-0000-0000-00004B120000}"/>
    <cellStyle name="Cálculo 4 3 3 2 3 3" xfId="4698" xr:uid="{00000000-0005-0000-0000-00004C120000}"/>
    <cellStyle name="Cálculo 4 3 3 2 3 3 2" xfId="4699" xr:uid="{00000000-0005-0000-0000-00004D120000}"/>
    <cellStyle name="Cálculo 4 3 3 2 3 3 3" xfId="4700" xr:uid="{00000000-0005-0000-0000-00004E120000}"/>
    <cellStyle name="Cálculo 4 3 3 2 3 3 4" xfId="4701" xr:uid="{00000000-0005-0000-0000-00004F120000}"/>
    <cellStyle name="Cálculo 4 3 3 2 3 4" xfId="4702" xr:uid="{00000000-0005-0000-0000-000050120000}"/>
    <cellStyle name="Cálculo 4 3 3 2 3 5" xfId="4703" xr:uid="{00000000-0005-0000-0000-000051120000}"/>
    <cellStyle name="Cálculo 4 3 3 2 3 6" xfId="4704" xr:uid="{00000000-0005-0000-0000-000052120000}"/>
    <cellStyle name="Cálculo 4 3 3 2 4" xfId="4705" xr:uid="{00000000-0005-0000-0000-000053120000}"/>
    <cellStyle name="Cálculo 4 3 3 2 5" xfId="4706" xr:uid="{00000000-0005-0000-0000-000054120000}"/>
    <cellStyle name="Cálculo 4 3 3 2 6" xfId="4707" xr:uid="{00000000-0005-0000-0000-000055120000}"/>
    <cellStyle name="Cálculo 4 3 3 3" xfId="4708" xr:uid="{00000000-0005-0000-0000-000056120000}"/>
    <cellStyle name="Cálculo 4 3 3 4" xfId="4709" xr:uid="{00000000-0005-0000-0000-000057120000}"/>
    <cellStyle name="Cálculo 4 3 4" xfId="4710" xr:uid="{00000000-0005-0000-0000-000058120000}"/>
    <cellStyle name="Cálculo 4 3 4 2" xfId="4711" xr:uid="{00000000-0005-0000-0000-000059120000}"/>
    <cellStyle name="Cálculo 4 3 4 2 2" xfId="4712" xr:uid="{00000000-0005-0000-0000-00005A120000}"/>
    <cellStyle name="Cálculo 4 3 4 2 2 2" xfId="4713" xr:uid="{00000000-0005-0000-0000-00005B120000}"/>
    <cellStyle name="Cálculo 4 3 4 2 2 2 2" xfId="4714" xr:uid="{00000000-0005-0000-0000-00005C120000}"/>
    <cellStyle name="Cálculo 4 3 4 2 2 2 3" xfId="4715" xr:uid="{00000000-0005-0000-0000-00005D120000}"/>
    <cellStyle name="Cálculo 4 3 4 2 2 2 4" xfId="4716" xr:uid="{00000000-0005-0000-0000-00005E120000}"/>
    <cellStyle name="Cálculo 4 3 4 2 2 3" xfId="4717" xr:uid="{00000000-0005-0000-0000-00005F120000}"/>
    <cellStyle name="Cálculo 4 3 4 2 2 3 2" xfId="4718" xr:uid="{00000000-0005-0000-0000-000060120000}"/>
    <cellStyle name="Cálculo 4 3 4 2 2 3 3" xfId="4719" xr:uid="{00000000-0005-0000-0000-000061120000}"/>
    <cellStyle name="Cálculo 4 3 4 2 2 3 4" xfId="4720" xr:uid="{00000000-0005-0000-0000-000062120000}"/>
    <cellStyle name="Cálculo 4 3 4 2 2 4" xfId="4721" xr:uid="{00000000-0005-0000-0000-000063120000}"/>
    <cellStyle name="Cálculo 4 3 4 2 2 5" xfId="4722" xr:uid="{00000000-0005-0000-0000-000064120000}"/>
    <cellStyle name="Cálculo 4 3 4 2 2 6" xfId="4723" xr:uid="{00000000-0005-0000-0000-000065120000}"/>
    <cellStyle name="Cálculo 4 3 4 2 3" xfId="4724" xr:uid="{00000000-0005-0000-0000-000066120000}"/>
    <cellStyle name="Cálculo 4 3 4 2 3 2" xfId="4725" xr:uid="{00000000-0005-0000-0000-000067120000}"/>
    <cellStyle name="Cálculo 4 3 4 2 3 2 2" xfId="4726" xr:uid="{00000000-0005-0000-0000-000068120000}"/>
    <cellStyle name="Cálculo 4 3 4 2 3 2 3" xfId="4727" xr:uid="{00000000-0005-0000-0000-000069120000}"/>
    <cellStyle name="Cálculo 4 3 4 2 3 2 4" xfId="4728" xr:uid="{00000000-0005-0000-0000-00006A120000}"/>
    <cellStyle name="Cálculo 4 3 4 2 3 3" xfId="4729" xr:uid="{00000000-0005-0000-0000-00006B120000}"/>
    <cellStyle name="Cálculo 4 3 4 2 3 3 2" xfId="4730" xr:uid="{00000000-0005-0000-0000-00006C120000}"/>
    <cellStyle name="Cálculo 4 3 4 2 3 3 3" xfId="4731" xr:uid="{00000000-0005-0000-0000-00006D120000}"/>
    <cellStyle name="Cálculo 4 3 4 2 3 3 4" xfId="4732" xr:uid="{00000000-0005-0000-0000-00006E120000}"/>
    <cellStyle name="Cálculo 4 3 4 2 3 4" xfId="4733" xr:uid="{00000000-0005-0000-0000-00006F120000}"/>
    <cellStyle name="Cálculo 4 3 4 2 3 5" xfId="4734" xr:uid="{00000000-0005-0000-0000-000070120000}"/>
    <cellStyle name="Cálculo 4 3 4 2 3 6" xfId="4735" xr:uid="{00000000-0005-0000-0000-000071120000}"/>
    <cellStyle name="Cálculo 4 3 4 2 4" xfId="4736" xr:uid="{00000000-0005-0000-0000-000072120000}"/>
    <cellStyle name="Cálculo 4 3 4 2 5" xfId="4737" xr:uid="{00000000-0005-0000-0000-000073120000}"/>
    <cellStyle name="Cálculo 4 3 4 2 6" xfId="4738" xr:uid="{00000000-0005-0000-0000-000074120000}"/>
    <cellStyle name="Cálculo 4 3 4 3" xfId="4739" xr:uid="{00000000-0005-0000-0000-000075120000}"/>
    <cellStyle name="Cálculo 4 3 4 4" xfId="4740" xr:uid="{00000000-0005-0000-0000-000076120000}"/>
    <cellStyle name="Cálculo 4 3 5" xfId="4741" xr:uid="{00000000-0005-0000-0000-000077120000}"/>
    <cellStyle name="Cálculo 4 3 5 2" xfId="4742" xr:uid="{00000000-0005-0000-0000-000078120000}"/>
    <cellStyle name="Cálculo 4 3 5 2 2" xfId="4743" xr:uid="{00000000-0005-0000-0000-000079120000}"/>
    <cellStyle name="Cálculo 4 3 5 2 2 2" xfId="4744" xr:uid="{00000000-0005-0000-0000-00007A120000}"/>
    <cellStyle name="Cálculo 4 3 5 2 2 2 2" xfId="4745" xr:uid="{00000000-0005-0000-0000-00007B120000}"/>
    <cellStyle name="Cálculo 4 3 5 2 2 2 3" xfId="4746" xr:uid="{00000000-0005-0000-0000-00007C120000}"/>
    <cellStyle name="Cálculo 4 3 5 2 2 2 4" xfId="4747" xr:uid="{00000000-0005-0000-0000-00007D120000}"/>
    <cellStyle name="Cálculo 4 3 5 2 2 3" xfId="4748" xr:uid="{00000000-0005-0000-0000-00007E120000}"/>
    <cellStyle name="Cálculo 4 3 5 2 2 3 2" xfId="4749" xr:uid="{00000000-0005-0000-0000-00007F120000}"/>
    <cellStyle name="Cálculo 4 3 5 2 2 3 3" xfId="4750" xr:uid="{00000000-0005-0000-0000-000080120000}"/>
    <cellStyle name="Cálculo 4 3 5 2 2 3 4" xfId="4751" xr:uid="{00000000-0005-0000-0000-000081120000}"/>
    <cellStyle name="Cálculo 4 3 5 2 2 4" xfId="4752" xr:uid="{00000000-0005-0000-0000-000082120000}"/>
    <cellStyle name="Cálculo 4 3 5 2 2 5" xfId="4753" xr:uid="{00000000-0005-0000-0000-000083120000}"/>
    <cellStyle name="Cálculo 4 3 5 2 2 6" xfId="4754" xr:uid="{00000000-0005-0000-0000-000084120000}"/>
    <cellStyle name="Cálculo 4 3 5 2 3" xfId="4755" xr:uid="{00000000-0005-0000-0000-000085120000}"/>
    <cellStyle name="Cálculo 4 3 5 2 3 2" xfId="4756" xr:uid="{00000000-0005-0000-0000-000086120000}"/>
    <cellStyle name="Cálculo 4 3 5 2 3 2 2" xfId="4757" xr:uid="{00000000-0005-0000-0000-000087120000}"/>
    <cellStyle name="Cálculo 4 3 5 2 3 2 3" xfId="4758" xr:uid="{00000000-0005-0000-0000-000088120000}"/>
    <cellStyle name="Cálculo 4 3 5 2 3 2 4" xfId="4759" xr:uid="{00000000-0005-0000-0000-000089120000}"/>
    <cellStyle name="Cálculo 4 3 5 2 3 3" xfId="4760" xr:uid="{00000000-0005-0000-0000-00008A120000}"/>
    <cellStyle name="Cálculo 4 3 5 2 3 3 2" xfId="4761" xr:uid="{00000000-0005-0000-0000-00008B120000}"/>
    <cellStyle name="Cálculo 4 3 5 2 3 3 3" xfId="4762" xr:uid="{00000000-0005-0000-0000-00008C120000}"/>
    <cellStyle name="Cálculo 4 3 5 2 3 3 4" xfId="4763" xr:uid="{00000000-0005-0000-0000-00008D120000}"/>
    <cellStyle name="Cálculo 4 3 5 2 3 4" xfId="4764" xr:uid="{00000000-0005-0000-0000-00008E120000}"/>
    <cellStyle name="Cálculo 4 3 5 2 3 5" xfId="4765" xr:uid="{00000000-0005-0000-0000-00008F120000}"/>
    <cellStyle name="Cálculo 4 3 5 2 3 6" xfId="4766" xr:uid="{00000000-0005-0000-0000-000090120000}"/>
    <cellStyle name="Cálculo 4 3 5 2 4" xfId="4767" xr:uid="{00000000-0005-0000-0000-000091120000}"/>
    <cellStyle name="Cálculo 4 3 5 2 5" xfId="4768" xr:uid="{00000000-0005-0000-0000-000092120000}"/>
    <cellStyle name="Cálculo 4 3 5 2 6" xfId="4769" xr:uid="{00000000-0005-0000-0000-000093120000}"/>
    <cellStyle name="Cálculo 4 3 5 3" xfId="4770" xr:uid="{00000000-0005-0000-0000-000094120000}"/>
    <cellStyle name="Cálculo 4 3 5 4" xfId="4771" xr:uid="{00000000-0005-0000-0000-000095120000}"/>
    <cellStyle name="Cálculo 4 3 6" xfId="4772" xr:uid="{00000000-0005-0000-0000-000096120000}"/>
    <cellStyle name="Cálculo 4 3 6 2" xfId="4773" xr:uid="{00000000-0005-0000-0000-000097120000}"/>
    <cellStyle name="Cálculo 4 3 6 2 2" xfId="4774" xr:uid="{00000000-0005-0000-0000-000098120000}"/>
    <cellStyle name="Cálculo 4 3 6 2 2 2" xfId="4775" xr:uid="{00000000-0005-0000-0000-000099120000}"/>
    <cellStyle name="Cálculo 4 3 6 2 2 3" xfId="4776" xr:uid="{00000000-0005-0000-0000-00009A120000}"/>
    <cellStyle name="Cálculo 4 3 6 2 2 4" xfId="4777" xr:uid="{00000000-0005-0000-0000-00009B120000}"/>
    <cellStyle name="Cálculo 4 3 6 2 3" xfId="4778" xr:uid="{00000000-0005-0000-0000-00009C120000}"/>
    <cellStyle name="Cálculo 4 3 6 2 3 2" xfId="4779" xr:uid="{00000000-0005-0000-0000-00009D120000}"/>
    <cellStyle name="Cálculo 4 3 6 2 3 3" xfId="4780" xr:uid="{00000000-0005-0000-0000-00009E120000}"/>
    <cellStyle name="Cálculo 4 3 6 2 3 4" xfId="4781" xr:uid="{00000000-0005-0000-0000-00009F120000}"/>
    <cellStyle name="Cálculo 4 3 6 2 4" xfId="4782" xr:uid="{00000000-0005-0000-0000-0000A0120000}"/>
    <cellStyle name="Cálculo 4 3 6 2 5" xfId="4783" xr:uid="{00000000-0005-0000-0000-0000A1120000}"/>
    <cellStyle name="Cálculo 4 3 6 2 6" xfId="4784" xr:uid="{00000000-0005-0000-0000-0000A2120000}"/>
    <cellStyle name="Cálculo 4 3 6 3" xfId="4785" xr:uid="{00000000-0005-0000-0000-0000A3120000}"/>
    <cellStyle name="Cálculo 4 3 6 3 2" xfId="4786" xr:uid="{00000000-0005-0000-0000-0000A4120000}"/>
    <cellStyle name="Cálculo 4 3 6 3 2 2" xfId="4787" xr:uid="{00000000-0005-0000-0000-0000A5120000}"/>
    <cellStyle name="Cálculo 4 3 6 3 2 3" xfId="4788" xr:uid="{00000000-0005-0000-0000-0000A6120000}"/>
    <cellStyle name="Cálculo 4 3 6 3 2 4" xfId="4789" xr:uid="{00000000-0005-0000-0000-0000A7120000}"/>
    <cellStyle name="Cálculo 4 3 6 3 3" xfId="4790" xr:uid="{00000000-0005-0000-0000-0000A8120000}"/>
    <cellStyle name="Cálculo 4 3 6 3 3 2" xfId="4791" xr:uid="{00000000-0005-0000-0000-0000A9120000}"/>
    <cellStyle name="Cálculo 4 3 6 3 3 3" xfId="4792" xr:uid="{00000000-0005-0000-0000-0000AA120000}"/>
    <cellStyle name="Cálculo 4 3 6 3 3 4" xfId="4793" xr:uid="{00000000-0005-0000-0000-0000AB120000}"/>
    <cellStyle name="Cálculo 4 3 6 3 4" xfId="4794" xr:uid="{00000000-0005-0000-0000-0000AC120000}"/>
    <cellStyle name="Cálculo 4 3 6 3 5" xfId="4795" xr:uid="{00000000-0005-0000-0000-0000AD120000}"/>
    <cellStyle name="Cálculo 4 3 6 3 6" xfId="4796" xr:uid="{00000000-0005-0000-0000-0000AE120000}"/>
    <cellStyle name="Cálculo 4 3 6 4" xfId="4797" xr:uid="{00000000-0005-0000-0000-0000AF120000}"/>
    <cellStyle name="Cálculo 4 3 6 4 2" xfId="4798" xr:uid="{00000000-0005-0000-0000-0000B0120000}"/>
    <cellStyle name="Cálculo 4 3 6 4 3" xfId="4799" xr:uid="{00000000-0005-0000-0000-0000B1120000}"/>
    <cellStyle name="Cálculo 4 3 6 4 4" xfId="4800" xr:uid="{00000000-0005-0000-0000-0000B2120000}"/>
    <cellStyle name="Cálculo 4 3 6 5" xfId="4801" xr:uid="{00000000-0005-0000-0000-0000B3120000}"/>
    <cellStyle name="Cálculo 4 3 6 6" xfId="4802" xr:uid="{00000000-0005-0000-0000-0000B4120000}"/>
    <cellStyle name="Cálculo 4 3 7" xfId="4803" xr:uid="{00000000-0005-0000-0000-0000B5120000}"/>
    <cellStyle name="Cálculo 4 3 7 2" xfId="4804" xr:uid="{00000000-0005-0000-0000-0000B6120000}"/>
    <cellStyle name="Cálculo 4 3 7 2 2" xfId="4805" xr:uid="{00000000-0005-0000-0000-0000B7120000}"/>
    <cellStyle name="Cálculo 4 3 7 2 2 2" xfId="4806" xr:uid="{00000000-0005-0000-0000-0000B8120000}"/>
    <cellStyle name="Cálculo 4 3 7 2 2 3" xfId="4807" xr:uid="{00000000-0005-0000-0000-0000B9120000}"/>
    <cellStyle name="Cálculo 4 3 7 2 2 4" xfId="4808" xr:uid="{00000000-0005-0000-0000-0000BA120000}"/>
    <cellStyle name="Cálculo 4 3 7 2 3" xfId="4809" xr:uid="{00000000-0005-0000-0000-0000BB120000}"/>
    <cellStyle name="Cálculo 4 3 7 2 3 2" xfId="4810" xr:uid="{00000000-0005-0000-0000-0000BC120000}"/>
    <cellStyle name="Cálculo 4 3 7 2 3 3" xfId="4811" xr:uid="{00000000-0005-0000-0000-0000BD120000}"/>
    <cellStyle name="Cálculo 4 3 7 2 3 4" xfId="4812" xr:uid="{00000000-0005-0000-0000-0000BE120000}"/>
    <cellStyle name="Cálculo 4 3 7 2 4" xfId="4813" xr:uid="{00000000-0005-0000-0000-0000BF120000}"/>
    <cellStyle name="Cálculo 4 3 7 2 5" xfId="4814" xr:uid="{00000000-0005-0000-0000-0000C0120000}"/>
    <cellStyle name="Cálculo 4 3 7 2 6" xfId="4815" xr:uid="{00000000-0005-0000-0000-0000C1120000}"/>
    <cellStyle name="Cálculo 4 3 7 3" xfId="4816" xr:uid="{00000000-0005-0000-0000-0000C2120000}"/>
    <cellStyle name="Cálculo 4 3 7 3 2" xfId="4817" xr:uid="{00000000-0005-0000-0000-0000C3120000}"/>
    <cellStyle name="Cálculo 4 3 7 3 2 2" xfId="4818" xr:uid="{00000000-0005-0000-0000-0000C4120000}"/>
    <cellStyle name="Cálculo 4 3 7 3 2 3" xfId="4819" xr:uid="{00000000-0005-0000-0000-0000C5120000}"/>
    <cellStyle name="Cálculo 4 3 7 3 2 4" xfId="4820" xr:uid="{00000000-0005-0000-0000-0000C6120000}"/>
    <cellStyle name="Cálculo 4 3 7 3 3" xfId="4821" xr:uid="{00000000-0005-0000-0000-0000C7120000}"/>
    <cellStyle name="Cálculo 4 3 7 3 3 2" xfId="4822" xr:uid="{00000000-0005-0000-0000-0000C8120000}"/>
    <cellStyle name="Cálculo 4 3 7 3 3 3" xfId="4823" xr:uid="{00000000-0005-0000-0000-0000C9120000}"/>
    <cellStyle name="Cálculo 4 3 7 3 3 4" xfId="4824" xr:uid="{00000000-0005-0000-0000-0000CA120000}"/>
    <cellStyle name="Cálculo 4 3 7 3 4" xfId="4825" xr:uid="{00000000-0005-0000-0000-0000CB120000}"/>
    <cellStyle name="Cálculo 4 3 7 3 5" xfId="4826" xr:uid="{00000000-0005-0000-0000-0000CC120000}"/>
    <cellStyle name="Cálculo 4 3 7 3 6" xfId="4827" xr:uid="{00000000-0005-0000-0000-0000CD120000}"/>
    <cellStyle name="Cálculo 4 3 7 4" xfId="4828" xr:uid="{00000000-0005-0000-0000-0000CE120000}"/>
    <cellStyle name="Cálculo 4 3 7 4 2" xfId="4829" xr:uid="{00000000-0005-0000-0000-0000CF120000}"/>
    <cellStyle name="Cálculo 4 3 7 4 3" xfId="4830" xr:uid="{00000000-0005-0000-0000-0000D0120000}"/>
    <cellStyle name="Cálculo 4 3 7 4 4" xfId="4831" xr:uid="{00000000-0005-0000-0000-0000D1120000}"/>
    <cellStyle name="Cálculo 4 3 7 5" xfId="4832" xr:uid="{00000000-0005-0000-0000-0000D2120000}"/>
    <cellStyle name="Cálculo 4 3 7 6" xfId="4833" xr:uid="{00000000-0005-0000-0000-0000D3120000}"/>
    <cellStyle name="Cálculo 4 3 8" xfId="4834" xr:uid="{00000000-0005-0000-0000-0000D4120000}"/>
    <cellStyle name="Cálculo 4 3 8 2" xfId="4835" xr:uid="{00000000-0005-0000-0000-0000D5120000}"/>
    <cellStyle name="Cálculo 4 3 8 2 2" xfId="4836" xr:uid="{00000000-0005-0000-0000-0000D6120000}"/>
    <cellStyle name="Cálculo 4 3 8 2 2 2" xfId="4837" xr:uid="{00000000-0005-0000-0000-0000D7120000}"/>
    <cellStyle name="Cálculo 4 3 8 2 2 3" xfId="4838" xr:uid="{00000000-0005-0000-0000-0000D8120000}"/>
    <cellStyle name="Cálculo 4 3 8 2 2 4" xfId="4839" xr:uid="{00000000-0005-0000-0000-0000D9120000}"/>
    <cellStyle name="Cálculo 4 3 8 2 3" xfId="4840" xr:uid="{00000000-0005-0000-0000-0000DA120000}"/>
    <cellStyle name="Cálculo 4 3 8 2 3 2" xfId="4841" xr:uid="{00000000-0005-0000-0000-0000DB120000}"/>
    <cellStyle name="Cálculo 4 3 8 2 3 3" xfId="4842" xr:uid="{00000000-0005-0000-0000-0000DC120000}"/>
    <cellStyle name="Cálculo 4 3 8 2 3 4" xfId="4843" xr:uid="{00000000-0005-0000-0000-0000DD120000}"/>
    <cellStyle name="Cálculo 4 3 8 2 4" xfId="4844" xr:uid="{00000000-0005-0000-0000-0000DE120000}"/>
    <cellStyle name="Cálculo 4 3 8 2 5" xfId="4845" xr:uid="{00000000-0005-0000-0000-0000DF120000}"/>
    <cellStyle name="Cálculo 4 3 8 2 6" xfId="4846" xr:uid="{00000000-0005-0000-0000-0000E0120000}"/>
    <cellStyle name="Cálculo 4 3 8 3" xfId="4847" xr:uid="{00000000-0005-0000-0000-0000E1120000}"/>
    <cellStyle name="Cálculo 4 3 8 3 2" xfId="4848" xr:uid="{00000000-0005-0000-0000-0000E2120000}"/>
    <cellStyle name="Cálculo 4 3 8 3 2 2" xfId="4849" xr:uid="{00000000-0005-0000-0000-0000E3120000}"/>
    <cellStyle name="Cálculo 4 3 8 3 2 3" xfId="4850" xr:uid="{00000000-0005-0000-0000-0000E4120000}"/>
    <cellStyle name="Cálculo 4 3 8 3 2 4" xfId="4851" xr:uid="{00000000-0005-0000-0000-0000E5120000}"/>
    <cellStyle name="Cálculo 4 3 8 3 3" xfId="4852" xr:uid="{00000000-0005-0000-0000-0000E6120000}"/>
    <cellStyle name="Cálculo 4 3 8 3 3 2" xfId="4853" xr:uid="{00000000-0005-0000-0000-0000E7120000}"/>
    <cellStyle name="Cálculo 4 3 8 3 3 3" xfId="4854" xr:uid="{00000000-0005-0000-0000-0000E8120000}"/>
    <cellStyle name="Cálculo 4 3 8 3 3 4" xfId="4855" xr:uid="{00000000-0005-0000-0000-0000E9120000}"/>
    <cellStyle name="Cálculo 4 3 8 3 4" xfId="4856" xr:uid="{00000000-0005-0000-0000-0000EA120000}"/>
    <cellStyle name="Cálculo 4 3 8 3 5" xfId="4857" xr:uid="{00000000-0005-0000-0000-0000EB120000}"/>
    <cellStyle name="Cálculo 4 3 8 3 6" xfId="4858" xr:uid="{00000000-0005-0000-0000-0000EC120000}"/>
    <cellStyle name="Cálculo 4 3 8 4" xfId="4859" xr:uid="{00000000-0005-0000-0000-0000ED120000}"/>
    <cellStyle name="Cálculo 4 3 8 4 2" xfId="4860" xr:uid="{00000000-0005-0000-0000-0000EE120000}"/>
    <cellStyle name="Cálculo 4 3 8 4 3" xfId="4861" xr:uid="{00000000-0005-0000-0000-0000EF120000}"/>
    <cellStyle name="Cálculo 4 3 8 4 4" xfId="4862" xr:uid="{00000000-0005-0000-0000-0000F0120000}"/>
    <cellStyle name="Cálculo 4 3 8 5" xfId="4863" xr:uid="{00000000-0005-0000-0000-0000F1120000}"/>
    <cellStyle name="Cálculo 4 3 8 6" xfId="4864" xr:uid="{00000000-0005-0000-0000-0000F2120000}"/>
    <cellStyle name="Cálculo 4 3 9" xfId="4865" xr:uid="{00000000-0005-0000-0000-0000F3120000}"/>
    <cellStyle name="Cálculo 4 3 9 2" xfId="4866" xr:uid="{00000000-0005-0000-0000-0000F4120000}"/>
    <cellStyle name="Cálculo 4 3 9 2 2" xfId="4867" xr:uid="{00000000-0005-0000-0000-0000F5120000}"/>
    <cellStyle name="Cálculo 4 3 9 2 2 2" xfId="4868" xr:uid="{00000000-0005-0000-0000-0000F6120000}"/>
    <cellStyle name="Cálculo 4 3 9 2 2 3" xfId="4869" xr:uid="{00000000-0005-0000-0000-0000F7120000}"/>
    <cellStyle name="Cálculo 4 3 9 2 2 4" xfId="4870" xr:uid="{00000000-0005-0000-0000-0000F8120000}"/>
    <cellStyle name="Cálculo 4 3 9 2 3" xfId="4871" xr:uid="{00000000-0005-0000-0000-0000F9120000}"/>
    <cellStyle name="Cálculo 4 3 9 2 3 2" xfId="4872" xr:uid="{00000000-0005-0000-0000-0000FA120000}"/>
    <cellStyle name="Cálculo 4 3 9 2 3 3" xfId="4873" xr:uid="{00000000-0005-0000-0000-0000FB120000}"/>
    <cellStyle name="Cálculo 4 3 9 2 3 4" xfId="4874" xr:uid="{00000000-0005-0000-0000-0000FC120000}"/>
    <cellStyle name="Cálculo 4 3 9 2 4" xfId="4875" xr:uid="{00000000-0005-0000-0000-0000FD120000}"/>
    <cellStyle name="Cálculo 4 3 9 2 5" xfId="4876" xr:uid="{00000000-0005-0000-0000-0000FE120000}"/>
    <cellStyle name="Cálculo 4 3 9 2 6" xfId="4877" xr:uid="{00000000-0005-0000-0000-0000FF120000}"/>
    <cellStyle name="Cálculo 4 3 9 3" xfId="4878" xr:uid="{00000000-0005-0000-0000-000000130000}"/>
    <cellStyle name="Cálculo 4 3 9 3 2" xfId="4879" xr:uid="{00000000-0005-0000-0000-000001130000}"/>
    <cellStyle name="Cálculo 4 3 9 3 2 2" xfId="4880" xr:uid="{00000000-0005-0000-0000-000002130000}"/>
    <cellStyle name="Cálculo 4 3 9 3 2 3" xfId="4881" xr:uid="{00000000-0005-0000-0000-000003130000}"/>
    <cellStyle name="Cálculo 4 3 9 3 2 4" xfId="4882" xr:uid="{00000000-0005-0000-0000-000004130000}"/>
    <cellStyle name="Cálculo 4 3 9 3 3" xfId="4883" xr:uid="{00000000-0005-0000-0000-000005130000}"/>
    <cellStyle name="Cálculo 4 3 9 3 3 2" xfId="4884" xr:uid="{00000000-0005-0000-0000-000006130000}"/>
    <cellStyle name="Cálculo 4 3 9 3 3 3" xfId="4885" xr:uid="{00000000-0005-0000-0000-000007130000}"/>
    <cellStyle name="Cálculo 4 3 9 3 3 4" xfId="4886" xr:uid="{00000000-0005-0000-0000-000008130000}"/>
    <cellStyle name="Cálculo 4 3 9 3 4" xfId="4887" xr:uid="{00000000-0005-0000-0000-000009130000}"/>
    <cellStyle name="Cálculo 4 3 9 3 5" xfId="4888" xr:uid="{00000000-0005-0000-0000-00000A130000}"/>
    <cellStyle name="Cálculo 4 3 9 3 6" xfId="4889" xr:uid="{00000000-0005-0000-0000-00000B130000}"/>
    <cellStyle name="Cálculo 4 3 9 4" xfId="4890" xr:uid="{00000000-0005-0000-0000-00000C130000}"/>
    <cellStyle name="Cálculo 4 3 9 4 2" xfId="4891" xr:uid="{00000000-0005-0000-0000-00000D130000}"/>
    <cellStyle name="Cálculo 4 3 9 4 3" xfId="4892" xr:uid="{00000000-0005-0000-0000-00000E130000}"/>
    <cellStyle name="Cálculo 4 3 9 4 4" xfId="4893" xr:uid="{00000000-0005-0000-0000-00000F130000}"/>
    <cellStyle name="Cálculo 4 3 9 5" xfId="4894" xr:uid="{00000000-0005-0000-0000-000010130000}"/>
    <cellStyle name="Cálculo 4 3 9 6" xfId="4895" xr:uid="{00000000-0005-0000-0000-000011130000}"/>
    <cellStyle name="Cálculo 4 4" xfId="4896" xr:uid="{00000000-0005-0000-0000-000012130000}"/>
    <cellStyle name="Cálculo 4 4 2" xfId="4897" xr:uid="{00000000-0005-0000-0000-000013130000}"/>
    <cellStyle name="Cálculo 4 4 2 2" xfId="4898" xr:uid="{00000000-0005-0000-0000-000014130000}"/>
    <cellStyle name="Cálculo 4 4 2 2 2" xfId="4899" xr:uid="{00000000-0005-0000-0000-000015130000}"/>
    <cellStyle name="Cálculo 4 4 2 2 2 2" xfId="4900" xr:uid="{00000000-0005-0000-0000-000016130000}"/>
    <cellStyle name="Cálculo 4 4 2 2 2 3" xfId="4901" xr:uid="{00000000-0005-0000-0000-000017130000}"/>
    <cellStyle name="Cálculo 4 4 2 2 2 4" xfId="4902" xr:uid="{00000000-0005-0000-0000-000018130000}"/>
    <cellStyle name="Cálculo 4 4 2 2 3" xfId="4903" xr:uid="{00000000-0005-0000-0000-000019130000}"/>
    <cellStyle name="Cálculo 4 4 2 2 3 2" xfId="4904" xr:uid="{00000000-0005-0000-0000-00001A130000}"/>
    <cellStyle name="Cálculo 4 4 2 2 3 3" xfId="4905" xr:uid="{00000000-0005-0000-0000-00001B130000}"/>
    <cellStyle name="Cálculo 4 4 2 2 3 4" xfId="4906" xr:uid="{00000000-0005-0000-0000-00001C130000}"/>
    <cellStyle name="Cálculo 4 4 2 2 4" xfId="4907" xr:uid="{00000000-0005-0000-0000-00001D130000}"/>
    <cellStyle name="Cálculo 4 4 2 2 5" xfId="4908" xr:uid="{00000000-0005-0000-0000-00001E130000}"/>
    <cellStyle name="Cálculo 4 4 2 2 6" xfId="4909" xr:uid="{00000000-0005-0000-0000-00001F130000}"/>
    <cellStyle name="Cálculo 4 4 2 3" xfId="4910" xr:uid="{00000000-0005-0000-0000-000020130000}"/>
    <cellStyle name="Cálculo 4 4 2 3 2" xfId="4911" xr:uid="{00000000-0005-0000-0000-000021130000}"/>
    <cellStyle name="Cálculo 4 4 2 3 2 2" xfId="4912" xr:uid="{00000000-0005-0000-0000-000022130000}"/>
    <cellStyle name="Cálculo 4 4 2 3 2 3" xfId="4913" xr:uid="{00000000-0005-0000-0000-000023130000}"/>
    <cellStyle name="Cálculo 4 4 2 3 2 4" xfId="4914" xr:uid="{00000000-0005-0000-0000-000024130000}"/>
    <cellStyle name="Cálculo 4 4 2 3 3" xfId="4915" xr:uid="{00000000-0005-0000-0000-000025130000}"/>
    <cellStyle name="Cálculo 4 4 2 3 3 2" xfId="4916" xr:uid="{00000000-0005-0000-0000-000026130000}"/>
    <cellStyle name="Cálculo 4 4 2 3 3 3" xfId="4917" xr:uid="{00000000-0005-0000-0000-000027130000}"/>
    <cellStyle name="Cálculo 4 4 2 3 3 4" xfId="4918" xr:uid="{00000000-0005-0000-0000-000028130000}"/>
    <cellStyle name="Cálculo 4 4 2 3 4" xfId="4919" xr:uid="{00000000-0005-0000-0000-000029130000}"/>
    <cellStyle name="Cálculo 4 4 2 3 5" xfId="4920" xr:uid="{00000000-0005-0000-0000-00002A130000}"/>
    <cellStyle name="Cálculo 4 4 2 3 6" xfId="4921" xr:uid="{00000000-0005-0000-0000-00002B130000}"/>
    <cellStyle name="Cálculo 4 4 2 4" xfId="4922" xr:uid="{00000000-0005-0000-0000-00002C130000}"/>
    <cellStyle name="Cálculo 4 4 2 5" xfId="4923" xr:uid="{00000000-0005-0000-0000-00002D130000}"/>
    <cellStyle name="Cálculo 4 4 2 6" xfId="4924" xr:uid="{00000000-0005-0000-0000-00002E130000}"/>
    <cellStyle name="Cálculo 4 4 3" xfId="4925" xr:uid="{00000000-0005-0000-0000-00002F130000}"/>
    <cellStyle name="Cálculo 4 4 4" xfId="4926" xr:uid="{00000000-0005-0000-0000-000030130000}"/>
    <cellStyle name="Cálculo 4 5" xfId="4927" xr:uid="{00000000-0005-0000-0000-000031130000}"/>
    <cellStyle name="Cálculo 4 5 2" xfId="4928" xr:uid="{00000000-0005-0000-0000-000032130000}"/>
    <cellStyle name="Cálculo 4 5 2 2" xfId="4929" xr:uid="{00000000-0005-0000-0000-000033130000}"/>
    <cellStyle name="Cálculo 4 5 2 2 2" xfId="4930" xr:uid="{00000000-0005-0000-0000-000034130000}"/>
    <cellStyle name="Cálculo 4 5 2 2 2 2" xfId="4931" xr:uid="{00000000-0005-0000-0000-000035130000}"/>
    <cellStyle name="Cálculo 4 5 2 2 2 3" xfId="4932" xr:uid="{00000000-0005-0000-0000-000036130000}"/>
    <cellStyle name="Cálculo 4 5 2 2 2 4" xfId="4933" xr:uid="{00000000-0005-0000-0000-000037130000}"/>
    <cellStyle name="Cálculo 4 5 2 2 3" xfId="4934" xr:uid="{00000000-0005-0000-0000-000038130000}"/>
    <cellStyle name="Cálculo 4 5 2 2 3 2" xfId="4935" xr:uid="{00000000-0005-0000-0000-000039130000}"/>
    <cellStyle name="Cálculo 4 5 2 2 3 3" xfId="4936" xr:uid="{00000000-0005-0000-0000-00003A130000}"/>
    <cellStyle name="Cálculo 4 5 2 2 3 4" xfId="4937" xr:uid="{00000000-0005-0000-0000-00003B130000}"/>
    <cellStyle name="Cálculo 4 5 2 2 4" xfId="4938" xr:uid="{00000000-0005-0000-0000-00003C130000}"/>
    <cellStyle name="Cálculo 4 5 2 2 5" xfId="4939" xr:uid="{00000000-0005-0000-0000-00003D130000}"/>
    <cellStyle name="Cálculo 4 5 2 2 6" xfId="4940" xr:uid="{00000000-0005-0000-0000-00003E130000}"/>
    <cellStyle name="Cálculo 4 5 2 3" xfId="4941" xr:uid="{00000000-0005-0000-0000-00003F130000}"/>
    <cellStyle name="Cálculo 4 5 2 3 2" xfId="4942" xr:uid="{00000000-0005-0000-0000-000040130000}"/>
    <cellStyle name="Cálculo 4 5 2 3 2 2" xfId="4943" xr:uid="{00000000-0005-0000-0000-000041130000}"/>
    <cellStyle name="Cálculo 4 5 2 3 2 3" xfId="4944" xr:uid="{00000000-0005-0000-0000-000042130000}"/>
    <cellStyle name="Cálculo 4 5 2 3 2 4" xfId="4945" xr:uid="{00000000-0005-0000-0000-000043130000}"/>
    <cellStyle name="Cálculo 4 5 2 3 3" xfId="4946" xr:uid="{00000000-0005-0000-0000-000044130000}"/>
    <cellStyle name="Cálculo 4 5 2 3 3 2" xfId="4947" xr:uid="{00000000-0005-0000-0000-000045130000}"/>
    <cellStyle name="Cálculo 4 5 2 3 3 3" xfId="4948" xr:uid="{00000000-0005-0000-0000-000046130000}"/>
    <cellStyle name="Cálculo 4 5 2 3 3 4" xfId="4949" xr:uid="{00000000-0005-0000-0000-000047130000}"/>
    <cellStyle name="Cálculo 4 5 2 3 4" xfId="4950" xr:uid="{00000000-0005-0000-0000-000048130000}"/>
    <cellStyle name="Cálculo 4 5 2 3 5" xfId="4951" xr:uid="{00000000-0005-0000-0000-000049130000}"/>
    <cellStyle name="Cálculo 4 5 2 3 6" xfId="4952" xr:uid="{00000000-0005-0000-0000-00004A130000}"/>
    <cellStyle name="Cálculo 4 5 2 4" xfId="4953" xr:uid="{00000000-0005-0000-0000-00004B130000}"/>
    <cellStyle name="Cálculo 4 5 2 5" xfId="4954" xr:uid="{00000000-0005-0000-0000-00004C130000}"/>
    <cellStyle name="Cálculo 4 5 2 6" xfId="4955" xr:uid="{00000000-0005-0000-0000-00004D130000}"/>
    <cellStyle name="Cálculo 4 5 3" xfId="4956" xr:uid="{00000000-0005-0000-0000-00004E130000}"/>
    <cellStyle name="Cálculo 4 5 4" xfId="4957" xr:uid="{00000000-0005-0000-0000-00004F130000}"/>
    <cellStyle name="Cálculo 4 6" xfId="4958" xr:uid="{00000000-0005-0000-0000-000050130000}"/>
    <cellStyle name="Cálculo 4 6 2" xfId="4959" xr:uid="{00000000-0005-0000-0000-000051130000}"/>
    <cellStyle name="Cálculo 4 6 2 2" xfId="4960" xr:uid="{00000000-0005-0000-0000-000052130000}"/>
    <cellStyle name="Cálculo 4 6 2 2 2" xfId="4961" xr:uid="{00000000-0005-0000-0000-000053130000}"/>
    <cellStyle name="Cálculo 4 6 2 2 2 2" xfId="4962" xr:uid="{00000000-0005-0000-0000-000054130000}"/>
    <cellStyle name="Cálculo 4 6 2 2 2 3" xfId="4963" xr:uid="{00000000-0005-0000-0000-000055130000}"/>
    <cellStyle name="Cálculo 4 6 2 2 2 4" xfId="4964" xr:uid="{00000000-0005-0000-0000-000056130000}"/>
    <cellStyle name="Cálculo 4 6 2 2 3" xfId="4965" xr:uid="{00000000-0005-0000-0000-000057130000}"/>
    <cellStyle name="Cálculo 4 6 2 2 3 2" xfId="4966" xr:uid="{00000000-0005-0000-0000-000058130000}"/>
    <cellStyle name="Cálculo 4 6 2 2 3 3" xfId="4967" xr:uid="{00000000-0005-0000-0000-000059130000}"/>
    <cellStyle name="Cálculo 4 6 2 2 3 4" xfId="4968" xr:uid="{00000000-0005-0000-0000-00005A130000}"/>
    <cellStyle name="Cálculo 4 6 2 2 4" xfId="4969" xr:uid="{00000000-0005-0000-0000-00005B130000}"/>
    <cellStyle name="Cálculo 4 6 2 2 5" xfId="4970" xr:uid="{00000000-0005-0000-0000-00005C130000}"/>
    <cellStyle name="Cálculo 4 6 2 2 6" xfId="4971" xr:uid="{00000000-0005-0000-0000-00005D130000}"/>
    <cellStyle name="Cálculo 4 6 2 3" xfId="4972" xr:uid="{00000000-0005-0000-0000-00005E130000}"/>
    <cellStyle name="Cálculo 4 6 2 3 2" xfId="4973" xr:uid="{00000000-0005-0000-0000-00005F130000}"/>
    <cellStyle name="Cálculo 4 6 2 3 2 2" xfId="4974" xr:uid="{00000000-0005-0000-0000-000060130000}"/>
    <cellStyle name="Cálculo 4 6 2 3 2 3" xfId="4975" xr:uid="{00000000-0005-0000-0000-000061130000}"/>
    <cellStyle name="Cálculo 4 6 2 3 2 4" xfId="4976" xr:uid="{00000000-0005-0000-0000-000062130000}"/>
    <cellStyle name="Cálculo 4 6 2 3 3" xfId="4977" xr:uid="{00000000-0005-0000-0000-000063130000}"/>
    <cellStyle name="Cálculo 4 6 2 3 3 2" xfId="4978" xr:uid="{00000000-0005-0000-0000-000064130000}"/>
    <cellStyle name="Cálculo 4 6 2 3 3 3" xfId="4979" xr:uid="{00000000-0005-0000-0000-000065130000}"/>
    <cellStyle name="Cálculo 4 6 2 3 3 4" xfId="4980" xr:uid="{00000000-0005-0000-0000-000066130000}"/>
    <cellStyle name="Cálculo 4 6 2 3 4" xfId="4981" xr:uid="{00000000-0005-0000-0000-000067130000}"/>
    <cellStyle name="Cálculo 4 6 2 3 5" xfId="4982" xr:uid="{00000000-0005-0000-0000-000068130000}"/>
    <cellStyle name="Cálculo 4 6 2 3 6" xfId="4983" xr:uid="{00000000-0005-0000-0000-000069130000}"/>
    <cellStyle name="Cálculo 4 6 2 4" xfId="4984" xr:uid="{00000000-0005-0000-0000-00006A130000}"/>
    <cellStyle name="Cálculo 4 6 2 5" xfId="4985" xr:uid="{00000000-0005-0000-0000-00006B130000}"/>
    <cellStyle name="Cálculo 4 6 2 6" xfId="4986" xr:uid="{00000000-0005-0000-0000-00006C130000}"/>
    <cellStyle name="Cálculo 4 6 3" xfId="4987" xr:uid="{00000000-0005-0000-0000-00006D130000}"/>
    <cellStyle name="Cálculo 4 6 4" xfId="4988" xr:uid="{00000000-0005-0000-0000-00006E130000}"/>
    <cellStyle name="Cálculo 4 7" xfId="4989" xr:uid="{00000000-0005-0000-0000-00006F130000}"/>
    <cellStyle name="Cálculo 4 7 2" xfId="4990" xr:uid="{00000000-0005-0000-0000-000070130000}"/>
    <cellStyle name="Cálculo 4 7 2 2" xfId="4991" xr:uid="{00000000-0005-0000-0000-000071130000}"/>
    <cellStyle name="Cálculo 4 7 2 2 2" xfId="4992" xr:uid="{00000000-0005-0000-0000-000072130000}"/>
    <cellStyle name="Cálculo 4 7 2 2 2 2" xfId="4993" xr:uid="{00000000-0005-0000-0000-000073130000}"/>
    <cellStyle name="Cálculo 4 7 2 2 2 3" xfId="4994" xr:uid="{00000000-0005-0000-0000-000074130000}"/>
    <cellStyle name="Cálculo 4 7 2 2 2 4" xfId="4995" xr:uid="{00000000-0005-0000-0000-000075130000}"/>
    <cellStyle name="Cálculo 4 7 2 2 3" xfId="4996" xr:uid="{00000000-0005-0000-0000-000076130000}"/>
    <cellStyle name="Cálculo 4 7 2 2 3 2" xfId="4997" xr:uid="{00000000-0005-0000-0000-000077130000}"/>
    <cellStyle name="Cálculo 4 7 2 2 3 3" xfId="4998" xr:uid="{00000000-0005-0000-0000-000078130000}"/>
    <cellStyle name="Cálculo 4 7 2 2 3 4" xfId="4999" xr:uid="{00000000-0005-0000-0000-000079130000}"/>
    <cellStyle name="Cálculo 4 7 2 2 4" xfId="5000" xr:uid="{00000000-0005-0000-0000-00007A130000}"/>
    <cellStyle name="Cálculo 4 7 2 2 5" xfId="5001" xr:uid="{00000000-0005-0000-0000-00007B130000}"/>
    <cellStyle name="Cálculo 4 7 2 2 6" xfId="5002" xr:uid="{00000000-0005-0000-0000-00007C130000}"/>
    <cellStyle name="Cálculo 4 7 2 3" xfId="5003" xr:uid="{00000000-0005-0000-0000-00007D130000}"/>
    <cellStyle name="Cálculo 4 7 2 3 2" xfId="5004" xr:uid="{00000000-0005-0000-0000-00007E130000}"/>
    <cellStyle name="Cálculo 4 7 2 3 2 2" xfId="5005" xr:uid="{00000000-0005-0000-0000-00007F130000}"/>
    <cellStyle name="Cálculo 4 7 2 3 2 3" xfId="5006" xr:uid="{00000000-0005-0000-0000-000080130000}"/>
    <cellStyle name="Cálculo 4 7 2 3 2 4" xfId="5007" xr:uid="{00000000-0005-0000-0000-000081130000}"/>
    <cellStyle name="Cálculo 4 7 2 3 3" xfId="5008" xr:uid="{00000000-0005-0000-0000-000082130000}"/>
    <cellStyle name="Cálculo 4 7 2 3 3 2" xfId="5009" xr:uid="{00000000-0005-0000-0000-000083130000}"/>
    <cellStyle name="Cálculo 4 7 2 3 3 3" xfId="5010" xr:uid="{00000000-0005-0000-0000-000084130000}"/>
    <cellStyle name="Cálculo 4 7 2 3 3 4" xfId="5011" xr:uid="{00000000-0005-0000-0000-000085130000}"/>
    <cellStyle name="Cálculo 4 7 2 3 4" xfId="5012" xr:uid="{00000000-0005-0000-0000-000086130000}"/>
    <cellStyle name="Cálculo 4 7 2 3 5" xfId="5013" xr:uid="{00000000-0005-0000-0000-000087130000}"/>
    <cellStyle name="Cálculo 4 7 2 3 6" xfId="5014" xr:uid="{00000000-0005-0000-0000-000088130000}"/>
    <cellStyle name="Cálculo 4 7 2 4" xfId="5015" xr:uid="{00000000-0005-0000-0000-000089130000}"/>
    <cellStyle name="Cálculo 4 7 2 5" xfId="5016" xr:uid="{00000000-0005-0000-0000-00008A130000}"/>
    <cellStyle name="Cálculo 4 7 2 6" xfId="5017" xr:uid="{00000000-0005-0000-0000-00008B130000}"/>
    <cellStyle name="Cálculo 4 7 3" xfId="5018" xr:uid="{00000000-0005-0000-0000-00008C130000}"/>
    <cellStyle name="Cálculo 4 7 4" xfId="5019" xr:uid="{00000000-0005-0000-0000-00008D130000}"/>
    <cellStyle name="Cálculo 4 8" xfId="5020" xr:uid="{00000000-0005-0000-0000-00008E130000}"/>
    <cellStyle name="Cálculo 4 8 2" xfId="5021" xr:uid="{00000000-0005-0000-0000-00008F130000}"/>
    <cellStyle name="Cálculo 4 8 2 2" xfId="5022" xr:uid="{00000000-0005-0000-0000-000090130000}"/>
    <cellStyle name="Cálculo 4 8 2 2 2" xfId="5023" xr:uid="{00000000-0005-0000-0000-000091130000}"/>
    <cellStyle name="Cálculo 4 8 2 2 3" xfId="5024" xr:uid="{00000000-0005-0000-0000-000092130000}"/>
    <cellStyle name="Cálculo 4 8 2 2 4" xfId="5025" xr:uid="{00000000-0005-0000-0000-000093130000}"/>
    <cellStyle name="Cálculo 4 8 2 3" xfId="5026" xr:uid="{00000000-0005-0000-0000-000094130000}"/>
    <cellStyle name="Cálculo 4 8 2 3 2" xfId="5027" xr:uid="{00000000-0005-0000-0000-000095130000}"/>
    <cellStyle name="Cálculo 4 8 2 3 3" xfId="5028" xr:uid="{00000000-0005-0000-0000-000096130000}"/>
    <cellStyle name="Cálculo 4 8 2 3 4" xfId="5029" xr:uid="{00000000-0005-0000-0000-000097130000}"/>
    <cellStyle name="Cálculo 4 8 2 4" xfId="5030" xr:uid="{00000000-0005-0000-0000-000098130000}"/>
    <cellStyle name="Cálculo 4 8 2 5" xfId="5031" xr:uid="{00000000-0005-0000-0000-000099130000}"/>
    <cellStyle name="Cálculo 4 8 2 6" xfId="5032" xr:uid="{00000000-0005-0000-0000-00009A130000}"/>
    <cellStyle name="Cálculo 4 8 3" xfId="5033" xr:uid="{00000000-0005-0000-0000-00009B130000}"/>
    <cellStyle name="Cálculo 4 8 3 2" xfId="5034" xr:uid="{00000000-0005-0000-0000-00009C130000}"/>
    <cellStyle name="Cálculo 4 8 3 2 2" xfId="5035" xr:uid="{00000000-0005-0000-0000-00009D130000}"/>
    <cellStyle name="Cálculo 4 8 3 2 3" xfId="5036" xr:uid="{00000000-0005-0000-0000-00009E130000}"/>
    <cellStyle name="Cálculo 4 8 3 2 4" xfId="5037" xr:uid="{00000000-0005-0000-0000-00009F130000}"/>
    <cellStyle name="Cálculo 4 8 3 3" xfId="5038" xr:uid="{00000000-0005-0000-0000-0000A0130000}"/>
    <cellStyle name="Cálculo 4 8 3 3 2" xfId="5039" xr:uid="{00000000-0005-0000-0000-0000A1130000}"/>
    <cellStyle name="Cálculo 4 8 3 3 3" xfId="5040" xr:uid="{00000000-0005-0000-0000-0000A2130000}"/>
    <cellStyle name="Cálculo 4 8 3 3 4" xfId="5041" xr:uid="{00000000-0005-0000-0000-0000A3130000}"/>
    <cellStyle name="Cálculo 4 8 3 4" xfId="5042" xr:uid="{00000000-0005-0000-0000-0000A4130000}"/>
    <cellStyle name="Cálculo 4 8 3 5" xfId="5043" xr:uid="{00000000-0005-0000-0000-0000A5130000}"/>
    <cellStyle name="Cálculo 4 8 3 6" xfId="5044" xr:uid="{00000000-0005-0000-0000-0000A6130000}"/>
    <cellStyle name="Cálculo 4 8 4" xfId="5045" xr:uid="{00000000-0005-0000-0000-0000A7130000}"/>
    <cellStyle name="Cálculo 4 8 4 2" xfId="5046" xr:uid="{00000000-0005-0000-0000-0000A8130000}"/>
    <cellStyle name="Cálculo 4 8 4 3" xfId="5047" xr:uid="{00000000-0005-0000-0000-0000A9130000}"/>
    <cellStyle name="Cálculo 4 8 4 4" xfId="5048" xr:uid="{00000000-0005-0000-0000-0000AA130000}"/>
    <cellStyle name="Cálculo 4 8 5" xfId="5049" xr:uid="{00000000-0005-0000-0000-0000AB130000}"/>
    <cellStyle name="Cálculo 4 8 6" xfId="5050" xr:uid="{00000000-0005-0000-0000-0000AC130000}"/>
    <cellStyle name="Cálculo 4 9" xfId="5051" xr:uid="{00000000-0005-0000-0000-0000AD130000}"/>
    <cellStyle name="Cálculo 4 9 2" xfId="5052" xr:uid="{00000000-0005-0000-0000-0000AE130000}"/>
    <cellStyle name="Cálculo 4 9 2 2" xfId="5053" xr:uid="{00000000-0005-0000-0000-0000AF130000}"/>
    <cellStyle name="Cálculo 4 9 2 2 2" xfId="5054" xr:uid="{00000000-0005-0000-0000-0000B0130000}"/>
    <cellStyle name="Cálculo 4 9 2 2 3" xfId="5055" xr:uid="{00000000-0005-0000-0000-0000B1130000}"/>
    <cellStyle name="Cálculo 4 9 2 2 4" xfId="5056" xr:uid="{00000000-0005-0000-0000-0000B2130000}"/>
    <cellStyle name="Cálculo 4 9 2 3" xfId="5057" xr:uid="{00000000-0005-0000-0000-0000B3130000}"/>
    <cellStyle name="Cálculo 4 9 2 3 2" xfId="5058" xr:uid="{00000000-0005-0000-0000-0000B4130000}"/>
    <cellStyle name="Cálculo 4 9 2 3 3" xfId="5059" xr:uid="{00000000-0005-0000-0000-0000B5130000}"/>
    <cellStyle name="Cálculo 4 9 2 3 4" xfId="5060" xr:uid="{00000000-0005-0000-0000-0000B6130000}"/>
    <cellStyle name="Cálculo 4 9 2 4" xfId="5061" xr:uid="{00000000-0005-0000-0000-0000B7130000}"/>
    <cellStyle name="Cálculo 4 9 2 5" xfId="5062" xr:uid="{00000000-0005-0000-0000-0000B8130000}"/>
    <cellStyle name="Cálculo 4 9 2 6" xfId="5063" xr:uid="{00000000-0005-0000-0000-0000B9130000}"/>
    <cellStyle name="Cálculo 4 9 3" xfId="5064" xr:uid="{00000000-0005-0000-0000-0000BA130000}"/>
    <cellStyle name="Cálculo 4 9 3 2" xfId="5065" xr:uid="{00000000-0005-0000-0000-0000BB130000}"/>
    <cellStyle name="Cálculo 4 9 3 2 2" xfId="5066" xr:uid="{00000000-0005-0000-0000-0000BC130000}"/>
    <cellStyle name="Cálculo 4 9 3 2 3" xfId="5067" xr:uid="{00000000-0005-0000-0000-0000BD130000}"/>
    <cellStyle name="Cálculo 4 9 3 2 4" xfId="5068" xr:uid="{00000000-0005-0000-0000-0000BE130000}"/>
    <cellStyle name="Cálculo 4 9 3 3" xfId="5069" xr:uid="{00000000-0005-0000-0000-0000BF130000}"/>
    <cellStyle name="Cálculo 4 9 3 3 2" xfId="5070" xr:uid="{00000000-0005-0000-0000-0000C0130000}"/>
    <cellStyle name="Cálculo 4 9 3 3 3" xfId="5071" xr:uid="{00000000-0005-0000-0000-0000C1130000}"/>
    <cellStyle name="Cálculo 4 9 3 3 4" xfId="5072" xr:uid="{00000000-0005-0000-0000-0000C2130000}"/>
    <cellStyle name="Cálculo 4 9 3 4" xfId="5073" xr:uid="{00000000-0005-0000-0000-0000C3130000}"/>
    <cellStyle name="Cálculo 4 9 3 5" xfId="5074" xr:uid="{00000000-0005-0000-0000-0000C4130000}"/>
    <cellStyle name="Cálculo 4 9 3 6" xfId="5075" xr:uid="{00000000-0005-0000-0000-0000C5130000}"/>
    <cellStyle name="Cálculo 4 9 4" xfId="5076" xr:uid="{00000000-0005-0000-0000-0000C6130000}"/>
    <cellStyle name="Cálculo 4 9 4 2" xfId="5077" xr:uid="{00000000-0005-0000-0000-0000C7130000}"/>
    <cellStyle name="Cálculo 4 9 4 3" xfId="5078" xr:uid="{00000000-0005-0000-0000-0000C8130000}"/>
    <cellStyle name="Cálculo 4 9 4 4" xfId="5079" xr:uid="{00000000-0005-0000-0000-0000C9130000}"/>
    <cellStyle name="Cálculo 4 9 5" xfId="5080" xr:uid="{00000000-0005-0000-0000-0000CA130000}"/>
    <cellStyle name="Cálculo 4 9 6" xfId="5081" xr:uid="{00000000-0005-0000-0000-0000CB130000}"/>
    <cellStyle name="Cálculo 5" xfId="5082" xr:uid="{00000000-0005-0000-0000-0000CC130000}"/>
    <cellStyle name="Cálculo 5 10" xfId="5083" xr:uid="{00000000-0005-0000-0000-0000CD130000}"/>
    <cellStyle name="Cálculo 5 10 2" xfId="5084" xr:uid="{00000000-0005-0000-0000-0000CE130000}"/>
    <cellStyle name="Cálculo 5 10 2 2" xfId="5085" xr:uid="{00000000-0005-0000-0000-0000CF130000}"/>
    <cellStyle name="Cálculo 5 10 2 2 2" xfId="5086" xr:uid="{00000000-0005-0000-0000-0000D0130000}"/>
    <cellStyle name="Cálculo 5 10 2 2 3" xfId="5087" xr:uid="{00000000-0005-0000-0000-0000D1130000}"/>
    <cellStyle name="Cálculo 5 10 2 2 4" xfId="5088" xr:uid="{00000000-0005-0000-0000-0000D2130000}"/>
    <cellStyle name="Cálculo 5 10 2 3" xfId="5089" xr:uid="{00000000-0005-0000-0000-0000D3130000}"/>
    <cellStyle name="Cálculo 5 10 2 3 2" xfId="5090" xr:uid="{00000000-0005-0000-0000-0000D4130000}"/>
    <cellStyle name="Cálculo 5 10 2 3 3" xfId="5091" xr:uid="{00000000-0005-0000-0000-0000D5130000}"/>
    <cellStyle name="Cálculo 5 10 2 3 4" xfId="5092" xr:uid="{00000000-0005-0000-0000-0000D6130000}"/>
    <cellStyle name="Cálculo 5 10 2 4" xfId="5093" xr:uid="{00000000-0005-0000-0000-0000D7130000}"/>
    <cellStyle name="Cálculo 5 10 2 5" xfId="5094" xr:uid="{00000000-0005-0000-0000-0000D8130000}"/>
    <cellStyle name="Cálculo 5 10 2 6" xfId="5095" xr:uid="{00000000-0005-0000-0000-0000D9130000}"/>
    <cellStyle name="Cálculo 5 10 3" xfId="5096" xr:uid="{00000000-0005-0000-0000-0000DA130000}"/>
    <cellStyle name="Cálculo 5 10 3 2" xfId="5097" xr:uid="{00000000-0005-0000-0000-0000DB130000}"/>
    <cellStyle name="Cálculo 5 10 3 2 2" xfId="5098" xr:uid="{00000000-0005-0000-0000-0000DC130000}"/>
    <cellStyle name="Cálculo 5 10 3 2 3" xfId="5099" xr:uid="{00000000-0005-0000-0000-0000DD130000}"/>
    <cellStyle name="Cálculo 5 10 3 2 4" xfId="5100" xr:uid="{00000000-0005-0000-0000-0000DE130000}"/>
    <cellStyle name="Cálculo 5 10 3 3" xfId="5101" xr:uid="{00000000-0005-0000-0000-0000DF130000}"/>
    <cellStyle name="Cálculo 5 10 3 3 2" xfId="5102" xr:uid="{00000000-0005-0000-0000-0000E0130000}"/>
    <cellStyle name="Cálculo 5 10 3 3 3" xfId="5103" xr:uid="{00000000-0005-0000-0000-0000E1130000}"/>
    <cellStyle name="Cálculo 5 10 3 3 4" xfId="5104" xr:uid="{00000000-0005-0000-0000-0000E2130000}"/>
    <cellStyle name="Cálculo 5 10 3 4" xfId="5105" xr:uid="{00000000-0005-0000-0000-0000E3130000}"/>
    <cellStyle name="Cálculo 5 10 3 5" xfId="5106" xr:uid="{00000000-0005-0000-0000-0000E4130000}"/>
    <cellStyle name="Cálculo 5 10 3 6" xfId="5107" xr:uid="{00000000-0005-0000-0000-0000E5130000}"/>
    <cellStyle name="Cálculo 5 10 4" xfId="5108" xr:uid="{00000000-0005-0000-0000-0000E6130000}"/>
    <cellStyle name="Cálculo 5 10 4 2" xfId="5109" xr:uid="{00000000-0005-0000-0000-0000E7130000}"/>
    <cellStyle name="Cálculo 5 10 4 3" xfId="5110" xr:uid="{00000000-0005-0000-0000-0000E8130000}"/>
    <cellStyle name="Cálculo 5 10 4 4" xfId="5111" xr:uid="{00000000-0005-0000-0000-0000E9130000}"/>
    <cellStyle name="Cálculo 5 10 5" xfId="5112" xr:uid="{00000000-0005-0000-0000-0000EA130000}"/>
    <cellStyle name="Cálculo 5 10 6" xfId="5113" xr:uid="{00000000-0005-0000-0000-0000EB130000}"/>
    <cellStyle name="Cálculo 5 11" xfId="5114" xr:uid="{00000000-0005-0000-0000-0000EC130000}"/>
    <cellStyle name="Cálculo 5 11 2" xfId="5115" xr:uid="{00000000-0005-0000-0000-0000ED130000}"/>
    <cellStyle name="Cálculo 5 11 2 2" xfId="5116" xr:uid="{00000000-0005-0000-0000-0000EE130000}"/>
    <cellStyle name="Cálculo 5 11 2 2 2" xfId="5117" xr:uid="{00000000-0005-0000-0000-0000EF130000}"/>
    <cellStyle name="Cálculo 5 11 2 2 3" xfId="5118" xr:uid="{00000000-0005-0000-0000-0000F0130000}"/>
    <cellStyle name="Cálculo 5 11 2 2 4" xfId="5119" xr:uid="{00000000-0005-0000-0000-0000F1130000}"/>
    <cellStyle name="Cálculo 5 11 2 3" xfId="5120" xr:uid="{00000000-0005-0000-0000-0000F2130000}"/>
    <cellStyle name="Cálculo 5 11 2 3 2" xfId="5121" xr:uid="{00000000-0005-0000-0000-0000F3130000}"/>
    <cellStyle name="Cálculo 5 11 2 3 3" xfId="5122" xr:uid="{00000000-0005-0000-0000-0000F4130000}"/>
    <cellStyle name="Cálculo 5 11 2 3 4" xfId="5123" xr:uid="{00000000-0005-0000-0000-0000F5130000}"/>
    <cellStyle name="Cálculo 5 11 2 4" xfId="5124" xr:uid="{00000000-0005-0000-0000-0000F6130000}"/>
    <cellStyle name="Cálculo 5 11 2 5" xfId="5125" xr:uid="{00000000-0005-0000-0000-0000F7130000}"/>
    <cellStyle name="Cálculo 5 11 2 6" xfId="5126" xr:uid="{00000000-0005-0000-0000-0000F8130000}"/>
    <cellStyle name="Cálculo 5 11 3" xfId="5127" xr:uid="{00000000-0005-0000-0000-0000F9130000}"/>
    <cellStyle name="Cálculo 5 11 3 2" xfId="5128" xr:uid="{00000000-0005-0000-0000-0000FA130000}"/>
    <cellStyle name="Cálculo 5 11 3 2 2" xfId="5129" xr:uid="{00000000-0005-0000-0000-0000FB130000}"/>
    <cellStyle name="Cálculo 5 11 3 2 3" xfId="5130" xr:uid="{00000000-0005-0000-0000-0000FC130000}"/>
    <cellStyle name="Cálculo 5 11 3 2 4" xfId="5131" xr:uid="{00000000-0005-0000-0000-0000FD130000}"/>
    <cellStyle name="Cálculo 5 11 3 3" xfId="5132" xr:uid="{00000000-0005-0000-0000-0000FE130000}"/>
    <cellStyle name="Cálculo 5 11 3 3 2" xfId="5133" xr:uid="{00000000-0005-0000-0000-0000FF130000}"/>
    <cellStyle name="Cálculo 5 11 3 3 3" xfId="5134" xr:uid="{00000000-0005-0000-0000-000000140000}"/>
    <cellStyle name="Cálculo 5 11 3 3 4" xfId="5135" xr:uid="{00000000-0005-0000-0000-000001140000}"/>
    <cellStyle name="Cálculo 5 11 3 4" xfId="5136" xr:uid="{00000000-0005-0000-0000-000002140000}"/>
    <cellStyle name="Cálculo 5 11 3 5" xfId="5137" xr:uid="{00000000-0005-0000-0000-000003140000}"/>
    <cellStyle name="Cálculo 5 11 3 6" xfId="5138" xr:uid="{00000000-0005-0000-0000-000004140000}"/>
    <cellStyle name="Cálculo 5 11 4" xfId="5139" xr:uid="{00000000-0005-0000-0000-000005140000}"/>
    <cellStyle name="Cálculo 5 11 5" xfId="5140" xr:uid="{00000000-0005-0000-0000-000006140000}"/>
    <cellStyle name="Cálculo 5 11 6" xfId="5141" xr:uid="{00000000-0005-0000-0000-000007140000}"/>
    <cellStyle name="Cálculo 5 12" xfId="5142" xr:uid="{00000000-0005-0000-0000-000008140000}"/>
    <cellStyle name="Cálculo 5 13" xfId="5143" xr:uid="{00000000-0005-0000-0000-000009140000}"/>
    <cellStyle name="Cálculo 5 2" xfId="5144" xr:uid="{00000000-0005-0000-0000-00000A140000}"/>
    <cellStyle name="Cálculo 5 2 10" xfId="5145" xr:uid="{00000000-0005-0000-0000-00000B140000}"/>
    <cellStyle name="Cálculo 5 2 10 2" xfId="5146" xr:uid="{00000000-0005-0000-0000-00000C140000}"/>
    <cellStyle name="Cálculo 5 2 10 2 2" xfId="5147" xr:uid="{00000000-0005-0000-0000-00000D140000}"/>
    <cellStyle name="Cálculo 5 2 10 2 2 2" xfId="5148" xr:uid="{00000000-0005-0000-0000-00000E140000}"/>
    <cellStyle name="Cálculo 5 2 10 2 2 3" xfId="5149" xr:uid="{00000000-0005-0000-0000-00000F140000}"/>
    <cellStyle name="Cálculo 5 2 10 2 2 4" xfId="5150" xr:uid="{00000000-0005-0000-0000-000010140000}"/>
    <cellStyle name="Cálculo 5 2 10 2 3" xfId="5151" xr:uid="{00000000-0005-0000-0000-000011140000}"/>
    <cellStyle name="Cálculo 5 2 10 2 3 2" xfId="5152" xr:uid="{00000000-0005-0000-0000-000012140000}"/>
    <cellStyle name="Cálculo 5 2 10 2 3 3" xfId="5153" xr:uid="{00000000-0005-0000-0000-000013140000}"/>
    <cellStyle name="Cálculo 5 2 10 2 3 4" xfId="5154" xr:uid="{00000000-0005-0000-0000-000014140000}"/>
    <cellStyle name="Cálculo 5 2 10 2 4" xfId="5155" xr:uid="{00000000-0005-0000-0000-000015140000}"/>
    <cellStyle name="Cálculo 5 2 10 2 5" xfId="5156" xr:uid="{00000000-0005-0000-0000-000016140000}"/>
    <cellStyle name="Cálculo 5 2 10 2 6" xfId="5157" xr:uid="{00000000-0005-0000-0000-000017140000}"/>
    <cellStyle name="Cálculo 5 2 10 3" xfId="5158" xr:uid="{00000000-0005-0000-0000-000018140000}"/>
    <cellStyle name="Cálculo 5 2 10 3 2" xfId="5159" xr:uid="{00000000-0005-0000-0000-000019140000}"/>
    <cellStyle name="Cálculo 5 2 10 3 2 2" xfId="5160" xr:uid="{00000000-0005-0000-0000-00001A140000}"/>
    <cellStyle name="Cálculo 5 2 10 3 2 3" xfId="5161" xr:uid="{00000000-0005-0000-0000-00001B140000}"/>
    <cellStyle name="Cálculo 5 2 10 3 2 4" xfId="5162" xr:uid="{00000000-0005-0000-0000-00001C140000}"/>
    <cellStyle name="Cálculo 5 2 10 3 3" xfId="5163" xr:uid="{00000000-0005-0000-0000-00001D140000}"/>
    <cellStyle name="Cálculo 5 2 10 3 3 2" xfId="5164" xr:uid="{00000000-0005-0000-0000-00001E140000}"/>
    <cellStyle name="Cálculo 5 2 10 3 3 3" xfId="5165" xr:uid="{00000000-0005-0000-0000-00001F140000}"/>
    <cellStyle name="Cálculo 5 2 10 3 3 4" xfId="5166" xr:uid="{00000000-0005-0000-0000-000020140000}"/>
    <cellStyle name="Cálculo 5 2 10 3 4" xfId="5167" xr:uid="{00000000-0005-0000-0000-000021140000}"/>
    <cellStyle name="Cálculo 5 2 10 3 5" xfId="5168" xr:uid="{00000000-0005-0000-0000-000022140000}"/>
    <cellStyle name="Cálculo 5 2 10 3 6" xfId="5169" xr:uid="{00000000-0005-0000-0000-000023140000}"/>
    <cellStyle name="Cálculo 5 2 10 4" xfId="5170" xr:uid="{00000000-0005-0000-0000-000024140000}"/>
    <cellStyle name="Cálculo 5 2 10 5" xfId="5171" xr:uid="{00000000-0005-0000-0000-000025140000}"/>
    <cellStyle name="Cálculo 5 2 10 6" xfId="5172" xr:uid="{00000000-0005-0000-0000-000026140000}"/>
    <cellStyle name="Cálculo 5 2 11" xfId="5173" xr:uid="{00000000-0005-0000-0000-000027140000}"/>
    <cellStyle name="Cálculo 5 2 12" xfId="5174" xr:uid="{00000000-0005-0000-0000-000028140000}"/>
    <cellStyle name="Cálculo 5 2 2" xfId="5175" xr:uid="{00000000-0005-0000-0000-000029140000}"/>
    <cellStyle name="Cálculo 5 2 2 2" xfId="5176" xr:uid="{00000000-0005-0000-0000-00002A140000}"/>
    <cellStyle name="Cálculo 5 2 2 2 2" xfId="5177" xr:uid="{00000000-0005-0000-0000-00002B140000}"/>
    <cellStyle name="Cálculo 5 2 2 2 2 2" xfId="5178" xr:uid="{00000000-0005-0000-0000-00002C140000}"/>
    <cellStyle name="Cálculo 5 2 2 2 2 2 2" xfId="5179" xr:uid="{00000000-0005-0000-0000-00002D140000}"/>
    <cellStyle name="Cálculo 5 2 2 2 2 2 3" xfId="5180" xr:uid="{00000000-0005-0000-0000-00002E140000}"/>
    <cellStyle name="Cálculo 5 2 2 2 2 2 4" xfId="5181" xr:uid="{00000000-0005-0000-0000-00002F140000}"/>
    <cellStyle name="Cálculo 5 2 2 2 2 3" xfId="5182" xr:uid="{00000000-0005-0000-0000-000030140000}"/>
    <cellStyle name="Cálculo 5 2 2 2 2 3 2" xfId="5183" xr:uid="{00000000-0005-0000-0000-000031140000}"/>
    <cellStyle name="Cálculo 5 2 2 2 2 3 3" xfId="5184" xr:uid="{00000000-0005-0000-0000-000032140000}"/>
    <cellStyle name="Cálculo 5 2 2 2 2 3 4" xfId="5185" xr:uid="{00000000-0005-0000-0000-000033140000}"/>
    <cellStyle name="Cálculo 5 2 2 2 2 4" xfId="5186" xr:uid="{00000000-0005-0000-0000-000034140000}"/>
    <cellStyle name="Cálculo 5 2 2 2 2 5" xfId="5187" xr:uid="{00000000-0005-0000-0000-000035140000}"/>
    <cellStyle name="Cálculo 5 2 2 2 2 6" xfId="5188" xr:uid="{00000000-0005-0000-0000-000036140000}"/>
    <cellStyle name="Cálculo 5 2 2 2 3" xfId="5189" xr:uid="{00000000-0005-0000-0000-000037140000}"/>
    <cellStyle name="Cálculo 5 2 2 2 3 2" xfId="5190" xr:uid="{00000000-0005-0000-0000-000038140000}"/>
    <cellStyle name="Cálculo 5 2 2 2 3 2 2" xfId="5191" xr:uid="{00000000-0005-0000-0000-000039140000}"/>
    <cellStyle name="Cálculo 5 2 2 2 3 2 3" xfId="5192" xr:uid="{00000000-0005-0000-0000-00003A140000}"/>
    <cellStyle name="Cálculo 5 2 2 2 3 2 4" xfId="5193" xr:uid="{00000000-0005-0000-0000-00003B140000}"/>
    <cellStyle name="Cálculo 5 2 2 2 3 3" xfId="5194" xr:uid="{00000000-0005-0000-0000-00003C140000}"/>
    <cellStyle name="Cálculo 5 2 2 2 3 3 2" xfId="5195" xr:uid="{00000000-0005-0000-0000-00003D140000}"/>
    <cellStyle name="Cálculo 5 2 2 2 3 3 3" xfId="5196" xr:uid="{00000000-0005-0000-0000-00003E140000}"/>
    <cellStyle name="Cálculo 5 2 2 2 3 3 4" xfId="5197" xr:uid="{00000000-0005-0000-0000-00003F140000}"/>
    <cellStyle name="Cálculo 5 2 2 2 3 4" xfId="5198" xr:uid="{00000000-0005-0000-0000-000040140000}"/>
    <cellStyle name="Cálculo 5 2 2 2 3 5" xfId="5199" xr:uid="{00000000-0005-0000-0000-000041140000}"/>
    <cellStyle name="Cálculo 5 2 2 2 3 6" xfId="5200" xr:uid="{00000000-0005-0000-0000-000042140000}"/>
    <cellStyle name="Cálculo 5 2 2 2 4" xfId="5201" xr:uid="{00000000-0005-0000-0000-000043140000}"/>
    <cellStyle name="Cálculo 5 2 2 2 5" xfId="5202" xr:uid="{00000000-0005-0000-0000-000044140000}"/>
    <cellStyle name="Cálculo 5 2 2 2 6" xfId="5203" xr:uid="{00000000-0005-0000-0000-000045140000}"/>
    <cellStyle name="Cálculo 5 2 2 3" xfId="5204" xr:uid="{00000000-0005-0000-0000-000046140000}"/>
    <cellStyle name="Cálculo 5 2 2 4" xfId="5205" xr:uid="{00000000-0005-0000-0000-000047140000}"/>
    <cellStyle name="Cálculo 5 2 3" xfId="5206" xr:uid="{00000000-0005-0000-0000-000048140000}"/>
    <cellStyle name="Cálculo 5 2 3 2" xfId="5207" xr:uid="{00000000-0005-0000-0000-000049140000}"/>
    <cellStyle name="Cálculo 5 2 3 2 2" xfId="5208" xr:uid="{00000000-0005-0000-0000-00004A140000}"/>
    <cellStyle name="Cálculo 5 2 3 2 2 2" xfId="5209" xr:uid="{00000000-0005-0000-0000-00004B140000}"/>
    <cellStyle name="Cálculo 5 2 3 2 2 2 2" xfId="5210" xr:uid="{00000000-0005-0000-0000-00004C140000}"/>
    <cellStyle name="Cálculo 5 2 3 2 2 2 3" xfId="5211" xr:uid="{00000000-0005-0000-0000-00004D140000}"/>
    <cellStyle name="Cálculo 5 2 3 2 2 2 4" xfId="5212" xr:uid="{00000000-0005-0000-0000-00004E140000}"/>
    <cellStyle name="Cálculo 5 2 3 2 2 3" xfId="5213" xr:uid="{00000000-0005-0000-0000-00004F140000}"/>
    <cellStyle name="Cálculo 5 2 3 2 2 3 2" xfId="5214" xr:uid="{00000000-0005-0000-0000-000050140000}"/>
    <cellStyle name="Cálculo 5 2 3 2 2 3 3" xfId="5215" xr:uid="{00000000-0005-0000-0000-000051140000}"/>
    <cellStyle name="Cálculo 5 2 3 2 2 3 4" xfId="5216" xr:uid="{00000000-0005-0000-0000-000052140000}"/>
    <cellStyle name="Cálculo 5 2 3 2 2 4" xfId="5217" xr:uid="{00000000-0005-0000-0000-000053140000}"/>
    <cellStyle name="Cálculo 5 2 3 2 2 5" xfId="5218" xr:uid="{00000000-0005-0000-0000-000054140000}"/>
    <cellStyle name="Cálculo 5 2 3 2 2 6" xfId="5219" xr:uid="{00000000-0005-0000-0000-000055140000}"/>
    <cellStyle name="Cálculo 5 2 3 2 3" xfId="5220" xr:uid="{00000000-0005-0000-0000-000056140000}"/>
    <cellStyle name="Cálculo 5 2 3 2 3 2" xfId="5221" xr:uid="{00000000-0005-0000-0000-000057140000}"/>
    <cellStyle name="Cálculo 5 2 3 2 3 2 2" xfId="5222" xr:uid="{00000000-0005-0000-0000-000058140000}"/>
    <cellStyle name="Cálculo 5 2 3 2 3 2 3" xfId="5223" xr:uid="{00000000-0005-0000-0000-000059140000}"/>
    <cellStyle name="Cálculo 5 2 3 2 3 2 4" xfId="5224" xr:uid="{00000000-0005-0000-0000-00005A140000}"/>
    <cellStyle name="Cálculo 5 2 3 2 3 3" xfId="5225" xr:uid="{00000000-0005-0000-0000-00005B140000}"/>
    <cellStyle name="Cálculo 5 2 3 2 3 3 2" xfId="5226" xr:uid="{00000000-0005-0000-0000-00005C140000}"/>
    <cellStyle name="Cálculo 5 2 3 2 3 3 3" xfId="5227" xr:uid="{00000000-0005-0000-0000-00005D140000}"/>
    <cellStyle name="Cálculo 5 2 3 2 3 3 4" xfId="5228" xr:uid="{00000000-0005-0000-0000-00005E140000}"/>
    <cellStyle name="Cálculo 5 2 3 2 3 4" xfId="5229" xr:uid="{00000000-0005-0000-0000-00005F140000}"/>
    <cellStyle name="Cálculo 5 2 3 2 3 5" xfId="5230" xr:uid="{00000000-0005-0000-0000-000060140000}"/>
    <cellStyle name="Cálculo 5 2 3 2 3 6" xfId="5231" xr:uid="{00000000-0005-0000-0000-000061140000}"/>
    <cellStyle name="Cálculo 5 2 3 2 4" xfId="5232" xr:uid="{00000000-0005-0000-0000-000062140000}"/>
    <cellStyle name="Cálculo 5 2 3 2 5" xfId="5233" xr:uid="{00000000-0005-0000-0000-000063140000}"/>
    <cellStyle name="Cálculo 5 2 3 2 6" xfId="5234" xr:uid="{00000000-0005-0000-0000-000064140000}"/>
    <cellStyle name="Cálculo 5 2 3 3" xfId="5235" xr:uid="{00000000-0005-0000-0000-000065140000}"/>
    <cellStyle name="Cálculo 5 2 3 4" xfId="5236" xr:uid="{00000000-0005-0000-0000-000066140000}"/>
    <cellStyle name="Cálculo 5 2 4" xfId="5237" xr:uid="{00000000-0005-0000-0000-000067140000}"/>
    <cellStyle name="Cálculo 5 2 4 2" xfId="5238" xr:uid="{00000000-0005-0000-0000-000068140000}"/>
    <cellStyle name="Cálculo 5 2 4 2 2" xfId="5239" xr:uid="{00000000-0005-0000-0000-000069140000}"/>
    <cellStyle name="Cálculo 5 2 4 2 2 2" xfId="5240" xr:uid="{00000000-0005-0000-0000-00006A140000}"/>
    <cellStyle name="Cálculo 5 2 4 2 2 2 2" xfId="5241" xr:uid="{00000000-0005-0000-0000-00006B140000}"/>
    <cellStyle name="Cálculo 5 2 4 2 2 2 3" xfId="5242" xr:uid="{00000000-0005-0000-0000-00006C140000}"/>
    <cellStyle name="Cálculo 5 2 4 2 2 2 4" xfId="5243" xr:uid="{00000000-0005-0000-0000-00006D140000}"/>
    <cellStyle name="Cálculo 5 2 4 2 2 3" xfId="5244" xr:uid="{00000000-0005-0000-0000-00006E140000}"/>
    <cellStyle name="Cálculo 5 2 4 2 2 3 2" xfId="5245" xr:uid="{00000000-0005-0000-0000-00006F140000}"/>
    <cellStyle name="Cálculo 5 2 4 2 2 3 3" xfId="5246" xr:uid="{00000000-0005-0000-0000-000070140000}"/>
    <cellStyle name="Cálculo 5 2 4 2 2 3 4" xfId="5247" xr:uid="{00000000-0005-0000-0000-000071140000}"/>
    <cellStyle name="Cálculo 5 2 4 2 2 4" xfId="5248" xr:uid="{00000000-0005-0000-0000-000072140000}"/>
    <cellStyle name="Cálculo 5 2 4 2 2 5" xfId="5249" xr:uid="{00000000-0005-0000-0000-000073140000}"/>
    <cellStyle name="Cálculo 5 2 4 2 2 6" xfId="5250" xr:uid="{00000000-0005-0000-0000-000074140000}"/>
    <cellStyle name="Cálculo 5 2 4 2 3" xfId="5251" xr:uid="{00000000-0005-0000-0000-000075140000}"/>
    <cellStyle name="Cálculo 5 2 4 2 3 2" xfId="5252" xr:uid="{00000000-0005-0000-0000-000076140000}"/>
    <cellStyle name="Cálculo 5 2 4 2 3 2 2" xfId="5253" xr:uid="{00000000-0005-0000-0000-000077140000}"/>
    <cellStyle name="Cálculo 5 2 4 2 3 2 3" xfId="5254" xr:uid="{00000000-0005-0000-0000-000078140000}"/>
    <cellStyle name="Cálculo 5 2 4 2 3 2 4" xfId="5255" xr:uid="{00000000-0005-0000-0000-000079140000}"/>
    <cellStyle name="Cálculo 5 2 4 2 3 3" xfId="5256" xr:uid="{00000000-0005-0000-0000-00007A140000}"/>
    <cellStyle name="Cálculo 5 2 4 2 3 3 2" xfId="5257" xr:uid="{00000000-0005-0000-0000-00007B140000}"/>
    <cellStyle name="Cálculo 5 2 4 2 3 3 3" xfId="5258" xr:uid="{00000000-0005-0000-0000-00007C140000}"/>
    <cellStyle name="Cálculo 5 2 4 2 3 3 4" xfId="5259" xr:uid="{00000000-0005-0000-0000-00007D140000}"/>
    <cellStyle name="Cálculo 5 2 4 2 3 4" xfId="5260" xr:uid="{00000000-0005-0000-0000-00007E140000}"/>
    <cellStyle name="Cálculo 5 2 4 2 3 5" xfId="5261" xr:uid="{00000000-0005-0000-0000-00007F140000}"/>
    <cellStyle name="Cálculo 5 2 4 2 3 6" xfId="5262" xr:uid="{00000000-0005-0000-0000-000080140000}"/>
    <cellStyle name="Cálculo 5 2 4 2 4" xfId="5263" xr:uid="{00000000-0005-0000-0000-000081140000}"/>
    <cellStyle name="Cálculo 5 2 4 2 5" xfId="5264" xr:uid="{00000000-0005-0000-0000-000082140000}"/>
    <cellStyle name="Cálculo 5 2 4 2 6" xfId="5265" xr:uid="{00000000-0005-0000-0000-000083140000}"/>
    <cellStyle name="Cálculo 5 2 4 3" xfId="5266" xr:uid="{00000000-0005-0000-0000-000084140000}"/>
    <cellStyle name="Cálculo 5 2 4 4" xfId="5267" xr:uid="{00000000-0005-0000-0000-000085140000}"/>
    <cellStyle name="Cálculo 5 2 5" xfId="5268" xr:uid="{00000000-0005-0000-0000-000086140000}"/>
    <cellStyle name="Cálculo 5 2 5 2" xfId="5269" xr:uid="{00000000-0005-0000-0000-000087140000}"/>
    <cellStyle name="Cálculo 5 2 5 2 2" xfId="5270" xr:uid="{00000000-0005-0000-0000-000088140000}"/>
    <cellStyle name="Cálculo 5 2 5 2 2 2" xfId="5271" xr:uid="{00000000-0005-0000-0000-000089140000}"/>
    <cellStyle name="Cálculo 5 2 5 2 2 2 2" xfId="5272" xr:uid="{00000000-0005-0000-0000-00008A140000}"/>
    <cellStyle name="Cálculo 5 2 5 2 2 2 3" xfId="5273" xr:uid="{00000000-0005-0000-0000-00008B140000}"/>
    <cellStyle name="Cálculo 5 2 5 2 2 2 4" xfId="5274" xr:uid="{00000000-0005-0000-0000-00008C140000}"/>
    <cellStyle name="Cálculo 5 2 5 2 2 3" xfId="5275" xr:uid="{00000000-0005-0000-0000-00008D140000}"/>
    <cellStyle name="Cálculo 5 2 5 2 2 3 2" xfId="5276" xr:uid="{00000000-0005-0000-0000-00008E140000}"/>
    <cellStyle name="Cálculo 5 2 5 2 2 3 3" xfId="5277" xr:uid="{00000000-0005-0000-0000-00008F140000}"/>
    <cellStyle name="Cálculo 5 2 5 2 2 3 4" xfId="5278" xr:uid="{00000000-0005-0000-0000-000090140000}"/>
    <cellStyle name="Cálculo 5 2 5 2 2 4" xfId="5279" xr:uid="{00000000-0005-0000-0000-000091140000}"/>
    <cellStyle name="Cálculo 5 2 5 2 2 5" xfId="5280" xr:uid="{00000000-0005-0000-0000-000092140000}"/>
    <cellStyle name="Cálculo 5 2 5 2 2 6" xfId="5281" xr:uid="{00000000-0005-0000-0000-000093140000}"/>
    <cellStyle name="Cálculo 5 2 5 2 3" xfId="5282" xr:uid="{00000000-0005-0000-0000-000094140000}"/>
    <cellStyle name="Cálculo 5 2 5 2 3 2" xfId="5283" xr:uid="{00000000-0005-0000-0000-000095140000}"/>
    <cellStyle name="Cálculo 5 2 5 2 3 2 2" xfId="5284" xr:uid="{00000000-0005-0000-0000-000096140000}"/>
    <cellStyle name="Cálculo 5 2 5 2 3 2 3" xfId="5285" xr:uid="{00000000-0005-0000-0000-000097140000}"/>
    <cellStyle name="Cálculo 5 2 5 2 3 2 4" xfId="5286" xr:uid="{00000000-0005-0000-0000-000098140000}"/>
    <cellStyle name="Cálculo 5 2 5 2 3 3" xfId="5287" xr:uid="{00000000-0005-0000-0000-000099140000}"/>
    <cellStyle name="Cálculo 5 2 5 2 3 3 2" xfId="5288" xr:uid="{00000000-0005-0000-0000-00009A140000}"/>
    <cellStyle name="Cálculo 5 2 5 2 3 3 3" xfId="5289" xr:uid="{00000000-0005-0000-0000-00009B140000}"/>
    <cellStyle name="Cálculo 5 2 5 2 3 3 4" xfId="5290" xr:uid="{00000000-0005-0000-0000-00009C140000}"/>
    <cellStyle name="Cálculo 5 2 5 2 3 4" xfId="5291" xr:uid="{00000000-0005-0000-0000-00009D140000}"/>
    <cellStyle name="Cálculo 5 2 5 2 3 5" xfId="5292" xr:uid="{00000000-0005-0000-0000-00009E140000}"/>
    <cellStyle name="Cálculo 5 2 5 2 3 6" xfId="5293" xr:uid="{00000000-0005-0000-0000-00009F140000}"/>
    <cellStyle name="Cálculo 5 2 5 2 4" xfId="5294" xr:uid="{00000000-0005-0000-0000-0000A0140000}"/>
    <cellStyle name="Cálculo 5 2 5 2 5" xfId="5295" xr:uid="{00000000-0005-0000-0000-0000A1140000}"/>
    <cellStyle name="Cálculo 5 2 5 2 6" xfId="5296" xr:uid="{00000000-0005-0000-0000-0000A2140000}"/>
    <cellStyle name="Cálculo 5 2 5 3" xfId="5297" xr:uid="{00000000-0005-0000-0000-0000A3140000}"/>
    <cellStyle name="Cálculo 5 2 5 4" xfId="5298" xr:uid="{00000000-0005-0000-0000-0000A4140000}"/>
    <cellStyle name="Cálculo 5 2 6" xfId="5299" xr:uid="{00000000-0005-0000-0000-0000A5140000}"/>
    <cellStyle name="Cálculo 5 2 6 2" xfId="5300" xr:uid="{00000000-0005-0000-0000-0000A6140000}"/>
    <cellStyle name="Cálculo 5 2 6 2 2" xfId="5301" xr:uid="{00000000-0005-0000-0000-0000A7140000}"/>
    <cellStyle name="Cálculo 5 2 6 2 2 2" xfId="5302" xr:uid="{00000000-0005-0000-0000-0000A8140000}"/>
    <cellStyle name="Cálculo 5 2 6 2 2 3" xfId="5303" xr:uid="{00000000-0005-0000-0000-0000A9140000}"/>
    <cellStyle name="Cálculo 5 2 6 2 2 4" xfId="5304" xr:uid="{00000000-0005-0000-0000-0000AA140000}"/>
    <cellStyle name="Cálculo 5 2 6 2 3" xfId="5305" xr:uid="{00000000-0005-0000-0000-0000AB140000}"/>
    <cellStyle name="Cálculo 5 2 6 2 3 2" xfId="5306" xr:uid="{00000000-0005-0000-0000-0000AC140000}"/>
    <cellStyle name="Cálculo 5 2 6 2 3 3" xfId="5307" xr:uid="{00000000-0005-0000-0000-0000AD140000}"/>
    <cellStyle name="Cálculo 5 2 6 2 3 4" xfId="5308" xr:uid="{00000000-0005-0000-0000-0000AE140000}"/>
    <cellStyle name="Cálculo 5 2 6 2 4" xfId="5309" xr:uid="{00000000-0005-0000-0000-0000AF140000}"/>
    <cellStyle name="Cálculo 5 2 6 2 5" xfId="5310" xr:uid="{00000000-0005-0000-0000-0000B0140000}"/>
    <cellStyle name="Cálculo 5 2 6 2 6" xfId="5311" xr:uid="{00000000-0005-0000-0000-0000B1140000}"/>
    <cellStyle name="Cálculo 5 2 6 3" xfId="5312" xr:uid="{00000000-0005-0000-0000-0000B2140000}"/>
    <cellStyle name="Cálculo 5 2 6 3 2" xfId="5313" xr:uid="{00000000-0005-0000-0000-0000B3140000}"/>
    <cellStyle name="Cálculo 5 2 6 3 2 2" xfId="5314" xr:uid="{00000000-0005-0000-0000-0000B4140000}"/>
    <cellStyle name="Cálculo 5 2 6 3 2 3" xfId="5315" xr:uid="{00000000-0005-0000-0000-0000B5140000}"/>
    <cellStyle name="Cálculo 5 2 6 3 2 4" xfId="5316" xr:uid="{00000000-0005-0000-0000-0000B6140000}"/>
    <cellStyle name="Cálculo 5 2 6 3 3" xfId="5317" xr:uid="{00000000-0005-0000-0000-0000B7140000}"/>
    <cellStyle name="Cálculo 5 2 6 3 3 2" xfId="5318" xr:uid="{00000000-0005-0000-0000-0000B8140000}"/>
    <cellStyle name="Cálculo 5 2 6 3 3 3" xfId="5319" xr:uid="{00000000-0005-0000-0000-0000B9140000}"/>
    <cellStyle name="Cálculo 5 2 6 3 3 4" xfId="5320" xr:uid="{00000000-0005-0000-0000-0000BA140000}"/>
    <cellStyle name="Cálculo 5 2 6 3 4" xfId="5321" xr:uid="{00000000-0005-0000-0000-0000BB140000}"/>
    <cellStyle name="Cálculo 5 2 6 3 5" xfId="5322" xr:uid="{00000000-0005-0000-0000-0000BC140000}"/>
    <cellStyle name="Cálculo 5 2 6 3 6" xfId="5323" xr:uid="{00000000-0005-0000-0000-0000BD140000}"/>
    <cellStyle name="Cálculo 5 2 6 4" xfId="5324" xr:uid="{00000000-0005-0000-0000-0000BE140000}"/>
    <cellStyle name="Cálculo 5 2 6 4 2" xfId="5325" xr:uid="{00000000-0005-0000-0000-0000BF140000}"/>
    <cellStyle name="Cálculo 5 2 6 4 3" xfId="5326" xr:uid="{00000000-0005-0000-0000-0000C0140000}"/>
    <cellStyle name="Cálculo 5 2 6 4 4" xfId="5327" xr:uid="{00000000-0005-0000-0000-0000C1140000}"/>
    <cellStyle name="Cálculo 5 2 6 5" xfId="5328" xr:uid="{00000000-0005-0000-0000-0000C2140000}"/>
    <cellStyle name="Cálculo 5 2 6 6" xfId="5329" xr:uid="{00000000-0005-0000-0000-0000C3140000}"/>
    <cellStyle name="Cálculo 5 2 7" xfId="5330" xr:uid="{00000000-0005-0000-0000-0000C4140000}"/>
    <cellStyle name="Cálculo 5 2 7 2" xfId="5331" xr:uid="{00000000-0005-0000-0000-0000C5140000}"/>
    <cellStyle name="Cálculo 5 2 7 2 2" xfId="5332" xr:uid="{00000000-0005-0000-0000-0000C6140000}"/>
    <cellStyle name="Cálculo 5 2 7 2 2 2" xfId="5333" xr:uid="{00000000-0005-0000-0000-0000C7140000}"/>
    <cellStyle name="Cálculo 5 2 7 2 2 3" xfId="5334" xr:uid="{00000000-0005-0000-0000-0000C8140000}"/>
    <cellStyle name="Cálculo 5 2 7 2 2 4" xfId="5335" xr:uid="{00000000-0005-0000-0000-0000C9140000}"/>
    <cellStyle name="Cálculo 5 2 7 2 3" xfId="5336" xr:uid="{00000000-0005-0000-0000-0000CA140000}"/>
    <cellStyle name="Cálculo 5 2 7 2 3 2" xfId="5337" xr:uid="{00000000-0005-0000-0000-0000CB140000}"/>
    <cellStyle name="Cálculo 5 2 7 2 3 3" xfId="5338" xr:uid="{00000000-0005-0000-0000-0000CC140000}"/>
    <cellStyle name="Cálculo 5 2 7 2 3 4" xfId="5339" xr:uid="{00000000-0005-0000-0000-0000CD140000}"/>
    <cellStyle name="Cálculo 5 2 7 2 4" xfId="5340" xr:uid="{00000000-0005-0000-0000-0000CE140000}"/>
    <cellStyle name="Cálculo 5 2 7 2 5" xfId="5341" xr:uid="{00000000-0005-0000-0000-0000CF140000}"/>
    <cellStyle name="Cálculo 5 2 7 2 6" xfId="5342" xr:uid="{00000000-0005-0000-0000-0000D0140000}"/>
    <cellStyle name="Cálculo 5 2 7 3" xfId="5343" xr:uid="{00000000-0005-0000-0000-0000D1140000}"/>
    <cellStyle name="Cálculo 5 2 7 3 2" xfId="5344" xr:uid="{00000000-0005-0000-0000-0000D2140000}"/>
    <cellStyle name="Cálculo 5 2 7 3 2 2" xfId="5345" xr:uid="{00000000-0005-0000-0000-0000D3140000}"/>
    <cellStyle name="Cálculo 5 2 7 3 2 3" xfId="5346" xr:uid="{00000000-0005-0000-0000-0000D4140000}"/>
    <cellStyle name="Cálculo 5 2 7 3 2 4" xfId="5347" xr:uid="{00000000-0005-0000-0000-0000D5140000}"/>
    <cellStyle name="Cálculo 5 2 7 3 3" xfId="5348" xr:uid="{00000000-0005-0000-0000-0000D6140000}"/>
    <cellStyle name="Cálculo 5 2 7 3 3 2" xfId="5349" xr:uid="{00000000-0005-0000-0000-0000D7140000}"/>
    <cellStyle name="Cálculo 5 2 7 3 3 3" xfId="5350" xr:uid="{00000000-0005-0000-0000-0000D8140000}"/>
    <cellStyle name="Cálculo 5 2 7 3 3 4" xfId="5351" xr:uid="{00000000-0005-0000-0000-0000D9140000}"/>
    <cellStyle name="Cálculo 5 2 7 3 4" xfId="5352" xr:uid="{00000000-0005-0000-0000-0000DA140000}"/>
    <cellStyle name="Cálculo 5 2 7 3 5" xfId="5353" xr:uid="{00000000-0005-0000-0000-0000DB140000}"/>
    <cellStyle name="Cálculo 5 2 7 3 6" xfId="5354" xr:uid="{00000000-0005-0000-0000-0000DC140000}"/>
    <cellStyle name="Cálculo 5 2 7 4" xfId="5355" xr:uid="{00000000-0005-0000-0000-0000DD140000}"/>
    <cellStyle name="Cálculo 5 2 7 4 2" xfId="5356" xr:uid="{00000000-0005-0000-0000-0000DE140000}"/>
    <cellStyle name="Cálculo 5 2 7 4 3" xfId="5357" xr:uid="{00000000-0005-0000-0000-0000DF140000}"/>
    <cellStyle name="Cálculo 5 2 7 4 4" xfId="5358" xr:uid="{00000000-0005-0000-0000-0000E0140000}"/>
    <cellStyle name="Cálculo 5 2 7 5" xfId="5359" xr:uid="{00000000-0005-0000-0000-0000E1140000}"/>
    <cellStyle name="Cálculo 5 2 7 6" xfId="5360" xr:uid="{00000000-0005-0000-0000-0000E2140000}"/>
    <cellStyle name="Cálculo 5 2 8" xfId="5361" xr:uid="{00000000-0005-0000-0000-0000E3140000}"/>
    <cellStyle name="Cálculo 5 2 8 2" xfId="5362" xr:uid="{00000000-0005-0000-0000-0000E4140000}"/>
    <cellStyle name="Cálculo 5 2 8 2 2" xfId="5363" xr:uid="{00000000-0005-0000-0000-0000E5140000}"/>
    <cellStyle name="Cálculo 5 2 8 2 2 2" xfId="5364" xr:uid="{00000000-0005-0000-0000-0000E6140000}"/>
    <cellStyle name="Cálculo 5 2 8 2 2 3" xfId="5365" xr:uid="{00000000-0005-0000-0000-0000E7140000}"/>
    <cellStyle name="Cálculo 5 2 8 2 2 4" xfId="5366" xr:uid="{00000000-0005-0000-0000-0000E8140000}"/>
    <cellStyle name="Cálculo 5 2 8 2 3" xfId="5367" xr:uid="{00000000-0005-0000-0000-0000E9140000}"/>
    <cellStyle name="Cálculo 5 2 8 2 3 2" xfId="5368" xr:uid="{00000000-0005-0000-0000-0000EA140000}"/>
    <cellStyle name="Cálculo 5 2 8 2 3 3" xfId="5369" xr:uid="{00000000-0005-0000-0000-0000EB140000}"/>
    <cellStyle name="Cálculo 5 2 8 2 3 4" xfId="5370" xr:uid="{00000000-0005-0000-0000-0000EC140000}"/>
    <cellStyle name="Cálculo 5 2 8 2 4" xfId="5371" xr:uid="{00000000-0005-0000-0000-0000ED140000}"/>
    <cellStyle name="Cálculo 5 2 8 2 5" xfId="5372" xr:uid="{00000000-0005-0000-0000-0000EE140000}"/>
    <cellStyle name="Cálculo 5 2 8 2 6" xfId="5373" xr:uid="{00000000-0005-0000-0000-0000EF140000}"/>
    <cellStyle name="Cálculo 5 2 8 3" xfId="5374" xr:uid="{00000000-0005-0000-0000-0000F0140000}"/>
    <cellStyle name="Cálculo 5 2 8 3 2" xfId="5375" xr:uid="{00000000-0005-0000-0000-0000F1140000}"/>
    <cellStyle name="Cálculo 5 2 8 3 2 2" xfId="5376" xr:uid="{00000000-0005-0000-0000-0000F2140000}"/>
    <cellStyle name="Cálculo 5 2 8 3 2 3" xfId="5377" xr:uid="{00000000-0005-0000-0000-0000F3140000}"/>
    <cellStyle name="Cálculo 5 2 8 3 2 4" xfId="5378" xr:uid="{00000000-0005-0000-0000-0000F4140000}"/>
    <cellStyle name="Cálculo 5 2 8 3 3" xfId="5379" xr:uid="{00000000-0005-0000-0000-0000F5140000}"/>
    <cellStyle name="Cálculo 5 2 8 3 3 2" xfId="5380" xr:uid="{00000000-0005-0000-0000-0000F6140000}"/>
    <cellStyle name="Cálculo 5 2 8 3 3 3" xfId="5381" xr:uid="{00000000-0005-0000-0000-0000F7140000}"/>
    <cellStyle name="Cálculo 5 2 8 3 3 4" xfId="5382" xr:uid="{00000000-0005-0000-0000-0000F8140000}"/>
    <cellStyle name="Cálculo 5 2 8 3 4" xfId="5383" xr:uid="{00000000-0005-0000-0000-0000F9140000}"/>
    <cellStyle name="Cálculo 5 2 8 3 5" xfId="5384" xr:uid="{00000000-0005-0000-0000-0000FA140000}"/>
    <cellStyle name="Cálculo 5 2 8 3 6" xfId="5385" xr:uid="{00000000-0005-0000-0000-0000FB140000}"/>
    <cellStyle name="Cálculo 5 2 8 4" xfId="5386" xr:uid="{00000000-0005-0000-0000-0000FC140000}"/>
    <cellStyle name="Cálculo 5 2 8 4 2" xfId="5387" xr:uid="{00000000-0005-0000-0000-0000FD140000}"/>
    <cellStyle name="Cálculo 5 2 8 4 3" xfId="5388" xr:uid="{00000000-0005-0000-0000-0000FE140000}"/>
    <cellStyle name="Cálculo 5 2 8 4 4" xfId="5389" xr:uid="{00000000-0005-0000-0000-0000FF140000}"/>
    <cellStyle name="Cálculo 5 2 8 5" xfId="5390" xr:uid="{00000000-0005-0000-0000-000000150000}"/>
    <cellStyle name="Cálculo 5 2 8 6" xfId="5391" xr:uid="{00000000-0005-0000-0000-000001150000}"/>
    <cellStyle name="Cálculo 5 2 9" xfId="5392" xr:uid="{00000000-0005-0000-0000-000002150000}"/>
    <cellStyle name="Cálculo 5 2 9 2" xfId="5393" xr:uid="{00000000-0005-0000-0000-000003150000}"/>
    <cellStyle name="Cálculo 5 2 9 2 2" xfId="5394" xr:uid="{00000000-0005-0000-0000-000004150000}"/>
    <cellStyle name="Cálculo 5 2 9 2 2 2" xfId="5395" xr:uid="{00000000-0005-0000-0000-000005150000}"/>
    <cellStyle name="Cálculo 5 2 9 2 2 3" xfId="5396" xr:uid="{00000000-0005-0000-0000-000006150000}"/>
    <cellStyle name="Cálculo 5 2 9 2 2 4" xfId="5397" xr:uid="{00000000-0005-0000-0000-000007150000}"/>
    <cellStyle name="Cálculo 5 2 9 2 3" xfId="5398" xr:uid="{00000000-0005-0000-0000-000008150000}"/>
    <cellStyle name="Cálculo 5 2 9 2 3 2" xfId="5399" xr:uid="{00000000-0005-0000-0000-000009150000}"/>
    <cellStyle name="Cálculo 5 2 9 2 3 3" xfId="5400" xr:uid="{00000000-0005-0000-0000-00000A150000}"/>
    <cellStyle name="Cálculo 5 2 9 2 3 4" xfId="5401" xr:uid="{00000000-0005-0000-0000-00000B150000}"/>
    <cellStyle name="Cálculo 5 2 9 2 4" xfId="5402" xr:uid="{00000000-0005-0000-0000-00000C150000}"/>
    <cellStyle name="Cálculo 5 2 9 2 5" xfId="5403" xr:uid="{00000000-0005-0000-0000-00000D150000}"/>
    <cellStyle name="Cálculo 5 2 9 2 6" xfId="5404" xr:uid="{00000000-0005-0000-0000-00000E150000}"/>
    <cellStyle name="Cálculo 5 2 9 3" xfId="5405" xr:uid="{00000000-0005-0000-0000-00000F150000}"/>
    <cellStyle name="Cálculo 5 2 9 3 2" xfId="5406" xr:uid="{00000000-0005-0000-0000-000010150000}"/>
    <cellStyle name="Cálculo 5 2 9 3 2 2" xfId="5407" xr:uid="{00000000-0005-0000-0000-000011150000}"/>
    <cellStyle name="Cálculo 5 2 9 3 2 3" xfId="5408" xr:uid="{00000000-0005-0000-0000-000012150000}"/>
    <cellStyle name="Cálculo 5 2 9 3 2 4" xfId="5409" xr:uid="{00000000-0005-0000-0000-000013150000}"/>
    <cellStyle name="Cálculo 5 2 9 3 3" xfId="5410" xr:uid="{00000000-0005-0000-0000-000014150000}"/>
    <cellStyle name="Cálculo 5 2 9 3 3 2" xfId="5411" xr:uid="{00000000-0005-0000-0000-000015150000}"/>
    <cellStyle name="Cálculo 5 2 9 3 3 3" xfId="5412" xr:uid="{00000000-0005-0000-0000-000016150000}"/>
    <cellStyle name="Cálculo 5 2 9 3 3 4" xfId="5413" xr:uid="{00000000-0005-0000-0000-000017150000}"/>
    <cellStyle name="Cálculo 5 2 9 3 4" xfId="5414" xr:uid="{00000000-0005-0000-0000-000018150000}"/>
    <cellStyle name="Cálculo 5 2 9 3 5" xfId="5415" xr:uid="{00000000-0005-0000-0000-000019150000}"/>
    <cellStyle name="Cálculo 5 2 9 3 6" xfId="5416" xr:uid="{00000000-0005-0000-0000-00001A150000}"/>
    <cellStyle name="Cálculo 5 2 9 4" xfId="5417" xr:uid="{00000000-0005-0000-0000-00001B150000}"/>
    <cellStyle name="Cálculo 5 2 9 4 2" xfId="5418" xr:uid="{00000000-0005-0000-0000-00001C150000}"/>
    <cellStyle name="Cálculo 5 2 9 4 3" xfId="5419" xr:uid="{00000000-0005-0000-0000-00001D150000}"/>
    <cellStyle name="Cálculo 5 2 9 4 4" xfId="5420" xr:uid="{00000000-0005-0000-0000-00001E150000}"/>
    <cellStyle name="Cálculo 5 2 9 5" xfId="5421" xr:uid="{00000000-0005-0000-0000-00001F150000}"/>
    <cellStyle name="Cálculo 5 2 9 6" xfId="5422" xr:uid="{00000000-0005-0000-0000-000020150000}"/>
    <cellStyle name="Cálculo 5 3" xfId="5423" xr:uid="{00000000-0005-0000-0000-000021150000}"/>
    <cellStyle name="Cálculo 5 3 10" xfId="5424" xr:uid="{00000000-0005-0000-0000-000022150000}"/>
    <cellStyle name="Cálculo 5 3 10 2" xfId="5425" xr:uid="{00000000-0005-0000-0000-000023150000}"/>
    <cellStyle name="Cálculo 5 3 10 2 2" xfId="5426" xr:uid="{00000000-0005-0000-0000-000024150000}"/>
    <cellStyle name="Cálculo 5 3 10 2 2 2" xfId="5427" xr:uid="{00000000-0005-0000-0000-000025150000}"/>
    <cellStyle name="Cálculo 5 3 10 2 2 3" xfId="5428" xr:uid="{00000000-0005-0000-0000-000026150000}"/>
    <cellStyle name="Cálculo 5 3 10 2 2 4" xfId="5429" xr:uid="{00000000-0005-0000-0000-000027150000}"/>
    <cellStyle name="Cálculo 5 3 10 2 3" xfId="5430" xr:uid="{00000000-0005-0000-0000-000028150000}"/>
    <cellStyle name="Cálculo 5 3 10 2 3 2" xfId="5431" xr:uid="{00000000-0005-0000-0000-000029150000}"/>
    <cellStyle name="Cálculo 5 3 10 2 3 3" xfId="5432" xr:uid="{00000000-0005-0000-0000-00002A150000}"/>
    <cellStyle name="Cálculo 5 3 10 2 3 4" xfId="5433" xr:uid="{00000000-0005-0000-0000-00002B150000}"/>
    <cellStyle name="Cálculo 5 3 10 2 4" xfId="5434" xr:uid="{00000000-0005-0000-0000-00002C150000}"/>
    <cellStyle name="Cálculo 5 3 10 2 5" xfId="5435" xr:uid="{00000000-0005-0000-0000-00002D150000}"/>
    <cellStyle name="Cálculo 5 3 10 2 6" xfId="5436" xr:uid="{00000000-0005-0000-0000-00002E150000}"/>
    <cellStyle name="Cálculo 5 3 10 3" xfId="5437" xr:uid="{00000000-0005-0000-0000-00002F150000}"/>
    <cellStyle name="Cálculo 5 3 10 3 2" xfId="5438" xr:uid="{00000000-0005-0000-0000-000030150000}"/>
    <cellStyle name="Cálculo 5 3 10 3 2 2" xfId="5439" xr:uid="{00000000-0005-0000-0000-000031150000}"/>
    <cellStyle name="Cálculo 5 3 10 3 2 3" xfId="5440" xr:uid="{00000000-0005-0000-0000-000032150000}"/>
    <cellStyle name="Cálculo 5 3 10 3 2 4" xfId="5441" xr:uid="{00000000-0005-0000-0000-000033150000}"/>
    <cellStyle name="Cálculo 5 3 10 3 3" xfId="5442" xr:uid="{00000000-0005-0000-0000-000034150000}"/>
    <cellStyle name="Cálculo 5 3 10 3 3 2" xfId="5443" xr:uid="{00000000-0005-0000-0000-000035150000}"/>
    <cellStyle name="Cálculo 5 3 10 3 3 3" xfId="5444" xr:uid="{00000000-0005-0000-0000-000036150000}"/>
    <cellStyle name="Cálculo 5 3 10 3 3 4" xfId="5445" xr:uid="{00000000-0005-0000-0000-000037150000}"/>
    <cellStyle name="Cálculo 5 3 10 3 4" xfId="5446" xr:uid="{00000000-0005-0000-0000-000038150000}"/>
    <cellStyle name="Cálculo 5 3 10 3 5" xfId="5447" xr:uid="{00000000-0005-0000-0000-000039150000}"/>
    <cellStyle name="Cálculo 5 3 10 3 6" xfId="5448" xr:uid="{00000000-0005-0000-0000-00003A150000}"/>
    <cellStyle name="Cálculo 5 3 10 4" xfId="5449" xr:uid="{00000000-0005-0000-0000-00003B150000}"/>
    <cellStyle name="Cálculo 5 3 10 5" xfId="5450" xr:uid="{00000000-0005-0000-0000-00003C150000}"/>
    <cellStyle name="Cálculo 5 3 10 6" xfId="5451" xr:uid="{00000000-0005-0000-0000-00003D150000}"/>
    <cellStyle name="Cálculo 5 3 11" xfId="5452" xr:uid="{00000000-0005-0000-0000-00003E150000}"/>
    <cellStyle name="Cálculo 5 3 12" xfId="5453" xr:uid="{00000000-0005-0000-0000-00003F150000}"/>
    <cellStyle name="Cálculo 5 3 2" xfId="5454" xr:uid="{00000000-0005-0000-0000-000040150000}"/>
    <cellStyle name="Cálculo 5 3 2 2" xfId="5455" xr:uid="{00000000-0005-0000-0000-000041150000}"/>
    <cellStyle name="Cálculo 5 3 2 2 2" xfId="5456" xr:uid="{00000000-0005-0000-0000-000042150000}"/>
    <cellStyle name="Cálculo 5 3 2 2 2 2" xfId="5457" xr:uid="{00000000-0005-0000-0000-000043150000}"/>
    <cellStyle name="Cálculo 5 3 2 2 2 2 2" xfId="5458" xr:uid="{00000000-0005-0000-0000-000044150000}"/>
    <cellStyle name="Cálculo 5 3 2 2 2 2 3" xfId="5459" xr:uid="{00000000-0005-0000-0000-000045150000}"/>
    <cellStyle name="Cálculo 5 3 2 2 2 2 4" xfId="5460" xr:uid="{00000000-0005-0000-0000-000046150000}"/>
    <cellStyle name="Cálculo 5 3 2 2 2 3" xfId="5461" xr:uid="{00000000-0005-0000-0000-000047150000}"/>
    <cellStyle name="Cálculo 5 3 2 2 2 3 2" xfId="5462" xr:uid="{00000000-0005-0000-0000-000048150000}"/>
    <cellStyle name="Cálculo 5 3 2 2 2 3 3" xfId="5463" xr:uid="{00000000-0005-0000-0000-000049150000}"/>
    <cellStyle name="Cálculo 5 3 2 2 2 3 4" xfId="5464" xr:uid="{00000000-0005-0000-0000-00004A150000}"/>
    <cellStyle name="Cálculo 5 3 2 2 2 4" xfId="5465" xr:uid="{00000000-0005-0000-0000-00004B150000}"/>
    <cellStyle name="Cálculo 5 3 2 2 2 5" xfId="5466" xr:uid="{00000000-0005-0000-0000-00004C150000}"/>
    <cellStyle name="Cálculo 5 3 2 2 2 6" xfId="5467" xr:uid="{00000000-0005-0000-0000-00004D150000}"/>
    <cellStyle name="Cálculo 5 3 2 2 3" xfId="5468" xr:uid="{00000000-0005-0000-0000-00004E150000}"/>
    <cellStyle name="Cálculo 5 3 2 2 3 2" xfId="5469" xr:uid="{00000000-0005-0000-0000-00004F150000}"/>
    <cellStyle name="Cálculo 5 3 2 2 3 2 2" xfId="5470" xr:uid="{00000000-0005-0000-0000-000050150000}"/>
    <cellStyle name="Cálculo 5 3 2 2 3 2 3" xfId="5471" xr:uid="{00000000-0005-0000-0000-000051150000}"/>
    <cellStyle name="Cálculo 5 3 2 2 3 2 4" xfId="5472" xr:uid="{00000000-0005-0000-0000-000052150000}"/>
    <cellStyle name="Cálculo 5 3 2 2 3 3" xfId="5473" xr:uid="{00000000-0005-0000-0000-000053150000}"/>
    <cellStyle name="Cálculo 5 3 2 2 3 3 2" xfId="5474" xr:uid="{00000000-0005-0000-0000-000054150000}"/>
    <cellStyle name="Cálculo 5 3 2 2 3 3 3" xfId="5475" xr:uid="{00000000-0005-0000-0000-000055150000}"/>
    <cellStyle name="Cálculo 5 3 2 2 3 3 4" xfId="5476" xr:uid="{00000000-0005-0000-0000-000056150000}"/>
    <cellStyle name="Cálculo 5 3 2 2 3 4" xfId="5477" xr:uid="{00000000-0005-0000-0000-000057150000}"/>
    <cellStyle name="Cálculo 5 3 2 2 3 5" xfId="5478" xr:uid="{00000000-0005-0000-0000-000058150000}"/>
    <cellStyle name="Cálculo 5 3 2 2 3 6" xfId="5479" xr:uid="{00000000-0005-0000-0000-000059150000}"/>
    <cellStyle name="Cálculo 5 3 2 2 4" xfId="5480" xr:uid="{00000000-0005-0000-0000-00005A150000}"/>
    <cellStyle name="Cálculo 5 3 2 2 5" xfId="5481" xr:uid="{00000000-0005-0000-0000-00005B150000}"/>
    <cellStyle name="Cálculo 5 3 2 2 6" xfId="5482" xr:uid="{00000000-0005-0000-0000-00005C150000}"/>
    <cellStyle name="Cálculo 5 3 2 3" xfId="5483" xr:uid="{00000000-0005-0000-0000-00005D150000}"/>
    <cellStyle name="Cálculo 5 3 2 4" xfId="5484" xr:uid="{00000000-0005-0000-0000-00005E150000}"/>
    <cellStyle name="Cálculo 5 3 3" xfId="5485" xr:uid="{00000000-0005-0000-0000-00005F150000}"/>
    <cellStyle name="Cálculo 5 3 3 2" xfId="5486" xr:uid="{00000000-0005-0000-0000-000060150000}"/>
    <cellStyle name="Cálculo 5 3 3 2 2" xfId="5487" xr:uid="{00000000-0005-0000-0000-000061150000}"/>
    <cellStyle name="Cálculo 5 3 3 2 2 2" xfId="5488" xr:uid="{00000000-0005-0000-0000-000062150000}"/>
    <cellStyle name="Cálculo 5 3 3 2 2 2 2" xfId="5489" xr:uid="{00000000-0005-0000-0000-000063150000}"/>
    <cellStyle name="Cálculo 5 3 3 2 2 2 3" xfId="5490" xr:uid="{00000000-0005-0000-0000-000064150000}"/>
    <cellStyle name="Cálculo 5 3 3 2 2 2 4" xfId="5491" xr:uid="{00000000-0005-0000-0000-000065150000}"/>
    <cellStyle name="Cálculo 5 3 3 2 2 3" xfId="5492" xr:uid="{00000000-0005-0000-0000-000066150000}"/>
    <cellStyle name="Cálculo 5 3 3 2 2 3 2" xfId="5493" xr:uid="{00000000-0005-0000-0000-000067150000}"/>
    <cellStyle name="Cálculo 5 3 3 2 2 3 3" xfId="5494" xr:uid="{00000000-0005-0000-0000-000068150000}"/>
    <cellStyle name="Cálculo 5 3 3 2 2 3 4" xfId="5495" xr:uid="{00000000-0005-0000-0000-000069150000}"/>
    <cellStyle name="Cálculo 5 3 3 2 2 4" xfId="5496" xr:uid="{00000000-0005-0000-0000-00006A150000}"/>
    <cellStyle name="Cálculo 5 3 3 2 2 5" xfId="5497" xr:uid="{00000000-0005-0000-0000-00006B150000}"/>
    <cellStyle name="Cálculo 5 3 3 2 2 6" xfId="5498" xr:uid="{00000000-0005-0000-0000-00006C150000}"/>
    <cellStyle name="Cálculo 5 3 3 2 3" xfId="5499" xr:uid="{00000000-0005-0000-0000-00006D150000}"/>
    <cellStyle name="Cálculo 5 3 3 2 3 2" xfId="5500" xr:uid="{00000000-0005-0000-0000-00006E150000}"/>
    <cellStyle name="Cálculo 5 3 3 2 3 2 2" xfId="5501" xr:uid="{00000000-0005-0000-0000-00006F150000}"/>
    <cellStyle name="Cálculo 5 3 3 2 3 2 3" xfId="5502" xr:uid="{00000000-0005-0000-0000-000070150000}"/>
    <cellStyle name="Cálculo 5 3 3 2 3 2 4" xfId="5503" xr:uid="{00000000-0005-0000-0000-000071150000}"/>
    <cellStyle name="Cálculo 5 3 3 2 3 3" xfId="5504" xr:uid="{00000000-0005-0000-0000-000072150000}"/>
    <cellStyle name="Cálculo 5 3 3 2 3 3 2" xfId="5505" xr:uid="{00000000-0005-0000-0000-000073150000}"/>
    <cellStyle name="Cálculo 5 3 3 2 3 3 3" xfId="5506" xr:uid="{00000000-0005-0000-0000-000074150000}"/>
    <cellStyle name="Cálculo 5 3 3 2 3 3 4" xfId="5507" xr:uid="{00000000-0005-0000-0000-000075150000}"/>
    <cellStyle name="Cálculo 5 3 3 2 3 4" xfId="5508" xr:uid="{00000000-0005-0000-0000-000076150000}"/>
    <cellStyle name="Cálculo 5 3 3 2 3 5" xfId="5509" xr:uid="{00000000-0005-0000-0000-000077150000}"/>
    <cellStyle name="Cálculo 5 3 3 2 3 6" xfId="5510" xr:uid="{00000000-0005-0000-0000-000078150000}"/>
    <cellStyle name="Cálculo 5 3 3 2 4" xfId="5511" xr:uid="{00000000-0005-0000-0000-000079150000}"/>
    <cellStyle name="Cálculo 5 3 3 2 5" xfId="5512" xr:uid="{00000000-0005-0000-0000-00007A150000}"/>
    <cellStyle name="Cálculo 5 3 3 2 6" xfId="5513" xr:uid="{00000000-0005-0000-0000-00007B150000}"/>
    <cellStyle name="Cálculo 5 3 3 3" xfId="5514" xr:uid="{00000000-0005-0000-0000-00007C150000}"/>
    <cellStyle name="Cálculo 5 3 3 4" xfId="5515" xr:uid="{00000000-0005-0000-0000-00007D150000}"/>
    <cellStyle name="Cálculo 5 3 4" xfId="5516" xr:uid="{00000000-0005-0000-0000-00007E150000}"/>
    <cellStyle name="Cálculo 5 3 4 2" xfId="5517" xr:uid="{00000000-0005-0000-0000-00007F150000}"/>
    <cellStyle name="Cálculo 5 3 4 2 2" xfId="5518" xr:uid="{00000000-0005-0000-0000-000080150000}"/>
    <cellStyle name="Cálculo 5 3 4 2 2 2" xfId="5519" xr:uid="{00000000-0005-0000-0000-000081150000}"/>
    <cellStyle name="Cálculo 5 3 4 2 2 2 2" xfId="5520" xr:uid="{00000000-0005-0000-0000-000082150000}"/>
    <cellStyle name="Cálculo 5 3 4 2 2 2 3" xfId="5521" xr:uid="{00000000-0005-0000-0000-000083150000}"/>
    <cellStyle name="Cálculo 5 3 4 2 2 2 4" xfId="5522" xr:uid="{00000000-0005-0000-0000-000084150000}"/>
    <cellStyle name="Cálculo 5 3 4 2 2 3" xfId="5523" xr:uid="{00000000-0005-0000-0000-000085150000}"/>
    <cellStyle name="Cálculo 5 3 4 2 2 3 2" xfId="5524" xr:uid="{00000000-0005-0000-0000-000086150000}"/>
    <cellStyle name="Cálculo 5 3 4 2 2 3 3" xfId="5525" xr:uid="{00000000-0005-0000-0000-000087150000}"/>
    <cellStyle name="Cálculo 5 3 4 2 2 3 4" xfId="5526" xr:uid="{00000000-0005-0000-0000-000088150000}"/>
    <cellStyle name="Cálculo 5 3 4 2 2 4" xfId="5527" xr:uid="{00000000-0005-0000-0000-000089150000}"/>
    <cellStyle name="Cálculo 5 3 4 2 2 5" xfId="5528" xr:uid="{00000000-0005-0000-0000-00008A150000}"/>
    <cellStyle name="Cálculo 5 3 4 2 2 6" xfId="5529" xr:uid="{00000000-0005-0000-0000-00008B150000}"/>
    <cellStyle name="Cálculo 5 3 4 2 3" xfId="5530" xr:uid="{00000000-0005-0000-0000-00008C150000}"/>
    <cellStyle name="Cálculo 5 3 4 2 3 2" xfId="5531" xr:uid="{00000000-0005-0000-0000-00008D150000}"/>
    <cellStyle name="Cálculo 5 3 4 2 3 2 2" xfId="5532" xr:uid="{00000000-0005-0000-0000-00008E150000}"/>
    <cellStyle name="Cálculo 5 3 4 2 3 2 3" xfId="5533" xr:uid="{00000000-0005-0000-0000-00008F150000}"/>
    <cellStyle name="Cálculo 5 3 4 2 3 2 4" xfId="5534" xr:uid="{00000000-0005-0000-0000-000090150000}"/>
    <cellStyle name="Cálculo 5 3 4 2 3 3" xfId="5535" xr:uid="{00000000-0005-0000-0000-000091150000}"/>
    <cellStyle name="Cálculo 5 3 4 2 3 3 2" xfId="5536" xr:uid="{00000000-0005-0000-0000-000092150000}"/>
    <cellStyle name="Cálculo 5 3 4 2 3 3 3" xfId="5537" xr:uid="{00000000-0005-0000-0000-000093150000}"/>
    <cellStyle name="Cálculo 5 3 4 2 3 3 4" xfId="5538" xr:uid="{00000000-0005-0000-0000-000094150000}"/>
    <cellStyle name="Cálculo 5 3 4 2 3 4" xfId="5539" xr:uid="{00000000-0005-0000-0000-000095150000}"/>
    <cellStyle name="Cálculo 5 3 4 2 3 5" xfId="5540" xr:uid="{00000000-0005-0000-0000-000096150000}"/>
    <cellStyle name="Cálculo 5 3 4 2 3 6" xfId="5541" xr:uid="{00000000-0005-0000-0000-000097150000}"/>
    <cellStyle name="Cálculo 5 3 4 2 4" xfId="5542" xr:uid="{00000000-0005-0000-0000-000098150000}"/>
    <cellStyle name="Cálculo 5 3 4 2 5" xfId="5543" xr:uid="{00000000-0005-0000-0000-000099150000}"/>
    <cellStyle name="Cálculo 5 3 4 2 6" xfId="5544" xr:uid="{00000000-0005-0000-0000-00009A150000}"/>
    <cellStyle name="Cálculo 5 3 4 3" xfId="5545" xr:uid="{00000000-0005-0000-0000-00009B150000}"/>
    <cellStyle name="Cálculo 5 3 4 4" xfId="5546" xr:uid="{00000000-0005-0000-0000-00009C150000}"/>
    <cellStyle name="Cálculo 5 3 5" xfId="5547" xr:uid="{00000000-0005-0000-0000-00009D150000}"/>
    <cellStyle name="Cálculo 5 3 5 2" xfId="5548" xr:uid="{00000000-0005-0000-0000-00009E150000}"/>
    <cellStyle name="Cálculo 5 3 5 2 2" xfId="5549" xr:uid="{00000000-0005-0000-0000-00009F150000}"/>
    <cellStyle name="Cálculo 5 3 5 2 2 2" xfId="5550" xr:uid="{00000000-0005-0000-0000-0000A0150000}"/>
    <cellStyle name="Cálculo 5 3 5 2 2 2 2" xfId="5551" xr:uid="{00000000-0005-0000-0000-0000A1150000}"/>
    <cellStyle name="Cálculo 5 3 5 2 2 2 3" xfId="5552" xr:uid="{00000000-0005-0000-0000-0000A2150000}"/>
    <cellStyle name="Cálculo 5 3 5 2 2 2 4" xfId="5553" xr:uid="{00000000-0005-0000-0000-0000A3150000}"/>
    <cellStyle name="Cálculo 5 3 5 2 2 3" xfId="5554" xr:uid="{00000000-0005-0000-0000-0000A4150000}"/>
    <cellStyle name="Cálculo 5 3 5 2 2 3 2" xfId="5555" xr:uid="{00000000-0005-0000-0000-0000A5150000}"/>
    <cellStyle name="Cálculo 5 3 5 2 2 3 3" xfId="5556" xr:uid="{00000000-0005-0000-0000-0000A6150000}"/>
    <cellStyle name="Cálculo 5 3 5 2 2 3 4" xfId="5557" xr:uid="{00000000-0005-0000-0000-0000A7150000}"/>
    <cellStyle name="Cálculo 5 3 5 2 2 4" xfId="5558" xr:uid="{00000000-0005-0000-0000-0000A8150000}"/>
    <cellStyle name="Cálculo 5 3 5 2 2 5" xfId="5559" xr:uid="{00000000-0005-0000-0000-0000A9150000}"/>
    <cellStyle name="Cálculo 5 3 5 2 2 6" xfId="5560" xr:uid="{00000000-0005-0000-0000-0000AA150000}"/>
    <cellStyle name="Cálculo 5 3 5 2 3" xfId="5561" xr:uid="{00000000-0005-0000-0000-0000AB150000}"/>
    <cellStyle name="Cálculo 5 3 5 2 3 2" xfId="5562" xr:uid="{00000000-0005-0000-0000-0000AC150000}"/>
    <cellStyle name="Cálculo 5 3 5 2 3 2 2" xfId="5563" xr:uid="{00000000-0005-0000-0000-0000AD150000}"/>
    <cellStyle name="Cálculo 5 3 5 2 3 2 3" xfId="5564" xr:uid="{00000000-0005-0000-0000-0000AE150000}"/>
    <cellStyle name="Cálculo 5 3 5 2 3 2 4" xfId="5565" xr:uid="{00000000-0005-0000-0000-0000AF150000}"/>
    <cellStyle name="Cálculo 5 3 5 2 3 3" xfId="5566" xr:uid="{00000000-0005-0000-0000-0000B0150000}"/>
    <cellStyle name="Cálculo 5 3 5 2 3 3 2" xfId="5567" xr:uid="{00000000-0005-0000-0000-0000B1150000}"/>
    <cellStyle name="Cálculo 5 3 5 2 3 3 3" xfId="5568" xr:uid="{00000000-0005-0000-0000-0000B2150000}"/>
    <cellStyle name="Cálculo 5 3 5 2 3 3 4" xfId="5569" xr:uid="{00000000-0005-0000-0000-0000B3150000}"/>
    <cellStyle name="Cálculo 5 3 5 2 3 4" xfId="5570" xr:uid="{00000000-0005-0000-0000-0000B4150000}"/>
    <cellStyle name="Cálculo 5 3 5 2 3 5" xfId="5571" xr:uid="{00000000-0005-0000-0000-0000B5150000}"/>
    <cellStyle name="Cálculo 5 3 5 2 3 6" xfId="5572" xr:uid="{00000000-0005-0000-0000-0000B6150000}"/>
    <cellStyle name="Cálculo 5 3 5 2 4" xfId="5573" xr:uid="{00000000-0005-0000-0000-0000B7150000}"/>
    <cellStyle name="Cálculo 5 3 5 2 5" xfId="5574" xr:uid="{00000000-0005-0000-0000-0000B8150000}"/>
    <cellStyle name="Cálculo 5 3 5 2 6" xfId="5575" xr:uid="{00000000-0005-0000-0000-0000B9150000}"/>
    <cellStyle name="Cálculo 5 3 5 3" xfId="5576" xr:uid="{00000000-0005-0000-0000-0000BA150000}"/>
    <cellStyle name="Cálculo 5 3 5 4" xfId="5577" xr:uid="{00000000-0005-0000-0000-0000BB150000}"/>
    <cellStyle name="Cálculo 5 3 6" xfId="5578" xr:uid="{00000000-0005-0000-0000-0000BC150000}"/>
    <cellStyle name="Cálculo 5 3 6 2" xfId="5579" xr:uid="{00000000-0005-0000-0000-0000BD150000}"/>
    <cellStyle name="Cálculo 5 3 6 2 2" xfId="5580" xr:uid="{00000000-0005-0000-0000-0000BE150000}"/>
    <cellStyle name="Cálculo 5 3 6 2 2 2" xfId="5581" xr:uid="{00000000-0005-0000-0000-0000BF150000}"/>
    <cellStyle name="Cálculo 5 3 6 2 2 3" xfId="5582" xr:uid="{00000000-0005-0000-0000-0000C0150000}"/>
    <cellStyle name="Cálculo 5 3 6 2 2 4" xfId="5583" xr:uid="{00000000-0005-0000-0000-0000C1150000}"/>
    <cellStyle name="Cálculo 5 3 6 2 3" xfId="5584" xr:uid="{00000000-0005-0000-0000-0000C2150000}"/>
    <cellStyle name="Cálculo 5 3 6 2 3 2" xfId="5585" xr:uid="{00000000-0005-0000-0000-0000C3150000}"/>
    <cellStyle name="Cálculo 5 3 6 2 3 3" xfId="5586" xr:uid="{00000000-0005-0000-0000-0000C4150000}"/>
    <cellStyle name="Cálculo 5 3 6 2 3 4" xfId="5587" xr:uid="{00000000-0005-0000-0000-0000C5150000}"/>
    <cellStyle name="Cálculo 5 3 6 2 4" xfId="5588" xr:uid="{00000000-0005-0000-0000-0000C6150000}"/>
    <cellStyle name="Cálculo 5 3 6 2 5" xfId="5589" xr:uid="{00000000-0005-0000-0000-0000C7150000}"/>
    <cellStyle name="Cálculo 5 3 6 2 6" xfId="5590" xr:uid="{00000000-0005-0000-0000-0000C8150000}"/>
    <cellStyle name="Cálculo 5 3 6 3" xfId="5591" xr:uid="{00000000-0005-0000-0000-0000C9150000}"/>
    <cellStyle name="Cálculo 5 3 6 3 2" xfId="5592" xr:uid="{00000000-0005-0000-0000-0000CA150000}"/>
    <cellStyle name="Cálculo 5 3 6 3 2 2" xfId="5593" xr:uid="{00000000-0005-0000-0000-0000CB150000}"/>
    <cellStyle name="Cálculo 5 3 6 3 2 3" xfId="5594" xr:uid="{00000000-0005-0000-0000-0000CC150000}"/>
    <cellStyle name="Cálculo 5 3 6 3 2 4" xfId="5595" xr:uid="{00000000-0005-0000-0000-0000CD150000}"/>
    <cellStyle name="Cálculo 5 3 6 3 3" xfId="5596" xr:uid="{00000000-0005-0000-0000-0000CE150000}"/>
    <cellStyle name="Cálculo 5 3 6 3 3 2" xfId="5597" xr:uid="{00000000-0005-0000-0000-0000CF150000}"/>
    <cellStyle name="Cálculo 5 3 6 3 3 3" xfId="5598" xr:uid="{00000000-0005-0000-0000-0000D0150000}"/>
    <cellStyle name="Cálculo 5 3 6 3 3 4" xfId="5599" xr:uid="{00000000-0005-0000-0000-0000D1150000}"/>
    <cellStyle name="Cálculo 5 3 6 3 4" xfId="5600" xr:uid="{00000000-0005-0000-0000-0000D2150000}"/>
    <cellStyle name="Cálculo 5 3 6 3 5" xfId="5601" xr:uid="{00000000-0005-0000-0000-0000D3150000}"/>
    <cellStyle name="Cálculo 5 3 6 3 6" xfId="5602" xr:uid="{00000000-0005-0000-0000-0000D4150000}"/>
    <cellStyle name="Cálculo 5 3 6 4" xfId="5603" xr:uid="{00000000-0005-0000-0000-0000D5150000}"/>
    <cellStyle name="Cálculo 5 3 6 4 2" xfId="5604" xr:uid="{00000000-0005-0000-0000-0000D6150000}"/>
    <cellStyle name="Cálculo 5 3 6 4 3" xfId="5605" xr:uid="{00000000-0005-0000-0000-0000D7150000}"/>
    <cellStyle name="Cálculo 5 3 6 4 4" xfId="5606" xr:uid="{00000000-0005-0000-0000-0000D8150000}"/>
    <cellStyle name="Cálculo 5 3 6 5" xfId="5607" xr:uid="{00000000-0005-0000-0000-0000D9150000}"/>
    <cellStyle name="Cálculo 5 3 6 6" xfId="5608" xr:uid="{00000000-0005-0000-0000-0000DA150000}"/>
    <cellStyle name="Cálculo 5 3 7" xfId="5609" xr:uid="{00000000-0005-0000-0000-0000DB150000}"/>
    <cellStyle name="Cálculo 5 3 7 2" xfId="5610" xr:uid="{00000000-0005-0000-0000-0000DC150000}"/>
    <cellStyle name="Cálculo 5 3 7 2 2" xfId="5611" xr:uid="{00000000-0005-0000-0000-0000DD150000}"/>
    <cellStyle name="Cálculo 5 3 7 2 2 2" xfId="5612" xr:uid="{00000000-0005-0000-0000-0000DE150000}"/>
    <cellStyle name="Cálculo 5 3 7 2 2 3" xfId="5613" xr:uid="{00000000-0005-0000-0000-0000DF150000}"/>
    <cellStyle name="Cálculo 5 3 7 2 2 4" xfId="5614" xr:uid="{00000000-0005-0000-0000-0000E0150000}"/>
    <cellStyle name="Cálculo 5 3 7 2 3" xfId="5615" xr:uid="{00000000-0005-0000-0000-0000E1150000}"/>
    <cellStyle name="Cálculo 5 3 7 2 3 2" xfId="5616" xr:uid="{00000000-0005-0000-0000-0000E2150000}"/>
    <cellStyle name="Cálculo 5 3 7 2 3 3" xfId="5617" xr:uid="{00000000-0005-0000-0000-0000E3150000}"/>
    <cellStyle name="Cálculo 5 3 7 2 3 4" xfId="5618" xr:uid="{00000000-0005-0000-0000-0000E4150000}"/>
    <cellStyle name="Cálculo 5 3 7 2 4" xfId="5619" xr:uid="{00000000-0005-0000-0000-0000E5150000}"/>
    <cellStyle name="Cálculo 5 3 7 2 5" xfId="5620" xr:uid="{00000000-0005-0000-0000-0000E6150000}"/>
    <cellStyle name="Cálculo 5 3 7 2 6" xfId="5621" xr:uid="{00000000-0005-0000-0000-0000E7150000}"/>
    <cellStyle name="Cálculo 5 3 7 3" xfId="5622" xr:uid="{00000000-0005-0000-0000-0000E8150000}"/>
    <cellStyle name="Cálculo 5 3 7 3 2" xfId="5623" xr:uid="{00000000-0005-0000-0000-0000E9150000}"/>
    <cellStyle name="Cálculo 5 3 7 3 2 2" xfId="5624" xr:uid="{00000000-0005-0000-0000-0000EA150000}"/>
    <cellStyle name="Cálculo 5 3 7 3 2 3" xfId="5625" xr:uid="{00000000-0005-0000-0000-0000EB150000}"/>
    <cellStyle name="Cálculo 5 3 7 3 2 4" xfId="5626" xr:uid="{00000000-0005-0000-0000-0000EC150000}"/>
    <cellStyle name="Cálculo 5 3 7 3 3" xfId="5627" xr:uid="{00000000-0005-0000-0000-0000ED150000}"/>
    <cellStyle name="Cálculo 5 3 7 3 3 2" xfId="5628" xr:uid="{00000000-0005-0000-0000-0000EE150000}"/>
    <cellStyle name="Cálculo 5 3 7 3 3 3" xfId="5629" xr:uid="{00000000-0005-0000-0000-0000EF150000}"/>
    <cellStyle name="Cálculo 5 3 7 3 3 4" xfId="5630" xr:uid="{00000000-0005-0000-0000-0000F0150000}"/>
    <cellStyle name="Cálculo 5 3 7 3 4" xfId="5631" xr:uid="{00000000-0005-0000-0000-0000F1150000}"/>
    <cellStyle name="Cálculo 5 3 7 3 5" xfId="5632" xr:uid="{00000000-0005-0000-0000-0000F2150000}"/>
    <cellStyle name="Cálculo 5 3 7 3 6" xfId="5633" xr:uid="{00000000-0005-0000-0000-0000F3150000}"/>
    <cellStyle name="Cálculo 5 3 7 4" xfId="5634" xr:uid="{00000000-0005-0000-0000-0000F4150000}"/>
    <cellStyle name="Cálculo 5 3 7 4 2" xfId="5635" xr:uid="{00000000-0005-0000-0000-0000F5150000}"/>
    <cellStyle name="Cálculo 5 3 7 4 3" xfId="5636" xr:uid="{00000000-0005-0000-0000-0000F6150000}"/>
    <cellStyle name="Cálculo 5 3 7 4 4" xfId="5637" xr:uid="{00000000-0005-0000-0000-0000F7150000}"/>
    <cellStyle name="Cálculo 5 3 7 5" xfId="5638" xr:uid="{00000000-0005-0000-0000-0000F8150000}"/>
    <cellStyle name="Cálculo 5 3 7 6" xfId="5639" xr:uid="{00000000-0005-0000-0000-0000F9150000}"/>
    <cellStyle name="Cálculo 5 3 8" xfId="5640" xr:uid="{00000000-0005-0000-0000-0000FA150000}"/>
    <cellStyle name="Cálculo 5 3 8 2" xfId="5641" xr:uid="{00000000-0005-0000-0000-0000FB150000}"/>
    <cellStyle name="Cálculo 5 3 8 2 2" xfId="5642" xr:uid="{00000000-0005-0000-0000-0000FC150000}"/>
    <cellStyle name="Cálculo 5 3 8 2 2 2" xfId="5643" xr:uid="{00000000-0005-0000-0000-0000FD150000}"/>
    <cellStyle name="Cálculo 5 3 8 2 2 3" xfId="5644" xr:uid="{00000000-0005-0000-0000-0000FE150000}"/>
    <cellStyle name="Cálculo 5 3 8 2 2 4" xfId="5645" xr:uid="{00000000-0005-0000-0000-0000FF150000}"/>
    <cellStyle name="Cálculo 5 3 8 2 3" xfId="5646" xr:uid="{00000000-0005-0000-0000-000000160000}"/>
    <cellStyle name="Cálculo 5 3 8 2 3 2" xfId="5647" xr:uid="{00000000-0005-0000-0000-000001160000}"/>
    <cellStyle name="Cálculo 5 3 8 2 3 3" xfId="5648" xr:uid="{00000000-0005-0000-0000-000002160000}"/>
    <cellStyle name="Cálculo 5 3 8 2 3 4" xfId="5649" xr:uid="{00000000-0005-0000-0000-000003160000}"/>
    <cellStyle name="Cálculo 5 3 8 2 4" xfId="5650" xr:uid="{00000000-0005-0000-0000-000004160000}"/>
    <cellStyle name="Cálculo 5 3 8 2 5" xfId="5651" xr:uid="{00000000-0005-0000-0000-000005160000}"/>
    <cellStyle name="Cálculo 5 3 8 2 6" xfId="5652" xr:uid="{00000000-0005-0000-0000-000006160000}"/>
    <cellStyle name="Cálculo 5 3 8 3" xfId="5653" xr:uid="{00000000-0005-0000-0000-000007160000}"/>
    <cellStyle name="Cálculo 5 3 8 3 2" xfId="5654" xr:uid="{00000000-0005-0000-0000-000008160000}"/>
    <cellStyle name="Cálculo 5 3 8 3 2 2" xfId="5655" xr:uid="{00000000-0005-0000-0000-000009160000}"/>
    <cellStyle name="Cálculo 5 3 8 3 2 3" xfId="5656" xr:uid="{00000000-0005-0000-0000-00000A160000}"/>
    <cellStyle name="Cálculo 5 3 8 3 2 4" xfId="5657" xr:uid="{00000000-0005-0000-0000-00000B160000}"/>
    <cellStyle name="Cálculo 5 3 8 3 3" xfId="5658" xr:uid="{00000000-0005-0000-0000-00000C160000}"/>
    <cellStyle name="Cálculo 5 3 8 3 3 2" xfId="5659" xr:uid="{00000000-0005-0000-0000-00000D160000}"/>
    <cellStyle name="Cálculo 5 3 8 3 3 3" xfId="5660" xr:uid="{00000000-0005-0000-0000-00000E160000}"/>
    <cellStyle name="Cálculo 5 3 8 3 3 4" xfId="5661" xr:uid="{00000000-0005-0000-0000-00000F160000}"/>
    <cellStyle name="Cálculo 5 3 8 3 4" xfId="5662" xr:uid="{00000000-0005-0000-0000-000010160000}"/>
    <cellStyle name="Cálculo 5 3 8 3 5" xfId="5663" xr:uid="{00000000-0005-0000-0000-000011160000}"/>
    <cellStyle name="Cálculo 5 3 8 3 6" xfId="5664" xr:uid="{00000000-0005-0000-0000-000012160000}"/>
    <cellStyle name="Cálculo 5 3 8 4" xfId="5665" xr:uid="{00000000-0005-0000-0000-000013160000}"/>
    <cellStyle name="Cálculo 5 3 8 4 2" xfId="5666" xr:uid="{00000000-0005-0000-0000-000014160000}"/>
    <cellStyle name="Cálculo 5 3 8 4 3" xfId="5667" xr:uid="{00000000-0005-0000-0000-000015160000}"/>
    <cellStyle name="Cálculo 5 3 8 4 4" xfId="5668" xr:uid="{00000000-0005-0000-0000-000016160000}"/>
    <cellStyle name="Cálculo 5 3 8 5" xfId="5669" xr:uid="{00000000-0005-0000-0000-000017160000}"/>
    <cellStyle name="Cálculo 5 3 8 6" xfId="5670" xr:uid="{00000000-0005-0000-0000-000018160000}"/>
    <cellStyle name="Cálculo 5 3 9" xfId="5671" xr:uid="{00000000-0005-0000-0000-000019160000}"/>
    <cellStyle name="Cálculo 5 3 9 2" xfId="5672" xr:uid="{00000000-0005-0000-0000-00001A160000}"/>
    <cellStyle name="Cálculo 5 3 9 2 2" xfId="5673" xr:uid="{00000000-0005-0000-0000-00001B160000}"/>
    <cellStyle name="Cálculo 5 3 9 2 2 2" xfId="5674" xr:uid="{00000000-0005-0000-0000-00001C160000}"/>
    <cellStyle name="Cálculo 5 3 9 2 2 3" xfId="5675" xr:uid="{00000000-0005-0000-0000-00001D160000}"/>
    <cellStyle name="Cálculo 5 3 9 2 2 4" xfId="5676" xr:uid="{00000000-0005-0000-0000-00001E160000}"/>
    <cellStyle name="Cálculo 5 3 9 2 3" xfId="5677" xr:uid="{00000000-0005-0000-0000-00001F160000}"/>
    <cellStyle name="Cálculo 5 3 9 2 3 2" xfId="5678" xr:uid="{00000000-0005-0000-0000-000020160000}"/>
    <cellStyle name="Cálculo 5 3 9 2 3 3" xfId="5679" xr:uid="{00000000-0005-0000-0000-000021160000}"/>
    <cellStyle name="Cálculo 5 3 9 2 3 4" xfId="5680" xr:uid="{00000000-0005-0000-0000-000022160000}"/>
    <cellStyle name="Cálculo 5 3 9 2 4" xfId="5681" xr:uid="{00000000-0005-0000-0000-000023160000}"/>
    <cellStyle name="Cálculo 5 3 9 2 5" xfId="5682" xr:uid="{00000000-0005-0000-0000-000024160000}"/>
    <cellStyle name="Cálculo 5 3 9 2 6" xfId="5683" xr:uid="{00000000-0005-0000-0000-000025160000}"/>
    <cellStyle name="Cálculo 5 3 9 3" xfId="5684" xr:uid="{00000000-0005-0000-0000-000026160000}"/>
    <cellStyle name="Cálculo 5 3 9 3 2" xfId="5685" xr:uid="{00000000-0005-0000-0000-000027160000}"/>
    <cellStyle name="Cálculo 5 3 9 3 2 2" xfId="5686" xr:uid="{00000000-0005-0000-0000-000028160000}"/>
    <cellStyle name="Cálculo 5 3 9 3 2 3" xfId="5687" xr:uid="{00000000-0005-0000-0000-000029160000}"/>
    <cellStyle name="Cálculo 5 3 9 3 2 4" xfId="5688" xr:uid="{00000000-0005-0000-0000-00002A160000}"/>
    <cellStyle name="Cálculo 5 3 9 3 3" xfId="5689" xr:uid="{00000000-0005-0000-0000-00002B160000}"/>
    <cellStyle name="Cálculo 5 3 9 3 3 2" xfId="5690" xr:uid="{00000000-0005-0000-0000-00002C160000}"/>
    <cellStyle name="Cálculo 5 3 9 3 3 3" xfId="5691" xr:uid="{00000000-0005-0000-0000-00002D160000}"/>
    <cellStyle name="Cálculo 5 3 9 3 3 4" xfId="5692" xr:uid="{00000000-0005-0000-0000-00002E160000}"/>
    <cellStyle name="Cálculo 5 3 9 3 4" xfId="5693" xr:uid="{00000000-0005-0000-0000-00002F160000}"/>
    <cellStyle name="Cálculo 5 3 9 3 5" xfId="5694" xr:uid="{00000000-0005-0000-0000-000030160000}"/>
    <cellStyle name="Cálculo 5 3 9 3 6" xfId="5695" xr:uid="{00000000-0005-0000-0000-000031160000}"/>
    <cellStyle name="Cálculo 5 3 9 4" xfId="5696" xr:uid="{00000000-0005-0000-0000-000032160000}"/>
    <cellStyle name="Cálculo 5 3 9 4 2" xfId="5697" xr:uid="{00000000-0005-0000-0000-000033160000}"/>
    <cellStyle name="Cálculo 5 3 9 4 3" xfId="5698" xr:uid="{00000000-0005-0000-0000-000034160000}"/>
    <cellStyle name="Cálculo 5 3 9 4 4" xfId="5699" xr:uid="{00000000-0005-0000-0000-000035160000}"/>
    <cellStyle name="Cálculo 5 3 9 5" xfId="5700" xr:uid="{00000000-0005-0000-0000-000036160000}"/>
    <cellStyle name="Cálculo 5 3 9 6" xfId="5701" xr:uid="{00000000-0005-0000-0000-000037160000}"/>
    <cellStyle name="Cálculo 5 4" xfId="5702" xr:uid="{00000000-0005-0000-0000-000038160000}"/>
    <cellStyle name="Cálculo 5 4 2" xfId="5703" xr:uid="{00000000-0005-0000-0000-000039160000}"/>
    <cellStyle name="Cálculo 5 4 2 2" xfId="5704" xr:uid="{00000000-0005-0000-0000-00003A160000}"/>
    <cellStyle name="Cálculo 5 4 2 2 2" xfId="5705" xr:uid="{00000000-0005-0000-0000-00003B160000}"/>
    <cellStyle name="Cálculo 5 4 2 2 2 2" xfId="5706" xr:uid="{00000000-0005-0000-0000-00003C160000}"/>
    <cellStyle name="Cálculo 5 4 2 2 2 3" xfId="5707" xr:uid="{00000000-0005-0000-0000-00003D160000}"/>
    <cellStyle name="Cálculo 5 4 2 2 2 4" xfId="5708" xr:uid="{00000000-0005-0000-0000-00003E160000}"/>
    <cellStyle name="Cálculo 5 4 2 2 3" xfId="5709" xr:uid="{00000000-0005-0000-0000-00003F160000}"/>
    <cellStyle name="Cálculo 5 4 2 2 3 2" xfId="5710" xr:uid="{00000000-0005-0000-0000-000040160000}"/>
    <cellStyle name="Cálculo 5 4 2 2 3 3" xfId="5711" xr:uid="{00000000-0005-0000-0000-000041160000}"/>
    <cellStyle name="Cálculo 5 4 2 2 3 4" xfId="5712" xr:uid="{00000000-0005-0000-0000-000042160000}"/>
    <cellStyle name="Cálculo 5 4 2 2 4" xfId="5713" xr:uid="{00000000-0005-0000-0000-000043160000}"/>
    <cellStyle name="Cálculo 5 4 2 2 5" xfId="5714" xr:uid="{00000000-0005-0000-0000-000044160000}"/>
    <cellStyle name="Cálculo 5 4 2 2 6" xfId="5715" xr:uid="{00000000-0005-0000-0000-000045160000}"/>
    <cellStyle name="Cálculo 5 4 2 3" xfId="5716" xr:uid="{00000000-0005-0000-0000-000046160000}"/>
    <cellStyle name="Cálculo 5 4 2 3 2" xfId="5717" xr:uid="{00000000-0005-0000-0000-000047160000}"/>
    <cellStyle name="Cálculo 5 4 2 3 2 2" xfId="5718" xr:uid="{00000000-0005-0000-0000-000048160000}"/>
    <cellStyle name="Cálculo 5 4 2 3 2 3" xfId="5719" xr:uid="{00000000-0005-0000-0000-000049160000}"/>
    <cellStyle name="Cálculo 5 4 2 3 2 4" xfId="5720" xr:uid="{00000000-0005-0000-0000-00004A160000}"/>
    <cellStyle name="Cálculo 5 4 2 3 3" xfId="5721" xr:uid="{00000000-0005-0000-0000-00004B160000}"/>
    <cellStyle name="Cálculo 5 4 2 3 3 2" xfId="5722" xr:uid="{00000000-0005-0000-0000-00004C160000}"/>
    <cellStyle name="Cálculo 5 4 2 3 3 3" xfId="5723" xr:uid="{00000000-0005-0000-0000-00004D160000}"/>
    <cellStyle name="Cálculo 5 4 2 3 3 4" xfId="5724" xr:uid="{00000000-0005-0000-0000-00004E160000}"/>
    <cellStyle name="Cálculo 5 4 2 3 4" xfId="5725" xr:uid="{00000000-0005-0000-0000-00004F160000}"/>
    <cellStyle name="Cálculo 5 4 2 3 5" xfId="5726" xr:uid="{00000000-0005-0000-0000-000050160000}"/>
    <cellStyle name="Cálculo 5 4 2 3 6" xfId="5727" xr:uid="{00000000-0005-0000-0000-000051160000}"/>
    <cellStyle name="Cálculo 5 4 2 4" xfId="5728" xr:uid="{00000000-0005-0000-0000-000052160000}"/>
    <cellStyle name="Cálculo 5 4 2 5" xfId="5729" xr:uid="{00000000-0005-0000-0000-000053160000}"/>
    <cellStyle name="Cálculo 5 4 2 6" xfId="5730" xr:uid="{00000000-0005-0000-0000-000054160000}"/>
    <cellStyle name="Cálculo 5 4 3" xfId="5731" xr:uid="{00000000-0005-0000-0000-000055160000}"/>
    <cellStyle name="Cálculo 5 4 4" xfId="5732" xr:uid="{00000000-0005-0000-0000-000056160000}"/>
    <cellStyle name="Cálculo 5 5" xfId="5733" xr:uid="{00000000-0005-0000-0000-000057160000}"/>
    <cellStyle name="Cálculo 5 5 2" xfId="5734" xr:uid="{00000000-0005-0000-0000-000058160000}"/>
    <cellStyle name="Cálculo 5 5 2 2" xfId="5735" xr:uid="{00000000-0005-0000-0000-000059160000}"/>
    <cellStyle name="Cálculo 5 5 2 2 2" xfId="5736" xr:uid="{00000000-0005-0000-0000-00005A160000}"/>
    <cellStyle name="Cálculo 5 5 2 2 2 2" xfId="5737" xr:uid="{00000000-0005-0000-0000-00005B160000}"/>
    <cellStyle name="Cálculo 5 5 2 2 2 3" xfId="5738" xr:uid="{00000000-0005-0000-0000-00005C160000}"/>
    <cellStyle name="Cálculo 5 5 2 2 2 4" xfId="5739" xr:uid="{00000000-0005-0000-0000-00005D160000}"/>
    <cellStyle name="Cálculo 5 5 2 2 3" xfId="5740" xr:uid="{00000000-0005-0000-0000-00005E160000}"/>
    <cellStyle name="Cálculo 5 5 2 2 3 2" xfId="5741" xr:uid="{00000000-0005-0000-0000-00005F160000}"/>
    <cellStyle name="Cálculo 5 5 2 2 3 3" xfId="5742" xr:uid="{00000000-0005-0000-0000-000060160000}"/>
    <cellStyle name="Cálculo 5 5 2 2 3 4" xfId="5743" xr:uid="{00000000-0005-0000-0000-000061160000}"/>
    <cellStyle name="Cálculo 5 5 2 2 4" xfId="5744" xr:uid="{00000000-0005-0000-0000-000062160000}"/>
    <cellStyle name="Cálculo 5 5 2 2 5" xfId="5745" xr:uid="{00000000-0005-0000-0000-000063160000}"/>
    <cellStyle name="Cálculo 5 5 2 2 6" xfId="5746" xr:uid="{00000000-0005-0000-0000-000064160000}"/>
    <cellStyle name="Cálculo 5 5 2 3" xfId="5747" xr:uid="{00000000-0005-0000-0000-000065160000}"/>
    <cellStyle name="Cálculo 5 5 2 3 2" xfId="5748" xr:uid="{00000000-0005-0000-0000-000066160000}"/>
    <cellStyle name="Cálculo 5 5 2 3 2 2" xfId="5749" xr:uid="{00000000-0005-0000-0000-000067160000}"/>
    <cellStyle name="Cálculo 5 5 2 3 2 3" xfId="5750" xr:uid="{00000000-0005-0000-0000-000068160000}"/>
    <cellStyle name="Cálculo 5 5 2 3 2 4" xfId="5751" xr:uid="{00000000-0005-0000-0000-000069160000}"/>
    <cellStyle name="Cálculo 5 5 2 3 3" xfId="5752" xr:uid="{00000000-0005-0000-0000-00006A160000}"/>
    <cellStyle name="Cálculo 5 5 2 3 3 2" xfId="5753" xr:uid="{00000000-0005-0000-0000-00006B160000}"/>
    <cellStyle name="Cálculo 5 5 2 3 3 3" xfId="5754" xr:uid="{00000000-0005-0000-0000-00006C160000}"/>
    <cellStyle name="Cálculo 5 5 2 3 3 4" xfId="5755" xr:uid="{00000000-0005-0000-0000-00006D160000}"/>
    <cellStyle name="Cálculo 5 5 2 3 4" xfId="5756" xr:uid="{00000000-0005-0000-0000-00006E160000}"/>
    <cellStyle name="Cálculo 5 5 2 3 5" xfId="5757" xr:uid="{00000000-0005-0000-0000-00006F160000}"/>
    <cellStyle name="Cálculo 5 5 2 3 6" xfId="5758" xr:uid="{00000000-0005-0000-0000-000070160000}"/>
    <cellStyle name="Cálculo 5 5 2 4" xfId="5759" xr:uid="{00000000-0005-0000-0000-000071160000}"/>
    <cellStyle name="Cálculo 5 5 2 5" xfId="5760" xr:uid="{00000000-0005-0000-0000-000072160000}"/>
    <cellStyle name="Cálculo 5 5 2 6" xfId="5761" xr:uid="{00000000-0005-0000-0000-000073160000}"/>
    <cellStyle name="Cálculo 5 5 3" xfId="5762" xr:uid="{00000000-0005-0000-0000-000074160000}"/>
    <cellStyle name="Cálculo 5 5 4" xfId="5763" xr:uid="{00000000-0005-0000-0000-000075160000}"/>
    <cellStyle name="Cálculo 5 6" xfId="5764" xr:uid="{00000000-0005-0000-0000-000076160000}"/>
    <cellStyle name="Cálculo 5 6 2" xfId="5765" xr:uid="{00000000-0005-0000-0000-000077160000}"/>
    <cellStyle name="Cálculo 5 6 2 2" xfId="5766" xr:uid="{00000000-0005-0000-0000-000078160000}"/>
    <cellStyle name="Cálculo 5 6 2 2 2" xfId="5767" xr:uid="{00000000-0005-0000-0000-000079160000}"/>
    <cellStyle name="Cálculo 5 6 2 2 2 2" xfId="5768" xr:uid="{00000000-0005-0000-0000-00007A160000}"/>
    <cellStyle name="Cálculo 5 6 2 2 2 3" xfId="5769" xr:uid="{00000000-0005-0000-0000-00007B160000}"/>
    <cellStyle name="Cálculo 5 6 2 2 2 4" xfId="5770" xr:uid="{00000000-0005-0000-0000-00007C160000}"/>
    <cellStyle name="Cálculo 5 6 2 2 3" xfId="5771" xr:uid="{00000000-0005-0000-0000-00007D160000}"/>
    <cellStyle name="Cálculo 5 6 2 2 3 2" xfId="5772" xr:uid="{00000000-0005-0000-0000-00007E160000}"/>
    <cellStyle name="Cálculo 5 6 2 2 3 3" xfId="5773" xr:uid="{00000000-0005-0000-0000-00007F160000}"/>
    <cellStyle name="Cálculo 5 6 2 2 3 4" xfId="5774" xr:uid="{00000000-0005-0000-0000-000080160000}"/>
    <cellStyle name="Cálculo 5 6 2 2 4" xfId="5775" xr:uid="{00000000-0005-0000-0000-000081160000}"/>
    <cellStyle name="Cálculo 5 6 2 2 5" xfId="5776" xr:uid="{00000000-0005-0000-0000-000082160000}"/>
    <cellStyle name="Cálculo 5 6 2 2 6" xfId="5777" xr:uid="{00000000-0005-0000-0000-000083160000}"/>
    <cellStyle name="Cálculo 5 6 2 3" xfId="5778" xr:uid="{00000000-0005-0000-0000-000084160000}"/>
    <cellStyle name="Cálculo 5 6 2 3 2" xfId="5779" xr:uid="{00000000-0005-0000-0000-000085160000}"/>
    <cellStyle name="Cálculo 5 6 2 3 2 2" xfId="5780" xr:uid="{00000000-0005-0000-0000-000086160000}"/>
    <cellStyle name="Cálculo 5 6 2 3 2 3" xfId="5781" xr:uid="{00000000-0005-0000-0000-000087160000}"/>
    <cellStyle name="Cálculo 5 6 2 3 2 4" xfId="5782" xr:uid="{00000000-0005-0000-0000-000088160000}"/>
    <cellStyle name="Cálculo 5 6 2 3 3" xfId="5783" xr:uid="{00000000-0005-0000-0000-000089160000}"/>
    <cellStyle name="Cálculo 5 6 2 3 3 2" xfId="5784" xr:uid="{00000000-0005-0000-0000-00008A160000}"/>
    <cellStyle name="Cálculo 5 6 2 3 3 3" xfId="5785" xr:uid="{00000000-0005-0000-0000-00008B160000}"/>
    <cellStyle name="Cálculo 5 6 2 3 3 4" xfId="5786" xr:uid="{00000000-0005-0000-0000-00008C160000}"/>
    <cellStyle name="Cálculo 5 6 2 3 4" xfId="5787" xr:uid="{00000000-0005-0000-0000-00008D160000}"/>
    <cellStyle name="Cálculo 5 6 2 3 5" xfId="5788" xr:uid="{00000000-0005-0000-0000-00008E160000}"/>
    <cellStyle name="Cálculo 5 6 2 3 6" xfId="5789" xr:uid="{00000000-0005-0000-0000-00008F160000}"/>
    <cellStyle name="Cálculo 5 6 2 4" xfId="5790" xr:uid="{00000000-0005-0000-0000-000090160000}"/>
    <cellStyle name="Cálculo 5 6 2 5" xfId="5791" xr:uid="{00000000-0005-0000-0000-000091160000}"/>
    <cellStyle name="Cálculo 5 6 2 6" xfId="5792" xr:uid="{00000000-0005-0000-0000-000092160000}"/>
    <cellStyle name="Cálculo 5 6 3" xfId="5793" xr:uid="{00000000-0005-0000-0000-000093160000}"/>
    <cellStyle name="Cálculo 5 6 4" xfId="5794" xr:uid="{00000000-0005-0000-0000-000094160000}"/>
    <cellStyle name="Cálculo 5 7" xfId="5795" xr:uid="{00000000-0005-0000-0000-000095160000}"/>
    <cellStyle name="Cálculo 5 7 2" xfId="5796" xr:uid="{00000000-0005-0000-0000-000096160000}"/>
    <cellStyle name="Cálculo 5 7 2 2" xfId="5797" xr:uid="{00000000-0005-0000-0000-000097160000}"/>
    <cellStyle name="Cálculo 5 7 2 2 2" xfId="5798" xr:uid="{00000000-0005-0000-0000-000098160000}"/>
    <cellStyle name="Cálculo 5 7 2 2 2 2" xfId="5799" xr:uid="{00000000-0005-0000-0000-000099160000}"/>
    <cellStyle name="Cálculo 5 7 2 2 2 3" xfId="5800" xr:uid="{00000000-0005-0000-0000-00009A160000}"/>
    <cellStyle name="Cálculo 5 7 2 2 2 4" xfId="5801" xr:uid="{00000000-0005-0000-0000-00009B160000}"/>
    <cellStyle name="Cálculo 5 7 2 2 3" xfId="5802" xr:uid="{00000000-0005-0000-0000-00009C160000}"/>
    <cellStyle name="Cálculo 5 7 2 2 3 2" xfId="5803" xr:uid="{00000000-0005-0000-0000-00009D160000}"/>
    <cellStyle name="Cálculo 5 7 2 2 3 3" xfId="5804" xr:uid="{00000000-0005-0000-0000-00009E160000}"/>
    <cellStyle name="Cálculo 5 7 2 2 3 4" xfId="5805" xr:uid="{00000000-0005-0000-0000-00009F160000}"/>
    <cellStyle name="Cálculo 5 7 2 2 4" xfId="5806" xr:uid="{00000000-0005-0000-0000-0000A0160000}"/>
    <cellStyle name="Cálculo 5 7 2 2 5" xfId="5807" xr:uid="{00000000-0005-0000-0000-0000A1160000}"/>
    <cellStyle name="Cálculo 5 7 2 2 6" xfId="5808" xr:uid="{00000000-0005-0000-0000-0000A2160000}"/>
    <cellStyle name="Cálculo 5 7 2 3" xfId="5809" xr:uid="{00000000-0005-0000-0000-0000A3160000}"/>
    <cellStyle name="Cálculo 5 7 2 3 2" xfId="5810" xr:uid="{00000000-0005-0000-0000-0000A4160000}"/>
    <cellStyle name="Cálculo 5 7 2 3 2 2" xfId="5811" xr:uid="{00000000-0005-0000-0000-0000A5160000}"/>
    <cellStyle name="Cálculo 5 7 2 3 2 3" xfId="5812" xr:uid="{00000000-0005-0000-0000-0000A6160000}"/>
    <cellStyle name="Cálculo 5 7 2 3 2 4" xfId="5813" xr:uid="{00000000-0005-0000-0000-0000A7160000}"/>
    <cellStyle name="Cálculo 5 7 2 3 3" xfId="5814" xr:uid="{00000000-0005-0000-0000-0000A8160000}"/>
    <cellStyle name="Cálculo 5 7 2 3 3 2" xfId="5815" xr:uid="{00000000-0005-0000-0000-0000A9160000}"/>
    <cellStyle name="Cálculo 5 7 2 3 3 3" xfId="5816" xr:uid="{00000000-0005-0000-0000-0000AA160000}"/>
    <cellStyle name="Cálculo 5 7 2 3 3 4" xfId="5817" xr:uid="{00000000-0005-0000-0000-0000AB160000}"/>
    <cellStyle name="Cálculo 5 7 2 3 4" xfId="5818" xr:uid="{00000000-0005-0000-0000-0000AC160000}"/>
    <cellStyle name="Cálculo 5 7 2 3 5" xfId="5819" xr:uid="{00000000-0005-0000-0000-0000AD160000}"/>
    <cellStyle name="Cálculo 5 7 2 3 6" xfId="5820" xr:uid="{00000000-0005-0000-0000-0000AE160000}"/>
    <cellStyle name="Cálculo 5 7 2 4" xfId="5821" xr:uid="{00000000-0005-0000-0000-0000AF160000}"/>
    <cellStyle name="Cálculo 5 7 2 5" xfId="5822" xr:uid="{00000000-0005-0000-0000-0000B0160000}"/>
    <cellStyle name="Cálculo 5 7 2 6" xfId="5823" xr:uid="{00000000-0005-0000-0000-0000B1160000}"/>
    <cellStyle name="Cálculo 5 7 3" xfId="5824" xr:uid="{00000000-0005-0000-0000-0000B2160000}"/>
    <cellStyle name="Cálculo 5 7 4" xfId="5825" xr:uid="{00000000-0005-0000-0000-0000B3160000}"/>
    <cellStyle name="Cálculo 5 8" xfId="5826" xr:uid="{00000000-0005-0000-0000-0000B4160000}"/>
    <cellStyle name="Cálculo 5 8 2" xfId="5827" xr:uid="{00000000-0005-0000-0000-0000B5160000}"/>
    <cellStyle name="Cálculo 5 8 2 2" xfId="5828" xr:uid="{00000000-0005-0000-0000-0000B6160000}"/>
    <cellStyle name="Cálculo 5 8 2 2 2" xfId="5829" xr:uid="{00000000-0005-0000-0000-0000B7160000}"/>
    <cellStyle name="Cálculo 5 8 2 2 3" xfId="5830" xr:uid="{00000000-0005-0000-0000-0000B8160000}"/>
    <cellStyle name="Cálculo 5 8 2 2 4" xfId="5831" xr:uid="{00000000-0005-0000-0000-0000B9160000}"/>
    <cellStyle name="Cálculo 5 8 2 3" xfId="5832" xr:uid="{00000000-0005-0000-0000-0000BA160000}"/>
    <cellStyle name="Cálculo 5 8 2 3 2" xfId="5833" xr:uid="{00000000-0005-0000-0000-0000BB160000}"/>
    <cellStyle name="Cálculo 5 8 2 3 3" xfId="5834" xr:uid="{00000000-0005-0000-0000-0000BC160000}"/>
    <cellStyle name="Cálculo 5 8 2 3 4" xfId="5835" xr:uid="{00000000-0005-0000-0000-0000BD160000}"/>
    <cellStyle name="Cálculo 5 8 2 4" xfId="5836" xr:uid="{00000000-0005-0000-0000-0000BE160000}"/>
    <cellStyle name="Cálculo 5 8 2 5" xfId="5837" xr:uid="{00000000-0005-0000-0000-0000BF160000}"/>
    <cellStyle name="Cálculo 5 8 2 6" xfId="5838" xr:uid="{00000000-0005-0000-0000-0000C0160000}"/>
    <cellStyle name="Cálculo 5 8 3" xfId="5839" xr:uid="{00000000-0005-0000-0000-0000C1160000}"/>
    <cellStyle name="Cálculo 5 8 3 2" xfId="5840" xr:uid="{00000000-0005-0000-0000-0000C2160000}"/>
    <cellStyle name="Cálculo 5 8 3 2 2" xfId="5841" xr:uid="{00000000-0005-0000-0000-0000C3160000}"/>
    <cellStyle name="Cálculo 5 8 3 2 3" xfId="5842" xr:uid="{00000000-0005-0000-0000-0000C4160000}"/>
    <cellStyle name="Cálculo 5 8 3 2 4" xfId="5843" xr:uid="{00000000-0005-0000-0000-0000C5160000}"/>
    <cellStyle name="Cálculo 5 8 3 3" xfId="5844" xr:uid="{00000000-0005-0000-0000-0000C6160000}"/>
    <cellStyle name="Cálculo 5 8 3 3 2" xfId="5845" xr:uid="{00000000-0005-0000-0000-0000C7160000}"/>
    <cellStyle name="Cálculo 5 8 3 3 3" xfId="5846" xr:uid="{00000000-0005-0000-0000-0000C8160000}"/>
    <cellStyle name="Cálculo 5 8 3 3 4" xfId="5847" xr:uid="{00000000-0005-0000-0000-0000C9160000}"/>
    <cellStyle name="Cálculo 5 8 3 4" xfId="5848" xr:uid="{00000000-0005-0000-0000-0000CA160000}"/>
    <cellStyle name="Cálculo 5 8 3 5" xfId="5849" xr:uid="{00000000-0005-0000-0000-0000CB160000}"/>
    <cellStyle name="Cálculo 5 8 3 6" xfId="5850" xr:uid="{00000000-0005-0000-0000-0000CC160000}"/>
    <cellStyle name="Cálculo 5 8 4" xfId="5851" xr:uid="{00000000-0005-0000-0000-0000CD160000}"/>
    <cellStyle name="Cálculo 5 8 4 2" xfId="5852" xr:uid="{00000000-0005-0000-0000-0000CE160000}"/>
    <cellStyle name="Cálculo 5 8 4 3" xfId="5853" xr:uid="{00000000-0005-0000-0000-0000CF160000}"/>
    <cellStyle name="Cálculo 5 8 4 4" xfId="5854" xr:uid="{00000000-0005-0000-0000-0000D0160000}"/>
    <cellStyle name="Cálculo 5 8 5" xfId="5855" xr:uid="{00000000-0005-0000-0000-0000D1160000}"/>
    <cellStyle name="Cálculo 5 8 6" xfId="5856" xr:uid="{00000000-0005-0000-0000-0000D2160000}"/>
    <cellStyle name="Cálculo 5 9" xfId="5857" xr:uid="{00000000-0005-0000-0000-0000D3160000}"/>
    <cellStyle name="Cálculo 5 9 2" xfId="5858" xr:uid="{00000000-0005-0000-0000-0000D4160000}"/>
    <cellStyle name="Cálculo 5 9 2 2" xfId="5859" xr:uid="{00000000-0005-0000-0000-0000D5160000}"/>
    <cellStyle name="Cálculo 5 9 2 2 2" xfId="5860" xr:uid="{00000000-0005-0000-0000-0000D6160000}"/>
    <cellStyle name="Cálculo 5 9 2 2 3" xfId="5861" xr:uid="{00000000-0005-0000-0000-0000D7160000}"/>
    <cellStyle name="Cálculo 5 9 2 2 4" xfId="5862" xr:uid="{00000000-0005-0000-0000-0000D8160000}"/>
    <cellStyle name="Cálculo 5 9 2 3" xfId="5863" xr:uid="{00000000-0005-0000-0000-0000D9160000}"/>
    <cellStyle name="Cálculo 5 9 2 3 2" xfId="5864" xr:uid="{00000000-0005-0000-0000-0000DA160000}"/>
    <cellStyle name="Cálculo 5 9 2 3 3" xfId="5865" xr:uid="{00000000-0005-0000-0000-0000DB160000}"/>
    <cellStyle name="Cálculo 5 9 2 3 4" xfId="5866" xr:uid="{00000000-0005-0000-0000-0000DC160000}"/>
    <cellStyle name="Cálculo 5 9 2 4" xfId="5867" xr:uid="{00000000-0005-0000-0000-0000DD160000}"/>
    <cellStyle name="Cálculo 5 9 2 5" xfId="5868" xr:uid="{00000000-0005-0000-0000-0000DE160000}"/>
    <cellStyle name="Cálculo 5 9 2 6" xfId="5869" xr:uid="{00000000-0005-0000-0000-0000DF160000}"/>
    <cellStyle name="Cálculo 5 9 3" xfId="5870" xr:uid="{00000000-0005-0000-0000-0000E0160000}"/>
    <cellStyle name="Cálculo 5 9 3 2" xfId="5871" xr:uid="{00000000-0005-0000-0000-0000E1160000}"/>
    <cellStyle name="Cálculo 5 9 3 2 2" xfId="5872" xr:uid="{00000000-0005-0000-0000-0000E2160000}"/>
    <cellStyle name="Cálculo 5 9 3 2 3" xfId="5873" xr:uid="{00000000-0005-0000-0000-0000E3160000}"/>
    <cellStyle name="Cálculo 5 9 3 2 4" xfId="5874" xr:uid="{00000000-0005-0000-0000-0000E4160000}"/>
    <cellStyle name="Cálculo 5 9 3 3" xfId="5875" xr:uid="{00000000-0005-0000-0000-0000E5160000}"/>
    <cellStyle name="Cálculo 5 9 3 3 2" xfId="5876" xr:uid="{00000000-0005-0000-0000-0000E6160000}"/>
    <cellStyle name="Cálculo 5 9 3 3 3" xfId="5877" xr:uid="{00000000-0005-0000-0000-0000E7160000}"/>
    <cellStyle name="Cálculo 5 9 3 3 4" xfId="5878" xr:uid="{00000000-0005-0000-0000-0000E8160000}"/>
    <cellStyle name="Cálculo 5 9 3 4" xfId="5879" xr:uid="{00000000-0005-0000-0000-0000E9160000}"/>
    <cellStyle name="Cálculo 5 9 3 5" xfId="5880" xr:uid="{00000000-0005-0000-0000-0000EA160000}"/>
    <cellStyle name="Cálculo 5 9 3 6" xfId="5881" xr:uid="{00000000-0005-0000-0000-0000EB160000}"/>
    <cellStyle name="Cálculo 5 9 4" xfId="5882" xr:uid="{00000000-0005-0000-0000-0000EC160000}"/>
    <cellStyle name="Cálculo 5 9 4 2" xfId="5883" xr:uid="{00000000-0005-0000-0000-0000ED160000}"/>
    <cellStyle name="Cálculo 5 9 4 3" xfId="5884" xr:uid="{00000000-0005-0000-0000-0000EE160000}"/>
    <cellStyle name="Cálculo 5 9 4 4" xfId="5885" xr:uid="{00000000-0005-0000-0000-0000EF160000}"/>
    <cellStyle name="Cálculo 5 9 5" xfId="5886" xr:uid="{00000000-0005-0000-0000-0000F0160000}"/>
    <cellStyle name="Cálculo 5 9 6" xfId="5887" xr:uid="{00000000-0005-0000-0000-0000F1160000}"/>
    <cellStyle name="Cálculo 6" xfId="5888" xr:uid="{00000000-0005-0000-0000-0000F2160000}"/>
    <cellStyle name="Cálculo 6 10" xfId="5889" xr:uid="{00000000-0005-0000-0000-0000F3160000}"/>
    <cellStyle name="Cálculo 6 10 2" xfId="5890" xr:uid="{00000000-0005-0000-0000-0000F4160000}"/>
    <cellStyle name="Cálculo 6 10 2 2" xfId="5891" xr:uid="{00000000-0005-0000-0000-0000F5160000}"/>
    <cellStyle name="Cálculo 6 10 2 2 2" xfId="5892" xr:uid="{00000000-0005-0000-0000-0000F6160000}"/>
    <cellStyle name="Cálculo 6 10 2 2 3" xfId="5893" xr:uid="{00000000-0005-0000-0000-0000F7160000}"/>
    <cellStyle name="Cálculo 6 10 2 2 4" xfId="5894" xr:uid="{00000000-0005-0000-0000-0000F8160000}"/>
    <cellStyle name="Cálculo 6 10 2 3" xfId="5895" xr:uid="{00000000-0005-0000-0000-0000F9160000}"/>
    <cellStyle name="Cálculo 6 10 2 3 2" xfId="5896" xr:uid="{00000000-0005-0000-0000-0000FA160000}"/>
    <cellStyle name="Cálculo 6 10 2 3 3" xfId="5897" xr:uid="{00000000-0005-0000-0000-0000FB160000}"/>
    <cellStyle name="Cálculo 6 10 2 3 4" xfId="5898" xr:uid="{00000000-0005-0000-0000-0000FC160000}"/>
    <cellStyle name="Cálculo 6 10 2 4" xfId="5899" xr:uid="{00000000-0005-0000-0000-0000FD160000}"/>
    <cellStyle name="Cálculo 6 10 2 5" xfId="5900" xr:uid="{00000000-0005-0000-0000-0000FE160000}"/>
    <cellStyle name="Cálculo 6 10 2 6" xfId="5901" xr:uid="{00000000-0005-0000-0000-0000FF160000}"/>
    <cellStyle name="Cálculo 6 10 3" xfId="5902" xr:uid="{00000000-0005-0000-0000-000000170000}"/>
    <cellStyle name="Cálculo 6 10 3 2" xfId="5903" xr:uid="{00000000-0005-0000-0000-000001170000}"/>
    <cellStyle name="Cálculo 6 10 3 2 2" xfId="5904" xr:uid="{00000000-0005-0000-0000-000002170000}"/>
    <cellStyle name="Cálculo 6 10 3 2 3" xfId="5905" xr:uid="{00000000-0005-0000-0000-000003170000}"/>
    <cellStyle name="Cálculo 6 10 3 2 4" xfId="5906" xr:uid="{00000000-0005-0000-0000-000004170000}"/>
    <cellStyle name="Cálculo 6 10 3 3" xfId="5907" xr:uid="{00000000-0005-0000-0000-000005170000}"/>
    <cellStyle name="Cálculo 6 10 3 3 2" xfId="5908" xr:uid="{00000000-0005-0000-0000-000006170000}"/>
    <cellStyle name="Cálculo 6 10 3 3 3" xfId="5909" xr:uid="{00000000-0005-0000-0000-000007170000}"/>
    <cellStyle name="Cálculo 6 10 3 3 4" xfId="5910" xr:uid="{00000000-0005-0000-0000-000008170000}"/>
    <cellStyle name="Cálculo 6 10 3 4" xfId="5911" xr:uid="{00000000-0005-0000-0000-000009170000}"/>
    <cellStyle name="Cálculo 6 10 3 5" xfId="5912" xr:uid="{00000000-0005-0000-0000-00000A170000}"/>
    <cellStyle name="Cálculo 6 10 3 6" xfId="5913" xr:uid="{00000000-0005-0000-0000-00000B170000}"/>
    <cellStyle name="Cálculo 6 10 4" xfId="5914" xr:uid="{00000000-0005-0000-0000-00000C170000}"/>
    <cellStyle name="Cálculo 6 10 4 2" xfId="5915" xr:uid="{00000000-0005-0000-0000-00000D170000}"/>
    <cellStyle name="Cálculo 6 10 4 3" xfId="5916" xr:uid="{00000000-0005-0000-0000-00000E170000}"/>
    <cellStyle name="Cálculo 6 10 4 4" xfId="5917" xr:uid="{00000000-0005-0000-0000-00000F170000}"/>
    <cellStyle name="Cálculo 6 10 5" xfId="5918" xr:uid="{00000000-0005-0000-0000-000010170000}"/>
    <cellStyle name="Cálculo 6 10 6" xfId="5919" xr:uid="{00000000-0005-0000-0000-000011170000}"/>
    <cellStyle name="Cálculo 6 11" xfId="5920" xr:uid="{00000000-0005-0000-0000-000012170000}"/>
    <cellStyle name="Cálculo 6 11 2" xfId="5921" xr:uid="{00000000-0005-0000-0000-000013170000}"/>
    <cellStyle name="Cálculo 6 11 2 2" xfId="5922" xr:uid="{00000000-0005-0000-0000-000014170000}"/>
    <cellStyle name="Cálculo 6 11 2 2 2" xfId="5923" xr:uid="{00000000-0005-0000-0000-000015170000}"/>
    <cellStyle name="Cálculo 6 11 2 2 3" xfId="5924" xr:uid="{00000000-0005-0000-0000-000016170000}"/>
    <cellStyle name="Cálculo 6 11 2 2 4" xfId="5925" xr:uid="{00000000-0005-0000-0000-000017170000}"/>
    <cellStyle name="Cálculo 6 11 2 3" xfId="5926" xr:uid="{00000000-0005-0000-0000-000018170000}"/>
    <cellStyle name="Cálculo 6 11 2 3 2" xfId="5927" xr:uid="{00000000-0005-0000-0000-000019170000}"/>
    <cellStyle name="Cálculo 6 11 2 3 3" xfId="5928" xr:uid="{00000000-0005-0000-0000-00001A170000}"/>
    <cellStyle name="Cálculo 6 11 2 3 4" xfId="5929" xr:uid="{00000000-0005-0000-0000-00001B170000}"/>
    <cellStyle name="Cálculo 6 11 2 4" xfId="5930" xr:uid="{00000000-0005-0000-0000-00001C170000}"/>
    <cellStyle name="Cálculo 6 11 2 5" xfId="5931" xr:uid="{00000000-0005-0000-0000-00001D170000}"/>
    <cellStyle name="Cálculo 6 11 2 6" xfId="5932" xr:uid="{00000000-0005-0000-0000-00001E170000}"/>
    <cellStyle name="Cálculo 6 11 3" xfId="5933" xr:uid="{00000000-0005-0000-0000-00001F170000}"/>
    <cellStyle name="Cálculo 6 11 3 2" xfId="5934" xr:uid="{00000000-0005-0000-0000-000020170000}"/>
    <cellStyle name="Cálculo 6 11 3 2 2" xfId="5935" xr:uid="{00000000-0005-0000-0000-000021170000}"/>
    <cellStyle name="Cálculo 6 11 3 2 3" xfId="5936" xr:uid="{00000000-0005-0000-0000-000022170000}"/>
    <cellStyle name="Cálculo 6 11 3 2 4" xfId="5937" xr:uid="{00000000-0005-0000-0000-000023170000}"/>
    <cellStyle name="Cálculo 6 11 3 3" xfId="5938" xr:uid="{00000000-0005-0000-0000-000024170000}"/>
    <cellStyle name="Cálculo 6 11 3 3 2" xfId="5939" xr:uid="{00000000-0005-0000-0000-000025170000}"/>
    <cellStyle name="Cálculo 6 11 3 3 3" xfId="5940" xr:uid="{00000000-0005-0000-0000-000026170000}"/>
    <cellStyle name="Cálculo 6 11 3 3 4" xfId="5941" xr:uid="{00000000-0005-0000-0000-000027170000}"/>
    <cellStyle name="Cálculo 6 11 3 4" xfId="5942" xr:uid="{00000000-0005-0000-0000-000028170000}"/>
    <cellStyle name="Cálculo 6 11 3 5" xfId="5943" xr:uid="{00000000-0005-0000-0000-000029170000}"/>
    <cellStyle name="Cálculo 6 11 3 6" xfId="5944" xr:uid="{00000000-0005-0000-0000-00002A170000}"/>
    <cellStyle name="Cálculo 6 11 4" xfId="5945" xr:uid="{00000000-0005-0000-0000-00002B170000}"/>
    <cellStyle name="Cálculo 6 11 5" xfId="5946" xr:uid="{00000000-0005-0000-0000-00002C170000}"/>
    <cellStyle name="Cálculo 6 11 6" xfId="5947" xr:uid="{00000000-0005-0000-0000-00002D170000}"/>
    <cellStyle name="Cálculo 6 12" xfId="5948" xr:uid="{00000000-0005-0000-0000-00002E170000}"/>
    <cellStyle name="Cálculo 6 13" xfId="5949" xr:uid="{00000000-0005-0000-0000-00002F170000}"/>
    <cellStyle name="Cálculo 6 2" xfId="5950" xr:uid="{00000000-0005-0000-0000-000030170000}"/>
    <cellStyle name="Cálculo 6 2 10" xfId="5951" xr:uid="{00000000-0005-0000-0000-000031170000}"/>
    <cellStyle name="Cálculo 6 2 10 2" xfId="5952" xr:uid="{00000000-0005-0000-0000-000032170000}"/>
    <cellStyle name="Cálculo 6 2 10 2 2" xfId="5953" xr:uid="{00000000-0005-0000-0000-000033170000}"/>
    <cellStyle name="Cálculo 6 2 10 2 2 2" xfId="5954" xr:uid="{00000000-0005-0000-0000-000034170000}"/>
    <cellStyle name="Cálculo 6 2 10 2 2 3" xfId="5955" xr:uid="{00000000-0005-0000-0000-000035170000}"/>
    <cellStyle name="Cálculo 6 2 10 2 2 4" xfId="5956" xr:uid="{00000000-0005-0000-0000-000036170000}"/>
    <cellStyle name="Cálculo 6 2 10 2 3" xfId="5957" xr:uid="{00000000-0005-0000-0000-000037170000}"/>
    <cellStyle name="Cálculo 6 2 10 2 3 2" xfId="5958" xr:uid="{00000000-0005-0000-0000-000038170000}"/>
    <cellStyle name="Cálculo 6 2 10 2 3 3" xfId="5959" xr:uid="{00000000-0005-0000-0000-000039170000}"/>
    <cellStyle name="Cálculo 6 2 10 2 3 4" xfId="5960" xr:uid="{00000000-0005-0000-0000-00003A170000}"/>
    <cellStyle name="Cálculo 6 2 10 2 4" xfId="5961" xr:uid="{00000000-0005-0000-0000-00003B170000}"/>
    <cellStyle name="Cálculo 6 2 10 2 5" xfId="5962" xr:uid="{00000000-0005-0000-0000-00003C170000}"/>
    <cellStyle name="Cálculo 6 2 10 2 6" xfId="5963" xr:uid="{00000000-0005-0000-0000-00003D170000}"/>
    <cellStyle name="Cálculo 6 2 10 3" xfId="5964" xr:uid="{00000000-0005-0000-0000-00003E170000}"/>
    <cellStyle name="Cálculo 6 2 10 3 2" xfId="5965" xr:uid="{00000000-0005-0000-0000-00003F170000}"/>
    <cellStyle name="Cálculo 6 2 10 3 2 2" xfId="5966" xr:uid="{00000000-0005-0000-0000-000040170000}"/>
    <cellStyle name="Cálculo 6 2 10 3 2 3" xfId="5967" xr:uid="{00000000-0005-0000-0000-000041170000}"/>
    <cellStyle name="Cálculo 6 2 10 3 2 4" xfId="5968" xr:uid="{00000000-0005-0000-0000-000042170000}"/>
    <cellStyle name="Cálculo 6 2 10 3 3" xfId="5969" xr:uid="{00000000-0005-0000-0000-000043170000}"/>
    <cellStyle name="Cálculo 6 2 10 3 3 2" xfId="5970" xr:uid="{00000000-0005-0000-0000-000044170000}"/>
    <cellStyle name="Cálculo 6 2 10 3 3 3" xfId="5971" xr:uid="{00000000-0005-0000-0000-000045170000}"/>
    <cellStyle name="Cálculo 6 2 10 3 3 4" xfId="5972" xr:uid="{00000000-0005-0000-0000-000046170000}"/>
    <cellStyle name="Cálculo 6 2 10 3 4" xfId="5973" xr:uid="{00000000-0005-0000-0000-000047170000}"/>
    <cellStyle name="Cálculo 6 2 10 3 5" xfId="5974" xr:uid="{00000000-0005-0000-0000-000048170000}"/>
    <cellStyle name="Cálculo 6 2 10 3 6" xfId="5975" xr:uid="{00000000-0005-0000-0000-000049170000}"/>
    <cellStyle name="Cálculo 6 2 10 4" xfId="5976" xr:uid="{00000000-0005-0000-0000-00004A170000}"/>
    <cellStyle name="Cálculo 6 2 10 5" xfId="5977" xr:uid="{00000000-0005-0000-0000-00004B170000}"/>
    <cellStyle name="Cálculo 6 2 10 6" xfId="5978" xr:uid="{00000000-0005-0000-0000-00004C170000}"/>
    <cellStyle name="Cálculo 6 2 11" xfId="5979" xr:uid="{00000000-0005-0000-0000-00004D170000}"/>
    <cellStyle name="Cálculo 6 2 12" xfId="5980" xr:uid="{00000000-0005-0000-0000-00004E170000}"/>
    <cellStyle name="Cálculo 6 2 2" xfId="5981" xr:uid="{00000000-0005-0000-0000-00004F170000}"/>
    <cellStyle name="Cálculo 6 2 2 2" xfId="5982" xr:uid="{00000000-0005-0000-0000-000050170000}"/>
    <cellStyle name="Cálculo 6 2 2 2 2" xfId="5983" xr:uid="{00000000-0005-0000-0000-000051170000}"/>
    <cellStyle name="Cálculo 6 2 2 2 2 2" xfId="5984" xr:uid="{00000000-0005-0000-0000-000052170000}"/>
    <cellStyle name="Cálculo 6 2 2 2 2 2 2" xfId="5985" xr:uid="{00000000-0005-0000-0000-000053170000}"/>
    <cellStyle name="Cálculo 6 2 2 2 2 2 3" xfId="5986" xr:uid="{00000000-0005-0000-0000-000054170000}"/>
    <cellStyle name="Cálculo 6 2 2 2 2 2 4" xfId="5987" xr:uid="{00000000-0005-0000-0000-000055170000}"/>
    <cellStyle name="Cálculo 6 2 2 2 2 3" xfId="5988" xr:uid="{00000000-0005-0000-0000-000056170000}"/>
    <cellStyle name="Cálculo 6 2 2 2 2 3 2" xfId="5989" xr:uid="{00000000-0005-0000-0000-000057170000}"/>
    <cellStyle name="Cálculo 6 2 2 2 2 3 3" xfId="5990" xr:uid="{00000000-0005-0000-0000-000058170000}"/>
    <cellStyle name="Cálculo 6 2 2 2 2 3 4" xfId="5991" xr:uid="{00000000-0005-0000-0000-000059170000}"/>
    <cellStyle name="Cálculo 6 2 2 2 2 4" xfId="5992" xr:uid="{00000000-0005-0000-0000-00005A170000}"/>
    <cellStyle name="Cálculo 6 2 2 2 2 5" xfId="5993" xr:uid="{00000000-0005-0000-0000-00005B170000}"/>
    <cellStyle name="Cálculo 6 2 2 2 2 6" xfId="5994" xr:uid="{00000000-0005-0000-0000-00005C170000}"/>
    <cellStyle name="Cálculo 6 2 2 2 3" xfId="5995" xr:uid="{00000000-0005-0000-0000-00005D170000}"/>
    <cellStyle name="Cálculo 6 2 2 2 3 2" xfId="5996" xr:uid="{00000000-0005-0000-0000-00005E170000}"/>
    <cellStyle name="Cálculo 6 2 2 2 3 2 2" xfId="5997" xr:uid="{00000000-0005-0000-0000-00005F170000}"/>
    <cellStyle name="Cálculo 6 2 2 2 3 2 3" xfId="5998" xr:uid="{00000000-0005-0000-0000-000060170000}"/>
    <cellStyle name="Cálculo 6 2 2 2 3 2 4" xfId="5999" xr:uid="{00000000-0005-0000-0000-000061170000}"/>
    <cellStyle name="Cálculo 6 2 2 2 3 3" xfId="6000" xr:uid="{00000000-0005-0000-0000-000062170000}"/>
    <cellStyle name="Cálculo 6 2 2 2 3 3 2" xfId="6001" xr:uid="{00000000-0005-0000-0000-000063170000}"/>
    <cellStyle name="Cálculo 6 2 2 2 3 3 3" xfId="6002" xr:uid="{00000000-0005-0000-0000-000064170000}"/>
    <cellStyle name="Cálculo 6 2 2 2 3 3 4" xfId="6003" xr:uid="{00000000-0005-0000-0000-000065170000}"/>
    <cellStyle name="Cálculo 6 2 2 2 3 4" xfId="6004" xr:uid="{00000000-0005-0000-0000-000066170000}"/>
    <cellStyle name="Cálculo 6 2 2 2 3 5" xfId="6005" xr:uid="{00000000-0005-0000-0000-000067170000}"/>
    <cellStyle name="Cálculo 6 2 2 2 3 6" xfId="6006" xr:uid="{00000000-0005-0000-0000-000068170000}"/>
    <cellStyle name="Cálculo 6 2 2 2 4" xfId="6007" xr:uid="{00000000-0005-0000-0000-000069170000}"/>
    <cellStyle name="Cálculo 6 2 2 2 5" xfId="6008" xr:uid="{00000000-0005-0000-0000-00006A170000}"/>
    <cellStyle name="Cálculo 6 2 2 2 6" xfId="6009" xr:uid="{00000000-0005-0000-0000-00006B170000}"/>
    <cellStyle name="Cálculo 6 2 2 3" xfId="6010" xr:uid="{00000000-0005-0000-0000-00006C170000}"/>
    <cellStyle name="Cálculo 6 2 2 4" xfId="6011" xr:uid="{00000000-0005-0000-0000-00006D170000}"/>
    <cellStyle name="Cálculo 6 2 3" xfId="6012" xr:uid="{00000000-0005-0000-0000-00006E170000}"/>
    <cellStyle name="Cálculo 6 2 3 2" xfId="6013" xr:uid="{00000000-0005-0000-0000-00006F170000}"/>
    <cellStyle name="Cálculo 6 2 3 2 2" xfId="6014" xr:uid="{00000000-0005-0000-0000-000070170000}"/>
    <cellStyle name="Cálculo 6 2 3 2 2 2" xfId="6015" xr:uid="{00000000-0005-0000-0000-000071170000}"/>
    <cellStyle name="Cálculo 6 2 3 2 2 2 2" xfId="6016" xr:uid="{00000000-0005-0000-0000-000072170000}"/>
    <cellStyle name="Cálculo 6 2 3 2 2 2 3" xfId="6017" xr:uid="{00000000-0005-0000-0000-000073170000}"/>
    <cellStyle name="Cálculo 6 2 3 2 2 2 4" xfId="6018" xr:uid="{00000000-0005-0000-0000-000074170000}"/>
    <cellStyle name="Cálculo 6 2 3 2 2 3" xfId="6019" xr:uid="{00000000-0005-0000-0000-000075170000}"/>
    <cellStyle name="Cálculo 6 2 3 2 2 3 2" xfId="6020" xr:uid="{00000000-0005-0000-0000-000076170000}"/>
    <cellStyle name="Cálculo 6 2 3 2 2 3 3" xfId="6021" xr:uid="{00000000-0005-0000-0000-000077170000}"/>
    <cellStyle name="Cálculo 6 2 3 2 2 3 4" xfId="6022" xr:uid="{00000000-0005-0000-0000-000078170000}"/>
    <cellStyle name="Cálculo 6 2 3 2 2 4" xfId="6023" xr:uid="{00000000-0005-0000-0000-000079170000}"/>
    <cellStyle name="Cálculo 6 2 3 2 2 5" xfId="6024" xr:uid="{00000000-0005-0000-0000-00007A170000}"/>
    <cellStyle name="Cálculo 6 2 3 2 2 6" xfId="6025" xr:uid="{00000000-0005-0000-0000-00007B170000}"/>
    <cellStyle name="Cálculo 6 2 3 2 3" xfId="6026" xr:uid="{00000000-0005-0000-0000-00007C170000}"/>
    <cellStyle name="Cálculo 6 2 3 2 3 2" xfId="6027" xr:uid="{00000000-0005-0000-0000-00007D170000}"/>
    <cellStyle name="Cálculo 6 2 3 2 3 2 2" xfId="6028" xr:uid="{00000000-0005-0000-0000-00007E170000}"/>
    <cellStyle name="Cálculo 6 2 3 2 3 2 3" xfId="6029" xr:uid="{00000000-0005-0000-0000-00007F170000}"/>
    <cellStyle name="Cálculo 6 2 3 2 3 2 4" xfId="6030" xr:uid="{00000000-0005-0000-0000-000080170000}"/>
    <cellStyle name="Cálculo 6 2 3 2 3 3" xfId="6031" xr:uid="{00000000-0005-0000-0000-000081170000}"/>
    <cellStyle name="Cálculo 6 2 3 2 3 3 2" xfId="6032" xr:uid="{00000000-0005-0000-0000-000082170000}"/>
    <cellStyle name="Cálculo 6 2 3 2 3 3 3" xfId="6033" xr:uid="{00000000-0005-0000-0000-000083170000}"/>
    <cellStyle name="Cálculo 6 2 3 2 3 3 4" xfId="6034" xr:uid="{00000000-0005-0000-0000-000084170000}"/>
    <cellStyle name="Cálculo 6 2 3 2 3 4" xfId="6035" xr:uid="{00000000-0005-0000-0000-000085170000}"/>
    <cellStyle name="Cálculo 6 2 3 2 3 5" xfId="6036" xr:uid="{00000000-0005-0000-0000-000086170000}"/>
    <cellStyle name="Cálculo 6 2 3 2 3 6" xfId="6037" xr:uid="{00000000-0005-0000-0000-000087170000}"/>
    <cellStyle name="Cálculo 6 2 3 2 4" xfId="6038" xr:uid="{00000000-0005-0000-0000-000088170000}"/>
    <cellStyle name="Cálculo 6 2 3 2 5" xfId="6039" xr:uid="{00000000-0005-0000-0000-000089170000}"/>
    <cellStyle name="Cálculo 6 2 3 2 6" xfId="6040" xr:uid="{00000000-0005-0000-0000-00008A170000}"/>
    <cellStyle name="Cálculo 6 2 3 3" xfId="6041" xr:uid="{00000000-0005-0000-0000-00008B170000}"/>
    <cellStyle name="Cálculo 6 2 3 4" xfId="6042" xr:uid="{00000000-0005-0000-0000-00008C170000}"/>
    <cellStyle name="Cálculo 6 2 4" xfId="6043" xr:uid="{00000000-0005-0000-0000-00008D170000}"/>
    <cellStyle name="Cálculo 6 2 4 2" xfId="6044" xr:uid="{00000000-0005-0000-0000-00008E170000}"/>
    <cellStyle name="Cálculo 6 2 4 2 2" xfId="6045" xr:uid="{00000000-0005-0000-0000-00008F170000}"/>
    <cellStyle name="Cálculo 6 2 4 2 2 2" xfId="6046" xr:uid="{00000000-0005-0000-0000-000090170000}"/>
    <cellStyle name="Cálculo 6 2 4 2 2 2 2" xfId="6047" xr:uid="{00000000-0005-0000-0000-000091170000}"/>
    <cellStyle name="Cálculo 6 2 4 2 2 2 3" xfId="6048" xr:uid="{00000000-0005-0000-0000-000092170000}"/>
    <cellStyle name="Cálculo 6 2 4 2 2 2 4" xfId="6049" xr:uid="{00000000-0005-0000-0000-000093170000}"/>
    <cellStyle name="Cálculo 6 2 4 2 2 3" xfId="6050" xr:uid="{00000000-0005-0000-0000-000094170000}"/>
    <cellStyle name="Cálculo 6 2 4 2 2 3 2" xfId="6051" xr:uid="{00000000-0005-0000-0000-000095170000}"/>
    <cellStyle name="Cálculo 6 2 4 2 2 3 3" xfId="6052" xr:uid="{00000000-0005-0000-0000-000096170000}"/>
    <cellStyle name="Cálculo 6 2 4 2 2 3 4" xfId="6053" xr:uid="{00000000-0005-0000-0000-000097170000}"/>
    <cellStyle name="Cálculo 6 2 4 2 2 4" xfId="6054" xr:uid="{00000000-0005-0000-0000-000098170000}"/>
    <cellStyle name="Cálculo 6 2 4 2 2 5" xfId="6055" xr:uid="{00000000-0005-0000-0000-000099170000}"/>
    <cellStyle name="Cálculo 6 2 4 2 2 6" xfId="6056" xr:uid="{00000000-0005-0000-0000-00009A170000}"/>
    <cellStyle name="Cálculo 6 2 4 2 3" xfId="6057" xr:uid="{00000000-0005-0000-0000-00009B170000}"/>
    <cellStyle name="Cálculo 6 2 4 2 3 2" xfId="6058" xr:uid="{00000000-0005-0000-0000-00009C170000}"/>
    <cellStyle name="Cálculo 6 2 4 2 3 2 2" xfId="6059" xr:uid="{00000000-0005-0000-0000-00009D170000}"/>
    <cellStyle name="Cálculo 6 2 4 2 3 2 3" xfId="6060" xr:uid="{00000000-0005-0000-0000-00009E170000}"/>
    <cellStyle name="Cálculo 6 2 4 2 3 2 4" xfId="6061" xr:uid="{00000000-0005-0000-0000-00009F170000}"/>
    <cellStyle name="Cálculo 6 2 4 2 3 3" xfId="6062" xr:uid="{00000000-0005-0000-0000-0000A0170000}"/>
    <cellStyle name="Cálculo 6 2 4 2 3 3 2" xfId="6063" xr:uid="{00000000-0005-0000-0000-0000A1170000}"/>
    <cellStyle name="Cálculo 6 2 4 2 3 3 3" xfId="6064" xr:uid="{00000000-0005-0000-0000-0000A2170000}"/>
    <cellStyle name="Cálculo 6 2 4 2 3 3 4" xfId="6065" xr:uid="{00000000-0005-0000-0000-0000A3170000}"/>
    <cellStyle name="Cálculo 6 2 4 2 3 4" xfId="6066" xr:uid="{00000000-0005-0000-0000-0000A4170000}"/>
    <cellStyle name="Cálculo 6 2 4 2 3 5" xfId="6067" xr:uid="{00000000-0005-0000-0000-0000A5170000}"/>
    <cellStyle name="Cálculo 6 2 4 2 3 6" xfId="6068" xr:uid="{00000000-0005-0000-0000-0000A6170000}"/>
    <cellStyle name="Cálculo 6 2 4 2 4" xfId="6069" xr:uid="{00000000-0005-0000-0000-0000A7170000}"/>
    <cellStyle name="Cálculo 6 2 4 2 5" xfId="6070" xr:uid="{00000000-0005-0000-0000-0000A8170000}"/>
    <cellStyle name="Cálculo 6 2 4 2 6" xfId="6071" xr:uid="{00000000-0005-0000-0000-0000A9170000}"/>
    <cellStyle name="Cálculo 6 2 4 3" xfId="6072" xr:uid="{00000000-0005-0000-0000-0000AA170000}"/>
    <cellStyle name="Cálculo 6 2 4 4" xfId="6073" xr:uid="{00000000-0005-0000-0000-0000AB170000}"/>
    <cellStyle name="Cálculo 6 2 5" xfId="6074" xr:uid="{00000000-0005-0000-0000-0000AC170000}"/>
    <cellStyle name="Cálculo 6 2 5 2" xfId="6075" xr:uid="{00000000-0005-0000-0000-0000AD170000}"/>
    <cellStyle name="Cálculo 6 2 5 2 2" xfId="6076" xr:uid="{00000000-0005-0000-0000-0000AE170000}"/>
    <cellStyle name="Cálculo 6 2 5 2 2 2" xfId="6077" xr:uid="{00000000-0005-0000-0000-0000AF170000}"/>
    <cellStyle name="Cálculo 6 2 5 2 2 2 2" xfId="6078" xr:uid="{00000000-0005-0000-0000-0000B0170000}"/>
    <cellStyle name="Cálculo 6 2 5 2 2 2 3" xfId="6079" xr:uid="{00000000-0005-0000-0000-0000B1170000}"/>
    <cellStyle name="Cálculo 6 2 5 2 2 2 4" xfId="6080" xr:uid="{00000000-0005-0000-0000-0000B2170000}"/>
    <cellStyle name="Cálculo 6 2 5 2 2 3" xfId="6081" xr:uid="{00000000-0005-0000-0000-0000B3170000}"/>
    <cellStyle name="Cálculo 6 2 5 2 2 3 2" xfId="6082" xr:uid="{00000000-0005-0000-0000-0000B4170000}"/>
    <cellStyle name="Cálculo 6 2 5 2 2 3 3" xfId="6083" xr:uid="{00000000-0005-0000-0000-0000B5170000}"/>
    <cellStyle name="Cálculo 6 2 5 2 2 3 4" xfId="6084" xr:uid="{00000000-0005-0000-0000-0000B6170000}"/>
    <cellStyle name="Cálculo 6 2 5 2 2 4" xfId="6085" xr:uid="{00000000-0005-0000-0000-0000B7170000}"/>
    <cellStyle name="Cálculo 6 2 5 2 2 5" xfId="6086" xr:uid="{00000000-0005-0000-0000-0000B8170000}"/>
    <cellStyle name="Cálculo 6 2 5 2 2 6" xfId="6087" xr:uid="{00000000-0005-0000-0000-0000B9170000}"/>
    <cellStyle name="Cálculo 6 2 5 2 3" xfId="6088" xr:uid="{00000000-0005-0000-0000-0000BA170000}"/>
    <cellStyle name="Cálculo 6 2 5 2 3 2" xfId="6089" xr:uid="{00000000-0005-0000-0000-0000BB170000}"/>
    <cellStyle name="Cálculo 6 2 5 2 3 2 2" xfId="6090" xr:uid="{00000000-0005-0000-0000-0000BC170000}"/>
    <cellStyle name="Cálculo 6 2 5 2 3 2 3" xfId="6091" xr:uid="{00000000-0005-0000-0000-0000BD170000}"/>
    <cellStyle name="Cálculo 6 2 5 2 3 2 4" xfId="6092" xr:uid="{00000000-0005-0000-0000-0000BE170000}"/>
    <cellStyle name="Cálculo 6 2 5 2 3 3" xfId="6093" xr:uid="{00000000-0005-0000-0000-0000BF170000}"/>
    <cellStyle name="Cálculo 6 2 5 2 3 3 2" xfId="6094" xr:uid="{00000000-0005-0000-0000-0000C0170000}"/>
    <cellStyle name="Cálculo 6 2 5 2 3 3 3" xfId="6095" xr:uid="{00000000-0005-0000-0000-0000C1170000}"/>
    <cellStyle name="Cálculo 6 2 5 2 3 3 4" xfId="6096" xr:uid="{00000000-0005-0000-0000-0000C2170000}"/>
    <cellStyle name="Cálculo 6 2 5 2 3 4" xfId="6097" xr:uid="{00000000-0005-0000-0000-0000C3170000}"/>
    <cellStyle name="Cálculo 6 2 5 2 3 5" xfId="6098" xr:uid="{00000000-0005-0000-0000-0000C4170000}"/>
    <cellStyle name="Cálculo 6 2 5 2 3 6" xfId="6099" xr:uid="{00000000-0005-0000-0000-0000C5170000}"/>
    <cellStyle name="Cálculo 6 2 5 2 4" xfId="6100" xr:uid="{00000000-0005-0000-0000-0000C6170000}"/>
    <cellStyle name="Cálculo 6 2 5 2 5" xfId="6101" xr:uid="{00000000-0005-0000-0000-0000C7170000}"/>
    <cellStyle name="Cálculo 6 2 5 2 6" xfId="6102" xr:uid="{00000000-0005-0000-0000-0000C8170000}"/>
    <cellStyle name="Cálculo 6 2 5 3" xfId="6103" xr:uid="{00000000-0005-0000-0000-0000C9170000}"/>
    <cellStyle name="Cálculo 6 2 5 4" xfId="6104" xr:uid="{00000000-0005-0000-0000-0000CA170000}"/>
    <cellStyle name="Cálculo 6 2 6" xfId="6105" xr:uid="{00000000-0005-0000-0000-0000CB170000}"/>
    <cellStyle name="Cálculo 6 2 6 2" xfId="6106" xr:uid="{00000000-0005-0000-0000-0000CC170000}"/>
    <cellStyle name="Cálculo 6 2 6 2 2" xfId="6107" xr:uid="{00000000-0005-0000-0000-0000CD170000}"/>
    <cellStyle name="Cálculo 6 2 6 2 2 2" xfId="6108" xr:uid="{00000000-0005-0000-0000-0000CE170000}"/>
    <cellStyle name="Cálculo 6 2 6 2 2 3" xfId="6109" xr:uid="{00000000-0005-0000-0000-0000CF170000}"/>
    <cellStyle name="Cálculo 6 2 6 2 2 4" xfId="6110" xr:uid="{00000000-0005-0000-0000-0000D0170000}"/>
    <cellStyle name="Cálculo 6 2 6 2 3" xfId="6111" xr:uid="{00000000-0005-0000-0000-0000D1170000}"/>
    <cellStyle name="Cálculo 6 2 6 2 3 2" xfId="6112" xr:uid="{00000000-0005-0000-0000-0000D2170000}"/>
    <cellStyle name="Cálculo 6 2 6 2 3 3" xfId="6113" xr:uid="{00000000-0005-0000-0000-0000D3170000}"/>
    <cellStyle name="Cálculo 6 2 6 2 3 4" xfId="6114" xr:uid="{00000000-0005-0000-0000-0000D4170000}"/>
    <cellStyle name="Cálculo 6 2 6 2 4" xfId="6115" xr:uid="{00000000-0005-0000-0000-0000D5170000}"/>
    <cellStyle name="Cálculo 6 2 6 2 5" xfId="6116" xr:uid="{00000000-0005-0000-0000-0000D6170000}"/>
    <cellStyle name="Cálculo 6 2 6 2 6" xfId="6117" xr:uid="{00000000-0005-0000-0000-0000D7170000}"/>
    <cellStyle name="Cálculo 6 2 6 3" xfId="6118" xr:uid="{00000000-0005-0000-0000-0000D8170000}"/>
    <cellStyle name="Cálculo 6 2 6 3 2" xfId="6119" xr:uid="{00000000-0005-0000-0000-0000D9170000}"/>
    <cellStyle name="Cálculo 6 2 6 3 2 2" xfId="6120" xr:uid="{00000000-0005-0000-0000-0000DA170000}"/>
    <cellStyle name="Cálculo 6 2 6 3 2 3" xfId="6121" xr:uid="{00000000-0005-0000-0000-0000DB170000}"/>
    <cellStyle name="Cálculo 6 2 6 3 2 4" xfId="6122" xr:uid="{00000000-0005-0000-0000-0000DC170000}"/>
    <cellStyle name="Cálculo 6 2 6 3 3" xfId="6123" xr:uid="{00000000-0005-0000-0000-0000DD170000}"/>
    <cellStyle name="Cálculo 6 2 6 3 3 2" xfId="6124" xr:uid="{00000000-0005-0000-0000-0000DE170000}"/>
    <cellStyle name="Cálculo 6 2 6 3 3 3" xfId="6125" xr:uid="{00000000-0005-0000-0000-0000DF170000}"/>
    <cellStyle name="Cálculo 6 2 6 3 3 4" xfId="6126" xr:uid="{00000000-0005-0000-0000-0000E0170000}"/>
    <cellStyle name="Cálculo 6 2 6 3 4" xfId="6127" xr:uid="{00000000-0005-0000-0000-0000E1170000}"/>
    <cellStyle name="Cálculo 6 2 6 3 5" xfId="6128" xr:uid="{00000000-0005-0000-0000-0000E2170000}"/>
    <cellStyle name="Cálculo 6 2 6 3 6" xfId="6129" xr:uid="{00000000-0005-0000-0000-0000E3170000}"/>
    <cellStyle name="Cálculo 6 2 6 4" xfId="6130" xr:uid="{00000000-0005-0000-0000-0000E4170000}"/>
    <cellStyle name="Cálculo 6 2 6 4 2" xfId="6131" xr:uid="{00000000-0005-0000-0000-0000E5170000}"/>
    <cellStyle name="Cálculo 6 2 6 4 3" xfId="6132" xr:uid="{00000000-0005-0000-0000-0000E6170000}"/>
    <cellStyle name="Cálculo 6 2 6 4 4" xfId="6133" xr:uid="{00000000-0005-0000-0000-0000E7170000}"/>
    <cellStyle name="Cálculo 6 2 6 5" xfId="6134" xr:uid="{00000000-0005-0000-0000-0000E8170000}"/>
    <cellStyle name="Cálculo 6 2 6 6" xfId="6135" xr:uid="{00000000-0005-0000-0000-0000E9170000}"/>
    <cellStyle name="Cálculo 6 2 7" xfId="6136" xr:uid="{00000000-0005-0000-0000-0000EA170000}"/>
    <cellStyle name="Cálculo 6 2 7 2" xfId="6137" xr:uid="{00000000-0005-0000-0000-0000EB170000}"/>
    <cellStyle name="Cálculo 6 2 7 2 2" xfId="6138" xr:uid="{00000000-0005-0000-0000-0000EC170000}"/>
    <cellStyle name="Cálculo 6 2 7 2 2 2" xfId="6139" xr:uid="{00000000-0005-0000-0000-0000ED170000}"/>
    <cellStyle name="Cálculo 6 2 7 2 2 3" xfId="6140" xr:uid="{00000000-0005-0000-0000-0000EE170000}"/>
    <cellStyle name="Cálculo 6 2 7 2 2 4" xfId="6141" xr:uid="{00000000-0005-0000-0000-0000EF170000}"/>
    <cellStyle name="Cálculo 6 2 7 2 3" xfId="6142" xr:uid="{00000000-0005-0000-0000-0000F0170000}"/>
    <cellStyle name="Cálculo 6 2 7 2 3 2" xfId="6143" xr:uid="{00000000-0005-0000-0000-0000F1170000}"/>
    <cellStyle name="Cálculo 6 2 7 2 3 3" xfId="6144" xr:uid="{00000000-0005-0000-0000-0000F2170000}"/>
    <cellStyle name="Cálculo 6 2 7 2 3 4" xfId="6145" xr:uid="{00000000-0005-0000-0000-0000F3170000}"/>
    <cellStyle name="Cálculo 6 2 7 2 4" xfId="6146" xr:uid="{00000000-0005-0000-0000-0000F4170000}"/>
    <cellStyle name="Cálculo 6 2 7 2 5" xfId="6147" xr:uid="{00000000-0005-0000-0000-0000F5170000}"/>
    <cellStyle name="Cálculo 6 2 7 2 6" xfId="6148" xr:uid="{00000000-0005-0000-0000-0000F6170000}"/>
    <cellStyle name="Cálculo 6 2 7 3" xfId="6149" xr:uid="{00000000-0005-0000-0000-0000F7170000}"/>
    <cellStyle name="Cálculo 6 2 7 3 2" xfId="6150" xr:uid="{00000000-0005-0000-0000-0000F8170000}"/>
    <cellStyle name="Cálculo 6 2 7 3 2 2" xfId="6151" xr:uid="{00000000-0005-0000-0000-0000F9170000}"/>
    <cellStyle name="Cálculo 6 2 7 3 2 3" xfId="6152" xr:uid="{00000000-0005-0000-0000-0000FA170000}"/>
    <cellStyle name="Cálculo 6 2 7 3 2 4" xfId="6153" xr:uid="{00000000-0005-0000-0000-0000FB170000}"/>
    <cellStyle name="Cálculo 6 2 7 3 3" xfId="6154" xr:uid="{00000000-0005-0000-0000-0000FC170000}"/>
    <cellStyle name="Cálculo 6 2 7 3 3 2" xfId="6155" xr:uid="{00000000-0005-0000-0000-0000FD170000}"/>
    <cellStyle name="Cálculo 6 2 7 3 3 3" xfId="6156" xr:uid="{00000000-0005-0000-0000-0000FE170000}"/>
    <cellStyle name="Cálculo 6 2 7 3 3 4" xfId="6157" xr:uid="{00000000-0005-0000-0000-0000FF170000}"/>
    <cellStyle name="Cálculo 6 2 7 3 4" xfId="6158" xr:uid="{00000000-0005-0000-0000-000000180000}"/>
    <cellStyle name="Cálculo 6 2 7 3 5" xfId="6159" xr:uid="{00000000-0005-0000-0000-000001180000}"/>
    <cellStyle name="Cálculo 6 2 7 3 6" xfId="6160" xr:uid="{00000000-0005-0000-0000-000002180000}"/>
    <cellStyle name="Cálculo 6 2 7 4" xfId="6161" xr:uid="{00000000-0005-0000-0000-000003180000}"/>
    <cellStyle name="Cálculo 6 2 7 4 2" xfId="6162" xr:uid="{00000000-0005-0000-0000-000004180000}"/>
    <cellStyle name="Cálculo 6 2 7 4 3" xfId="6163" xr:uid="{00000000-0005-0000-0000-000005180000}"/>
    <cellStyle name="Cálculo 6 2 7 4 4" xfId="6164" xr:uid="{00000000-0005-0000-0000-000006180000}"/>
    <cellStyle name="Cálculo 6 2 7 5" xfId="6165" xr:uid="{00000000-0005-0000-0000-000007180000}"/>
    <cellStyle name="Cálculo 6 2 7 6" xfId="6166" xr:uid="{00000000-0005-0000-0000-000008180000}"/>
    <cellStyle name="Cálculo 6 2 8" xfId="6167" xr:uid="{00000000-0005-0000-0000-000009180000}"/>
    <cellStyle name="Cálculo 6 2 8 2" xfId="6168" xr:uid="{00000000-0005-0000-0000-00000A180000}"/>
    <cellStyle name="Cálculo 6 2 8 2 2" xfId="6169" xr:uid="{00000000-0005-0000-0000-00000B180000}"/>
    <cellStyle name="Cálculo 6 2 8 2 2 2" xfId="6170" xr:uid="{00000000-0005-0000-0000-00000C180000}"/>
    <cellStyle name="Cálculo 6 2 8 2 2 3" xfId="6171" xr:uid="{00000000-0005-0000-0000-00000D180000}"/>
    <cellStyle name="Cálculo 6 2 8 2 2 4" xfId="6172" xr:uid="{00000000-0005-0000-0000-00000E180000}"/>
    <cellStyle name="Cálculo 6 2 8 2 3" xfId="6173" xr:uid="{00000000-0005-0000-0000-00000F180000}"/>
    <cellStyle name="Cálculo 6 2 8 2 3 2" xfId="6174" xr:uid="{00000000-0005-0000-0000-000010180000}"/>
    <cellStyle name="Cálculo 6 2 8 2 3 3" xfId="6175" xr:uid="{00000000-0005-0000-0000-000011180000}"/>
    <cellStyle name="Cálculo 6 2 8 2 3 4" xfId="6176" xr:uid="{00000000-0005-0000-0000-000012180000}"/>
    <cellStyle name="Cálculo 6 2 8 2 4" xfId="6177" xr:uid="{00000000-0005-0000-0000-000013180000}"/>
    <cellStyle name="Cálculo 6 2 8 2 5" xfId="6178" xr:uid="{00000000-0005-0000-0000-000014180000}"/>
    <cellStyle name="Cálculo 6 2 8 2 6" xfId="6179" xr:uid="{00000000-0005-0000-0000-000015180000}"/>
    <cellStyle name="Cálculo 6 2 8 3" xfId="6180" xr:uid="{00000000-0005-0000-0000-000016180000}"/>
    <cellStyle name="Cálculo 6 2 8 3 2" xfId="6181" xr:uid="{00000000-0005-0000-0000-000017180000}"/>
    <cellStyle name="Cálculo 6 2 8 3 2 2" xfId="6182" xr:uid="{00000000-0005-0000-0000-000018180000}"/>
    <cellStyle name="Cálculo 6 2 8 3 2 3" xfId="6183" xr:uid="{00000000-0005-0000-0000-000019180000}"/>
    <cellStyle name="Cálculo 6 2 8 3 2 4" xfId="6184" xr:uid="{00000000-0005-0000-0000-00001A180000}"/>
    <cellStyle name="Cálculo 6 2 8 3 3" xfId="6185" xr:uid="{00000000-0005-0000-0000-00001B180000}"/>
    <cellStyle name="Cálculo 6 2 8 3 3 2" xfId="6186" xr:uid="{00000000-0005-0000-0000-00001C180000}"/>
    <cellStyle name="Cálculo 6 2 8 3 3 3" xfId="6187" xr:uid="{00000000-0005-0000-0000-00001D180000}"/>
    <cellStyle name="Cálculo 6 2 8 3 3 4" xfId="6188" xr:uid="{00000000-0005-0000-0000-00001E180000}"/>
    <cellStyle name="Cálculo 6 2 8 3 4" xfId="6189" xr:uid="{00000000-0005-0000-0000-00001F180000}"/>
    <cellStyle name="Cálculo 6 2 8 3 5" xfId="6190" xr:uid="{00000000-0005-0000-0000-000020180000}"/>
    <cellStyle name="Cálculo 6 2 8 3 6" xfId="6191" xr:uid="{00000000-0005-0000-0000-000021180000}"/>
    <cellStyle name="Cálculo 6 2 8 4" xfId="6192" xr:uid="{00000000-0005-0000-0000-000022180000}"/>
    <cellStyle name="Cálculo 6 2 8 4 2" xfId="6193" xr:uid="{00000000-0005-0000-0000-000023180000}"/>
    <cellStyle name="Cálculo 6 2 8 4 3" xfId="6194" xr:uid="{00000000-0005-0000-0000-000024180000}"/>
    <cellStyle name="Cálculo 6 2 8 4 4" xfId="6195" xr:uid="{00000000-0005-0000-0000-000025180000}"/>
    <cellStyle name="Cálculo 6 2 8 5" xfId="6196" xr:uid="{00000000-0005-0000-0000-000026180000}"/>
    <cellStyle name="Cálculo 6 2 8 6" xfId="6197" xr:uid="{00000000-0005-0000-0000-000027180000}"/>
    <cellStyle name="Cálculo 6 2 9" xfId="6198" xr:uid="{00000000-0005-0000-0000-000028180000}"/>
    <cellStyle name="Cálculo 6 2 9 2" xfId="6199" xr:uid="{00000000-0005-0000-0000-000029180000}"/>
    <cellStyle name="Cálculo 6 2 9 2 2" xfId="6200" xr:uid="{00000000-0005-0000-0000-00002A180000}"/>
    <cellStyle name="Cálculo 6 2 9 2 2 2" xfId="6201" xr:uid="{00000000-0005-0000-0000-00002B180000}"/>
    <cellStyle name="Cálculo 6 2 9 2 2 3" xfId="6202" xr:uid="{00000000-0005-0000-0000-00002C180000}"/>
    <cellStyle name="Cálculo 6 2 9 2 2 4" xfId="6203" xr:uid="{00000000-0005-0000-0000-00002D180000}"/>
    <cellStyle name="Cálculo 6 2 9 2 3" xfId="6204" xr:uid="{00000000-0005-0000-0000-00002E180000}"/>
    <cellStyle name="Cálculo 6 2 9 2 3 2" xfId="6205" xr:uid="{00000000-0005-0000-0000-00002F180000}"/>
    <cellStyle name="Cálculo 6 2 9 2 3 3" xfId="6206" xr:uid="{00000000-0005-0000-0000-000030180000}"/>
    <cellStyle name="Cálculo 6 2 9 2 3 4" xfId="6207" xr:uid="{00000000-0005-0000-0000-000031180000}"/>
    <cellStyle name="Cálculo 6 2 9 2 4" xfId="6208" xr:uid="{00000000-0005-0000-0000-000032180000}"/>
    <cellStyle name="Cálculo 6 2 9 2 5" xfId="6209" xr:uid="{00000000-0005-0000-0000-000033180000}"/>
    <cellStyle name="Cálculo 6 2 9 2 6" xfId="6210" xr:uid="{00000000-0005-0000-0000-000034180000}"/>
    <cellStyle name="Cálculo 6 2 9 3" xfId="6211" xr:uid="{00000000-0005-0000-0000-000035180000}"/>
    <cellStyle name="Cálculo 6 2 9 3 2" xfId="6212" xr:uid="{00000000-0005-0000-0000-000036180000}"/>
    <cellStyle name="Cálculo 6 2 9 3 2 2" xfId="6213" xr:uid="{00000000-0005-0000-0000-000037180000}"/>
    <cellStyle name="Cálculo 6 2 9 3 2 3" xfId="6214" xr:uid="{00000000-0005-0000-0000-000038180000}"/>
    <cellStyle name="Cálculo 6 2 9 3 2 4" xfId="6215" xr:uid="{00000000-0005-0000-0000-000039180000}"/>
    <cellStyle name="Cálculo 6 2 9 3 3" xfId="6216" xr:uid="{00000000-0005-0000-0000-00003A180000}"/>
    <cellStyle name="Cálculo 6 2 9 3 3 2" xfId="6217" xr:uid="{00000000-0005-0000-0000-00003B180000}"/>
    <cellStyle name="Cálculo 6 2 9 3 3 3" xfId="6218" xr:uid="{00000000-0005-0000-0000-00003C180000}"/>
    <cellStyle name="Cálculo 6 2 9 3 3 4" xfId="6219" xr:uid="{00000000-0005-0000-0000-00003D180000}"/>
    <cellStyle name="Cálculo 6 2 9 3 4" xfId="6220" xr:uid="{00000000-0005-0000-0000-00003E180000}"/>
    <cellStyle name="Cálculo 6 2 9 3 5" xfId="6221" xr:uid="{00000000-0005-0000-0000-00003F180000}"/>
    <cellStyle name="Cálculo 6 2 9 3 6" xfId="6222" xr:uid="{00000000-0005-0000-0000-000040180000}"/>
    <cellStyle name="Cálculo 6 2 9 4" xfId="6223" xr:uid="{00000000-0005-0000-0000-000041180000}"/>
    <cellStyle name="Cálculo 6 2 9 4 2" xfId="6224" xr:uid="{00000000-0005-0000-0000-000042180000}"/>
    <cellStyle name="Cálculo 6 2 9 4 3" xfId="6225" xr:uid="{00000000-0005-0000-0000-000043180000}"/>
    <cellStyle name="Cálculo 6 2 9 4 4" xfId="6226" xr:uid="{00000000-0005-0000-0000-000044180000}"/>
    <cellStyle name="Cálculo 6 2 9 5" xfId="6227" xr:uid="{00000000-0005-0000-0000-000045180000}"/>
    <cellStyle name="Cálculo 6 2 9 6" xfId="6228" xr:uid="{00000000-0005-0000-0000-000046180000}"/>
    <cellStyle name="Cálculo 6 3" xfId="6229" xr:uid="{00000000-0005-0000-0000-000047180000}"/>
    <cellStyle name="Cálculo 6 3 10" xfId="6230" xr:uid="{00000000-0005-0000-0000-000048180000}"/>
    <cellStyle name="Cálculo 6 3 10 2" xfId="6231" xr:uid="{00000000-0005-0000-0000-000049180000}"/>
    <cellStyle name="Cálculo 6 3 10 2 2" xfId="6232" xr:uid="{00000000-0005-0000-0000-00004A180000}"/>
    <cellStyle name="Cálculo 6 3 10 2 2 2" xfId="6233" xr:uid="{00000000-0005-0000-0000-00004B180000}"/>
    <cellStyle name="Cálculo 6 3 10 2 2 3" xfId="6234" xr:uid="{00000000-0005-0000-0000-00004C180000}"/>
    <cellStyle name="Cálculo 6 3 10 2 2 4" xfId="6235" xr:uid="{00000000-0005-0000-0000-00004D180000}"/>
    <cellStyle name="Cálculo 6 3 10 2 3" xfId="6236" xr:uid="{00000000-0005-0000-0000-00004E180000}"/>
    <cellStyle name="Cálculo 6 3 10 2 3 2" xfId="6237" xr:uid="{00000000-0005-0000-0000-00004F180000}"/>
    <cellStyle name="Cálculo 6 3 10 2 3 3" xfId="6238" xr:uid="{00000000-0005-0000-0000-000050180000}"/>
    <cellStyle name="Cálculo 6 3 10 2 3 4" xfId="6239" xr:uid="{00000000-0005-0000-0000-000051180000}"/>
    <cellStyle name="Cálculo 6 3 10 2 4" xfId="6240" xr:uid="{00000000-0005-0000-0000-000052180000}"/>
    <cellStyle name="Cálculo 6 3 10 2 5" xfId="6241" xr:uid="{00000000-0005-0000-0000-000053180000}"/>
    <cellStyle name="Cálculo 6 3 10 2 6" xfId="6242" xr:uid="{00000000-0005-0000-0000-000054180000}"/>
    <cellStyle name="Cálculo 6 3 10 3" xfId="6243" xr:uid="{00000000-0005-0000-0000-000055180000}"/>
    <cellStyle name="Cálculo 6 3 10 3 2" xfId="6244" xr:uid="{00000000-0005-0000-0000-000056180000}"/>
    <cellStyle name="Cálculo 6 3 10 3 2 2" xfId="6245" xr:uid="{00000000-0005-0000-0000-000057180000}"/>
    <cellStyle name="Cálculo 6 3 10 3 2 3" xfId="6246" xr:uid="{00000000-0005-0000-0000-000058180000}"/>
    <cellStyle name="Cálculo 6 3 10 3 2 4" xfId="6247" xr:uid="{00000000-0005-0000-0000-000059180000}"/>
    <cellStyle name="Cálculo 6 3 10 3 3" xfId="6248" xr:uid="{00000000-0005-0000-0000-00005A180000}"/>
    <cellStyle name="Cálculo 6 3 10 3 3 2" xfId="6249" xr:uid="{00000000-0005-0000-0000-00005B180000}"/>
    <cellStyle name="Cálculo 6 3 10 3 3 3" xfId="6250" xr:uid="{00000000-0005-0000-0000-00005C180000}"/>
    <cellStyle name="Cálculo 6 3 10 3 3 4" xfId="6251" xr:uid="{00000000-0005-0000-0000-00005D180000}"/>
    <cellStyle name="Cálculo 6 3 10 3 4" xfId="6252" xr:uid="{00000000-0005-0000-0000-00005E180000}"/>
    <cellStyle name="Cálculo 6 3 10 3 5" xfId="6253" xr:uid="{00000000-0005-0000-0000-00005F180000}"/>
    <cellStyle name="Cálculo 6 3 10 3 6" xfId="6254" xr:uid="{00000000-0005-0000-0000-000060180000}"/>
    <cellStyle name="Cálculo 6 3 10 4" xfId="6255" xr:uid="{00000000-0005-0000-0000-000061180000}"/>
    <cellStyle name="Cálculo 6 3 10 5" xfId="6256" xr:uid="{00000000-0005-0000-0000-000062180000}"/>
    <cellStyle name="Cálculo 6 3 10 6" xfId="6257" xr:uid="{00000000-0005-0000-0000-000063180000}"/>
    <cellStyle name="Cálculo 6 3 11" xfId="6258" xr:uid="{00000000-0005-0000-0000-000064180000}"/>
    <cellStyle name="Cálculo 6 3 12" xfId="6259" xr:uid="{00000000-0005-0000-0000-000065180000}"/>
    <cellStyle name="Cálculo 6 3 2" xfId="6260" xr:uid="{00000000-0005-0000-0000-000066180000}"/>
    <cellStyle name="Cálculo 6 3 2 2" xfId="6261" xr:uid="{00000000-0005-0000-0000-000067180000}"/>
    <cellStyle name="Cálculo 6 3 2 2 2" xfId="6262" xr:uid="{00000000-0005-0000-0000-000068180000}"/>
    <cellStyle name="Cálculo 6 3 2 2 2 2" xfId="6263" xr:uid="{00000000-0005-0000-0000-000069180000}"/>
    <cellStyle name="Cálculo 6 3 2 2 2 2 2" xfId="6264" xr:uid="{00000000-0005-0000-0000-00006A180000}"/>
    <cellStyle name="Cálculo 6 3 2 2 2 2 3" xfId="6265" xr:uid="{00000000-0005-0000-0000-00006B180000}"/>
    <cellStyle name="Cálculo 6 3 2 2 2 2 4" xfId="6266" xr:uid="{00000000-0005-0000-0000-00006C180000}"/>
    <cellStyle name="Cálculo 6 3 2 2 2 3" xfId="6267" xr:uid="{00000000-0005-0000-0000-00006D180000}"/>
    <cellStyle name="Cálculo 6 3 2 2 2 3 2" xfId="6268" xr:uid="{00000000-0005-0000-0000-00006E180000}"/>
    <cellStyle name="Cálculo 6 3 2 2 2 3 3" xfId="6269" xr:uid="{00000000-0005-0000-0000-00006F180000}"/>
    <cellStyle name="Cálculo 6 3 2 2 2 3 4" xfId="6270" xr:uid="{00000000-0005-0000-0000-000070180000}"/>
    <cellStyle name="Cálculo 6 3 2 2 2 4" xfId="6271" xr:uid="{00000000-0005-0000-0000-000071180000}"/>
    <cellStyle name="Cálculo 6 3 2 2 2 5" xfId="6272" xr:uid="{00000000-0005-0000-0000-000072180000}"/>
    <cellStyle name="Cálculo 6 3 2 2 2 6" xfId="6273" xr:uid="{00000000-0005-0000-0000-000073180000}"/>
    <cellStyle name="Cálculo 6 3 2 2 3" xfId="6274" xr:uid="{00000000-0005-0000-0000-000074180000}"/>
    <cellStyle name="Cálculo 6 3 2 2 3 2" xfId="6275" xr:uid="{00000000-0005-0000-0000-000075180000}"/>
    <cellStyle name="Cálculo 6 3 2 2 3 2 2" xfId="6276" xr:uid="{00000000-0005-0000-0000-000076180000}"/>
    <cellStyle name="Cálculo 6 3 2 2 3 2 3" xfId="6277" xr:uid="{00000000-0005-0000-0000-000077180000}"/>
    <cellStyle name="Cálculo 6 3 2 2 3 2 4" xfId="6278" xr:uid="{00000000-0005-0000-0000-000078180000}"/>
    <cellStyle name="Cálculo 6 3 2 2 3 3" xfId="6279" xr:uid="{00000000-0005-0000-0000-000079180000}"/>
    <cellStyle name="Cálculo 6 3 2 2 3 3 2" xfId="6280" xr:uid="{00000000-0005-0000-0000-00007A180000}"/>
    <cellStyle name="Cálculo 6 3 2 2 3 3 3" xfId="6281" xr:uid="{00000000-0005-0000-0000-00007B180000}"/>
    <cellStyle name="Cálculo 6 3 2 2 3 3 4" xfId="6282" xr:uid="{00000000-0005-0000-0000-00007C180000}"/>
    <cellStyle name="Cálculo 6 3 2 2 3 4" xfId="6283" xr:uid="{00000000-0005-0000-0000-00007D180000}"/>
    <cellStyle name="Cálculo 6 3 2 2 3 5" xfId="6284" xr:uid="{00000000-0005-0000-0000-00007E180000}"/>
    <cellStyle name="Cálculo 6 3 2 2 3 6" xfId="6285" xr:uid="{00000000-0005-0000-0000-00007F180000}"/>
    <cellStyle name="Cálculo 6 3 2 2 4" xfId="6286" xr:uid="{00000000-0005-0000-0000-000080180000}"/>
    <cellStyle name="Cálculo 6 3 2 2 5" xfId="6287" xr:uid="{00000000-0005-0000-0000-000081180000}"/>
    <cellStyle name="Cálculo 6 3 2 2 6" xfId="6288" xr:uid="{00000000-0005-0000-0000-000082180000}"/>
    <cellStyle name="Cálculo 6 3 2 3" xfId="6289" xr:uid="{00000000-0005-0000-0000-000083180000}"/>
    <cellStyle name="Cálculo 6 3 2 4" xfId="6290" xr:uid="{00000000-0005-0000-0000-000084180000}"/>
    <cellStyle name="Cálculo 6 3 3" xfId="6291" xr:uid="{00000000-0005-0000-0000-000085180000}"/>
    <cellStyle name="Cálculo 6 3 3 2" xfId="6292" xr:uid="{00000000-0005-0000-0000-000086180000}"/>
    <cellStyle name="Cálculo 6 3 3 2 2" xfId="6293" xr:uid="{00000000-0005-0000-0000-000087180000}"/>
    <cellStyle name="Cálculo 6 3 3 2 2 2" xfId="6294" xr:uid="{00000000-0005-0000-0000-000088180000}"/>
    <cellStyle name="Cálculo 6 3 3 2 2 2 2" xfId="6295" xr:uid="{00000000-0005-0000-0000-000089180000}"/>
    <cellStyle name="Cálculo 6 3 3 2 2 2 3" xfId="6296" xr:uid="{00000000-0005-0000-0000-00008A180000}"/>
    <cellStyle name="Cálculo 6 3 3 2 2 2 4" xfId="6297" xr:uid="{00000000-0005-0000-0000-00008B180000}"/>
    <cellStyle name="Cálculo 6 3 3 2 2 3" xfId="6298" xr:uid="{00000000-0005-0000-0000-00008C180000}"/>
    <cellStyle name="Cálculo 6 3 3 2 2 3 2" xfId="6299" xr:uid="{00000000-0005-0000-0000-00008D180000}"/>
    <cellStyle name="Cálculo 6 3 3 2 2 3 3" xfId="6300" xr:uid="{00000000-0005-0000-0000-00008E180000}"/>
    <cellStyle name="Cálculo 6 3 3 2 2 3 4" xfId="6301" xr:uid="{00000000-0005-0000-0000-00008F180000}"/>
    <cellStyle name="Cálculo 6 3 3 2 2 4" xfId="6302" xr:uid="{00000000-0005-0000-0000-000090180000}"/>
    <cellStyle name="Cálculo 6 3 3 2 2 5" xfId="6303" xr:uid="{00000000-0005-0000-0000-000091180000}"/>
    <cellStyle name="Cálculo 6 3 3 2 2 6" xfId="6304" xr:uid="{00000000-0005-0000-0000-000092180000}"/>
    <cellStyle name="Cálculo 6 3 3 2 3" xfId="6305" xr:uid="{00000000-0005-0000-0000-000093180000}"/>
    <cellStyle name="Cálculo 6 3 3 2 3 2" xfId="6306" xr:uid="{00000000-0005-0000-0000-000094180000}"/>
    <cellStyle name="Cálculo 6 3 3 2 3 2 2" xfId="6307" xr:uid="{00000000-0005-0000-0000-000095180000}"/>
    <cellStyle name="Cálculo 6 3 3 2 3 2 3" xfId="6308" xr:uid="{00000000-0005-0000-0000-000096180000}"/>
    <cellStyle name="Cálculo 6 3 3 2 3 2 4" xfId="6309" xr:uid="{00000000-0005-0000-0000-000097180000}"/>
    <cellStyle name="Cálculo 6 3 3 2 3 3" xfId="6310" xr:uid="{00000000-0005-0000-0000-000098180000}"/>
    <cellStyle name="Cálculo 6 3 3 2 3 3 2" xfId="6311" xr:uid="{00000000-0005-0000-0000-000099180000}"/>
    <cellStyle name="Cálculo 6 3 3 2 3 3 3" xfId="6312" xr:uid="{00000000-0005-0000-0000-00009A180000}"/>
    <cellStyle name="Cálculo 6 3 3 2 3 3 4" xfId="6313" xr:uid="{00000000-0005-0000-0000-00009B180000}"/>
    <cellStyle name="Cálculo 6 3 3 2 3 4" xfId="6314" xr:uid="{00000000-0005-0000-0000-00009C180000}"/>
    <cellStyle name="Cálculo 6 3 3 2 3 5" xfId="6315" xr:uid="{00000000-0005-0000-0000-00009D180000}"/>
    <cellStyle name="Cálculo 6 3 3 2 3 6" xfId="6316" xr:uid="{00000000-0005-0000-0000-00009E180000}"/>
    <cellStyle name="Cálculo 6 3 3 2 4" xfId="6317" xr:uid="{00000000-0005-0000-0000-00009F180000}"/>
    <cellStyle name="Cálculo 6 3 3 2 5" xfId="6318" xr:uid="{00000000-0005-0000-0000-0000A0180000}"/>
    <cellStyle name="Cálculo 6 3 3 2 6" xfId="6319" xr:uid="{00000000-0005-0000-0000-0000A1180000}"/>
    <cellStyle name="Cálculo 6 3 3 3" xfId="6320" xr:uid="{00000000-0005-0000-0000-0000A2180000}"/>
    <cellStyle name="Cálculo 6 3 3 4" xfId="6321" xr:uid="{00000000-0005-0000-0000-0000A3180000}"/>
    <cellStyle name="Cálculo 6 3 4" xfId="6322" xr:uid="{00000000-0005-0000-0000-0000A4180000}"/>
    <cellStyle name="Cálculo 6 3 4 2" xfId="6323" xr:uid="{00000000-0005-0000-0000-0000A5180000}"/>
    <cellStyle name="Cálculo 6 3 4 2 2" xfId="6324" xr:uid="{00000000-0005-0000-0000-0000A6180000}"/>
    <cellStyle name="Cálculo 6 3 4 2 2 2" xfId="6325" xr:uid="{00000000-0005-0000-0000-0000A7180000}"/>
    <cellStyle name="Cálculo 6 3 4 2 2 2 2" xfId="6326" xr:uid="{00000000-0005-0000-0000-0000A8180000}"/>
    <cellStyle name="Cálculo 6 3 4 2 2 2 3" xfId="6327" xr:uid="{00000000-0005-0000-0000-0000A9180000}"/>
    <cellStyle name="Cálculo 6 3 4 2 2 2 4" xfId="6328" xr:uid="{00000000-0005-0000-0000-0000AA180000}"/>
    <cellStyle name="Cálculo 6 3 4 2 2 3" xfId="6329" xr:uid="{00000000-0005-0000-0000-0000AB180000}"/>
    <cellStyle name="Cálculo 6 3 4 2 2 3 2" xfId="6330" xr:uid="{00000000-0005-0000-0000-0000AC180000}"/>
    <cellStyle name="Cálculo 6 3 4 2 2 3 3" xfId="6331" xr:uid="{00000000-0005-0000-0000-0000AD180000}"/>
    <cellStyle name="Cálculo 6 3 4 2 2 3 4" xfId="6332" xr:uid="{00000000-0005-0000-0000-0000AE180000}"/>
    <cellStyle name="Cálculo 6 3 4 2 2 4" xfId="6333" xr:uid="{00000000-0005-0000-0000-0000AF180000}"/>
    <cellStyle name="Cálculo 6 3 4 2 2 5" xfId="6334" xr:uid="{00000000-0005-0000-0000-0000B0180000}"/>
    <cellStyle name="Cálculo 6 3 4 2 2 6" xfId="6335" xr:uid="{00000000-0005-0000-0000-0000B1180000}"/>
    <cellStyle name="Cálculo 6 3 4 2 3" xfId="6336" xr:uid="{00000000-0005-0000-0000-0000B2180000}"/>
    <cellStyle name="Cálculo 6 3 4 2 3 2" xfId="6337" xr:uid="{00000000-0005-0000-0000-0000B3180000}"/>
    <cellStyle name="Cálculo 6 3 4 2 3 2 2" xfId="6338" xr:uid="{00000000-0005-0000-0000-0000B4180000}"/>
    <cellStyle name="Cálculo 6 3 4 2 3 2 3" xfId="6339" xr:uid="{00000000-0005-0000-0000-0000B5180000}"/>
    <cellStyle name="Cálculo 6 3 4 2 3 2 4" xfId="6340" xr:uid="{00000000-0005-0000-0000-0000B6180000}"/>
    <cellStyle name="Cálculo 6 3 4 2 3 3" xfId="6341" xr:uid="{00000000-0005-0000-0000-0000B7180000}"/>
    <cellStyle name="Cálculo 6 3 4 2 3 3 2" xfId="6342" xr:uid="{00000000-0005-0000-0000-0000B8180000}"/>
    <cellStyle name="Cálculo 6 3 4 2 3 3 3" xfId="6343" xr:uid="{00000000-0005-0000-0000-0000B9180000}"/>
    <cellStyle name="Cálculo 6 3 4 2 3 3 4" xfId="6344" xr:uid="{00000000-0005-0000-0000-0000BA180000}"/>
    <cellStyle name="Cálculo 6 3 4 2 3 4" xfId="6345" xr:uid="{00000000-0005-0000-0000-0000BB180000}"/>
    <cellStyle name="Cálculo 6 3 4 2 3 5" xfId="6346" xr:uid="{00000000-0005-0000-0000-0000BC180000}"/>
    <cellStyle name="Cálculo 6 3 4 2 3 6" xfId="6347" xr:uid="{00000000-0005-0000-0000-0000BD180000}"/>
    <cellStyle name="Cálculo 6 3 4 2 4" xfId="6348" xr:uid="{00000000-0005-0000-0000-0000BE180000}"/>
    <cellStyle name="Cálculo 6 3 4 2 5" xfId="6349" xr:uid="{00000000-0005-0000-0000-0000BF180000}"/>
    <cellStyle name="Cálculo 6 3 4 2 6" xfId="6350" xr:uid="{00000000-0005-0000-0000-0000C0180000}"/>
    <cellStyle name="Cálculo 6 3 4 3" xfId="6351" xr:uid="{00000000-0005-0000-0000-0000C1180000}"/>
    <cellStyle name="Cálculo 6 3 4 4" xfId="6352" xr:uid="{00000000-0005-0000-0000-0000C2180000}"/>
    <cellStyle name="Cálculo 6 3 5" xfId="6353" xr:uid="{00000000-0005-0000-0000-0000C3180000}"/>
    <cellStyle name="Cálculo 6 3 5 2" xfId="6354" xr:uid="{00000000-0005-0000-0000-0000C4180000}"/>
    <cellStyle name="Cálculo 6 3 5 2 2" xfId="6355" xr:uid="{00000000-0005-0000-0000-0000C5180000}"/>
    <cellStyle name="Cálculo 6 3 5 2 2 2" xfId="6356" xr:uid="{00000000-0005-0000-0000-0000C6180000}"/>
    <cellStyle name="Cálculo 6 3 5 2 2 2 2" xfId="6357" xr:uid="{00000000-0005-0000-0000-0000C7180000}"/>
    <cellStyle name="Cálculo 6 3 5 2 2 2 3" xfId="6358" xr:uid="{00000000-0005-0000-0000-0000C8180000}"/>
    <cellStyle name="Cálculo 6 3 5 2 2 2 4" xfId="6359" xr:uid="{00000000-0005-0000-0000-0000C9180000}"/>
    <cellStyle name="Cálculo 6 3 5 2 2 3" xfId="6360" xr:uid="{00000000-0005-0000-0000-0000CA180000}"/>
    <cellStyle name="Cálculo 6 3 5 2 2 3 2" xfId="6361" xr:uid="{00000000-0005-0000-0000-0000CB180000}"/>
    <cellStyle name="Cálculo 6 3 5 2 2 3 3" xfId="6362" xr:uid="{00000000-0005-0000-0000-0000CC180000}"/>
    <cellStyle name="Cálculo 6 3 5 2 2 3 4" xfId="6363" xr:uid="{00000000-0005-0000-0000-0000CD180000}"/>
    <cellStyle name="Cálculo 6 3 5 2 2 4" xfId="6364" xr:uid="{00000000-0005-0000-0000-0000CE180000}"/>
    <cellStyle name="Cálculo 6 3 5 2 2 5" xfId="6365" xr:uid="{00000000-0005-0000-0000-0000CF180000}"/>
    <cellStyle name="Cálculo 6 3 5 2 2 6" xfId="6366" xr:uid="{00000000-0005-0000-0000-0000D0180000}"/>
    <cellStyle name="Cálculo 6 3 5 2 3" xfId="6367" xr:uid="{00000000-0005-0000-0000-0000D1180000}"/>
    <cellStyle name="Cálculo 6 3 5 2 3 2" xfId="6368" xr:uid="{00000000-0005-0000-0000-0000D2180000}"/>
    <cellStyle name="Cálculo 6 3 5 2 3 2 2" xfId="6369" xr:uid="{00000000-0005-0000-0000-0000D3180000}"/>
    <cellStyle name="Cálculo 6 3 5 2 3 2 3" xfId="6370" xr:uid="{00000000-0005-0000-0000-0000D4180000}"/>
    <cellStyle name="Cálculo 6 3 5 2 3 2 4" xfId="6371" xr:uid="{00000000-0005-0000-0000-0000D5180000}"/>
    <cellStyle name="Cálculo 6 3 5 2 3 3" xfId="6372" xr:uid="{00000000-0005-0000-0000-0000D6180000}"/>
    <cellStyle name="Cálculo 6 3 5 2 3 3 2" xfId="6373" xr:uid="{00000000-0005-0000-0000-0000D7180000}"/>
    <cellStyle name="Cálculo 6 3 5 2 3 3 3" xfId="6374" xr:uid="{00000000-0005-0000-0000-0000D8180000}"/>
    <cellStyle name="Cálculo 6 3 5 2 3 3 4" xfId="6375" xr:uid="{00000000-0005-0000-0000-0000D9180000}"/>
    <cellStyle name="Cálculo 6 3 5 2 3 4" xfId="6376" xr:uid="{00000000-0005-0000-0000-0000DA180000}"/>
    <cellStyle name="Cálculo 6 3 5 2 3 5" xfId="6377" xr:uid="{00000000-0005-0000-0000-0000DB180000}"/>
    <cellStyle name="Cálculo 6 3 5 2 3 6" xfId="6378" xr:uid="{00000000-0005-0000-0000-0000DC180000}"/>
    <cellStyle name="Cálculo 6 3 5 2 4" xfId="6379" xr:uid="{00000000-0005-0000-0000-0000DD180000}"/>
    <cellStyle name="Cálculo 6 3 5 2 5" xfId="6380" xr:uid="{00000000-0005-0000-0000-0000DE180000}"/>
    <cellStyle name="Cálculo 6 3 5 2 6" xfId="6381" xr:uid="{00000000-0005-0000-0000-0000DF180000}"/>
    <cellStyle name="Cálculo 6 3 5 3" xfId="6382" xr:uid="{00000000-0005-0000-0000-0000E0180000}"/>
    <cellStyle name="Cálculo 6 3 5 4" xfId="6383" xr:uid="{00000000-0005-0000-0000-0000E1180000}"/>
    <cellStyle name="Cálculo 6 3 6" xfId="6384" xr:uid="{00000000-0005-0000-0000-0000E2180000}"/>
    <cellStyle name="Cálculo 6 3 6 2" xfId="6385" xr:uid="{00000000-0005-0000-0000-0000E3180000}"/>
    <cellStyle name="Cálculo 6 3 6 2 2" xfId="6386" xr:uid="{00000000-0005-0000-0000-0000E4180000}"/>
    <cellStyle name="Cálculo 6 3 6 2 2 2" xfId="6387" xr:uid="{00000000-0005-0000-0000-0000E5180000}"/>
    <cellStyle name="Cálculo 6 3 6 2 2 3" xfId="6388" xr:uid="{00000000-0005-0000-0000-0000E6180000}"/>
    <cellStyle name="Cálculo 6 3 6 2 2 4" xfId="6389" xr:uid="{00000000-0005-0000-0000-0000E7180000}"/>
    <cellStyle name="Cálculo 6 3 6 2 3" xfId="6390" xr:uid="{00000000-0005-0000-0000-0000E8180000}"/>
    <cellStyle name="Cálculo 6 3 6 2 3 2" xfId="6391" xr:uid="{00000000-0005-0000-0000-0000E9180000}"/>
    <cellStyle name="Cálculo 6 3 6 2 3 3" xfId="6392" xr:uid="{00000000-0005-0000-0000-0000EA180000}"/>
    <cellStyle name="Cálculo 6 3 6 2 3 4" xfId="6393" xr:uid="{00000000-0005-0000-0000-0000EB180000}"/>
    <cellStyle name="Cálculo 6 3 6 2 4" xfId="6394" xr:uid="{00000000-0005-0000-0000-0000EC180000}"/>
    <cellStyle name="Cálculo 6 3 6 2 5" xfId="6395" xr:uid="{00000000-0005-0000-0000-0000ED180000}"/>
    <cellStyle name="Cálculo 6 3 6 2 6" xfId="6396" xr:uid="{00000000-0005-0000-0000-0000EE180000}"/>
    <cellStyle name="Cálculo 6 3 6 3" xfId="6397" xr:uid="{00000000-0005-0000-0000-0000EF180000}"/>
    <cellStyle name="Cálculo 6 3 6 3 2" xfId="6398" xr:uid="{00000000-0005-0000-0000-0000F0180000}"/>
    <cellStyle name="Cálculo 6 3 6 3 2 2" xfId="6399" xr:uid="{00000000-0005-0000-0000-0000F1180000}"/>
    <cellStyle name="Cálculo 6 3 6 3 2 3" xfId="6400" xr:uid="{00000000-0005-0000-0000-0000F2180000}"/>
    <cellStyle name="Cálculo 6 3 6 3 2 4" xfId="6401" xr:uid="{00000000-0005-0000-0000-0000F3180000}"/>
    <cellStyle name="Cálculo 6 3 6 3 3" xfId="6402" xr:uid="{00000000-0005-0000-0000-0000F4180000}"/>
    <cellStyle name="Cálculo 6 3 6 3 3 2" xfId="6403" xr:uid="{00000000-0005-0000-0000-0000F5180000}"/>
    <cellStyle name="Cálculo 6 3 6 3 3 3" xfId="6404" xr:uid="{00000000-0005-0000-0000-0000F6180000}"/>
    <cellStyle name="Cálculo 6 3 6 3 3 4" xfId="6405" xr:uid="{00000000-0005-0000-0000-0000F7180000}"/>
    <cellStyle name="Cálculo 6 3 6 3 4" xfId="6406" xr:uid="{00000000-0005-0000-0000-0000F8180000}"/>
    <cellStyle name="Cálculo 6 3 6 3 5" xfId="6407" xr:uid="{00000000-0005-0000-0000-0000F9180000}"/>
    <cellStyle name="Cálculo 6 3 6 3 6" xfId="6408" xr:uid="{00000000-0005-0000-0000-0000FA180000}"/>
    <cellStyle name="Cálculo 6 3 6 4" xfId="6409" xr:uid="{00000000-0005-0000-0000-0000FB180000}"/>
    <cellStyle name="Cálculo 6 3 6 4 2" xfId="6410" xr:uid="{00000000-0005-0000-0000-0000FC180000}"/>
    <cellStyle name="Cálculo 6 3 6 4 3" xfId="6411" xr:uid="{00000000-0005-0000-0000-0000FD180000}"/>
    <cellStyle name="Cálculo 6 3 6 4 4" xfId="6412" xr:uid="{00000000-0005-0000-0000-0000FE180000}"/>
    <cellStyle name="Cálculo 6 3 6 5" xfId="6413" xr:uid="{00000000-0005-0000-0000-0000FF180000}"/>
    <cellStyle name="Cálculo 6 3 6 6" xfId="6414" xr:uid="{00000000-0005-0000-0000-000000190000}"/>
    <cellStyle name="Cálculo 6 3 7" xfId="6415" xr:uid="{00000000-0005-0000-0000-000001190000}"/>
    <cellStyle name="Cálculo 6 3 7 2" xfId="6416" xr:uid="{00000000-0005-0000-0000-000002190000}"/>
    <cellStyle name="Cálculo 6 3 7 2 2" xfId="6417" xr:uid="{00000000-0005-0000-0000-000003190000}"/>
    <cellStyle name="Cálculo 6 3 7 2 2 2" xfId="6418" xr:uid="{00000000-0005-0000-0000-000004190000}"/>
    <cellStyle name="Cálculo 6 3 7 2 2 3" xfId="6419" xr:uid="{00000000-0005-0000-0000-000005190000}"/>
    <cellStyle name="Cálculo 6 3 7 2 2 4" xfId="6420" xr:uid="{00000000-0005-0000-0000-000006190000}"/>
    <cellStyle name="Cálculo 6 3 7 2 3" xfId="6421" xr:uid="{00000000-0005-0000-0000-000007190000}"/>
    <cellStyle name="Cálculo 6 3 7 2 3 2" xfId="6422" xr:uid="{00000000-0005-0000-0000-000008190000}"/>
    <cellStyle name="Cálculo 6 3 7 2 3 3" xfId="6423" xr:uid="{00000000-0005-0000-0000-000009190000}"/>
    <cellStyle name="Cálculo 6 3 7 2 3 4" xfId="6424" xr:uid="{00000000-0005-0000-0000-00000A190000}"/>
    <cellStyle name="Cálculo 6 3 7 2 4" xfId="6425" xr:uid="{00000000-0005-0000-0000-00000B190000}"/>
    <cellStyle name="Cálculo 6 3 7 2 5" xfId="6426" xr:uid="{00000000-0005-0000-0000-00000C190000}"/>
    <cellStyle name="Cálculo 6 3 7 2 6" xfId="6427" xr:uid="{00000000-0005-0000-0000-00000D190000}"/>
    <cellStyle name="Cálculo 6 3 7 3" xfId="6428" xr:uid="{00000000-0005-0000-0000-00000E190000}"/>
    <cellStyle name="Cálculo 6 3 7 3 2" xfId="6429" xr:uid="{00000000-0005-0000-0000-00000F190000}"/>
    <cellStyle name="Cálculo 6 3 7 3 2 2" xfId="6430" xr:uid="{00000000-0005-0000-0000-000010190000}"/>
    <cellStyle name="Cálculo 6 3 7 3 2 3" xfId="6431" xr:uid="{00000000-0005-0000-0000-000011190000}"/>
    <cellStyle name="Cálculo 6 3 7 3 2 4" xfId="6432" xr:uid="{00000000-0005-0000-0000-000012190000}"/>
    <cellStyle name="Cálculo 6 3 7 3 3" xfId="6433" xr:uid="{00000000-0005-0000-0000-000013190000}"/>
    <cellStyle name="Cálculo 6 3 7 3 3 2" xfId="6434" xr:uid="{00000000-0005-0000-0000-000014190000}"/>
    <cellStyle name="Cálculo 6 3 7 3 3 3" xfId="6435" xr:uid="{00000000-0005-0000-0000-000015190000}"/>
    <cellStyle name="Cálculo 6 3 7 3 3 4" xfId="6436" xr:uid="{00000000-0005-0000-0000-000016190000}"/>
    <cellStyle name="Cálculo 6 3 7 3 4" xfId="6437" xr:uid="{00000000-0005-0000-0000-000017190000}"/>
    <cellStyle name="Cálculo 6 3 7 3 5" xfId="6438" xr:uid="{00000000-0005-0000-0000-000018190000}"/>
    <cellStyle name="Cálculo 6 3 7 3 6" xfId="6439" xr:uid="{00000000-0005-0000-0000-000019190000}"/>
    <cellStyle name="Cálculo 6 3 7 4" xfId="6440" xr:uid="{00000000-0005-0000-0000-00001A190000}"/>
    <cellStyle name="Cálculo 6 3 7 4 2" xfId="6441" xr:uid="{00000000-0005-0000-0000-00001B190000}"/>
    <cellStyle name="Cálculo 6 3 7 4 3" xfId="6442" xr:uid="{00000000-0005-0000-0000-00001C190000}"/>
    <cellStyle name="Cálculo 6 3 7 4 4" xfId="6443" xr:uid="{00000000-0005-0000-0000-00001D190000}"/>
    <cellStyle name="Cálculo 6 3 7 5" xfId="6444" xr:uid="{00000000-0005-0000-0000-00001E190000}"/>
    <cellStyle name="Cálculo 6 3 7 6" xfId="6445" xr:uid="{00000000-0005-0000-0000-00001F190000}"/>
    <cellStyle name="Cálculo 6 3 8" xfId="6446" xr:uid="{00000000-0005-0000-0000-000020190000}"/>
    <cellStyle name="Cálculo 6 3 8 2" xfId="6447" xr:uid="{00000000-0005-0000-0000-000021190000}"/>
    <cellStyle name="Cálculo 6 3 8 2 2" xfId="6448" xr:uid="{00000000-0005-0000-0000-000022190000}"/>
    <cellStyle name="Cálculo 6 3 8 2 2 2" xfId="6449" xr:uid="{00000000-0005-0000-0000-000023190000}"/>
    <cellStyle name="Cálculo 6 3 8 2 2 3" xfId="6450" xr:uid="{00000000-0005-0000-0000-000024190000}"/>
    <cellStyle name="Cálculo 6 3 8 2 2 4" xfId="6451" xr:uid="{00000000-0005-0000-0000-000025190000}"/>
    <cellStyle name="Cálculo 6 3 8 2 3" xfId="6452" xr:uid="{00000000-0005-0000-0000-000026190000}"/>
    <cellStyle name="Cálculo 6 3 8 2 3 2" xfId="6453" xr:uid="{00000000-0005-0000-0000-000027190000}"/>
    <cellStyle name="Cálculo 6 3 8 2 3 3" xfId="6454" xr:uid="{00000000-0005-0000-0000-000028190000}"/>
    <cellStyle name="Cálculo 6 3 8 2 3 4" xfId="6455" xr:uid="{00000000-0005-0000-0000-000029190000}"/>
    <cellStyle name="Cálculo 6 3 8 2 4" xfId="6456" xr:uid="{00000000-0005-0000-0000-00002A190000}"/>
    <cellStyle name="Cálculo 6 3 8 2 5" xfId="6457" xr:uid="{00000000-0005-0000-0000-00002B190000}"/>
    <cellStyle name="Cálculo 6 3 8 2 6" xfId="6458" xr:uid="{00000000-0005-0000-0000-00002C190000}"/>
    <cellStyle name="Cálculo 6 3 8 3" xfId="6459" xr:uid="{00000000-0005-0000-0000-00002D190000}"/>
    <cellStyle name="Cálculo 6 3 8 3 2" xfId="6460" xr:uid="{00000000-0005-0000-0000-00002E190000}"/>
    <cellStyle name="Cálculo 6 3 8 3 2 2" xfId="6461" xr:uid="{00000000-0005-0000-0000-00002F190000}"/>
    <cellStyle name="Cálculo 6 3 8 3 2 3" xfId="6462" xr:uid="{00000000-0005-0000-0000-000030190000}"/>
    <cellStyle name="Cálculo 6 3 8 3 2 4" xfId="6463" xr:uid="{00000000-0005-0000-0000-000031190000}"/>
    <cellStyle name="Cálculo 6 3 8 3 3" xfId="6464" xr:uid="{00000000-0005-0000-0000-000032190000}"/>
    <cellStyle name="Cálculo 6 3 8 3 3 2" xfId="6465" xr:uid="{00000000-0005-0000-0000-000033190000}"/>
    <cellStyle name="Cálculo 6 3 8 3 3 3" xfId="6466" xr:uid="{00000000-0005-0000-0000-000034190000}"/>
    <cellStyle name="Cálculo 6 3 8 3 3 4" xfId="6467" xr:uid="{00000000-0005-0000-0000-000035190000}"/>
    <cellStyle name="Cálculo 6 3 8 3 4" xfId="6468" xr:uid="{00000000-0005-0000-0000-000036190000}"/>
    <cellStyle name="Cálculo 6 3 8 3 5" xfId="6469" xr:uid="{00000000-0005-0000-0000-000037190000}"/>
    <cellStyle name="Cálculo 6 3 8 3 6" xfId="6470" xr:uid="{00000000-0005-0000-0000-000038190000}"/>
    <cellStyle name="Cálculo 6 3 8 4" xfId="6471" xr:uid="{00000000-0005-0000-0000-000039190000}"/>
    <cellStyle name="Cálculo 6 3 8 4 2" xfId="6472" xr:uid="{00000000-0005-0000-0000-00003A190000}"/>
    <cellStyle name="Cálculo 6 3 8 4 3" xfId="6473" xr:uid="{00000000-0005-0000-0000-00003B190000}"/>
    <cellStyle name="Cálculo 6 3 8 4 4" xfId="6474" xr:uid="{00000000-0005-0000-0000-00003C190000}"/>
    <cellStyle name="Cálculo 6 3 8 5" xfId="6475" xr:uid="{00000000-0005-0000-0000-00003D190000}"/>
    <cellStyle name="Cálculo 6 3 8 6" xfId="6476" xr:uid="{00000000-0005-0000-0000-00003E190000}"/>
    <cellStyle name="Cálculo 6 3 9" xfId="6477" xr:uid="{00000000-0005-0000-0000-00003F190000}"/>
    <cellStyle name="Cálculo 6 3 9 2" xfId="6478" xr:uid="{00000000-0005-0000-0000-000040190000}"/>
    <cellStyle name="Cálculo 6 3 9 2 2" xfId="6479" xr:uid="{00000000-0005-0000-0000-000041190000}"/>
    <cellStyle name="Cálculo 6 3 9 2 2 2" xfId="6480" xr:uid="{00000000-0005-0000-0000-000042190000}"/>
    <cellStyle name="Cálculo 6 3 9 2 2 3" xfId="6481" xr:uid="{00000000-0005-0000-0000-000043190000}"/>
    <cellStyle name="Cálculo 6 3 9 2 2 4" xfId="6482" xr:uid="{00000000-0005-0000-0000-000044190000}"/>
    <cellStyle name="Cálculo 6 3 9 2 3" xfId="6483" xr:uid="{00000000-0005-0000-0000-000045190000}"/>
    <cellStyle name="Cálculo 6 3 9 2 3 2" xfId="6484" xr:uid="{00000000-0005-0000-0000-000046190000}"/>
    <cellStyle name="Cálculo 6 3 9 2 3 3" xfId="6485" xr:uid="{00000000-0005-0000-0000-000047190000}"/>
    <cellStyle name="Cálculo 6 3 9 2 3 4" xfId="6486" xr:uid="{00000000-0005-0000-0000-000048190000}"/>
    <cellStyle name="Cálculo 6 3 9 2 4" xfId="6487" xr:uid="{00000000-0005-0000-0000-000049190000}"/>
    <cellStyle name="Cálculo 6 3 9 2 5" xfId="6488" xr:uid="{00000000-0005-0000-0000-00004A190000}"/>
    <cellStyle name="Cálculo 6 3 9 2 6" xfId="6489" xr:uid="{00000000-0005-0000-0000-00004B190000}"/>
    <cellStyle name="Cálculo 6 3 9 3" xfId="6490" xr:uid="{00000000-0005-0000-0000-00004C190000}"/>
    <cellStyle name="Cálculo 6 3 9 3 2" xfId="6491" xr:uid="{00000000-0005-0000-0000-00004D190000}"/>
    <cellStyle name="Cálculo 6 3 9 3 2 2" xfId="6492" xr:uid="{00000000-0005-0000-0000-00004E190000}"/>
    <cellStyle name="Cálculo 6 3 9 3 2 3" xfId="6493" xr:uid="{00000000-0005-0000-0000-00004F190000}"/>
    <cellStyle name="Cálculo 6 3 9 3 2 4" xfId="6494" xr:uid="{00000000-0005-0000-0000-000050190000}"/>
    <cellStyle name="Cálculo 6 3 9 3 3" xfId="6495" xr:uid="{00000000-0005-0000-0000-000051190000}"/>
    <cellStyle name="Cálculo 6 3 9 3 3 2" xfId="6496" xr:uid="{00000000-0005-0000-0000-000052190000}"/>
    <cellStyle name="Cálculo 6 3 9 3 3 3" xfId="6497" xr:uid="{00000000-0005-0000-0000-000053190000}"/>
    <cellStyle name="Cálculo 6 3 9 3 3 4" xfId="6498" xr:uid="{00000000-0005-0000-0000-000054190000}"/>
    <cellStyle name="Cálculo 6 3 9 3 4" xfId="6499" xr:uid="{00000000-0005-0000-0000-000055190000}"/>
    <cellStyle name="Cálculo 6 3 9 3 5" xfId="6500" xr:uid="{00000000-0005-0000-0000-000056190000}"/>
    <cellStyle name="Cálculo 6 3 9 3 6" xfId="6501" xr:uid="{00000000-0005-0000-0000-000057190000}"/>
    <cellStyle name="Cálculo 6 3 9 4" xfId="6502" xr:uid="{00000000-0005-0000-0000-000058190000}"/>
    <cellStyle name="Cálculo 6 3 9 4 2" xfId="6503" xr:uid="{00000000-0005-0000-0000-000059190000}"/>
    <cellStyle name="Cálculo 6 3 9 4 3" xfId="6504" xr:uid="{00000000-0005-0000-0000-00005A190000}"/>
    <cellStyle name="Cálculo 6 3 9 4 4" xfId="6505" xr:uid="{00000000-0005-0000-0000-00005B190000}"/>
    <cellStyle name="Cálculo 6 3 9 5" xfId="6506" xr:uid="{00000000-0005-0000-0000-00005C190000}"/>
    <cellStyle name="Cálculo 6 3 9 6" xfId="6507" xr:uid="{00000000-0005-0000-0000-00005D190000}"/>
    <cellStyle name="Cálculo 6 4" xfId="6508" xr:uid="{00000000-0005-0000-0000-00005E190000}"/>
    <cellStyle name="Cálculo 6 4 2" xfId="6509" xr:uid="{00000000-0005-0000-0000-00005F190000}"/>
    <cellStyle name="Cálculo 6 4 2 2" xfId="6510" xr:uid="{00000000-0005-0000-0000-000060190000}"/>
    <cellStyle name="Cálculo 6 4 2 2 2" xfId="6511" xr:uid="{00000000-0005-0000-0000-000061190000}"/>
    <cellStyle name="Cálculo 6 4 2 2 2 2" xfId="6512" xr:uid="{00000000-0005-0000-0000-000062190000}"/>
    <cellStyle name="Cálculo 6 4 2 2 2 3" xfId="6513" xr:uid="{00000000-0005-0000-0000-000063190000}"/>
    <cellStyle name="Cálculo 6 4 2 2 2 4" xfId="6514" xr:uid="{00000000-0005-0000-0000-000064190000}"/>
    <cellStyle name="Cálculo 6 4 2 2 3" xfId="6515" xr:uid="{00000000-0005-0000-0000-000065190000}"/>
    <cellStyle name="Cálculo 6 4 2 2 3 2" xfId="6516" xr:uid="{00000000-0005-0000-0000-000066190000}"/>
    <cellStyle name="Cálculo 6 4 2 2 3 3" xfId="6517" xr:uid="{00000000-0005-0000-0000-000067190000}"/>
    <cellStyle name="Cálculo 6 4 2 2 3 4" xfId="6518" xr:uid="{00000000-0005-0000-0000-000068190000}"/>
    <cellStyle name="Cálculo 6 4 2 2 4" xfId="6519" xr:uid="{00000000-0005-0000-0000-000069190000}"/>
    <cellStyle name="Cálculo 6 4 2 2 5" xfId="6520" xr:uid="{00000000-0005-0000-0000-00006A190000}"/>
    <cellStyle name="Cálculo 6 4 2 2 6" xfId="6521" xr:uid="{00000000-0005-0000-0000-00006B190000}"/>
    <cellStyle name="Cálculo 6 4 2 3" xfId="6522" xr:uid="{00000000-0005-0000-0000-00006C190000}"/>
    <cellStyle name="Cálculo 6 4 2 3 2" xfId="6523" xr:uid="{00000000-0005-0000-0000-00006D190000}"/>
    <cellStyle name="Cálculo 6 4 2 3 2 2" xfId="6524" xr:uid="{00000000-0005-0000-0000-00006E190000}"/>
    <cellStyle name="Cálculo 6 4 2 3 2 3" xfId="6525" xr:uid="{00000000-0005-0000-0000-00006F190000}"/>
    <cellStyle name="Cálculo 6 4 2 3 2 4" xfId="6526" xr:uid="{00000000-0005-0000-0000-000070190000}"/>
    <cellStyle name="Cálculo 6 4 2 3 3" xfId="6527" xr:uid="{00000000-0005-0000-0000-000071190000}"/>
    <cellStyle name="Cálculo 6 4 2 3 3 2" xfId="6528" xr:uid="{00000000-0005-0000-0000-000072190000}"/>
    <cellStyle name="Cálculo 6 4 2 3 3 3" xfId="6529" xr:uid="{00000000-0005-0000-0000-000073190000}"/>
    <cellStyle name="Cálculo 6 4 2 3 3 4" xfId="6530" xr:uid="{00000000-0005-0000-0000-000074190000}"/>
    <cellStyle name="Cálculo 6 4 2 3 4" xfId="6531" xr:uid="{00000000-0005-0000-0000-000075190000}"/>
    <cellStyle name="Cálculo 6 4 2 3 5" xfId="6532" xr:uid="{00000000-0005-0000-0000-000076190000}"/>
    <cellStyle name="Cálculo 6 4 2 3 6" xfId="6533" xr:uid="{00000000-0005-0000-0000-000077190000}"/>
    <cellStyle name="Cálculo 6 4 2 4" xfId="6534" xr:uid="{00000000-0005-0000-0000-000078190000}"/>
    <cellStyle name="Cálculo 6 4 2 5" xfId="6535" xr:uid="{00000000-0005-0000-0000-000079190000}"/>
    <cellStyle name="Cálculo 6 4 2 6" xfId="6536" xr:uid="{00000000-0005-0000-0000-00007A190000}"/>
    <cellStyle name="Cálculo 6 4 3" xfId="6537" xr:uid="{00000000-0005-0000-0000-00007B190000}"/>
    <cellStyle name="Cálculo 6 4 4" xfId="6538" xr:uid="{00000000-0005-0000-0000-00007C190000}"/>
    <cellStyle name="Cálculo 6 5" xfId="6539" xr:uid="{00000000-0005-0000-0000-00007D190000}"/>
    <cellStyle name="Cálculo 6 5 2" xfId="6540" xr:uid="{00000000-0005-0000-0000-00007E190000}"/>
    <cellStyle name="Cálculo 6 5 2 2" xfId="6541" xr:uid="{00000000-0005-0000-0000-00007F190000}"/>
    <cellStyle name="Cálculo 6 5 2 2 2" xfId="6542" xr:uid="{00000000-0005-0000-0000-000080190000}"/>
    <cellStyle name="Cálculo 6 5 2 2 2 2" xfId="6543" xr:uid="{00000000-0005-0000-0000-000081190000}"/>
    <cellStyle name="Cálculo 6 5 2 2 2 3" xfId="6544" xr:uid="{00000000-0005-0000-0000-000082190000}"/>
    <cellStyle name="Cálculo 6 5 2 2 2 4" xfId="6545" xr:uid="{00000000-0005-0000-0000-000083190000}"/>
    <cellStyle name="Cálculo 6 5 2 2 3" xfId="6546" xr:uid="{00000000-0005-0000-0000-000084190000}"/>
    <cellStyle name="Cálculo 6 5 2 2 3 2" xfId="6547" xr:uid="{00000000-0005-0000-0000-000085190000}"/>
    <cellStyle name="Cálculo 6 5 2 2 3 3" xfId="6548" xr:uid="{00000000-0005-0000-0000-000086190000}"/>
    <cellStyle name="Cálculo 6 5 2 2 3 4" xfId="6549" xr:uid="{00000000-0005-0000-0000-000087190000}"/>
    <cellStyle name="Cálculo 6 5 2 2 4" xfId="6550" xr:uid="{00000000-0005-0000-0000-000088190000}"/>
    <cellStyle name="Cálculo 6 5 2 2 5" xfId="6551" xr:uid="{00000000-0005-0000-0000-000089190000}"/>
    <cellStyle name="Cálculo 6 5 2 2 6" xfId="6552" xr:uid="{00000000-0005-0000-0000-00008A190000}"/>
    <cellStyle name="Cálculo 6 5 2 3" xfId="6553" xr:uid="{00000000-0005-0000-0000-00008B190000}"/>
    <cellStyle name="Cálculo 6 5 2 3 2" xfId="6554" xr:uid="{00000000-0005-0000-0000-00008C190000}"/>
    <cellStyle name="Cálculo 6 5 2 3 2 2" xfId="6555" xr:uid="{00000000-0005-0000-0000-00008D190000}"/>
    <cellStyle name="Cálculo 6 5 2 3 2 3" xfId="6556" xr:uid="{00000000-0005-0000-0000-00008E190000}"/>
    <cellStyle name="Cálculo 6 5 2 3 2 4" xfId="6557" xr:uid="{00000000-0005-0000-0000-00008F190000}"/>
    <cellStyle name="Cálculo 6 5 2 3 3" xfId="6558" xr:uid="{00000000-0005-0000-0000-000090190000}"/>
    <cellStyle name="Cálculo 6 5 2 3 3 2" xfId="6559" xr:uid="{00000000-0005-0000-0000-000091190000}"/>
    <cellStyle name="Cálculo 6 5 2 3 3 3" xfId="6560" xr:uid="{00000000-0005-0000-0000-000092190000}"/>
    <cellStyle name="Cálculo 6 5 2 3 3 4" xfId="6561" xr:uid="{00000000-0005-0000-0000-000093190000}"/>
    <cellStyle name="Cálculo 6 5 2 3 4" xfId="6562" xr:uid="{00000000-0005-0000-0000-000094190000}"/>
    <cellStyle name="Cálculo 6 5 2 3 5" xfId="6563" xr:uid="{00000000-0005-0000-0000-000095190000}"/>
    <cellStyle name="Cálculo 6 5 2 3 6" xfId="6564" xr:uid="{00000000-0005-0000-0000-000096190000}"/>
    <cellStyle name="Cálculo 6 5 2 4" xfId="6565" xr:uid="{00000000-0005-0000-0000-000097190000}"/>
    <cellStyle name="Cálculo 6 5 2 5" xfId="6566" xr:uid="{00000000-0005-0000-0000-000098190000}"/>
    <cellStyle name="Cálculo 6 5 2 6" xfId="6567" xr:uid="{00000000-0005-0000-0000-000099190000}"/>
    <cellStyle name="Cálculo 6 5 3" xfId="6568" xr:uid="{00000000-0005-0000-0000-00009A190000}"/>
    <cellStyle name="Cálculo 6 5 4" xfId="6569" xr:uid="{00000000-0005-0000-0000-00009B190000}"/>
    <cellStyle name="Cálculo 6 6" xfId="6570" xr:uid="{00000000-0005-0000-0000-00009C190000}"/>
    <cellStyle name="Cálculo 6 6 2" xfId="6571" xr:uid="{00000000-0005-0000-0000-00009D190000}"/>
    <cellStyle name="Cálculo 6 6 2 2" xfId="6572" xr:uid="{00000000-0005-0000-0000-00009E190000}"/>
    <cellStyle name="Cálculo 6 6 2 2 2" xfId="6573" xr:uid="{00000000-0005-0000-0000-00009F190000}"/>
    <cellStyle name="Cálculo 6 6 2 2 2 2" xfId="6574" xr:uid="{00000000-0005-0000-0000-0000A0190000}"/>
    <cellStyle name="Cálculo 6 6 2 2 2 3" xfId="6575" xr:uid="{00000000-0005-0000-0000-0000A1190000}"/>
    <cellStyle name="Cálculo 6 6 2 2 2 4" xfId="6576" xr:uid="{00000000-0005-0000-0000-0000A2190000}"/>
    <cellStyle name="Cálculo 6 6 2 2 3" xfId="6577" xr:uid="{00000000-0005-0000-0000-0000A3190000}"/>
    <cellStyle name="Cálculo 6 6 2 2 3 2" xfId="6578" xr:uid="{00000000-0005-0000-0000-0000A4190000}"/>
    <cellStyle name="Cálculo 6 6 2 2 3 3" xfId="6579" xr:uid="{00000000-0005-0000-0000-0000A5190000}"/>
    <cellStyle name="Cálculo 6 6 2 2 3 4" xfId="6580" xr:uid="{00000000-0005-0000-0000-0000A6190000}"/>
    <cellStyle name="Cálculo 6 6 2 2 4" xfId="6581" xr:uid="{00000000-0005-0000-0000-0000A7190000}"/>
    <cellStyle name="Cálculo 6 6 2 2 5" xfId="6582" xr:uid="{00000000-0005-0000-0000-0000A8190000}"/>
    <cellStyle name="Cálculo 6 6 2 2 6" xfId="6583" xr:uid="{00000000-0005-0000-0000-0000A9190000}"/>
    <cellStyle name="Cálculo 6 6 2 3" xfId="6584" xr:uid="{00000000-0005-0000-0000-0000AA190000}"/>
    <cellStyle name="Cálculo 6 6 2 3 2" xfId="6585" xr:uid="{00000000-0005-0000-0000-0000AB190000}"/>
    <cellStyle name="Cálculo 6 6 2 3 2 2" xfId="6586" xr:uid="{00000000-0005-0000-0000-0000AC190000}"/>
    <cellStyle name="Cálculo 6 6 2 3 2 3" xfId="6587" xr:uid="{00000000-0005-0000-0000-0000AD190000}"/>
    <cellStyle name="Cálculo 6 6 2 3 2 4" xfId="6588" xr:uid="{00000000-0005-0000-0000-0000AE190000}"/>
    <cellStyle name="Cálculo 6 6 2 3 3" xfId="6589" xr:uid="{00000000-0005-0000-0000-0000AF190000}"/>
    <cellStyle name="Cálculo 6 6 2 3 3 2" xfId="6590" xr:uid="{00000000-0005-0000-0000-0000B0190000}"/>
    <cellStyle name="Cálculo 6 6 2 3 3 3" xfId="6591" xr:uid="{00000000-0005-0000-0000-0000B1190000}"/>
    <cellStyle name="Cálculo 6 6 2 3 3 4" xfId="6592" xr:uid="{00000000-0005-0000-0000-0000B2190000}"/>
    <cellStyle name="Cálculo 6 6 2 3 4" xfId="6593" xr:uid="{00000000-0005-0000-0000-0000B3190000}"/>
    <cellStyle name="Cálculo 6 6 2 3 5" xfId="6594" xr:uid="{00000000-0005-0000-0000-0000B4190000}"/>
    <cellStyle name="Cálculo 6 6 2 3 6" xfId="6595" xr:uid="{00000000-0005-0000-0000-0000B5190000}"/>
    <cellStyle name="Cálculo 6 6 2 4" xfId="6596" xr:uid="{00000000-0005-0000-0000-0000B6190000}"/>
    <cellStyle name="Cálculo 6 6 2 5" xfId="6597" xr:uid="{00000000-0005-0000-0000-0000B7190000}"/>
    <cellStyle name="Cálculo 6 6 2 6" xfId="6598" xr:uid="{00000000-0005-0000-0000-0000B8190000}"/>
    <cellStyle name="Cálculo 6 6 3" xfId="6599" xr:uid="{00000000-0005-0000-0000-0000B9190000}"/>
    <cellStyle name="Cálculo 6 6 4" xfId="6600" xr:uid="{00000000-0005-0000-0000-0000BA190000}"/>
    <cellStyle name="Cálculo 6 7" xfId="6601" xr:uid="{00000000-0005-0000-0000-0000BB190000}"/>
    <cellStyle name="Cálculo 6 7 2" xfId="6602" xr:uid="{00000000-0005-0000-0000-0000BC190000}"/>
    <cellStyle name="Cálculo 6 7 2 2" xfId="6603" xr:uid="{00000000-0005-0000-0000-0000BD190000}"/>
    <cellStyle name="Cálculo 6 7 2 2 2" xfId="6604" xr:uid="{00000000-0005-0000-0000-0000BE190000}"/>
    <cellStyle name="Cálculo 6 7 2 2 2 2" xfId="6605" xr:uid="{00000000-0005-0000-0000-0000BF190000}"/>
    <cellStyle name="Cálculo 6 7 2 2 2 3" xfId="6606" xr:uid="{00000000-0005-0000-0000-0000C0190000}"/>
    <cellStyle name="Cálculo 6 7 2 2 2 4" xfId="6607" xr:uid="{00000000-0005-0000-0000-0000C1190000}"/>
    <cellStyle name="Cálculo 6 7 2 2 3" xfId="6608" xr:uid="{00000000-0005-0000-0000-0000C2190000}"/>
    <cellStyle name="Cálculo 6 7 2 2 3 2" xfId="6609" xr:uid="{00000000-0005-0000-0000-0000C3190000}"/>
    <cellStyle name="Cálculo 6 7 2 2 3 3" xfId="6610" xr:uid="{00000000-0005-0000-0000-0000C4190000}"/>
    <cellStyle name="Cálculo 6 7 2 2 3 4" xfId="6611" xr:uid="{00000000-0005-0000-0000-0000C5190000}"/>
    <cellStyle name="Cálculo 6 7 2 2 4" xfId="6612" xr:uid="{00000000-0005-0000-0000-0000C6190000}"/>
    <cellStyle name="Cálculo 6 7 2 2 5" xfId="6613" xr:uid="{00000000-0005-0000-0000-0000C7190000}"/>
    <cellStyle name="Cálculo 6 7 2 2 6" xfId="6614" xr:uid="{00000000-0005-0000-0000-0000C8190000}"/>
    <cellStyle name="Cálculo 6 7 2 3" xfId="6615" xr:uid="{00000000-0005-0000-0000-0000C9190000}"/>
    <cellStyle name="Cálculo 6 7 2 3 2" xfId="6616" xr:uid="{00000000-0005-0000-0000-0000CA190000}"/>
    <cellStyle name="Cálculo 6 7 2 3 2 2" xfId="6617" xr:uid="{00000000-0005-0000-0000-0000CB190000}"/>
    <cellStyle name="Cálculo 6 7 2 3 2 3" xfId="6618" xr:uid="{00000000-0005-0000-0000-0000CC190000}"/>
    <cellStyle name="Cálculo 6 7 2 3 2 4" xfId="6619" xr:uid="{00000000-0005-0000-0000-0000CD190000}"/>
    <cellStyle name="Cálculo 6 7 2 3 3" xfId="6620" xr:uid="{00000000-0005-0000-0000-0000CE190000}"/>
    <cellStyle name="Cálculo 6 7 2 3 3 2" xfId="6621" xr:uid="{00000000-0005-0000-0000-0000CF190000}"/>
    <cellStyle name="Cálculo 6 7 2 3 3 3" xfId="6622" xr:uid="{00000000-0005-0000-0000-0000D0190000}"/>
    <cellStyle name="Cálculo 6 7 2 3 3 4" xfId="6623" xr:uid="{00000000-0005-0000-0000-0000D1190000}"/>
    <cellStyle name="Cálculo 6 7 2 3 4" xfId="6624" xr:uid="{00000000-0005-0000-0000-0000D2190000}"/>
    <cellStyle name="Cálculo 6 7 2 3 5" xfId="6625" xr:uid="{00000000-0005-0000-0000-0000D3190000}"/>
    <cellStyle name="Cálculo 6 7 2 3 6" xfId="6626" xr:uid="{00000000-0005-0000-0000-0000D4190000}"/>
    <cellStyle name="Cálculo 6 7 2 4" xfId="6627" xr:uid="{00000000-0005-0000-0000-0000D5190000}"/>
    <cellStyle name="Cálculo 6 7 2 5" xfId="6628" xr:uid="{00000000-0005-0000-0000-0000D6190000}"/>
    <cellStyle name="Cálculo 6 7 2 6" xfId="6629" xr:uid="{00000000-0005-0000-0000-0000D7190000}"/>
    <cellStyle name="Cálculo 6 7 3" xfId="6630" xr:uid="{00000000-0005-0000-0000-0000D8190000}"/>
    <cellStyle name="Cálculo 6 7 4" xfId="6631" xr:uid="{00000000-0005-0000-0000-0000D9190000}"/>
    <cellStyle name="Cálculo 6 8" xfId="6632" xr:uid="{00000000-0005-0000-0000-0000DA190000}"/>
    <cellStyle name="Cálculo 6 8 2" xfId="6633" xr:uid="{00000000-0005-0000-0000-0000DB190000}"/>
    <cellStyle name="Cálculo 6 8 2 2" xfId="6634" xr:uid="{00000000-0005-0000-0000-0000DC190000}"/>
    <cellStyle name="Cálculo 6 8 2 2 2" xfId="6635" xr:uid="{00000000-0005-0000-0000-0000DD190000}"/>
    <cellStyle name="Cálculo 6 8 2 2 3" xfId="6636" xr:uid="{00000000-0005-0000-0000-0000DE190000}"/>
    <cellStyle name="Cálculo 6 8 2 2 4" xfId="6637" xr:uid="{00000000-0005-0000-0000-0000DF190000}"/>
    <cellStyle name="Cálculo 6 8 2 3" xfId="6638" xr:uid="{00000000-0005-0000-0000-0000E0190000}"/>
    <cellStyle name="Cálculo 6 8 2 3 2" xfId="6639" xr:uid="{00000000-0005-0000-0000-0000E1190000}"/>
    <cellStyle name="Cálculo 6 8 2 3 3" xfId="6640" xr:uid="{00000000-0005-0000-0000-0000E2190000}"/>
    <cellStyle name="Cálculo 6 8 2 3 4" xfId="6641" xr:uid="{00000000-0005-0000-0000-0000E3190000}"/>
    <cellStyle name="Cálculo 6 8 2 4" xfId="6642" xr:uid="{00000000-0005-0000-0000-0000E4190000}"/>
    <cellStyle name="Cálculo 6 8 2 5" xfId="6643" xr:uid="{00000000-0005-0000-0000-0000E5190000}"/>
    <cellStyle name="Cálculo 6 8 2 6" xfId="6644" xr:uid="{00000000-0005-0000-0000-0000E6190000}"/>
    <cellStyle name="Cálculo 6 8 3" xfId="6645" xr:uid="{00000000-0005-0000-0000-0000E7190000}"/>
    <cellStyle name="Cálculo 6 8 3 2" xfId="6646" xr:uid="{00000000-0005-0000-0000-0000E8190000}"/>
    <cellStyle name="Cálculo 6 8 3 2 2" xfId="6647" xr:uid="{00000000-0005-0000-0000-0000E9190000}"/>
    <cellStyle name="Cálculo 6 8 3 2 3" xfId="6648" xr:uid="{00000000-0005-0000-0000-0000EA190000}"/>
    <cellStyle name="Cálculo 6 8 3 2 4" xfId="6649" xr:uid="{00000000-0005-0000-0000-0000EB190000}"/>
    <cellStyle name="Cálculo 6 8 3 3" xfId="6650" xr:uid="{00000000-0005-0000-0000-0000EC190000}"/>
    <cellStyle name="Cálculo 6 8 3 3 2" xfId="6651" xr:uid="{00000000-0005-0000-0000-0000ED190000}"/>
    <cellStyle name="Cálculo 6 8 3 3 3" xfId="6652" xr:uid="{00000000-0005-0000-0000-0000EE190000}"/>
    <cellStyle name="Cálculo 6 8 3 3 4" xfId="6653" xr:uid="{00000000-0005-0000-0000-0000EF190000}"/>
    <cellStyle name="Cálculo 6 8 3 4" xfId="6654" xr:uid="{00000000-0005-0000-0000-0000F0190000}"/>
    <cellStyle name="Cálculo 6 8 3 5" xfId="6655" xr:uid="{00000000-0005-0000-0000-0000F1190000}"/>
    <cellStyle name="Cálculo 6 8 3 6" xfId="6656" xr:uid="{00000000-0005-0000-0000-0000F2190000}"/>
    <cellStyle name="Cálculo 6 8 4" xfId="6657" xr:uid="{00000000-0005-0000-0000-0000F3190000}"/>
    <cellStyle name="Cálculo 6 8 4 2" xfId="6658" xr:uid="{00000000-0005-0000-0000-0000F4190000}"/>
    <cellStyle name="Cálculo 6 8 4 3" xfId="6659" xr:uid="{00000000-0005-0000-0000-0000F5190000}"/>
    <cellStyle name="Cálculo 6 8 4 4" xfId="6660" xr:uid="{00000000-0005-0000-0000-0000F6190000}"/>
    <cellStyle name="Cálculo 6 8 5" xfId="6661" xr:uid="{00000000-0005-0000-0000-0000F7190000}"/>
    <cellStyle name="Cálculo 6 8 6" xfId="6662" xr:uid="{00000000-0005-0000-0000-0000F8190000}"/>
    <cellStyle name="Cálculo 6 9" xfId="6663" xr:uid="{00000000-0005-0000-0000-0000F9190000}"/>
    <cellStyle name="Cálculo 6 9 2" xfId="6664" xr:uid="{00000000-0005-0000-0000-0000FA190000}"/>
    <cellStyle name="Cálculo 6 9 2 2" xfId="6665" xr:uid="{00000000-0005-0000-0000-0000FB190000}"/>
    <cellStyle name="Cálculo 6 9 2 2 2" xfId="6666" xr:uid="{00000000-0005-0000-0000-0000FC190000}"/>
    <cellStyle name="Cálculo 6 9 2 2 3" xfId="6667" xr:uid="{00000000-0005-0000-0000-0000FD190000}"/>
    <cellStyle name="Cálculo 6 9 2 2 4" xfId="6668" xr:uid="{00000000-0005-0000-0000-0000FE190000}"/>
    <cellStyle name="Cálculo 6 9 2 3" xfId="6669" xr:uid="{00000000-0005-0000-0000-0000FF190000}"/>
    <cellStyle name="Cálculo 6 9 2 3 2" xfId="6670" xr:uid="{00000000-0005-0000-0000-0000001A0000}"/>
    <cellStyle name="Cálculo 6 9 2 3 3" xfId="6671" xr:uid="{00000000-0005-0000-0000-0000011A0000}"/>
    <cellStyle name="Cálculo 6 9 2 3 4" xfId="6672" xr:uid="{00000000-0005-0000-0000-0000021A0000}"/>
    <cellStyle name="Cálculo 6 9 2 4" xfId="6673" xr:uid="{00000000-0005-0000-0000-0000031A0000}"/>
    <cellStyle name="Cálculo 6 9 2 5" xfId="6674" xr:uid="{00000000-0005-0000-0000-0000041A0000}"/>
    <cellStyle name="Cálculo 6 9 2 6" xfId="6675" xr:uid="{00000000-0005-0000-0000-0000051A0000}"/>
    <cellStyle name="Cálculo 6 9 3" xfId="6676" xr:uid="{00000000-0005-0000-0000-0000061A0000}"/>
    <cellStyle name="Cálculo 6 9 3 2" xfId="6677" xr:uid="{00000000-0005-0000-0000-0000071A0000}"/>
    <cellStyle name="Cálculo 6 9 3 2 2" xfId="6678" xr:uid="{00000000-0005-0000-0000-0000081A0000}"/>
    <cellStyle name="Cálculo 6 9 3 2 3" xfId="6679" xr:uid="{00000000-0005-0000-0000-0000091A0000}"/>
    <cellStyle name="Cálculo 6 9 3 2 4" xfId="6680" xr:uid="{00000000-0005-0000-0000-00000A1A0000}"/>
    <cellStyle name="Cálculo 6 9 3 3" xfId="6681" xr:uid="{00000000-0005-0000-0000-00000B1A0000}"/>
    <cellStyle name="Cálculo 6 9 3 3 2" xfId="6682" xr:uid="{00000000-0005-0000-0000-00000C1A0000}"/>
    <cellStyle name="Cálculo 6 9 3 3 3" xfId="6683" xr:uid="{00000000-0005-0000-0000-00000D1A0000}"/>
    <cellStyle name="Cálculo 6 9 3 3 4" xfId="6684" xr:uid="{00000000-0005-0000-0000-00000E1A0000}"/>
    <cellStyle name="Cálculo 6 9 3 4" xfId="6685" xr:uid="{00000000-0005-0000-0000-00000F1A0000}"/>
    <cellStyle name="Cálculo 6 9 3 5" xfId="6686" xr:uid="{00000000-0005-0000-0000-0000101A0000}"/>
    <cellStyle name="Cálculo 6 9 3 6" xfId="6687" xr:uid="{00000000-0005-0000-0000-0000111A0000}"/>
    <cellStyle name="Cálculo 6 9 4" xfId="6688" xr:uid="{00000000-0005-0000-0000-0000121A0000}"/>
    <cellStyle name="Cálculo 6 9 4 2" xfId="6689" xr:uid="{00000000-0005-0000-0000-0000131A0000}"/>
    <cellStyle name="Cálculo 6 9 4 3" xfId="6690" xr:uid="{00000000-0005-0000-0000-0000141A0000}"/>
    <cellStyle name="Cálculo 6 9 4 4" xfId="6691" xr:uid="{00000000-0005-0000-0000-0000151A0000}"/>
    <cellStyle name="Cálculo 6 9 5" xfId="6692" xr:uid="{00000000-0005-0000-0000-0000161A0000}"/>
    <cellStyle name="Cálculo 6 9 6" xfId="6693" xr:uid="{00000000-0005-0000-0000-0000171A0000}"/>
    <cellStyle name="Cálculo 7" xfId="6694" xr:uid="{00000000-0005-0000-0000-0000181A0000}"/>
    <cellStyle name="Cálculo 7 10" xfId="6695" xr:uid="{00000000-0005-0000-0000-0000191A0000}"/>
    <cellStyle name="Cálculo 7 10 2" xfId="6696" xr:uid="{00000000-0005-0000-0000-00001A1A0000}"/>
    <cellStyle name="Cálculo 7 10 2 2" xfId="6697" xr:uid="{00000000-0005-0000-0000-00001B1A0000}"/>
    <cellStyle name="Cálculo 7 10 2 2 2" xfId="6698" xr:uid="{00000000-0005-0000-0000-00001C1A0000}"/>
    <cellStyle name="Cálculo 7 10 2 2 3" xfId="6699" xr:uid="{00000000-0005-0000-0000-00001D1A0000}"/>
    <cellStyle name="Cálculo 7 10 2 2 4" xfId="6700" xr:uid="{00000000-0005-0000-0000-00001E1A0000}"/>
    <cellStyle name="Cálculo 7 10 2 3" xfId="6701" xr:uid="{00000000-0005-0000-0000-00001F1A0000}"/>
    <cellStyle name="Cálculo 7 10 2 3 2" xfId="6702" xr:uid="{00000000-0005-0000-0000-0000201A0000}"/>
    <cellStyle name="Cálculo 7 10 2 3 3" xfId="6703" xr:uid="{00000000-0005-0000-0000-0000211A0000}"/>
    <cellStyle name="Cálculo 7 10 2 3 4" xfId="6704" xr:uid="{00000000-0005-0000-0000-0000221A0000}"/>
    <cellStyle name="Cálculo 7 10 2 4" xfId="6705" xr:uid="{00000000-0005-0000-0000-0000231A0000}"/>
    <cellStyle name="Cálculo 7 10 2 5" xfId="6706" xr:uid="{00000000-0005-0000-0000-0000241A0000}"/>
    <cellStyle name="Cálculo 7 10 2 6" xfId="6707" xr:uid="{00000000-0005-0000-0000-0000251A0000}"/>
    <cellStyle name="Cálculo 7 10 3" xfId="6708" xr:uid="{00000000-0005-0000-0000-0000261A0000}"/>
    <cellStyle name="Cálculo 7 10 3 2" xfId="6709" xr:uid="{00000000-0005-0000-0000-0000271A0000}"/>
    <cellStyle name="Cálculo 7 10 3 2 2" xfId="6710" xr:uid="{00000000-0005-0000-0000-0000281A0000}"/>
    <cellStyle name="Cálculo 7 10 3 2 3" xfId="6711" xr:uid="{00000000-0005-0000-0000-0000291A0000}"/>
    <cellStyle name="Cálculo 7 10 3 2 4" xfId="6712" xr:uid="{00000000-0005-0000-0000-00002A1A0000}"/>
    <cellStyle name="Cálculo 7 10 3 3" xfId="6713" xr:uid="{00000000-0005-0000-0000-00002B1A0000}"/>
    <cellStyle name="Cálculo 7 10 3 3 2" xfId="6714" xr:uid="{00000000-0005-0000-0000-00002C1A0000}"/>
    <cellStyle name="Cálculo 7 10 3 3 3" xfId="6715" xr:uid="{00000000-0005-0000-0000-00002D1A0000}"/>
    <cellStyle name="Cálculo 7 10 3 3 4" xfId="6716" xr:uid="{00000000-0005-0000-0000-00002E1A0000}"/>
    <cellStyle name="Cálculo 7 10 3 4" xfId="6717" xr:uid="{00000000-0005-0000-0000-00002F1A0000}"/>
    <cellStyle name="Cálculo 7 10 3 5" xfId="6718" xr:uid="{00000000-0005-0000-0000-0000301A0000}"/>
    <cellStyle name="Cálculo 7 10 3 6" xfId="6719" xr:uid="{00000000-0005-0000-0000-0000311A0000}"/>
    <cellStyle name="Cálculo 7 10 4" xfId="6720" xr:uid="{00000000-0005-0000-0000-0000321A0000}"/>
    <cellStyle name="Cálculo 7 10 4 2" xfId="6721" xr:uid="{00000000-0005-0000-0000-0000331A0000}"/>
    <cellStyle name="Cálculo 7 10 4 3" xfId="6722" xr:uid="{00000000-0005-0000-0000-0000341A0000}"/>
    <cellStyle name="Cálculo 7 10 4 4" xfId="6723" xr:uid="{00000000-0005-0000-0000-0000351A0000}"/>
    <cellStyle name="Cálculo 7 10 5" xfId="6724" xr:uid="{00000000-0005-0000-0000-0000361A0000}"/>
    <cellStyle name="Cálculo 7 10 6" xfId="6725" xr:uid="{00000000-0005-0000-0000-0000371A0000}"/>
    <cellStyle name="Cálculo 7 11" xfId="6726" xr:uid="{00000000-0005-0000-0000-0000381A0000}"/>
    <cellStyle name="Cálculo 7 11 2" xfId="6727" xr:uid="{00000000-0005-0000-0000-0000391A0000}"/>
    <cellStyle name="Cálculo 7 11 2 2" xfId="6728" xr:uid="{00000000-0005-0000-0000-00003A1A0000}"/>
    <cellStyle name="Cálculo 7 11 2 2 2" xfId="6729" xr:uid="{00000000-0005-0000-0000-00003B1A0000}"/>
    <cellStyle name="Cálculo 7 11 2 2 3" xfId="6730" xr:uid="{00000000-0005-0000-0000-00003C1A0000}"/>
    <cellStyle name="Cálculo 7 11 2 2 4" xfId="6731" xr:uid="{00000000-0005-0000-0000-00003D1A0000}"/>
    <cellStyle name="Cálculo 7 11 2 3" xfId="6732" xr:uid="{00000000-0005-0000-0000-00003E1A0000}"/>
    <cellStyle name="Cálculo 7 11 2 3 2" xfId="6733" xr:uid="{00000000-0005-0000-0000-00003F1A0000}"/>
    <cellStyle name="Cálculo 7 11 2 3 3" xfId="6734" xr:uid="{00000000-0005-0000-0000-0000401A0000}"/>
    <cellStyle name="Cálculo 7 11 2 3 4" xfId="6735" xr:uid="{00000000-0005-0000-0000-0000411A0000}"/>
    <cellStyle name="Cálculo 7 11 2 4" xfId="6736" xr:uid="{00000000-0005-0000-0000-0000421A0000}"/>
    <cellStyle name="Cálculo 7 11 2 5" xfId="6737" xr:uid="{00000000-0005-0000-0000-0000431A0000}"/>
    <cellStyle name="Cálculo 7 11 2 6" xfId="6738" xr:uid="{00000000-0005-0000-0000-0000441A0000}"/>
    <cellStyle name="Cálculo 7 11 3" xfId="6739" xr:uid="{00000000-0005-0000-0000-0000451A0000}"/>
    <cellStyle name="Cálculo 7 11 3 2" xfId="6740" xr:uid="{00000000-0005-0000-0000-0000461A0000}"/>
    <cellStyle name="Cálculo 7 11 3 2 2" xfId="6741" xr:uid="{00000000-0005-0000-0000-0000471A0000}"/>
    <cellStyle name="Cálculo 7 11 3 2 3" xfId="6742" xr:uid="{00000000-0005-0000-0000-0000481A0000}"/>
    <cellStyle name="Cálculo 7 11 3 2 4" xfId="6743" xr:uid="{00000000-0005-0000-0000-0000491A0000}"/>
    <cellStyle name="Cálculo 7 11 3 3" xfId="6744" xr:uid="{00000000-0005-0000-0000-00004A1A0000}"/>
    <cellStyle name="Cálculo 7 11 3 3 2" xfId="6745" xr:uid="{00000000-0005-0000-0000-00004B1A0000}"/>
    <cellStyle name="Cálculo 7 11 3 3 3" xfId="6746" xr:uid="{00000000-0005-0000-0000-00004C1A0000}"/>
    <cellStyle name="Cálculo 7 11 3 3 4" xfId="6747" xr:uid="{00000000-0005-0000-0000-00004D1A0000}"/>
    <cellStyle name="Cálculo 7 11 3 4" xfId="6748" xr:uid="{00000000-0005-0000-0000-00004E1A0000}"/>
    <cellStyle name="Cálculo 7 11 3 5" xfId="6749" xr:uid="{00000000-0005-0000-0000-00004F1A0000}"/>
    <cellStyle name="Cálculo 7 11 3 6" xfId="6750" xr:uid="{00000000-0005-0000-0000-0000501A0000}"/>
    <cellStyle name="Cálculo 7 11 4" xfId="6751" xr:uid="{00000000-0005-0000-0000-0000511A0000}"/>
    <cellStyle name="Cálculo 7 11 5" xfId="6752" xr:uid="{00000000-0005-0000-0000-0000521A0000}"/>
    <cellStyle name="Cálculo 7 11 6" xfId="6753" xr:uid="{00000000-0005-0000-0000-0000531A0000}"/>
    <cellStyle name="Cálculo 7 12" xfId="6754" xr:uid="{00000000-0005-0000-0000-0000541A0000}"/>
    <cellStyle name="Cálculo 7 13" xfId="6755" xr:uid="{00000000-0005-0000-0000-0000551A0000}"/>
    <cellStyle name="Cálculo 7 2" xfId="6756" xr:uid="{00000000-0005-0000-0000-0000561A0000}"/>
    <cellStyle name="Cálculo 7 2 10" xfId="6757" xr:uid="{00000000-0005-0000-0000-0000571A0000}"/>
    <cellStyle name="Cálculo 7 2 10 2" xfId="6758" xr:uid="{00000000-0005-0000-0000-0000581A0000}"/>
    <cellStyle name="Cálculo 7 2 10 2 2" xfId="6759" xr:uid="{00000000-0005-0000-0000-0000591A0000}"/>
    <cellStyle name="Cálculo 7 2 10 2 2 2" xfId="6760" xr:uid="{00000000-0005-0000-0000-00005A1A0000}"/>
    <cellStyle name="Cálculo 7 2 10 2 2 3" xfId="6761" xr:uid="{00000000-0005-0000-0000-00005B1A0000}"/>
    <cellStyle name="Cálculo 7 2 10 2 2 4" xfId="6762" xr:uid="{00000000-0005-0000-0000-00005C1A0000}"/>
    <cellStyle name="Cálculo 7 2 10 2 3" xfId="6763" xr:uid="{00000000-0005-0000-0000-00005D1A0000}"/>
    <cellStyle name="Cálculo 7 2 10 2 3 2" xfId="6764" xr:uid="{00000000-0005-0000-0000-00005E1A0000}"/>
    <cellStyle name="Cálculo 7 2 10 2 3 3" xfId="6765" xr:uid="{00000000-0005-0000-0000-00005F1A0000}"/>
    <cellStyle name="Cálculo 7 2 10 2 3 4" xfId="6766" xr:uid="{00000000-0005-0000-0000-0000601A0000}"/>
    <cellStyle name="Cálculo 7 2 10 2 4" xfId="6767" xr:uid="{00000000-0005-0000-0000-0000611A0000}"/>
    <cellStyle name="Cálculo 7 2 10 2 5" xfId="6768" xr:uid="{00000000-0005-0000-0000-0000621A0000}"/>
    <cellStyle name="Cálculo 7 2 10 2 6" xfId="6769" xr:uid="{00000000-0005-0000-0000-0000631A0000}"/>
    <cellStyle name="Cálculo 7 2 10 3" xfId="6770" xr:uid="{00000000-0005-0000-0000-0000641A0000}"/>
    <cellStyle name="Cálculo 7 2 10 3 2" xfId="6771" xr:uid="{00000000-0005-0000-0000-0000651A0000}"/>
    <cellStyle name="Cálculo 7 2 10 3 2 2" xfId="6772" xr:uid="{00000000-0005-0000-0000-0000661A0000}"/>
    <cellStyle name="Cálculo 7 2 10 3 2 3" xfId="6773" xr:uid="{00000000-0005-0000-0000-0000671A0000}"/>
    <cellStyle name="Cálculo 7 2 10 3 2 4" xfId="6774" xr:uid="{00000000-0005-0000-0000-0000681A0000}"/>
    <cellStyle name="Cálculo 7 2 10 3 3" xfId="6775" xr:uid="{00000000-0005-0000-0000-0000691A0000}"/>
    <cellStyle name="Cálculo 7 2 10 3 3 2" xfId="6776" xr:uid="{00000000-0005-0000-0000-00006A1A0000}"/>
    <cellStyle name="Cálculo 7 2 10 3 3 3" xfId="6777" xr:uid="{00000000-0005-0000-0000-00006B1A0000}"/>
    <cellStyle name="Cálculo 7 2 10 3 3 4" xfId="6778" xr:uid="{00000000-0005-0000-0000-00006C1A0000}"/>
    <cellStyle name="Cálculo 7 2 10 3 4" xfId="6779" xr:uid="{00000000-0005-0000-0000-00006D1A0000}"/>
    <cellStyle name="Cálculo 7 2 10 3 5" xfId="6780" xr:uid="{00000000-0005-0000-0000-00006E1A0000}"/>
    <cellStyle name="Cálculo 7 2 10 3 6" xfId="6781" xr:uid="{00000000-0005-0000-0000-00006F1A0000}"/>
    <cellStyle name="Cálculo 7 2 10 4" xfId="6782" xr:uid="{00000000-0005-0000-0000-0000701A0000}"/>
    <cellStyle name="Cálculo 7 2 10 5" xfId="6783" xr:uid="{00000000-0005-0000-0000-0000711A0000}"/>
    <cellStyle name="Cálculo 7 2 10 6" xfId="6784" xr:uid="{00000000-0005-0000-0000-0000721A0000}"/>
    <cellStyle name="Cálculo 7 2 11" xfId="6785" xr:uid="{00000000-0005-0000-0000-0000731A0000}"/>
    <cellStyle name="Cálculo 7 2 12" xfId="6786" xr:uid="{00000000-0005-0000-0000-0000741A0000}"/>
    <cellStyle name="Cálculo 7 2 2" xfId="6787" xr:uid="{00000000-0005-0000-0000-0000751A0000}"/>
    <cellStyle name="Cálculo 7 2 2 2" xfId="6788" xr:uid="{00000000-0005-0000-0000-0000761A0000}"/>
    <cellStyle name="Cálculo 7 2 2 2 2" xfId="6789" xr:uid="{00000000-0005-0000-0000-0000771A0000}"/>
    <cellStyle name="Cálculo 7 2 2 2 2 2" xfId="6790" xr:uid="{00000000-0005-0000-0000-0000781A0000}"/>
    <cellStyle name="Cálculo 7 2 2 2 2 2 2" xfId="6791" xr:uid="{00000000-0005-0000-0000-0000791A0000}"/>
    <cellStyle name="Cálculo 7 2 2 2 2 2 3" xfId="6792" xr:uid="{00000000-0005-0000-0000-00007A1A0000}"/>
    <cellStyle name="Cálculo 7 2 2 2 2 2 4" xfId="6793" xr:uid="{00000000-0005-0000-0000-00007B1A0000}"/>
    <cellStyle name="Cálculo 7 2 2 2 2 3" xfId="6794" xr:uid="{00000000-0005-0000-0000-00007C1A0000}"/>
    <cellStyle name="Cálculo 7 2 2 2 2 3 2" xfId="6795" xr:uid="{00000000-0005-0000-0000-00007D1A0000}"/>
    <cellStyle name="Cálculo 7 2 2 2 2 3 3" xfId="6796" xr:uid="{00000000-0005-0000-0000-00007E1A0000}"/>
    <cellStyle name="Cálculo 7 2 2 2 2 3 4" xfId="6797" xr:uid="{00000000-0005-0000-0000-00007F1A0000}"/>
    <cellStyle name="Cálculo 7 2 2 2 2 4" xfId="6798" xr:uid="{00000000-0005-0000-0000-0000801A0000}"/>
    <cellStyle name="Cálculo 7 2 2 2 2 5" xfId="6799" xr:uid="{00000000-0005-0000-0000-0000811A0000}"/>
    <cellStyle name="Cálculo 7 2 2 2 2 6" xfId="6800" xr:uid="{00000000-0005-0000-0000-0000821A0000}"/>
    <cellStyle name="Cálculo 7 2 2 2 3" xfId="6801" xr:uid="{00000000-0005-0000-0000-0000831A0000}"/>
    <cellStyle name="Cálculo 7 2 2 2 3 2" xfId="6802" xr:uid="{00000000-0005-0000-0000-0000841A0000}"/>
    <cellStyle name="Cálculo 7 2 2 2 3 2 2" xfId="6803" xr:uid="{00000000-0005-0000-0000-0000851A0000}"/>
    <cellStyle name="Cálculo 7 2 2 2 3 2 3" xfId="6804" xr:uid="{00000000-0005-0000-0000-0000861A0000}"/>
    <cellStyle name="Cálculo 7 2 2 2 3 2 4" xfId="6805" xr:uid="{00000000-0005-0000-0000-0000871A0000}"/>
    <cellStyle name="Cálculo 7 2 2 2 3 3" xfId="6806" xr:uid="{00000000-0005-0000-0000-0000881A0000}"/>
    <cellStyle name="Cálculo 7 2 2 2 3 3 2" xfId="6807" xr:uid="{00000000-0005-0000-0000-0000891A0000}"/>
    <cellStyle name="Cálculo 7 2 2 2 3 3 3" xfId="6808" xr:uid="{00000000-0005-0000-0000-00008A1A0000}"/>
    <cellStyle name="Cálculo 7 2 2 2 3 3 4" xfId="6809" xr:uid="{00000000-0005-0000-0000-00008B1A0000}"/>
    <cellStyle name="Cálculo 7 2 2 2 3 4" xfId="6810" xr:uid="{00000000-0005-0000-0000-00008C1A0000}"/>
    <cellStyle name="Cálculo 7 2 2 2 3 5" xfId="6811" xr:uid="{00000000-0005-0000-0000-00008D1A0000}"/>
    <cellStyle name="Cálculo 7 2 2 2 3 6" xfId="6812" xr:uid="{00000000-0005-0000-0000-00008E1A0000}"/>
    <cellStyle name="Cálculo 7 2 2 2 4" xfId="6813" xr:uid="{00000000-0005-0000-0000-00008F1A0000}"/>
    <cellStyle name="Cálculo 7 2 2 2 5" xfId="6814" xr:uid="{00000000-0005-0000-0000-0000901A0000}"/>
    <cellStyle name="Cálculo 7 2 2 2 6" xfId="6815" xr:uid="{00000000-0005-0000-0000-0000911A0000}"/>
    <cellStyle name="Cálculo 7 2 2 3" xfId="6816" xr:uid="{00000000-0005-0000-0000-0000921A0000}"/>
    <cellStyle name="Cálculo 7 2 2 4" xfId="6817" xr:uid="{00000000-0005-0000-0000-0000931A0000}"/>
    <cellStyle name="Cálculo 7 2 3" xfId="6818" xr:uid="{00000000-0005-0000-0000-0000941A0000}"/>
    <cellStyle name="Cálculo 7 2 3 2" xfId="6819" xr:uid="{00000000-0005-0000-0000-0000951A0000}"/>
    <cellStyle name="Cálculo 7 2 3 2 2" xfId="6820" xr:uid="{00000000-0005-0000-0000-0000961A0000}"/>
    <cellStyle name="Cálculo 7 2 3 2 2 2" xfId="6821" xr:uid="{00000000-0005-0000-0000-0000971A0000}"/>
    <cellStyle name="Cálculo 7 2 3 2 2 2 2" xfId="6822" xr:uid="{00000000-0005-0000-0000-0000981A0000}"/>
    <cellStyle name="Cálculo 7 2 3 2 2 2 3" xfId="6823" xr:uid="{00000000-0005-0000-0000-0000991A0000}"/>
    <cellStyle name="Cálculo 7 2 3 2 2 2 4" xfId="6824" xr:uid="{00000000-0005-0000-0000-00009A1A0000}"/>
    <cellStyle name="Cálculo 7 2 3 2 2 3" xfId="6825" xr:uid="{00000000-0005-0000-0000-00009B1A0000}"/>
    <cellStyle name="Cálculo 7 2 3 2 2 3 2" xfId="6826" xr:uid="{00000000-0005-0000-0000-00009C1A0000}"/>
    <cellStyle name="Cálculo 7 2 3 2 2 3 3" xfId="6827" xr:uid="{00000000-0005-0000-0000-00009D1A0000}"/>
    <cellStyle name="Cálculo 7 2 3 2 2 3 4" xfId="6828" xr:uid="{00000000-0005-0000-0000-00009E1A0000}"/>
    <cellStyle name="Cálculo 7 2 3 2 2 4" xfId="6829" xr:uid="{00000000-0005-0000-0000-00009F1A0000}"/>
    <cellStyle name="Cálculo 7 2 3 2 2 5" xfId="6830" xr:uid="{00000000-0005-0000-0000-0000A01A0000}"/>
    <cellStyle name="Cálculo 7 2 3 2 2 6" xfId="6831" xr:uid="{00000000-0005-0000-0000-0000A11A0000}"/>
    <cellStyle name="Cálculo 7 2 3 2 3" xfId="6832" xr:uid="{00000000-0005-0000-0000-0000A21A0000}"/>
    <cellStyle name="Cálculo 7 2 3 2 3 2" xfId="6833" xr:uid="{00000000-0005-0000-0000-0000A31A0000}"/>
    <cellStyle name="Cálculo 7 2 3 2 3 2 2" xfId="6834" xr:uid="{00000000-0005-0000-0000-0000A41A0000}"/>
    <cellStyle name="Cálculo 7 2 3 2 3 2 3" xfId="6835" xr:uid="{00000000-0005-0000-0000-0000A51A0000}"/>
    <cellStyle name="Cálculo 7 2 3 2 3 2 4" xfId="6836" xr:uid="{00000000-0005-0000-0000-0000A61A0000}"/>
    <cellStyle name="Cálculo 7 2 3 2 3 3" xfId="6837" xr:uid="{00000000-0005-0000-0000-0000A71A0000}"/>
    <cellStyle name="Cálculo 7 2 3 2 3 3 2" xfId="6838" xr:uid="{00000000-0005-0000-0000-0000A81A0000}"/>
    <cellStyle name="Cálculo 7 2 3 2 3 3 3" xfId="6839" xr:uid="{00000000-0005-0000-0000-0000A91A0000}"/>
    <cellStyle name="Cálculo 7 2 3 2 3 3 4" xfId="6840" xr:uid="{00000000-0005-0000-0000-0000AA1A0000}"/>
    <cellStyle name="Cálculo 7 2 3 2 3 4" xfId="6841" xr:uid="{00000000-0005-0000-0000-0000AB1A0000}"/>
    <cellStyle name="Cálculo 7 2 3 2 3 5" xfId="6842" xr:uid="{00000000-0005-0000-0000-0000AC1A0000}"/>
    <cellStyle name="Cálculo 7 2 3 2 3 6" xfId="6843" xr:uid="{00000000-0005-0000-0000-0000AD1A0000}"/>
    <cellStyle name="Cálculo 7 2 3 2 4" xfId="6844" xr:uid="{00000000-0005-0000-0000-0000AE1A0000}"/>
    <cellStyle name="Cálculo 7 2 3 2 5" xfId="6845" xr:uid="{00000000-0005-0000-0000-0000AF1A0000}"/>
    <cellStyle name="Cálculo 7 2 3 2 6" xfId="6846" xr:uid="{00000000-0005-0000-0000-0000B01A0000}"/>
    <cellStyle name="Cálculo 7 2 3 3" xfId="6847" xr:uid="{00000000-0005-0000-0000-0000B11A0000}"/>
    <cellStyle name="Cálculo 7 2 3 4" xfId="6848" xr:uid="{00000000-0005-0000-0000-0000B21A0000}"/>
    <cellStyle name="Cálculo 7 2 4" xfId="6849" xr:uid="{00000000-0005-0000-0000-0000B31A0000}"/>
    <cellStyle name="Cálculo 7 2 4 2" xfId="6850" xr:uid="{00000000-0005-0000-0000-0000B41A0000}"/>
    <cellStyle name="Cálculo 7 2 4 2 2" xfId="6851" xr:uid="{00000000-0005-0000-0000-0000B51A0000}"/>
    <cellStyle name="Cálculo 7 2 4 2 2 2" xfId="6852" xr:uid="{00000000-0005-0000-0000-0000B61A0000}"/>
    <cellStyle name="Cálculo 7 2 4 2 2 2 2" xfId="6853" xr:uid="{00000000-0005-0000-0000-0000B71A0000}"/>
    <cellStyle name="Cálculo 7 2 4 2 2 2 3" xfId="6854" xr:uid="{00000000-0005-0000-0000-0000B81A0000}"/>
    <cellStyle name="Cálculo 7 2 4 2 2 2 4" xfId="6855" xr:uid="{00000000-0005-0000-0000-0000B91A0000}"/>
    <cellStyle name="Cálculo 7 2 4 2 2 3" xfId="6856" xr:uid="{00000000-0005-0000-0000-0000BA1A0000}"/>
    <cellStyle name="Cálculo 7 2 4 2 2 3 2" xfId="6857" xr:uid="{00000000-0005-0000-0000-0000BB1A0000}"/>
    <cellStyle name="Cálculo 7 2 4 2 2 3 3" xfId="6858" xr:uid="{00000000-0005-0000-0000-0000BC1A0000}"/>
    <cellStyle name="Cálculo 7 2 4 2 2 3 4" xfId="6859" xr:uid="{00000000-0005-0000-0000-0000BD1A0000}"/>
    <cellStyle name="Cálculo 7 2 4 2 2 4" xfId="6860" xr:uid="{00000000-0005-0000-0000-0000BE1A0000}"/>
    <cellStyle name="Cálculo 7 2 4 2 2 5" xfId="6861" xr:uid="{00000000-0005-0000-0000-0000BF1A0000}"/>
    <cellStyle name="Cálculo 7 2 4 2 2 6" xfId="6862" xr:uid="{00000000-0005-0000-0000-0000C01A0000}"/>
    <cellStyle name="Cálculo 7 2 4 2 3" xfId="6863" xr:uid="{00000000-0005-0000-0000-0000C11A0000}"/>
    <cellStyle name="Cálculo 7 2 4 2 3 2" xfId="6864" xr:uid="{00000000-0005-0000-0000-0000C21A0000}"/>
    <cellStyle name="Cálculo 7 2 4 2 3 2 2" xfId="6865" xr:uid="{00000000-0005-0000-0000-0000C31A0000}"/>
    <cellStyle name="Cálculo 7 2 4 2 3 2 3" xfId="6866" xr:uid="{00000000-0005-0000-0000-0000C41A0000}"/>
    <cellStyle name="Cálculo 7 2 4 2 3 2 4" xfId="6867" xr:uid="{00000000-0005-0000-0000-0000C51A0000}"/>
    <cellStyle name="Cálculo 7 2 4 2 3 3" xfId="6868" xr:uid="{00000000-0005-0000-0000-0000C61A0000}"/>
    <cellStyle name="Cálculo 7 2 4 2 3 3 2" xfId="6869" xr:uid="{00000000-0005-0000-0000-0000C71A0000}"/>
    <cellStyle name="Cálculo 7 2 4 2 3 3 3" xfId="6870" xr:uid="{00000000-0005-0000-0000-0000C81A0000}"/>
    <cellStyle name="Cálculo 7 2 4 2 3 3 4" xfId="6871" xr:uid="{00000000-0005-0000-0000-0000C91A0000}"/>
    <cellStyle name="Cálculo 7 2 4 2 3 4" xfId="6872" xr:uid="{00000000-0005-0000-0000-0000CA1A0000}"/>
    <cellStyle name="Cálculo 7 2 4 2 3 5" xfId="6873" xr:uid="{00000000-0005-0000-0000-0000CB1A0000}"/>
    <cellStyle name="Cálculo 7 2 4 2 3 6" xfId="6874" xr:uid="{00000000-0005-0000-0000-0000CC1A0000}"/>
    <cellStyle name="Cálculo 7 2 4 2 4" xfId="6875" xr:uid="{00000000-0005-0000-0000-0000CD1A0000}"/>
    <cellStyle name="Cálculo 7 2 4 2 5" xfId="6876" xr:uid="{00000000-0005-0000-0000-0000CE1A0000}"/>
    <cellStyle name="Cálculo 7 2 4 2 6" xfId="6877" xr:uid="{00000000-0005-0000-0000-0000CF1A0000}"/>
    <cellStyle name="Cálculo 7 2 4 3" xfId="6878" xr:uid="{00000000-0005-0000-0000-0000D01A0000}"/>
    <cellStyle name="Cálculo 7 2 4 4" xfId="6879" xr:uid="{00000000-0005-0000-0000-0000D11A0000}"/>
    <cellStyle name="Cálculo 7 2 5" xfId="6880" xr:uid="{00000000-0005-0000-0000-0000D21A0000}"/>
    <cellStyle name="Cálculo 7 2 5 2" xfId="6881" xr:uid="{00000000-0005-0000-0000-0000D31A0000}"/>
    <cellStyle name="Cálculo 7 2 5 2 2" xfId="6882" xr:uid="{00000000-0005-0000-0000-0000D41A0000}"/>
    <cellStyle name="Cálculo 7 2 5 2 2 2" xfId="6883" xr:uid="{00000000-0005-0000-0000-0000D51A0000}"/>
    <cellStyle name="Cálculo 7 2 5 2 2 2 2" xfId="6884" xr:uid="{00000000-0005-0000-0000-0000D61A0000}"/>
    <cellStyle name="Cálculo 7 2 5 2 2 2 3" xfId="6885" xr:uid="{00000000-0005-0000-0000-0000D71A0000}"/>
    <cellStyle name="Cálculo 7 2 5 2 2 2 4" xfId="6886" xr:uid="{00000000-0005-0000-0000-0000D81A0000}"/>
    <cellStyle name="Cálculo 7 2 5 2 2 3" xfId="6887" xr:uid="{00000000-0005-0000-0000-0000D91A0000}"/>
    <cellStyle name="Cálculo 7 2 5 2 2 3 2" xfId="6888" xr:uid="{00000000-0005-0000-0000-0000DA1A0000}"/>
    <cellStyle name="Cálculo 7 2 5 2 2 3 3" xfId="6889" xr:uid="{00000000-0005-0000-0000-0000DB1A0000}"/>
    <cellStyle name="Cálculo 7 2 5 2 2 3 4" xfId="6890" xr:uid="{00000000-0005-0000-0000-0000DC1A0000}"/>
    <cellStyle name="Cálculo 7 2 5 2 2 4" xfId="6891" xr:uid="{00000000-0005-0000-0000-0000DD1A0000}"/>
    <cellStyle name="Cálculo 7 2 5 2 2 5" xfId="6892" xr:uid="{00000000-0005-0000-0000-0000DE1A0000}"/>
    <cellStyle name="Cálculo 7 2 5 2 2 6" xfId="6893" xr:uid="{00000000-0005-0000-0000-0000DF1A0000}"/>
    <cellStyle name="Cálculo 7 2 5 2 3" xfId="6894" xr:uid="{00000000-0005-0000-0000-0000E01A0000}"/>
    <cellStyle name="Cálculo 7 2 5 2 3 2" xfId="6895" xr:uid="{00000000-0005-0000-0000-0000E11A0000}"/>
    <cellStyle name="Cálculo 7 2 5 2 3 2 2" xfId="6896" xr:uid="{00000000-0005-0000-0000-0000E21A0000}"/>
    <cellStyle name="Cálculo 7 2 5 2 3 2 3" xfId="6897" xr:uid="{00000000-0005-0000-0000-0000E31A0000}"/>
    <cellStyle name="Cálculo 7 2 5 2 3 2 4" xfId="6898" xr:uid="{00000000-0005-0000-0000-0000E41A0000}"/>
    <cellStyle name="Cálculo 7 2 5 2 3 3" xfId="6899" xr:uid="{00000000-0005-0000-0000-0000E51A0000}"/>
    <cellStyle name="Cálculo 7 2 5 2 3 3 2" xfId="6900" xr:uid="{00000000-0005-0000-0000-0000E61A0000}"/>
    <cellStyle name="Cálculo 7 2 5 2 3 3 3" xfId="6901" xr:uid="{00000000-0005-0000-0000-0000E71A0000}"/>
    <cellStyle name="Cálculo 7 2 5 2 3 3 4" xfId="6902" xr:uid="{00000000-0005-0000-0000-0000E81A0000}"/>
    <cellStyle name="Cálculo 7 2 5 2 3 4" xfId="6903" xr:uid="{00000000-0005-0000-0000-0000E91A0000}"/>
    <cellStyle name="Cálculo 7 2 5 2 3 5" xfId="6904" xr:uid="{00000000-0005-0000-0000-0000EA1A0000}"/>
    <cellStyle name="Cálculo 7 2 5 2 3 6" xfId="6905" xr:uid="{00000000-0005-0000-0000-0000EB1A0000}"/>
    <cellStyle name="Cálculo 7 2 5 2 4" xfId="6906" xr:uid="{00000000-0005-0000-0000-0000EC1A0000}"/>
    <cellStyle name="Cálculo 7 2 5 2 5" xfId="6907" xr:uid="{00000000-0005-0000-0000-0000ED1A0000}"/>
    <cellStyle name="Cálculo 7 2 5 2 6" xfId="6908" xr:uid="{00000000-0005-0000-0000-0000EE1A0000}"/>
    <cellStyle name="Cálculo 7 2 5 3" xfId="6909" xr:uid="{00000000-0005-0000-0000-0000EF1A0000}"/>
    <cellStyle name="Cálculo 7 2 5 4" xfId="6910" xr:uid="{00000000-0005-0000-0000-0000F01A0000}"/>
    <cellStyle name="Cálculo 7 2 6" xfId="6911" xr:uid="{00000000-0005-0000-0000-0000F11A0000}"/>
    <cellStyle name="Cálculo 7 2 6 2" xfId="6912" xr:uid="{00000000-0005-0000-0000-0000F21A0000}"/>
    <cellStyle name="Cálculo 7 2 6 2 2" xfId="6913" xr:uid="{00000000-0005-0000-0000-0000F31A0000}"/>
    <cellStyle name="Cálculo 7 2 6 2 2 2" xfId="6914" xr:uid="{00000000-0005-0000-0000-0000F41A0000}"/>
    <cellStyle name="Cálculo 7 2 6 2 2 3" xfId="6915" xr:uid="{00000000-0005-0000-0000-0000F51A0000}"/>
    <cellStyle name="Cálculo 7 2 6 2 2 4" xfId="6916" xr:uid="{00000000-0005-0000-0000-0000F61A0000}"/>
    <cellStyle name="Cálculo 7 2 6 2 3" xfId="6917" xr:uid="{00000000-0005-0000-0000-0000F71A0000}"/>
    <cellStyle name="Cálculo 7 2 6 2 3 2" xfId="6918" xr:uid="{00000000-0005-0000-0000-0000F81A0000}"/>
    <cellStyle name="Cálculo 7 2 6 2 3 3" xfId="6919" xr:uid="{00000000-0005-0000-0000-0000F91A0000}"/>
    <cellStyle name="Cálculo 7 2 6 2 3 4" xfId="6920" xr:uid="{00000000-0005-0000-0000-0000FA1A0000}"/>
    <cellStyle name="Cálculo 7 2 6 2 4" xfId="6921" xr:uid="{00000000-0005-0000-0000-0000FB1A0000}"/>
    <cellStyle name="Cálculo 7 2 6 2 5" xfId="6922" xr:uid="{00000000-0005-0000-0000-0000FC1A0000}"/>
    <cellStyle name="Cálculo 7 2 6 2 6" xfId="6923" xr:uid="{00000000-0005-0000-0000-0000FD1A0000}"/>
    <cellStyle name="Cálculo 7 2 6 3" xfId="6924" xr:uid="{00000000-0005-0000-0000-0000FE1A0000}"/>
    <cellStyle name="Cálculo 7 2 6 3 2" xfId="6925" xr:uid="{00000000-0005-0000-0000-0000FF1A0000}"/>
    <cellStyle name="Cálculo 7 2 6 3 2 2" xfId="6926" xr:uid="{00000000-0005-0000-0000-0000001B0000}"/>
    <cellStyle name="Cálculo 7 2 6 3 2 3" xfId="6927" xr:uid="{00000000-0005-0000-0000-0000011B0000}"/>
    <cellStyle name="Cálculo 7 2 6 3 2 4" xfId="6928" xr:uid="{00000000-0005-0000-0000-0000021B0000}"/>
    <cellStyle name="Cálculo 7 2 6 3 3" xfId="6929" xr:uid="{00000000-0005-0000-0000-0000031B0000}"/>
    <cellStyle name="Cálculo 7 2 6 3 3 2" xfId="6930" xr:uid="{00000000-0005-0000-0000-0000041B0000}"/>
    <cellStyle name="Cálculo 7 2 6 3 3 3" xfId="6931" xr:uid="{00000000-0005-0000-0000-0000051B0000}"/>
    <cellStyle name="Cálculo 7 2 6 3 3 4" xfId="6932" xr:uid="{00000000-0005-0000-0000-0000061B0000}"/>
    <cellStyle name="Cálculo 7 2 6 3 4" xfId="6933" xr:uid="{00000000-0005-0000-0000-0000071B0000}"/>
    <cellStyle name="Cálculo 7 2 6 3 5" xfId="6934" xr:uid="{00000000-0005-0000-0000-0000081B0000}"/>
    <cellStyle name="Cálculo 7 2 6 3 6" xfId="6935" xr:uid="{00000000-0005-0000-0000-0000091B0000}"/>
    <cellStyle name="Cálculo 7 2 6 4" xfId="6936" xr:uid="{00000000-0005-0000-0000-00000A1B0000}"/>
    <cellStyle name="Cálculo 7 2 6 4 2" xfId="6937" xr:uid="{00000000-0005-0000-0000-00000B1B0000}"/>
    <cellStyle name="Cálculo 7 2 6 4 3" xfId="6938" xr:uid="{00000000-0005-0000-0000-00000C1B0000}"/>
    <cellStyle name="Cálculo 7 2 6 4 4" xfId="6939" xr:uid="{00000000-0005-0000-0000-00000D1B0000}"/>
    <cellStyle name="Cálculo 7 2 6 5" xfId="6940" xr:uid="{00000000-0005-0000-0000-00000E1B0000}"/>
    <cellStyle name="Cálculo 7 2 6 6" xfId="6941" xr:uid="{00000000-0005-0000-0000-00000F1B0000}"/>
    <cellStyle name="Cálculo 7 2 7" xfId="6942" xr:uid="{00000000-0005-0000-0000-0000101B0000}"/>
    <cellStyle name="Cálculo 7 2 7 2" xfId="6943" xr:uid="{00000000-0005-0000-0000-0000111B0000}"/>
    <cellStyle name="Cálculo 7 2 7 2 2" xfId="6944" xr:uid="{00000000-0005-0000-0000-0000121B0000}"/>
    <cellStyle name="Cálculo 7 2 7 2 2 2" xfId="6945" xr:uid="{00000000-0005-0000-0000-0000131B0000}"/>
    <cellStyle name="Cálculo 7 2 7 2 2 3" xfId="6946" xr:uid="{00000000-0005-0000-0000-0000141B0000}"/>
    <cellStyle name="Cálculo 7 2 7 2 2 4" xfId="6947" xr:uid="{00000000-0005-0000-0000-0000151B0000}"/>
    <cellStyle name="Cálculo 7 2 7 2 3" xfId="6948" xr:uid="{00000000-0005-0000-0000-0000161B0000}"/>
    <cellStyle name="Cálculo 7 2 7 2 3 2" xfId="6949" xr:uid="{00000000-0005-0000-0000-0000171B0000}"/>
    <cellStyle name="Cálculo 7 2 7 2 3 3" xfId="6950" xr:uid="{00000000-0005-0000-0000-0000181B0000}"/>
    <cellStyle name="Cálculo 7 2 7 2 3 4" xfId="6951" xr:uid="{00000000-0005-0000-0000-0000191B0000}"/>
    <cellStyle name="Cálculo 7 2 7 2 4" xfId="6952" xr:uid="{00000000-0005-0000-0000-00001A1B0000}"/>
    <cellStyle name="Cálculo 7 2 7 2 5" xfId="6953" xr:uid="{00000000-0005-0000-0000-00001B1B0000}"/>
    <cellStyle name="Cálculo 7 2 7 2 6" xfId="6954" xr:uid="{00000000-0005-0000-0000-00001C1B0000}"/>
    <cellStyle name="Cálculo 7 2 7 3" xfId="6955" xr:uid="{00000000-0005-0000-0000-00001D1B0000}"/>
    <cellStyle name="Cálculo 7 2 7 3 2" xfId="6956" xr:uid="{00000000-0005-0000-0000-00001E1B0000}"/>
    <cellStyle name="Cálculo 7 2 7 3 2 2" xfId="6957" xr:uid="{00000000-0005-0000-0000-00001F1B0000}"/>
    <cellStyle name="Cálculo 7 2 7 3 2 3" xfId="6958" xr:uid="{00000000-0005-0000-0000-0000201B0000}"/>
    <cellStyle name="Cálculo 7 2 7 3 2 4" xfId="6959" xr:uid="{00000000-0005-0000-0000-0000211B0000}"/>
    <cellStyle name="Cálculo 7 2 7 3 3" xfId="6960" xr:uid="{00000000-0005-0000-0000-0000221B0000}"/>
    <cellStyle name="Cálculo 7 2 7 3 3 2" xfId="6961" xr:uid="{00000000-0005-0000-0000-0000231B0000}"/>
    <cellStyle name="Cálculo 7 2 7 3 3 3" xfId="6962" xr:uid="{00000000-0005-0000-0000-0000241B0000}"/>
    <cellStyle name="Cálculo 7 2 7 3 3 4" xfId="6963" xr:uid="{00000000-0005-0000-0000-0000251B0000}"/>
    <cellStyle name="Cálculo 7 2 7 3 4" xfId="6964" xr:uid="{00000000-0005-0000-0000-0000261B0000}"/>
    <cellStyle name="Cálculo 7 2 7 3 5" xfId="6965" xr:uid="{00000000-0005-0000-0000-0000271B0000}"/>
    <cellStyle name="Cálculo 7 2 7 3 6" xfId="6966" xr:uid="{00000000-0005-0000-0000-0000281B0000}"/>
    <cellStyle name="Cálculo 7 2 7 4" xfId="6967" xr:uid="{00000000-0005-0000-0000-0000291B0000}"/>
    <cellStyle name="Cálculo 7 2 7 4 2" xfId="6968" xr:uid="{00000000-0005-0000-0000-00002A1B0000}"/>
    <cellStyle name="Cálculo 7 2 7 4 3" xfId="6969" xr:uid="{00000000-0005-0000-0000-00002B1B0000}"/>
    <cellStyle name="Cálculo 7 2 7 4 4" xfId="6970" xr:uid="{00000000-0005-0000-0000-00002C1B0000}"/>
    <cellStyle name="Cálculo 7 2 7 5" xfId="6971" xr:uid="{00000000-0005-0000-0000-00002D1B0000}"/>
    <cellStyle name="Cálculo 7 2 7 6" xfId="6972" xr:uid="{00000000-0005-0000-0000-00002E1B0000}"/>
    <cellStyle name="Cálculo 7 2 8" xfId="6973" xr:uid="{00000000-0005-0000-0000-00002F1B0000}"/>
    <cellStyle name="Cálculo 7 2 8 2" xfId="6974" xr:uid="{00000000-0005-0000-0000-0000301B0000}"/>
    <cellStyle name="Cálculo 7 2 8 2 2" xfId="6975" xr:uid="{00000000-0005-0000-0000-0000311B0000}"/>
    <cellStyle name="Cálculo 7 2 8 2 2 2" xfId="6976" xr:uid="{00000000-0005-0000-0000-0000321B0000}"/>
    <cellStyle name="Cálculo 7 2 8 2 2 3" xfId="6977" xr:uid="{00000000-0005-0000-0000-0000331B0000}"/>
    <cellStyle name="Cálculo 7 2 8 2 2 4" xfId="6978" xr:uid="{00000000-0005-0000-0000-0000341B0000}"/>
    <cellStyle name="Cálculo 7 2 8 2 3" xfId="6979" xr:uid="{00000000-0005-0000-0000-0000351B0000}"/>
    <cellStyle name="Cálculo 7 2 8 2 3 2" xfId="6980" xr:uid="{00000000-0005-0000-0000-0000361B0000}"/>
    <cellStyle name="Cálculo 7 2 8 2 3 3" xfId="6981" xr:uid="{00000000-0005-0000-0000-0000371B0000}"/>
    <cellStyle name="Cálculo 7 2 8 2 3 4" xfId="6982" xr:uid="{00000000-0005-0000-0000-0000381B0000}"/>
    <cellStyle name="Cálculo 7 2 8 2 4" xfId="6983" xr:uid="{00000000-0005-0000-0000-0000391B0000}"/>
    <cellStyle name="Cálculo 7 2 8 2 5" xfId="6984" xr:uid="{00000000-0005-0000-0000-00003A1B0000}"/>
    <cellStyle name="Cálculo 7 2 8 2 6" xfId="6985" xr:uid="{00000000-0005-0000-0000-00003B1B0000}"/>
    <cellStyle name="Cálculo 7 2 8 3" xfId="6986" xr:uid="{00000000-0005-0000-0000-00003C1B0000}"/>
    <cellStyle name="Cálculo 7 2 8 3 2" xfId="6987" xr:uid="{00000000-0005-0000-0000-00003D1B0000}"/>
    <cellStyle name="Cálculo 7 2 8 3 2 2" xfId="6988" xr:uid="{00000000-0005-0000-0000-00003E1B0000}"/>
    <cellStyle name="Cálculo 7 2 8 3 2 3" xfId="6989" xr:uid="{00000000-0005-0000-0000-00003F1B0000}"/>
    <cellStyle name="Cálculo 7 2 8 3 2 4" xfId="6990" xr:uid="{00000000-0005-0000-0000-0000401B0000}"/>
    <cellStyle name="Cálculo 7 2 8 3 3" xfId="6991" xr:uid="{00000000-0005-0000-0000-0000411B0000}"/>
    <cellStyle name="Cálculo 7 2 8 3 3 2" xfId="6992" xr:uid="{00000000-0005-0000-0000-0000421B0000}"/>
    <cellStyle name="Cálculo 7 2 8 3 3 3" xfId="6993" xr:uid="{00000000-0005-0000-0000-0000431B0000}"/>
    <cellStyle name="Cálculo 7 2 8 3 3 4" xfId="6994" xr:uid="{00000000-0005-0000-0000-0000441B0000}"/>
    <cellStyle name="Cálculo 7 2 8 3 4" xfId="6995" xr:uid="{00000000-0005-0000-0000-0000451B0000}"/>
    <cellStyle name="Cálculo 7 2 8 3 5" xfId="6996" xr:uid="{00000000-0005-0000-0000-0000461B0000}"/>
    <cellStyle name="Cálculo 7 2 8 3 6" xfId="6997" xr:uid="{00000000-0005-0000-0000-0000471B0000}"/>
    <cellStyle name="Cálculo 7 2 8 4" xfId="6998" xr:uid="{00000000-0005-0000-0000-0000481B0000}"/>
    <cellStyle name="Cálculo 7 2 8 4 2" xfId="6999" xr:uid="{00000000-0005-0000-0000-0000491B0000}"/>
    <cellStyle name="Cálculo 7 2 8 4 3" xfId="7000" xr:uid="{00000000-0005-0000-0000-00004A1B0000}"/>
    <cellStyle name="Cálculo 7 2 8 4 4" xfId="7001" xr:uid="{00000000-0005-0000-0000-00004B1B0000}"/>
    <cellStyle name="Cálculo 7 2 8 5" xfId="7002" xr:uid="{00000000-0005-0000-0000-00004C1B0000}"/>
    <cellStyle name="Cálculo 7 2 8 6" xfId="7003" xr:uid="{00000000-0005-0000-0000-00004D1B0000}"/>
    <cellStyle name="Cálculo 7 2 9" xfId="7004" xr:uid="{00000000-0005-0000-0000-00004E1B0000}"/>
    <cellStyle name="Cálculo 7 2 9 2" xfId="7005" xr:uid="{00000000-0005-0000-0000-00004F1B0000}"/>
    <cellStyle name="Cálculo 7 2 9 2 2" xfId="7006" xr:uid="{00000000-0005-0000-0000-0000501B0000}"/>
    <cellStyle name="Cálculo 7 2 9 2 2 2" xfId="7007" xr:uid="{00000000-0005-0000-0000-0000511B0000}"/>
    <cellStyle name="Cálculo 7 2 9 2 2 3" xfId="7008" xr:uid="{00000000-0005-0000-0000-0000521B0000}"/>
    <cellStyle name="Cálculo 7 2 9 2 2 4" xfId="7009" xr:uid="{00000000-0005-0000-0000-0000531B0000}"/>
    <cellStyle name="Cálculo 7 2 9 2 3" xfId="7010" xr:uid="{00000000-0005-0000-0000-0000541B0000}"/>
    <cellStyle name="Cálculo 7 2 9 2 3 2" xfId="7011" xr:uid="{00000000-0005-0000-0000-0000551B0000}"/>
    <cellStyle name="Cálculo 7 2 9 2 3 3" xfId="7012" xr:uid="{00000000-0005-0000-0000-0000561B0000}"/>
    <cellStyle name="Cálculo 7 2 9 2 3 4" xfId="7013" xr:uid="{00000000-0005-0000-0000-0000571B0000}"/>
    <cellStyle name="Cálculo 7 2 9 2 4" xfId="7014" xr:uid="{00000000-0005-0000-0000-0000581B0000}"/>
    <cellStyle name="Cálculo 7 2 9 2 5" xfId="7015" xr:uid="{00000000-0005-0000-0000-0000591B0000}"/>
    <cellStyle name="Cálculo 7 2 9 2 6" xfId="7016" xr:uid="{00000000-0005-0000-0000-00005A1B0000}"/>
    <cellStyle name="Cálculo 7 2 9 3" xfId="7017" xr:uid="{00000000-0005-0000-0000-00005B1B0000}"/>
    <cellStyle name="Cálculo 7 2 9 3 2" xfId="7018" xr:uid="{00000000-0005-0000-0000-00005C1B0000}"/>
    <cellStyle name="Cálculo 7 2 9 3 2 2" xfId="7019" xr:uid="{00000000-0005-0000-0000-00005D1B0000}"/>
    <cellStyle name="Cálculo 7 2 9 3 2 3" xfId="7020" xr:uid="{00000000-0005-0000-0000-00005E1B0000}"/>
    <cellStyle name="Cálculo 7 2 9 3 2 4" xfId="7021" xr:uid="{00000000-0005-0000-0000-00005F1B0000}"/>
    <cellStyle name="Cálculo 7 2 9 3 3" xfId="7022" xr:uid="{00000000-0005-0000-0000-0000601B0000}"/>
    <cellStyle name="Cálculo 7 2 9 3 3 2" xfId="7023" xr:uid="{00000000-0005-0000-0000-0000611B0000}"/>
    <cellStyle name="Cálculo 7 2 9 3 3 3" xfId="7024" xr:uid="{00000000-0005-0000-0000-0000621B0000}"/>
    <cellStyle name="Cálculo 7 2 9 3 3 4" xfId="7025" xr:uid="{00000000-0005-0000-0000-0000631B0000}"/>
    <cellStyle name="Cálculo 7 2 9 3 4" xfId="7026" xr:uid="{00000000-0005-0000-0000-0000641B0000}"/>
    <cellStyle name="Cálculo 7 2 9 3 5" xfId="7027" xr:uid="{00000000-0005-0000-0000-0000651B0000}"/>
    <cellStyle name="Cálculo 7 2 9 3 6" xfId="7028" xr:uid="{00000000-0005-0000-0000-0000661B0000}"/>
    <cellStyle name="Cálculo 7 2 9 4" xfId="7029" xr:uid="{00000000-0005-0000-0000-0000671B0000}"/>
    <cellStyle name="Cálculo 7 2 9 4 2" xfId="7030" xr:uid="{00000000-0005-0000-0000-0000681B0000}"/>
    <cellStyle name="Cálculo 7 2 9 4 3" xfId="7031" xr:uid="{00000000-0005-0000-0000-0000691B0000}"/>
    <cellStyle name="Cálculo 7 2 9 4 4" xfId="7032" xr:uid="{00000000-0005-0000-0000-00006A1B0000}"/>
    <cellStyle name="Cálculo 7 2 9 5" xfId="7033" xr:uid="{00000000-0005-0000-0000-00006B1B0000}"/>
    <cellStyle name="Cálculo 7 2 9 6" xfId="7034" xr:uid="{00000000-0005-0000-0000-00006C1B0000}"/>
    <cellStyle name="Cálculo 7 3" xfId="7035" xr:uid="{00000000-0005-0000-0000-00006D1B0000}"/>
    <cellStyle name="Cálculo 7 3 10" xfId="7036" xr:uid="{00000000-0005-0000-0000-00006E1B0000}"/>
    <cellStyle name="Cálculo 7 3 10 2" xfId="7037" xr:uid="{00000000-0005-0000-0000-00006F1B0000}"/>
    <cellStyle name="Cálculo 7 3 10 2 2" xfId="7038" xr:uid="{00000000-0005-0000-0000-0000701B0000}"/>
    <cellStyle name="Cálculo 7 3 10 2 2 2" xfId="7039" xr:uid="{00000000-0005-0000-0000-0000711B0000}"/>
    <cellStyle name="Cálculo 7 3 10 2 2 3" xfId="7040" xr:uid="{00000000-0005-0000-0000-0000721B0000}"/>
    <cellStyle name="Cálculo 7 3 10 2 2 4" xfId="7041" xr:uid="{00000000-0005-0000-0000-0000731B0000}"/>
    <cellStyle name="Cálculo 7 3 10 2 3" xfId="7042" xr:uid="{00000000-0005-0000-0000-0000741B0000}"/>
    <cellStyle name="Cálculo 7 3 10 2 3 2" xfId="7043" xr:uid="{00000000-0005-0000-0000-0000751B0000}"/>
    <cellStyle name="Cálculo 7 3 10 2 3 3" xfId="7044" xr:uid="{00000000-0005-0000-0000-0000761B0000}"/>
    <cellStyle name="Cálculo 7 3 10 2 3 4" xfId="7045" xr:uid="{00000000-0005-0000-0000-0000771B0000}"/>
    <cellStyle name="Cálculo 7 3 10 2 4" xfId="7046" xr:uid="{00000000-0005-0000-0000-0000781B0000}"/>
    <cellStyle name="Cálculo 7 3 10 2 5" xfId="7047" xr:uid="{00000000-0005-0000-0000-0000791B0000}"/>
    <cellStyle name="Cálculo 7 3 10 2 6" xfId="7048" xr:uid="{00000000-0005-0000-0000-00007A1B0000}"/>
    <cellStyle name="Cálculo 7 3 10 3" xfId="7049" xr:uid="{00000000-0005-0000-0000-00007B1B0000}"/>
    <cellStyle name="Cálculo 7 3 10 3 2" xfId="7050" xr:uid="{00000000-0005-0000-0000-00007C1B0000}"/>
    <cellStyle name="Cálculo 7 3 10 3 2 2" xfId="7051" xr:uid="{00000000-0005-0000-0000-00007D1B0000}"/>
    <cellStyle name="Cálculo 7 3 10 3 2 3" xfId="7052" xr:uid="{00000000-0005-0000-0000-00007E1B0000}"/>
    <cellStyle name="Cálculo 7 3 10 3 2 4" xfId="7053" xr:uid="{00000000-0005-0000-0000-00007F1B0000}"/>
    <cellStyle name="Cálculo 7 3 10 3 3" xfId="7054" xr:uid="{00000000-0005-0000-0000-0000801B0000}"/>
    <cellStyle name="Cálculo 7 3 10 3 3 2" xfId="7055" xr:uid="{00000000-0005-0000-0000-0000811B0000}"/>
    <cellStyle name="Cálculo 7 3 10 3 3 3" xfId="7056" xr:uid="{00000000-0005-0000-0000-0000821B0000}"/>
    <cellStyle name="Cálculo 7 3 10 3 3 4" xfId="7057" xr:uid="{00000000-0005-0000-0000-0000831B0000}"/>
    <cellStyle name="Cálculo 7 3 10 3 4" xfId="7058" xr:uid="{00000000-0005-0000-0000-0000841B0000}"/>
    <cellStyle name="Cálculo 7 3 10 3 5" xfId="7059" xr:uid="{00000000-0005-0000-0000-0000851B0000}"/>
    <cellStyle name="Cálculo 7 3 10 3 6" xfId="7060" xr:uid="{00000000-0005-0000-0000-0000861B0000}"/>
    <cellStyle name="Cálculo 7 3 10 4" xfId="7061" xr:uid="{00000000-0005-0000-0000-0000871B0000}"/>
    <cellStyle name="Cálculo 7 3 10 5" xfId="7062" xr:uid="{00000000-0005-0000-0000-0000881B0000}"/>
    <cellStyle name="Cálculo 7 3 10 6" xfId="7063" xr:uid="{00000000-0005-0000-0000-0000891B0000}"/>
    <cellStyle name="Cálculo 7 3 11" xfId="7064" xr:uid="{00000000-0005-0000-0000-00008A1B0000}"/>
    <cellStyle name="Cálculo 7 3 12" xfId="7065" xr:uid="{00000000-0005-0000-0000-00008B1B0000}"/>
    <cellStyle name="Cálculo 7 3 2" xfId="7066" xr:uid="{00000000-0005-0000-0000-00008C1B0000}"/>
    <cellStyle name="Cálculo 7 3 2 2" xfId="7067" xr:uid="{00000000-0005-0000-0000-00008D1B0000}"/>
    <cellStyle name="Cálculo 7 3 2 2 2" xfId="7068" xr:uid="{00000000-0005-0000-0000-00008E1B0000}"/>
    <cellStyle name="Cálculo 7 3 2 2 2 2" xfId="7069" xr:uid="{00000000-0005-0000-0000-00008F1B0000}"/>
    <cellStyle name="Cálculo 7 3 2 2 2 2 2" xfId="7070" xr:uid="{00000000-0005-0000-0000-0000901B0000}"/>
    <cellStyle name="Cálculo 7 3 2 2 2 2 3" xfId="7071" xr:uid="{00000000-0005-0000-0000-0000911B0000}"/>
    <cellStyle name="Cálculo 7 3 2 2 2 2 4" xfId="7072" xr:uid="{00000000-0005-0000-0000-0000921B0000}"/>
    <cellStyle name="Cálculo 7 3 2 2 2 3" xfId="7073" xr:uid="{00000000-0005-0000-0000-0000931B0000}"/>
    <cellStyle name="Cálculo 7 3 2 2 2 3 2" xfId="7074" xr:uid="{00000000-0005-0000-0000-0000941B0000}"/>
    <cellStyle name="Cálculo 7 3 2 2 2 3 3" xfId="7075" xr:uid="{00000000-0005-0000-0000-0000951B0000}"/>
    <cellStyle name="Cálculo 7 3 2 2 2 3 4" xfId="7076" xr:uid="{00000000-0005-0000-0000-0000961B0000}"/>
    <cellStyle name="Cálculo 7 3 2 2 2 4" xfId="7077" xr:uid="{00000000-0005-0000-0000-0000971B0000}"/>
    <cellStyle name="Cálculo 7 3 2 2 2 5" xfId="7078" xr:uid="{00000000-0005-0000-0000-0000981B0000}"/>
    <cellStyle name="Cálculo 7 3 2 2 2 6" xfId="7079" xr:uid="{00000000-0005-0000-0000-0000991B0000}"/>
    <cellStyle name="Cálculo 7 3 2 2 3" xfId="7080" xr:uid="{00000000-0005-0000-0000-00009A1B0000}"/>
    <cellStyle name="Cálculo 7 3 2 2 3 2" xfId="7081" xr:uid="{00000000-0005-0000-0000-00009B1B0000}"/>
    <cellStyle name="Cálculo 7 3 2 2 3 2 2" xfId="7082" xr:uid="{00000000-0005-0000-0000-00009C1B0000}"/>
    <cellStyle name="Cálculo 7 3 2 2 3 2 3" xfId="7083" xr:uid="{00000000-0005-0000-0000-00009D1B0000}"/>
    <cellStyle name="Cálculo 7 3 2 2 3 2 4" xfId="7084" xr:uid="{00000000-0005-0000-0000-00009E1B0000}"/>
    <cellStyle name="Cálculo 7 3 2 2 3 3" xfId="7085" xr:uid="{00000000-0005-0000-0000-00009F1B0000}"/>
    <cellStyle name="Cálculo 7 3 2 2 3 3 2" xfId="7086" xr:uid="{00000000-0005-0000-0000-0000A01B0000}"/>
    <cellStyle name="Cálculo 7 3 2 2 3 3 3" xfId="7087" xr:uid="{00000000-0005-0000-0000-0000A11B0000}"/>
    <cellStyle name="Cálculo 7 3 2 2 3 3 4" xfId="7088" xr:uid="{00000000-0005-0000-0000-0000A21B0000}"/>
    <cellStyle name="Cálculo 7 3 2 2 3 4" xfId="7089" xr:uid="{00000000-0005-0000-0000-0000A31B0000}"/>
    <cellStyle name="Cálculo 7 3 2 2 3 5" xfId="7090" xr:uid="{00000000-0005-0000-0000-0000A41B0000}"/>
    <cellStyle name="Cálculo 7 3 2 2 3 6" xfId="7091" xr:uid="{00000000-0005-0000-0000-0000A51B0000}"/>
    <cellStyle name="Cálculo 7 3 2 2 4" xfId="7092" xr:uid="{00000000-0005-0000-0000-0000A61B0000}"/>
    <cellStyle name="Cálculo 7 3 2 2 5" xfId="7093" xr:uid="{00000000-0005-0000-0000-0000A71B0000}"/>
    <cellStyle name="Cálculo 7 3 2 2 6" xfId="7094" xr:uid="{00000000-0005-0000-0000-0000A81B0000}"/>
    <cellStyle name="Cálculo 7 3 2 3" xfId="7095" xr:uid="{00000000-0005-0000-0000-0000A91B0000}"/>
    <cellStyle name="Cálculo 7 3 2 4" xfId="7096" xr:uid="{00000000-0005-0000-0000-0000AA1B0000}"/>
    <cellStyle name="Cálculo 7 3 3" xfId="7097" xr:uid="{00000000-0005-0000-0000-0000AB1B0000}"/>
    <cellStyle name="Cálculo 7 3 3 2" xfId="7098" xr:uid="{00000000-0005-0000-0000-0000AC1B0000}"/>
    <cellStyle name="Cálculo 7 3 3 2 2" xfId="7099" xr:uid="{00000000-0005-0000-0000-0000AD1B0000}"/>
    <cellStyle name="Cálculo 7 3 3 2 2 2" xfId="7100" xr:uid="{00000000-0005-0000-0000-0000AE1B0000}"/>
    <cellStyle name="Cálculo 7 3 3 2 2 2 2" xfId="7101" xr:uid="{00000000-0005-0000-0000-0000AF1B0000}"/>
    <cellStyle name="Cálculo 7 3 3 2 2 2 3" xfId="7102" xr:uid="{00000000-0005-0000-0000-0000B01B0000}"/>
    <cellStyle name="Cálculo 7 3 3 2 2 2 4" xfId="7103" xr:uid="{00000000-0005-0000-0000-0000B11B0000}"/>
    <cellStyle name="Cálculo 7 3 3 2 2 3" xfId="7104" xr:uid="{00000000-0005-0000-0000-0000B21B0000}"/>
    <cellStyle name="Cálculo 7 3 3 2 2 3 2" xfId="7105" xr:uid="{00000000-0005-0000-0000-0000B31B0000}"/>
    <cellStyle name="Cálculo 7 3 3 2 2 3 3" xfId="7106" xr:uid="{00000000-0005-0000-0000-0000B41B0000}"/>
    <cellStyle name="Cálculo 7 3 3 2 2 3 4" xfId="7107" xr:uid="{00000000-0005-0000-0000-0000B51B0000}"/>
    <cellStyle name="Cálculo 7 3 3 2 2 4" xfId="7108" xr:uid="{00000000-0005-0000-0000-0000B61B0000}"/>
    <cellStyle name="Cálculo 7 3 3 2 2 5" xfId="7109" xr:uid="{00000000-0005-0000-0000-0000B71B0000}"/>
    <cellStyle name="Cálculo 7 3 3 2 2 6" xfId="7110" xr:uid="{00000000-0005-0000-0000-0000B81B0000}"/>
    <cellStyle name="Cálculo 7 3 3 2 3" xfId="7111" xr:uid="{00000000-0005-0000-0000-0000B91B0000}"/>
    <cellStyle name="Cálculo 7 3 3 2 3 2" xfId="7112" xr:uid="{00000000-0005-0000-0000-0000BA1B0000}"/>
    <cellStyle name="Cálculo 7 3 3 2 3 2 2" xfId="7113" xr:uid="{00000000-0005-0000-0000-0000BB1B0000}"/>
    <cellStyle name="Cálculo 7 3 3 2 3 2 3" xfId="7114" xr:uid="{00000000-0005-0000-0000-0000BC1B0000}"/>
    <cellStyle name="Cálculo 7 3 3 2 3 2 4" xfId="7115" xr:uid="{00000000-0005-0000-0000-0000BD1B0000}"/>
    <cellStyle name="Cálculo 7 3 3 2 3 3" xfId="7116" xr:uid="{00000000-0005-0000-0000-0000BE1B0000}"/>
    <cellStyle name="Cálculo 7 3 3 2 3 3 2" xfId="7117" xr:uid="{00000000-0005-0000-0000-0000BF1B0000}"/>
    <cellStyle name="Cálculo 7 3 3 2 3 3 3" xfId="7118" xr:uid="{00000000-0005-0000-0000-0000C01B0000}"/>
    <cellStyle name="Cálculo 7 3 3 2 3 3 4" xfId="7119" xr:uid="{00000000-0005-0000-0000-0000C11B0000}"/>
    <cellStyle name="Cálculo 7 3 3 2 3 4" xfId="7120" xr:uid="{00000000-0005-0000-0000-0000C21B0000}"/>
    <cellStyle name="Cálculo 7 3 3 2 3 5" xfId="7121" xr:uid="{00000000-0005-0000-0000-0000C31B0000}"/>
    <cellStyle name="Cálculo 7 3 3 2 3 6" xfId="7122" xr:uid="{00000000-0005-0000-0000-0000C41B0000}"/>
    <cellStyle name="Cálculo 7 3 3 2 4" xfId="7123" xr:uid="{00000000-0005-0000-0000-0000C51B0000}"/>
    <cellStyle name="Cálculo 7 3 3 2 5" xfId="7124" xr:uid="{00000000-0005-0000-0000-0000C61B0000}"/>
    <cellStyle name="Cálculo 7 3 3 2 6" xfId="7125" xr:uid="{00000000-0005-0000-0000-0000C71B0000}"/>
    <cellStyle name="Cálculo 7 3 3 3" xfId="7126" xr:uid="{00000000-0005-0000-0000-0000C81B0000}"/>
    <cellStyle name="Cálculo 7 3 3 4" xfId="7127" xr:uid="{00000000-0005-0000-0000-0000C91B0000}"/>
    <cellStyle name="Cálculo 7 3 4" xfId="7128" xr:uid="{00000000-0005-0000-0000-0000CA1B0000}"/>
    <cellStyle name="Cálculo 7 3 4 2" xfId="7129" xr:uid="{00000000-0005-0000-0000-0000CB1B0000}"/>
    <cellStyle name="Cálculo 7 3 4 2 2" xfId="7130" xr:uid="{00000000-0005-0000-0000-0000CC1B0000}"/>
    <cellStyle name="Cálculo 7 3 4 2 2 2" xfId="7131" xr:uid="{00000000-0005-0000-0000-0000CD1B0000}"/>
    <cellStyle name="Cálculo 7 3 4 2 2 2 2" xfId="7132" xr:uid="{00000000-0005-0000-0000-0000CE1B0000}"/>
    <cellStyle name="Cálculo 7 3 4 2 2 2 3" xfId="7133" xr:uid="{00000000-0005-0000-0000-0000CF1B0000}"/>
    <cellStyle name="Cálculo 7 3 4 2 2 2 4" xfId="7134" xr:uid="{00000000-0005-0000-0000-0000D01B0000}"/>
    <cellStyle name="Cálculo 7 3 4 2 2 3" xfId="7135" xr:uid="{00000000-0005-0000-0000-0000D11B0000}"/>
    <cellStyle name="Cálculo 7 3 4 2 2 3 2" xfId="7136" xr:uid="{00000000-0005-0000-0000-0000D21B0000}"/>
    <cellStyle name="Cálculo 7 3 4 2 2 3 3" xfId="7137" xr:uid="{00000000-0005-0000-0000-0000D31B0000}"/>
    <cellStyle name="Cálculo 7 3 4 2 2 3 4" xfId="7138" xr:uid="{00000000-0005-0000-0000-0000D41B0000}"/>
    <cellStyle name="Cálculo 7 3 4 2 2 4" xfId="7139" xr:uid="{00000000-0005-0000-0000-0000D51B0000}"/>
    <cellStyle name="Cálculo 7 3 4 2 2 5" xfId="7140" xr:uid="{00000000-0005-0000-0000-0000D61B0000}"/>
    <cellStyle name="Cálculo 7 3 4 2 2 6" xfId="7141" xr:uid="{00000000-0005-0000-0000-0000D71B0000}"/>
    <cellStyle name="Cálculo 7 3 4 2 3" xfId="7142" xr:uid="{00000000-0005-0000-0000-0000D81B0000}"/>
    <cellStyle name="Cálculo 7 3 4 2 3 2" xfId="7143" xr:uid="{00000000-0005-0000-0000-0000D91B0000}"/>
    <cellStyle name="Cálculo 7 3 4 2 3 2 2" xfId="7144" xr:uid="{00000000-0005-0000-0000-0000DA1B0000}"/>
    <cellStyle name="Cálculo 7 3 4 2 3 2 3" xfId="7145" xr:uid="{00000000-0005-0000-0000-0000DB1B0000}"/>
    <cellStyle name="Cálculo 7 3 4 2 3 2 4" xfId="7146" xr:uid="{00000000-0005-0000-0000-0000DC1B0000}"/>
    <cellStyle name="Cálculo 7 3 4 2 3 3" xfId="7147" xr:uid="{00000000-0005-0000-0000-0000DD1B0000}"/>
    <cellStyle name="Cálculo 7 3 4 2 3 3 2" xfId="7148" xr:uid="{00000000-0005-0000-0000-0000DE1B0000}"/>
    <cellStyle name="Cálculo 7 3 4 2 3 3 3" xfId="7149" xr:uid="{00000000-0005-0000-0000-0000DF1B0000}"/>
    <cellStyle name="Cálculo 7 3 4 2 3 3 4" xfId="7150" xr:uid="{00000000-0005-0000-0000-0000E01B0000}"/>
    <cellStyle name="Cálculo 7 3 4 2 3 4" xfId="7151" xr:uid="{00000000-0005-0000-0000-0000E11B0000}"/>
    <cellStyle name="Cálculo 7 3 4 2 3 5" xfId="7152" xr:uid="{00000000-0005-0000-0000-0000E21B0000}"/>
    <cellStyle name="Cálculo 7 3 4 2 3 6" xfId="7153" xr:uid="{00000000-0005-0000-0000-0000E31B0000}"/>
    <cellStyle name="Cálculo 7 3 4 2 4" xfId="7154" xr:uid="{00000000-0005-0000-0000-0000E41B0000}"/>
    <cellStyle name="Cálculo 7 3 4 2 5" xfId="7155" xr:uid="{00000000-0005-0000-0000-0000E51B0000}"/>
    <cellStyle name="Cálculo 7 3 4 2 6" xfId="7156" xr:uid="{00000000-0005-0000-0000-0000E61B0000}"/>
    <cellStyle name="Cálculo 7 3 4 3" xfId="7157" xr:uid="{00000000-0005-0000-0000-0000E71B0000}"/>
    <cellStyle name="Cálculo 7 3 4 4" xfId="7158" xr:uid="{00000000-0005-0000-0000-0000E81B0000}"/>
    <cellStyle name="Cálculo 7 3 5" xfId="7159" xr:uid="{00000000-0005-0000-0000-0000E91B0000}"/>
    <cellStyle name="Cálculo 7 3 5 2" xfId="7160" xr:uid="{00000000-0005-0000-0000-0000EA1B0000}"/>
    <cellStyle name="Cálculo 7 3 5 2 2" xfId="7161" xr:uid="{00000000-0005-0000-0000-0000EB1B0000}"/>
    <cellStyle name="Cálculo 7 3 5 2 2 2" xfId="7162" xr:uid="{00000000-0005-0000-0000-0000EC1B0000}"/>
    <cellStyle name="Cálculo 7 3 5 2 2 2 2" xfId="7163" xr:uid="{00000000-0005-0000-0000-0000ED1B0000}"/>
    <cellStyle name="Cálculo 7 3 5 2 2 2 3" xfId="7164" xr:uid="{00000000-0005-0000-0000-0000EE1B0000}"/>
    <cellStyle name="Cálculo 7 3 5 2 2 2 4" xfId="7165" xr:uid="{00000000-0005-0000-0000-0000EF1B0000}"/>
    <cellStyle name="Cálculo 7 3 5 2 2 3" xfId="7166" xr:uid="{00000000-0005-0000-0000-0000F01B0000}"/>
    <cellStyle name="Cálculo 7 3 5 2 2 3 2" xfId="7167" xr:uid="{00000000-0005-0000-0000-0000F11B0000}"/>
    <cellStyle name="Cálculo 7 3 5 2 2 3 3" xfId="7168" xr:uid="{00000000-0005-0000-0000-0000F21B0000}"/>
    <cellStyle name="Cálculo 7 3 5 2 2 3 4" xfId="7169" xr:uid="{00000000-0005-0000-0000-0000F31B0000}"/>
    <cellStyle name="Cálculo 7 3 5 2 2 4" xfId="7170" xr:uid="{00000000-0005-0000-0000-0000F41B0000}"/>
    <cellStyle name="Cálculo 7 3 5 2 2 5" xfId="7171" xr:uid="{00000000-0005-0000-0000-0000F51B0000}"/>
    <cellStyle name="Cálculo 7 3 5 2 2 6" xfId="7172" xr:uid="{00000000-0005-0000-0000-0000F61B0000}"/>
    <cellStyle name="Cálculo 7 3 5 2 3" xfId="7173" xr:uid="{00000000-0005-0000-0000-0000F71B0000}"/>
    <cellStyle name="Cálculo 7 3 5 2 3 2" xfId="7174" xr:uid="{00000000-0005-0000-0000-0000F81B0000}"/>
    <cellStyle name="Cálculo 7 3 5 2 3 2 2" xfId="7175" xr:uid="{00000000-0005-0000-0000-0000F91B0000}"/>
    <cellStyle name="Cálculo 7 3 5 2 3 2 3" xfId="7176" xr:uid="{00000000-0005-0000-0000-0000FA1B0000}"/>
    <cellStyle name="Cálculo 7 3 5 2 3 2 4" xfId="7177" xr:uid="{00000000-0005-0000-0000-0000FB1B0000}"/>
    <cellStyle name="Cálculo 7 3 5 2 3 3" xfId="7178" xr:uid="{00000000-0005-0000-0000-0000FC1B0000}"/>
    <cellStyle name="Cálculo 7 3 5 2 3 3 2" xfId="7179" xr:uid="{00000000-0005-0000-0000-0000FD1B0000}"/>
    <cellStyle name="Cálculo 7 3 5 2 3 3 3" xfId="7180" xr:uid="{00000000-0005-0000-0000-0000FE1B0000}"/>
    <cellStyle name="Cálculo 7 3 5 2 3 3 4" xfId="7181" xr:uid="{00000000-0005-0000-0000-0000FF1B0000}"/>
    <cellStyle name="Cálculo 7 3 5 2 3 4" xfId="7182" xr:uid="{00000000-0005-0000-0000-0000001C0000}"/>
    <cellStyle name="Cálculo 7 3 5 2 3 5" xfId="7183" xr:uid="{00000000-0005-0000-0000-0000011C0000}"/>
    <cellStyle name="Cálculo 7 3 5 2 3 6" xfId="7184" xr:uid="{00000000-0005-0000-0000-0000021C0000}"/>
    <cellStyle name="Cálculo 7 3 5 2 4" xfId="7185" xr:uid="{00000000-0005-0000-0000-0000031C0000}"/>
    <cellStyle name="Cálculo 7 3 5 2 5" xfId="7186" xr:uid="{00000000-0005-0000-0000-0000041C0000}"/>
    <cellStyle name="Cálculo 7 3 5 2 6" xfId="7187" xr:uid="{00000000-0005-0000-0000-0000051C0000}"/>
    <cellStyle name="Cálculo 7 3 5 3" xfId="7188" xr:uid="{00000000-0005-0000-0000-0000061C0000}"/>
    <cellStyle name="Cálculo 7 3 5 4" xfId="7189" xr:uid="{00000000-0005-0000-0000-0000071C0000}"/>
    <cellStyle name="Cálculo 7 3 6" xfId="7190" xr:uid="{00000000-0005-0000-0000-0000081C0000}"/>
    <cellStyle name="Cálculo 7 3 6 2" xfId="7191" xr:uid="{00000000-0005-0000-0000-0000091C0000}"/>
    <cellStyle name="Cálculo 7 3 6 2 2" xfId="7192" xr:uid="{00000000-0005-0000-0000-00000A1C0000}"/>
    <cellStyle name="Cálculo 7 3 6 2 2 2" xfId="7193" xr:uid="{00000000-0005-0000-0000-00000B1C0000}"/>
    <cellStyle name="Cálculo 7 3 6 2 2 3" xfId="7194" xr:uid="{00000000-0005-0000-0000-00000C1C0000}"/>
    <cellStyle name="Cálculo 7 3 6 2 2 4" xfId="7195" xr:uid="{00000000-0005-0000-0000-00000D1C0000}"/>
    <cellStyle name="Cálculo 7 3 6 2 3" xfId="7196" xr:uid="{00000000-0005-0000-0000-00000E1C0000}"/>
    <cellStyle name="Cálculo 7 3 6 2 3 2" xfId="7197" xr:uid="{00000000-0005-0000-0000-00000F1C0000}"/>
    <cellStyle name="Cálculo 7 3 6 2 3 3" xfId="7198" xr:uid="{00000000-0005-0000-0000-0000101C0000}"/>
    <cellStyle name="Cálculo 7 3 6 2 3 4" xfId="7199" xr:uid="{00000000-0005-0000-0000-0000111C0000}"/>
    <cellStyle name="Cálculo 7 3 6 2 4" xfId="7200" xr:uid="{00000000-0005-0000-0000-0000121C0000}"/>
    <cellStyle name="Cálculo 7 3 6 2 5" xfId="7201" xr:uid="{00000000-0005-0000-0000-0000131C0000}"/>
    <cellStyle name="Cálculo 7 3 6 2 6" xfId="7202" xr:uid="{00000000-0005-0000-0000-0000141C0000}"/>
    <cellStyle name="Cálculo 7 3 6 3" xfId="7203" xr:uid="{00000000-0005-0000-0000-0000151C0000}"/>
    <cellStyle name="Cálculo 7 3 6 3 2" xfId="7204" xr:uid="{00000000-0005-0000-0000-0000161C0000}"/>
    <cellStyle name="Cálculo 7 3 6 3 2 2" xfId="7205" xr:uid="{00000000-0005-0000-0000-0000171C0000}"/>
    <cellStyle name="Cálculo 7 3 6 3 2 3" xfId="7206" xr:uid="{00000000-0005-0000-0000-0000181C0000}"/>
    <cellStyle name="Cálculo 7 3 6 3 2 4" xfId="7207" xr:uid="{00000000-0005-0000-0000-0000191C0000}"/>
    <cellStyle name="Cálculo 7 3 6 3 3" xfId="7208" xr:uid="{00000000-0005-0000-0000-00001A1C0000}"/>
    <cellStyle name="Cálculo 7 3 6 3 3 2" xfId="7209" xr:uid="{00000000-0005-0000-0000-00001B1C0000}"/>
    <cellStyle name="Cálculo 7 3 6 3 3 3" xfId="7210" xr:uid="{00000000-0005-0000-0000-00001C1C0000}"/>
    <cellStyle name="Cálculo 7 3 6 3 3 4" xfId="7211" xr:uid="{00000000-0005-0000-0000-00001D1C0000}"/>
    <cellStyle name="Cálculo 7 3 6 3 4" xfId="7212" xr:uid="{00000000-0005-0000-0000-00001E1C0000}"/>
    <cellStyle name="Cálculo 7 3 6 3 5" xfId="7213" xr:uid="{00000000-0005-0000-0000-00001F1C0000}"/>
    <cellStyle name="Cálculo 7 3 6 3 6" xfId="7214" xr:uid="{00000000-0005-0000-0000-0000201C0000}"/>
    <cellStyle name="Cálculo 7 3 6 4" xfId="7215" xr:uid="{00000000-0005-0000-0000-0000211C0000}"/>
    <cellStyle name="Cálculo 7 3 6 4 2" xfId="7216" xr:uid="{00000000-0005-0000-0000-0000221C0000}"/>
    <cellStyle name="Cálculo 7 3 6 4 3" xfId="7217" xr:uid="{00000000-0005-0000-0000-0000231C0000}"/>
    <cellStyle name="Cálculo 7 3 6 4 4" xfId="7218" xr:uid="{00000000-0005-0000-0000-0000241C0000}"/>
    <cellStyle name="Cálculo 7 3 6 5" xfId="7219" xr:uid="{00000000-0005-0000-0000-0000251C0000}"/>
    <cellStyle name="Cálculo 7 3 6 6" xfId="7220" xr:uid="{00000000-0005-0000-0000-0000261C0000}"/>
    <cellStyle name="Cálculo 7 3 7" xfId="7221" xr:uid="{00000000-0005-0000-0000-0000271C0000}"/>
    <cellStyle name="Cálculo 7 3 7 2" xfId="7222" xr:uid="{00000000-0005-0000-0000-0000281C0000}"/>
    <cellStyle name="Cálculo 7 3 7 2 2" xfId="7223" xr:uid="{00000000-0005-0000-0000-0000291C0000}"/>
    <cellStyle name="Cálculo 7 3 7 2 2 2" xfId="7224" xr:uid="{00000000-0005-0000-0000-00002A1C0000}"/>
    <cellStyle name="Cálculo 7 3 7 2 2 3" xfId="7225" xr:uid="{00000000-0005-0000-0000-00002B1C0000}"/>
    <cellStyle name="Cálculo 7 3 7 2 2 4" xfId="7226" xr:uid="{00000000-0005-0000-0000-00002C1C0000}"/>
    <cellStyle name="Cálculo 7 3 7 2 3" xfId="7227" xr:uid="{00000000-0005-0000-0000-00002D1C0000}"/>
    <cellStyle name="Cálculo 7 3 7 2 3 2" xfId="7228" xr:uid="{00000000-0005-0000-0000-00002E1C0000}"/>
    <cellStyle name="Cálculo 7 3 7 2 3 3" xfId="7229" xr:uid="{00000000-0005-0000-0000-00002F1C0000}"/>
    <cellStyle name="Cálculo 7 3 7 2 3 4" xfId="7230" xr:uid="{00000000-0005-0000-0000-0000301C0000}"/>
    <cellStyle name="Cálculo 7 3 7 2 4" xfId="7231" xr:uid="{00000000-0005-0000-0000-0000311C0000}"/>
    <cellStyle name="Cálculo 7 3 7 2 5" xfId="7232" xr:uid="{00000000-0005-0000-0000-0000321C0000}"/>
    <cellStyle name="Cálculo 7 3 7 2 6" xfId="7233" xr:uid="{00000000-0005-0000-0000-0000331C0000}"/>
    <cellStyle name="Cálculo 7 3 7 3" xfId="7234" xr:uid="{00000000-0005-0000-0000-0000341C0000}"/>
    <cellStyle name="Cálculo 7 3 7 3 2" xfId="7235" xr:uid="{00000000-0005-0000-0000-0000351C0000}"/>
    <cellStyle name="Cálculo 7 3 7 3 2 2" xfId="7236" xr:uid="{00000000-0005-0000-0000-0000361C0000}"/>
    <cellStyle name="Cálculo 7 3 7 3 2 3" xfId="7237" xr:uid="{00000000-0005-0000-0000-0000371C0000}"/>
    <cellStyle name="Cálculo 7 3 7 3 2 4" xfId="7238" xr:uid="{00000000-0005-0000-0000-0000381C0000}"/>
    <cellStyle name="Cálculo 7 3 7 3 3" xfId="7239" xr:uid="{00000000-0005-0000-0000-0000391C0000}"/>
    <cellStyle name="Cálculo 7 3 7 3 3 2" xfId="7240" xr:uid="{00000000-0005-0000-0000-00003A1C0000}"/>
    <cellStyle name="Cálculo 7 3 7 3 3 3" xfId="7241" xr:uid="{00000000-0005-0000-0000-00003B1C0000}"/>
    <cellStyle name="Cálculo 7 3 7 3 3 4" xfId="7242" xr:uid="{00000000-0005-0000-0000-00003C1C0000}"/>
    <cellStyle name="Cálculo 7 3 7 3 4" xfId="7243" xr:uid="{00000000-0005-0000-0000-00003D1C0000}"/>
    <cellStyle name="Cálculo 7 3 7 3 5" xfId="7244" xr:uid="{00000000-0005-0000-0000-00003E1C0000}"/>
    <cellStyle name="Cálculo 7 3 7 3 6" xfId="7245" xr:uid="{00000000-0005-0000-0000-00003F1C0000}"/>
    <cellStyle name="Cálculo 7 3 7 4" xfId="7246" xr:uid="{00000000-0005-0000-0000-0000401C0000}"/>
    <cellStyle name="Cálculo 7 3 7 4 2" xfId="7247" xr:uid="{00000000-0005-0000-0000-0000411C0000}"/>
    <cellStyle name="Cálculo 7 3 7 4 3" xfId="7248" xr:uid="{00000000-0005-0000-0000-0000421C0000}"/>
    <cellStyle name="Cálculo 7 3 7 4 4" xfId="7249" xr:uid="{00000000-0005-0000-0000-0000431C0000}"/>
    <cellStyle name="Cálculo 7 3 7 5" xfId="7250" xr:uid="{00000000-0005-0000-0000-0000441C0000}"/>
    <cellStyle name="Cálculo 7 3 7 6" xfId="7251" xr:uid="{00000000-0005-0000-0000-0000451C0000}"/>
    <cellStyle name="Cálculo 7 3 8" xfId="7252" xr:uid="{00000000-0005-0000-0000-0000461C0000}"/>
    <cellStyle name="Cálculo 7 3 8 2" xfId="7253" xr:uid="{00000000-0005-0000-0000-0000471C0000}"/>
    <cellStyle name="Cálculo 7 3 8 2 2" xfId="7254" xr:uid="{00000000-0005-0000-0000-0000481C0000}"/>
    <cellStyle name="Cálculo 7 3 8 2 2 2" xfId="7255" xr:uid="{00000000-0005-0000-0000-0000491C0000}"/>
    <cellStyle name="Cálculo 7 3 8 2 2 3" xfId="7256" xr:uid="{00000000-0005-0000-0000-00004A1C0000}"/>
    <cellStyle name="Cálculo 7 3 8 2 2 4" xfId="7257" xr:uid="{00000000-0005-0000-0000-00004B1C0000}"/>
    <cellStyle name="Cálculo 7 3 8 2 3" xfId="7258" xr:uid="{00000000-0005-0000-0000-00004C1C0000}"/>
    <cellStyle name="Cálculo 7 3 8 2 3 2" xfId="7259" xr:uid="{00000000-0005-0000-0000-00004D1C0000}"/>
    <cellStyle name="Cálculo 7 3 8 2 3 3" xfId="7260" xr:uid="{00000000-0005-0000-0000-00004E1C0000}"/>
    <cellStyle name="Cálculo 7 3 8 2 3 4" xfId="7261" xr:uid="{00000000-0005-0000-0000-00004F1C0000}"/>
    <cellStyle name="Cálculo 7 3 8 2 4" xfId="7262" xr:uid="{00000000-0005-0000-0000-0000501C0000}"/>
    <cellStyle name="Cálculo 7 3 8 2 5" xfId="7263" xr:uid="{00000000-0005-0000-0000-0000511C0000}"/>
    <cellStyle name="Cálculo 7 3 8 2 6" xfId="7264" xr:uid="{00000000-0005-0000-0000-0000521C0000}"/>
    <cellStyle name="Cálculo 7 3 8 3" xfId="7265" xr:uid="{00000000-0005-0000-0000-0000531C0000}"/>
    <cellStyle name="Cálculo 7 3 8 3 2" xfId="7266" xr:uid="{00000000-0005-0000-0000-0000541C0000}"/>
    <cellStyle name="Cálculo 7 3 8 3 2 2" xfId="7267" xr:uid="{00000000-0005-0000-0000-0000551C0000}"/>
    <cellStyle name="Cálculo 7 3 8 3 2 3" xfId="7268" xr:uid="{00000000-0005-0000-0000-0000561C0000}"/>
    <cellStyle name="Cálculo 7 3 8 3 2 4" xfId="7269" xr:uid="{00000000-0005-0000-0000-0000571C0000}"/>
    <cellStyle name="Cálculo 7 3 8 3 3" xfId="7270" xr:uid="{00000000-0005-0000-0000-0000581C0000}"/>
    <cellStyle name="Cálculo 7 3 8 3 3 2" xfId="7271" xr:uid="{00000000-0005-0000-0000-0000591C0000}"/>
    <cellStyle name="Cálculo 7 3 8 3 3 3" xfId="7272" xr:uid="{00000000-0005-0000-0000-00005A1C0000}"/>
    <cellStyle name="Cálculo 7 3 8 3 3 4" xfId="7273" xr:uid="{00000000-0005-0000-0000-00005B1C0000}"/>
    <cellStyle name="Cálculo 7 3 8 3 4" xfId="7274" xr:uid="{00000000-0005-0000-0000-00005C1C0000}"/>
    <cellStyle name="Cálculo 7 3 8 3 5" xfId="7275" xr:uid="{00000000-0005-0000-0000-00005D1C0000}"/>
    <cellStyle name="Cálculo 7 3 8 3 6" xfId="7276" xr:uid="{00000000-0005-0000-0000-00005E1C0000}"/>
    <cellStyle name="Cálculo 7 3 8 4" xfId="7277" xr:uid="{00000000-0005-0000-0000-00005F1C0000}"/>
    <cellStyle name="Cálculo 7 3 8 4 2" xfId="7278" xr:uid="{00000000-0005-0000-0000-0000601C0000}"/>
    <cellStyle name="Cálculo 7 3 8 4 3" xfId="7279" xr:uid="{00000000-0005-0000-0000-0000611C0000}"/>
    <cellStyle name="Cálculo 7 3 8 4 4" xfId="7280" xr:uid="{00000000-0005-0000-0000-0000621C0000}"/>
    <cellStyle name="Cálculo 7 3 8 5" xfId="7281" xr:uid="{00000000-0005-0000-0000-0000631C0000}"/>
    <cellStyle name="Cálculo 7 3 8 6" xfId="7282" xr:uid="{00000000-0005-0000-0000-0000641C0000}"/>
    <cellStyle name="Cálculo 7 3 9" xfId="7283" xr:uid="{00000000-0005-0000-0000-0000651C0000}"/>
    <cellStyle name="Cálculo 7 3 9 2" xfId="7284" xr:uid="{00000000-0005-0000-0000-0000661C0000}"/>
    <cellStyle name="Cálculo 7 3 9 2 2" xfId="7285" xr:uid="{00000000-0005-0000-0000-0000671C0000}"/>
    <cellStyle name="Cálculo 7 3 9 2 2 2" xfId="7286" xr:uid="{00000000-0005-0000-0000-0000681C0000}"/>
    <cellStyle name="Cálculo 7 3 9 2 2 3" xfId="7287" xr:uid="{00000000-0005-0000-0000-0000691C0000}"/>
    <cellStyle name="Cálculo 7 3 9 2 2 4" xfId="7288" xr:uid="{00000000-0005-0000-0000-00006A1C0000}"/>
    <cellStyle name="Cálculo 7 3 9 2 3" xfId="7289" xr:uid="{00000000-0005-0000-0000-00006B1C0000}"/>
    <cellStyle name="Cálculo 7 3 9 2 3 2" xfId="7290" xr:uid="{00000000-0005-0000-0000-00006C1C0000}"/>
    <cellStyle name="Cálculo 7 3 9 2 3 3" xfId="7291" xr:uid="{00000000-0005-0000-0000-00006D1C0000}"/>
    <cellStyle name="Cálculo 7 3 9 2 3 4" xfId="7292" xr:uid="{00000000-0005-0000-0000-00006E1C0000}"/>
    <cellStyle name="Cálculo 7 3 9 2 4" xfId="7293" xr:uid="{00000000-0005-0000-0000-00006F1C0000}"/>
    <cellStyle name="Cálculo 7 3 9 2 5" xfId="7294" xr:uid="{00000000-0005-0000-0000-0000701C0000}"/>
    <cellStyle name="Cálculo 7 3 9 2 6" xfId="7295" xr:uid="{00000000-0005-0000-0000-0000711C0000}"/>
    <cellStyle name="Cálculo 7 3 9 3" xfId="7296" xr:uid="{00000000-0005-0000-0000-0000721C0000}"/>
    <cellStyle name="Cálculo 7 3 9 3 2" xfId="7297" xr:uid="{00000000-0005-0000-0000-0000731C0000}"/>
    <cellStyle name="Cálculo 7 3 9 3 2 2" xfId="7298" xr:uid="{00000000-0005-0000-0000-0000741C0000}"/>
    <cellStyle name="Cálculo 7 3 9 3 2 3" xfId="7299" xr:uid="{00000000-0005-0000-0000-0000751C0000}"/>
    <cellStyle name="Cálculo 7 3 9 3 2 4" xfId="7300" xr:uid="{00000000-0005-0000-0000-0000761C0000}"/>
    <cellStyle name="Cálculo 7 3 9 3 3" xfId="7301" xr:uid="{00000000-0005-0000-0000-0000771C0000}"/>
    <cellStyle name="Cálculo 7 3 9 3 3 2" xfId="7302" xr:uid="{00000000-0005-0000-0000-0000781C0000}"/>
    <cellStyle name="Cálculo 7 3 9 3 3 3" xfId="7303" xr:uid="{00000000-0005-0000-0000-0000791C0000}"/>
    <cellStyle name="Cálculo 7 3 9 3 3 4" xfId="7304" xr:uid="{00000000-0005-0000-0000-00007A1C0000}"/>
    <cellStyle name="Cálculo 7 3 9 3 4" xfId="7305" xr:uid="{00000000-0005-0000-0000-00007B1C0000}"/>
    <cellStyle name="Cálculo 7 3 9 3 5" xfId="7306" xr:uid="{00000000-0005-0000-0000-00007C1C0000}"/>
    <cellStyle name="Cálculo 7 3 9 3 6" xfId="7307" xr:uid="{00000000-0005-0000-0000-00007D1C0000}"/>
    <cellStyle name="Cálculo 7 3 9 4" xfId="7308" xr:uid="{00000000-0005-0000-0000-00007E1C0000}"/>
    <cellStyle name="Cálculo 7 3 9 4 2" xfId="7309" xr:uid="{00000000-0005-0000-0000-00007F1C0000}"/>
    <cellStyle name="Cálculo 7 3 9 4 3" xfId="7310" xr:uid="{00000000-0005-0000-0000-0000801C0000}"/>
    <cellStyle name="Cálculo 7 3 9 4 4" xfId="7311" xr:uid="{00000000-0005-0000-0000-0000811C0000}"/>
    <cellStyle name="Cálculo 7 3 9 5" xfId="7312" xr:uid="{00000000-0005-0000-0000-0000821C0000}"/>
    <cellStyle name="Cálculo 7 3 9 6" xfId="7313" xr:uid="{00000000-0005-0000-0000-0000831C0000}"/>
    <cellStyle name="Cálculo 7 4" xfId="7314" xr:uid="{00000000-0005-0000-0000-0000841C0000}"/>
    <cellStyle name="Cálculo 7 4 2" xfId="7315" xr:uid="{00000000-0005-0000-0000-0000851C0000}"/>
    <cellStyle name="Cálculo 7 4 2 2" xfId="7316" xr:uid="{00000000-0005-0000-0000-0000861C0000}"/>
    <cellStyle name="Cálculo 7 4 2 2 2" xfId="7317" xr:uid="{00000000-0005-0000-0000-0000871C0000}"/>
    <cellStyle name="Cálculo 7 4 2 2 2 2" xfId="7318" xr:uid="{00000000-0005-0000-0000-0000881C0000}"/>
    <cellStyle name="Cálculo 7 4 2 2 2 3" xfId="7319" xr:uid="{00000000-0005-0000-0000-0000891C0000}"/>
    <cellStyle name="Cálculo 7 4 2 2 2 4" xfId="7320" xr:uid="{00000000-0005-0000-0000-00008A1C0000}"/>
    <cellStyle name="Cálculo 7 4 2 2 3" xfId="7321" xr:uid="{00000000-0005-0000-0000-00008B1C0000}"/>
    <cellStyle name="Cálculo 7 4 2 2 3 2" xfId="7322" xr:uid="{00000000-0005-0000-0000-00008C1C0000}"/>
    <cellStyle name="Cálculo 7 4 2 2 3 3" xfId="7323" xr:uid="{00000000-0005-0000-0000-00008D1C0000}"/>
    <cellStyle name="Cálculo 7 4 2 2 3 4" xfId="7324" xr:uid="{00000000-0005-0000-0000-00008E1C0000}"/>
    <cellStyle name="Cálculo 7 4 2 2 4" xfId="7325" xr:uid="{00000000-0005-0000-0000-00008F1C0000}"/>
    <cellStyle name="Cálculo 7 4 2 2 5" xfId="7326" xr:uid="{00000000-0005-0000-0000-0000901C0000}"/>
    <cellStyle name="Cálculo 7 4 2 2 6" xfId="7327" xr:uid="{00000000-0005-0000-0000-0000911C0000}"/>
    <cellStyle name="Cálculo 7 4 2 3" xfId="7328" xr:uid="{00000000-0005-0000-0000-0000921C0000}"/>
    <cellStyle name="Cálculo 7 4 2 3 2" xfId="7329" xr:uid="{00000000-0005-0000-0000-0000931C0000}"/>
    <cellStyle name="Cálculo 7 4 2 3 2 2" xfId="7330" xr:uid="{00000000-0005-0000-0000-0000941C0000}"/>
    <cellStyle name="Cálculo 7 4 2 3 2 3" xfId="7331" xr:uid="{00000000-0005-0000-0000-0000951C0000}"/>
    <cellStyle name="Cálculo 7 4 2 3 2 4" xfId="7332" xr:uid="{00000000-0005-0000-0000-0000961C0000}"/>
    <cellStyle name="Cálculo 7 4 2 3 3" xfId="7333" xr:uid="{00000000-0005-0000-0000-0000971C0000}"/>
    <cellStyle name="Cálculo 7 4 2 3 3 2" xfId="7334" xr:uid="{00000000-0005-0000-0000-0000981C0000}"/>
    <cellStyle name="Cálculo 7 4 2 3 3 3" xfId="7335" xr:uid="{00000000-0005-0000-0000-0000991C0000}"/>
    <cellStyle name="Cálculo 7 4 2 3 3 4" xfId="7336" xr:uid="{00000000-0005-0000-0000-00009A1C0000}"/>
    <cellStyle name="Cálculo 7 4 2 3 4" xfId="7337" xr:uid="{00000000-0005-0000-0000-00009B1C0000}"/>
    <cellStyle name="Cálculo 7 4 2 3 5" xfId="7338" xr:uid="{00000000-0005-0000-0000-00009C1C0000}"/>
    <cellStyle name="Cálculo 7 4 2 3 6" xfId="7339" xr:uid="{00000000-0005-0000-0000-00009D1C0000}"/>
    <cellStyle name="Cálculo 7 4 2 4" xfId="7340" xr:uid="{00000000-0005-0000-0000-00009E1C0000}"/>
    <cellStyle name="Cálculo 7 4 2 5" xfId="7341" xr:uid="{00000000-0005-0000-0000-00009F1C0000}"/>
    <cellStyle name="Cálculo 7 4 2 6" xfId="7342" xr:uid="{00000000-0005-0000-0000-0000A01C0000}"/>
    <cellStyle name="Cálculo 7 4 3" xfId="7343" xr:uid="{00000000-0005-0000-0000-0000A11C0000}"/>
    <cellStyle name="Cálculo 7 4 4" xfId="7344" xr:uid="{00000000-0005-0000-0000-0000A21C0000}"/>
    <cellStyle name="Cálculo 7 5" xfId="7345" xr:uid="{00000000-0005-0000-0000-0000A31C0000}"/>
    <cellStyle name="Cálculo 7 5 2" xfId="7346" xr:uid="{00000000-0005-0000-0000-0000A41C0000}"/>
    <cellStyle name="Cálculo 7 5 2 2" xfId="7347" xr:uid="{00000000-0005-0000-0000-0000A51C0000}"/>
    <cellStyle name="Cálculo 7 5 2 2 2" xfId="7348" xr:uid="{00000000-0005-0000-0000-0000A61C0000}"/>
    <cellStyle name="Cálculo 7 5 2 2 2 2" xfId="7349" xr:uid="{00000000-0005-0000-0000-0000A71C0000}"/>
    <cellStyle name="Cálculo 7 5 2 2 2 3" xfId="7350" xr:uid="{00000000-0005-0000-0000-0000A81C0000}"/>
    <cellStyle name="Cálculo 7 5 2 2 2 4" xfId="7351" xr:uid="{00000000-0005-0000-0000-0000A91C0000}"/>
    <cellStyle name="Cálculo 7 5 2 2 3" xfId="7352" xr:uid="{00000000-0005-0000-0000-0000AA1C0000}"/>
    <cellStyle name="Cálculo 7 5 2 2 3 2" xfId="7353" xr:uid="{00000000-0005-0000-0000-0000AB1C0000}"/>
    <cellStyle name="Cálculo 7 5 2 2 3 3" xfId="7354" xr:uid="{00000000-0005-0000-0000-0000AC1C0000}"/>
    <cellStyle name="Cálculo 7 5 2 2 3 4" xfId="7355" xr:uid="{00000000-0005-0000-0000-0000AD1C0000}"/>
    <cellStyle name="Cálculo 7 5 2 2 4" xfId="7356" xr:uid="{00000000-0005-0000-0000-0000AE1C0000}"/>
    <cellStyle name="Cálculo 7 5 2 2 5" xfId="7357" xr:uid="{00000000-0005-0000-0000-0000AF1C0000}"/>
    <cellStyle name="Cálculo 7 5 2 2 6" xfId="7358" xr:uid="{00000000-0005-0000-0000-0000B01C0000}"/>
    <cellStyle name="Cálculo 7 5 2 3" xfId="7359" xr:uid="{00000000-0005-0000-0000-0000B11C0000}"/>
    <cellStyle name="Cálculo 7 5 2 3 2" xfId="7360" xr:uid="{00000000-0005-0000-0000-0000B21C0000}"/>
    <cellStyle name="Cálculo 7 5 2 3 2 2" xfId="7361" xr:uid="{00000000-0005-0000-0000-0000B31C0000}"/>
    <cellStyle name="Cálculo 7 5 2 3 2 3" xfId="7362" xr:uid="{00000000-0005-0000-0000-0000B41C0000}"/>
    <cellStyle name="Cálculo 7 5 2 3 2 4" xfId="7363" xr:uid="{00000000-0005-0000-0000-0000B51C0000}"/>
    <cellStyle name="Cálculo 7 5 2 3 3" xfId="7364" xr:uid="{00000000-0005-0000-0000-0000B61C0000}"/>
    <cellStyle name="Cálculo 7 5 2 3 3 2" xfId="7365" xr:uid="{00000000-0005-0000-0000-0000B71C0000}"/>
    <cellStyle name="Cálculo 7 5 2 3 3 3" xfId="7366" xr:uid="{00000000-0005-0000-0000-0000B81C0000}"/>
    <cellStyle name="Cálculo 7 5 2 3 3 4" xfId="7367" xr:uid="{00000000-0005-0000-0000-0000B91C0000}"/>
    <cellStyle name="Cálculo 7 5 2 3 4" xfId="7368" xr:uid="{00000000-0005-0000-0000-0000BA1C0000}"/>
    <cellStyle name="Cálculo 7 5 2 3 5" xfId="7369" xr:uid="{00000000-0005-0000-0000-0000BB1C0000}"/>
    <cellStyle name="Cálculo 7 5 2 3 6" xfId="7370" xr:uid="{00000000-0005-0000-0000-0000BC1C0000}"/>
    <cellStyle name="Cálculo 7 5 2 4" xfId="7371" xr:uid="{00000000-0005-0000-0000-0000BD1C0000}"/>
    <cellStyle name="Cálculo 7 5 2 5" xfId="7372" xr:uid="{00000000-0005-0000-0000-0000BE1C0000}"/>
    <cellStyle name="Cálculo 7 5 2 6" xfId="7373" xr:uid="{00000000-0005-0000-0000-0000BF1C0000}"/>
    <cellStyle name="Cálculo 7 5 3" xfId="7374" xr:uid="{00000000-0005-0000-0000-0000C01C0000}"/>
    <cellStyle name="Cálculo 7 5 4" xfId="7375" xr:uid="{00000000-0005-0000-0000-0000C11C0000}"/>
    <cellStyle name="Cálculo 7 6" xfId="7376" xr:uid="{00000000-0005-0000-0000-0000C21C0000}"/>
    <cellStyle name="Cálculo 7 6 2" xfId="7377" xr:uid="{00000000-0005-0000-0000-0000C31C0000}"/>
    <cellStyle name="Cálculo 7 6 2 2" xfId="7378" xr:uid="{00000000-0005-0000-0000-0000C41C0000}"/>
    <cellStyle name="Cálculo 7 6 2 2 2" xfId="7379" xr:uid="{00000000-0005-0000-0000-0000C51C0000}"/>
    <cellStyle name="Cálculo 7 6 2 2 2 2" xfId="7380" xr:uid="{00000000-0005-0000-0000-0000C61C0000}"/>
    <cellStyle name="Cálculo 7 6 2 2 2 3" xfId="7381" xr:uid="{00000000-0005-0000-0000-0000C71C0000}"/>
    <cellStyle name="Cálculo 7 6 2 2 2 4" xfId="7382" xr:uid="{00000000-0005-0000-0000-0000C81C0000}"/>
    <cellStyle name="Cálculo 7 6 2 2 3" xfId="7383" xr:uid="{00000000-0005-0000-0000-0000C91C0000}"/>
    <cellStyle name="Cálculo 7 6 2 2 3 2" xfId="7384" xr:uid="{00000000-0005-0000-0000-0000CA1C0000}"/>
    <cellStyle name="Cálculo 7 6 2 2 3 3" xfId="7385" xr:uid="{00000000-0005-0000-0000-0000CB1C0000}"/>
    <cellStyle name="Cálculo 7 6 2 2 3 4" xfId="7386" xr:uid="{00000000-0005-0000-0000-0000CC1C0000}"/>
    <cellStyle name="Cálculo 7 6 2 2 4" xfId="7387" xr:uid="{00000000-0005-0000-0000-0000CD1C0000}"/>
    <cellStyle name="Cálculo 7 6 2 2 5" xfId="7388" xr:uid="{00000000-0005-0000-0000-0000CE1C0000}"/>
    <cellStyle name="Cálculo 7 6 2 2 6" xfId="7389" xr:uid="{00000000-0005-0000-0000-0000CF1C0000}"/>
    <cellStyle name="Cálculo 7 6 2 3" xfId="7390" xr:uid="{00000000-0005-0000-0000-0000D01C0000}"/>
    <cellStyle name="Cálculo 7 6 2 3 2" xfId="7391" xr:uid="{00000000-0005-0000-0000-0000D11C0000}"/>
    <cellStyle name="Cálculo 7 6 2 3 2 2" xfId="7392" xr:uid="{00000000-0005-0000-0000-0000D21C0000}"/>
    <cellStyle name="Cálculo 7 6 2 3 2 3" xfId="7393" xr:uid="{00000000-0005-0000-0000-0000D31C0000}"/>
    <cellStyle name="Cálculo 7 6 2 3 2 4" xfId="7394" xr:uid="{00000000-0005-0000-0000-0000D41C0000}"/>
    <cellStyle name="Cálculo 7 6 2 3 3" xfId="7395" xr:uid="{00000000-0005-0000-0000-0000D51C0000}"/>
    <cellStyle name="Cálculo 7 6 2 3 3 2" xfId="7396" xr:uid="{00000000-0005-0000-0000-0000D61C0000}"/>
    <cellStyle name="Cálculo 7 6 2 3 3 3" xfId="7397" xr:uid="{00000000-0005-0000-0000-0000D71C0000}"/>
    <cellStyle name="Cálculo 7 6 2 3 3 4" xfId="7398" xr:uid="{00000000-0005-0000-0000-0000D81C0000}"/>
    <cellStyle name="Cálculo 7 6 2 3 4" xfId="7399" xr:uid="{00000000-0005-0000-0000-0000D91C0000}"/>
    <cellStyle name="Cálculo 7 6 2 3 5" xfId="7400" xr:uid="{00000000-0005-0000-0000-0000DA1C0000}"/>
    <cellStyle name="Cálculo 7 6 2 3 6" xfId="7401" xr:uid="{00000000-0005-0000-0000-0000DB1C0000}"/>
    <cellStyle name="Cálculo 7 6 2 4" xfId="7402" xr:uid="{00000000-0005-0000-0000-0000DC1C0000}"/>
    <cellStyle name="Cálculo 7 6 2 5" xfId="7403" xr:uid="{00000000-0005-0000-0000-0000DD1C0000}"/>
    <cellStyle name="Cálculo 7 6 2 6" xfId="7404" xr:uid="{00000000-0005-0000-0000-0000DE1C0000}"/>
    <cellStyle name="Cálculo 7 6 3" xfId="7405" xr:uid="{00000000-0005-0000-0000-0000DF1C0000}"/>
    <cellStyle name="Cálculo 7 6 4" xfId="7406" xr:uid="{00000000-0005-0000-0000-0000E01C0000}"/>
    <cellStyle name="Cálculo 7 7" xfId="7407" xr:uid="{00000000-0005-0000-0000-0000E11C0000}"/>
    <cellStyle name="Cálculo 7 7 2" xfId="7408" xr:uid="{00000000-0005-0000-0000-0000E21C0000}"/>
    <cellStyle name="Cálculo 7 7 2 2" xfId="7409" xr:uid="{00000000-0005-0000-0000-0000E31C0000}"/>
    <cellStyle name="Cálculo 7 7 2 2 2" xfId="7410" xr:uid="{00000000-0005-0000-0000-0000E41C0000}"/>
    <cellStyle name="Cálculo 7 7 2 2 2 2" xfId="7411" xr:uid="{00000000-0005-0000-0000-0000E51C0000}"/>
    <cellStyle name="Cálculo 7 7 2 2 2 3" xfId="7412" xr:uid="{00000000-0005-0000-0000-0000E61C0000}"/>
    <cellStyle name="Cálculo 7 7 2 2 2 4" xfId="7413" xr:uid="{00000000-0005-0000-0000-0000E71C0000}"/>
    <cellStyle name="Cálculo 7 7 2 2 3" xfId="7414" xr:uid="{00000000-0005-0000-0000-0000E81C0000}"/>
    <cellStyle name="Cálculo 7 7 2 2 3 2" xfId="7415" xr:uid="{00000000-0005-0000-0000-0000E91C0000}"/>
    <cellStyle name="Cálculo 7 7 2 2 3 3" xfId="7416" xr:uid="{00000000-0005-0000-0000-0000EA1C0000}"/>
    <cellStyle name="Cálculo 7 7 2 2 3 4" xfId="7417" xr:uid="{00000000-0005-0000-0000-0000EB1C0000}"/>
    <cellStyle name="Cálculo 7 7 2 2 4" xfId="7418" xr:uid="{00000000-0005-0000-0000-0000EC1C0000}"/>
    <cellStyle name="Cálculo 7 7 2 2 5" xfId="7419" xr:uid="{00000000-0005-0000-0000-0000ED1C0000}"/>
    <cellStyle name="Cálculo 7 7 2 2 6" xfId="7420" xr:uid="{00000000-0005-0000-0000-0000EE1C0000}"/>
    <cellStyle name="Cálculo 7 7 2 3" xfId="7421" xr:uid="{00000000-0005-0000-0000-0000EF1C0000}"/>
    <cellStyle name="Cálculo 7 7 2 3 2" xfId="7422" xr:uid="{00000000-0005-0000-0000-0000F01C0000}"/>
    <cellStyle name="Cálculo 7 7 2 3 2 2" xfId="7423" xr:uid="{00000000-0005-0000-0000-0000F11C0000}"/>
    <cellStyle name="Cálculo 7 7 2 3 2 3" xfId="7424" xr:uid="{00000000-0005-0000-0000-0000F21C0000}"/>
    <cellStyle name="Cálculo 7 7 2 3 2 4" xfId="7425" xr:uid="{00000000-0005-0000-0000-0000F31C0000}"/>
    <cellStyle name="Cálculo 7 7 2 3 3" xfId="7426" xr:uid="{00000000-0005-0000-0000-0000F41C0000}"/>
    <cellStyle name="Cálculo 7 7 2 3 3 2" xfId="7427" xr:uid="{00000000-0005-0000-0000-0000F51C0000}"/>
    <cellStyle name="Cálculo 7 7 2 3 3 3" xfId="7428" xr:uid="{00000000-0005-0000-0000-0000F61C0000}"/>
    <cellStyle name="Cálculo 7 7 2 3 3 4" xfId="7429" xr:uid="{00000000-0005-0000-0000-0000F71C0000}"/>
    <cellStyle name="Cálculo 7 7 2 3 4" xfId="7430" xr:uid="{00000000-0005-0000-0000-0000F81C0000}"/>
    <cellStyle name="Cálculo 7 7 2 3 5" xfId="7431" xr:uid="{00000000-0005-0000-0000-0000F91C0000}"/>
    <cellStyle name="Cálculo 7 7 2 3 6" xfId="7432" xr:uid="{00000000-0005-0000-0000-0000FA1C0000}"/>
    <cellStyle name="Cálculo 7 7 2 4" xfId="7433" xr:uid="{00000000-0005-0000-0000-0000FB1C0000}"/>
    <cellStyle name="Cálculo 7 7 2 5" xfId="7434" xr:uid="{00000000-0005-0000-0000-0000FC1C0000}"/>
    <cellStyle name="Cálculo 7 7 2 6" xfId="7435" xr:uid="{00000000-0005-0000-0000-0000FD1C0000}"/>
    <cellStyle name="Cálculo 7 7 3" xfId="7436" xr:uid="{00000000-0005-0000-0000-0000FE1C0000}"/>
    <cellStyle name="Cálculo 7 7 4" xfId="7437" xr:uid="{00000000-0005-0000-0000-0000FF1C0000}"/>
    <cellStyle name="Cálculo 7 8" xfId="7438" xr:uid="{00000000-0005-0000-0000-0000001D0000}"/>
    <cellStyle name="Cálculo 7 8 2" xfId="7439" xr:uid="{00000000-0005-0000-0000-0000011D0000}"/>
    <cellStyle name="Cálculo 7 8 2 2" xfId="7440" xr:uid="{00000000-0005-0000-0000-0000021D0000}"/>
    <cellStyle name="Cálculo 7 8 2 2 2" xfId="7441" xr:uid="{00000000-0005-0000-0000-0000031D0000}"/>
    <cellStyle name="Cálculo 7 8 2 2 3" xfId="7442" xr:uid="{00000000-0005-0000-0000-0000041D0000}"/>
    <cellStyle name="Cálculo 7 8 2 2 4" xfId="7443" xr:uid="{00000000-0005-0000-0000-0000051D0000}"/>
    <cellStyle name="Cálculo 7 8 2 3" xfId="7444" xr:uid="{00000000-0005-0000-0000-0000061D0000}"/>
    <cellStyle name="Cálculo 7 8 2 3 2" xfId="7445" xr:uid="{00000000-0005-0000-0000-0000071D0000}"/>
    <cellStyle name="Cálculo 7 8 2 3 3" xfId="7446" xr:uid="{00000000-0005-0000-0000-0000081D0000}"/>
    <cellStyle name="Cálculo 7 8 2 3 4" xfId="7447" xr:uid="{00000000-0005-0000-0000-0000091D0000}"/>
    <cellStyle name="Cálculo 7 8 2 4" xfId="7448" xr:uid="{00000000-0005-0000-0000-00000A1D0000}"/>
    <cellStyle name="Cálculo 7 8 2 5" xfId="7449" xr:uid="{00000000-0005-0000-0000-00000B1D0000}"/>
    <cellStyle name="Cálculo 7 8 2 6" xfId="7450" xr:uid="{00000000-0005-0000-0000-00000C1D0000}"/>
    <cellStyle name="Cálculo 7 8 3" xfId="7451" xr:uid="{00000000-0005-0000-0000-00000D1D0000}"/>
    <cellStyle name="Cálculo 7 8 3 2" xfId="7452" xr:uid="{00000000-0005-0000-0000-00000E1D0000}"/>
    <cellStyle name="Cálculo 7 8 3 2 2" xfId="7453" xr:uid="{00000000-0005-0000-0000-00000F1D0000}"/>
    <cellStyle name="Cálculo 7 8 3 2 3" xfId="7454" xr:uid="{00000000-0005-0000-0000-0000101D0000}"/>
    <cellStyle name="Cálculo 7 8 3 2 4" xfId="7455" xr:uid="{00000000-0005-0000-0000-0000111D0000}"/>
    <cellStyle name="Cálculo 7 8 3 3" xfId="7456" xr:uid="{00000000-0005-0000-0000-0000121D0000}"/>
    <cellStyle name="Cálculo 7 8 3 3 2" xfId="7457" xr:uid="{00000000-0005-0000-0000-0000131D0000}"/>
    <cellStyle name="Cálculo 7 8 3 3 3" xfId="7458" xr:uid="{00000000-0005-0000-0000-0000141D0000}"/>
    <cellStyle name="Cálculo 7 8 3 3 4" xfId="7459" xr:uid="{00000000-0005-0000-0000-0000151D0000}"/>
    <cellStyle name="Cálculo 7 8 3 4" xfId="7460" xr:uid="{00000000-0005-0000-0000-0000161D0000}"/>
    <cellStyle name="Cálculo 7 8 3 5" xfId="7461" xr:uid="{00000000-0005-0000-0000-0000171D0000}"/>
    <cellStyle name="Cálculo 7 8 3 6" xfId="7462" xr:uid="{00000000-0005-0000-0000-0000181D0000}"/>
    <cellStyle name="Cálculo 7 8 4" xfId="7463" xr:uid="{00000000-0005-0000-0000-0000191D0000}"/>
    <cellStyle name="Cálculo 7 8 4 2" xfId="7464" xr:uid="{00000000-0005-0000-0000-00001A1D0000}"/>
    <cellStyle name="Cálculo 7 8 4 3" xfId="7465" xr:uid="{00000000-0005-0000-0000-00001B1D0000}"/>
    <cellStyle name="Cálculo 7 8 4 4" xfId="7466" xr:uid="{00000000-0005-0000-0000-00001C1D0000}"/>
    <cellStyle name="Cálculo 7 8 5" xfId="7467" xr:uid="{00000000-0005-0000-0000-00001D1D0000}"/>
    <cellStyle name="Cálculo 7 8 6" xfId="7468" xr:uid="{00000000-0005-0000-0000-00001E1D0000}"/>
    <cellStyle name="Cálculo 7 9" xfId="7469" xr:uid="{00000000-0005-0000-0000-00001F1D0000}"/>
    <cellStyle name="Cálculo 7 9 2" xfId="7470" xr:uid="{00000000-0005-0000-0000-0000201D0000}"/>
    <cellStyle name="Cálculo 7 9 2 2" xfId="7471" xr:uid="{00000000-0005-0000-0000-0000211D0000}"/>
    <cellStyle name="Cálculo 7 9 2 2 2" xfId="7472" xr:uid="{00000000-0005-0000-0000-0000221D0000}"/>
    <cellStyle name="Cálculo 7 9 2 2 3" xfId="7473" xr:uid="{00000000-0005-0000-0000-0000231D0000}"/>
    <cellStyle name="Cálculo 7 9 2 2 4" xfId="7474" xr:uid="{00000000-0005-0000-0000-0000241D0000}"/>
    <cellStyle name="Cálculo 7 9 2 3" xfId="7475" xr:uid="{00000000-0005-0000-0000-0000251D0000}"/>
    <cellStyle name="Cálculo 7 9 2 3 2" xfId="7476" xr:uid="{00000000-0005-0000-0000-0000261D0000}"/>
    <cellStyle name="Cálculo 7 9 2 3 3" xfId="7477" xr:uid="{00000000-0005-0000-0000-0000271D0000}"/>
    <cellStyle name="Cálculo 7 9 2 3 4" xfId="7478" xr:uid="{00000000-0005-0000-0000-0000281D0000}"/>
    <cellStyle name="Cálculo 7 9 2 4" xfId="7479" xr:uid="{00000000-0005-0000-0000-0000291D0000}"/>
    <cellStyle name="Cálculo 7 9 2 5" xfId="7480" xr:uid="{00000000-0005-0000-0000-00002A1D0000}"/>
    <cellStyle name="Cálculo 7 9 2 6" xfId="7481" xr:uid="{00000000-0005-0000-0000-00002B1D0000}"/>
    <cellStyle name="Cálculo 7 9 3" xfId="7482" xr:uid="{00000000-0005-0000-0000-00002C1D0000}"/>
    <cellStyle name="Cálculo 7 9 3 2" xfId="7483" xr:uid="{00000000-0005-0000-0000-00002D1D0000}"/>
    <cellStyle name="Cálculo 7 9 3 2 2" xfId="7484" xr:uid="{00000000-0005-0000-0000-00002E1D0000}"/>
    <cellStyle name="Cálculo 7 9 3 2 3" xfId="7485" xr:uid="{00000000-0005-0000-0000-00002F1D0000}"/>
    <cellStyle name="Cálculo 7 9 3 2 4" xfId="7486" xr:uid="{00000000-0005-0000-0000-0000301D0000}"/>
    <cellStyle name="Cálculo 7 9 3 3" xfId="7487" xr:uid="{00000000-0005-0000-0000-0000311D0000}"/>
    <cellStyle name="Cálculo 7 9 3 3 2" xfId="7488" xr:uid="{00000000-0005-0000-0000-0000321D0000}"/>
    <cellStyle name="Cálculo 7 9 3 3 3" xfId="7489" xr:uid="{00000000-0005-0000-0000-0000331D0000}"/>
    <cellStyle name="Cálculo 7 9 3 3 4" xfId="7490" xr:uid="{00000000-0005-0000-0000-0000341D0000}"/>
    <cellStyle name="Cálculo 7 9 3 4" xfId="7491" xr:uid="{00000000-0005-0000-0000-0000351D0000}"/>
    <cellStyle name="Cálculo 7 9 3 5" xfId="7492" xr:uid="{00000000-0005-0000-0000-0000361D0000}"/>
    <cellStyle name="Cálculo 7 9 3 6" xfId="7493" xr:uid="{00000000-0005-0000-0000-0000371D0000}"/>
    <cellStyle name="Cálculo 7 9 4" xfId="7494" xr:uid="{00000000-0005-0000-0000-0000381D0000}"/>
    <cellStyle name="Cálculo 7 9 4 2" xfId="7495" xr:uid="{00000000-0005-0000-0000-0000391D0000}"/>
    <cellStyle name="Cálculo 7 9 4 3" xfId="7496" xr:uid="{00000000-0005-0000-0000-00003A1D0000}"/>
    <cellStyle name="Cálculo 7 9 4 4" xfId="7497" xr:uid="{00000000-0005-0000-0000-00003B1D0000}"/>
    <cellStyle name="Cálculo 7 9 5" xfId="7498" xr:uid="{00000000-0005-0000-0000-00003C1D0000}"/>
    <cellStyle name="Cálculo 7 9 6" xfId="7499" xr:uid="{00000000-0005-0000-0000-00003D1D0000}"/>
    <cellStyle name="Cancel" xfId="7500" xr:uid="{00000000-0005-0000-0000-00003E1D0000}"/>
    <cellStyle name="Cancel 10" xfId="7501" xr:uid="{00000000-0005-0000-0000-00003F1D0000}"/>
    <cellStyle name="Cancel 11" xfId="7502" xr:uid="{00000000-0005-0000-0000-0000401D0000}"/>
    <cellStyle name="Cancel 12" xfId="7503" xr:uid="{00000000-0005-0000-0000-0000411D0000}"/>
    <cellStyle name="Cancel 13" xfId="7504" xr:uid="{00000000-0005-0000-0000-0000421D0000}"/>
    <cellStyle name="Cancel 14" xfId="7505" xr:uid="{00000000-0005-0000-0000-0000431D0000}"/>
    <cellStyle name="Cancel 15" xfId="7506" xr:uid="{00000000-0005-0000-0000-0000441D0000}"/>
    <cellStyle name="Cancel 16" xfId="7507" xr:uid="{00000000-0005-0000-0000-0000451D0000}"/>
    <cellStyle name="Cancel 17" xfId="7508" xr:uid="{00000000-0005-0000-0000-0000461D0000}"/>
    <cellStyle name="Cancel 18" xfId="7509" xr:uid="{00000000-0005-0000-0000-0000471D0000}"/>
    <cellStyle name="Cancel 19" xfId="7510" xr:uid="{00000000-0005-0000-0000-0000481D0000}"/>
    <cellStyle name="Cancel 2" xfId="7511" xr:uid="{00000000-0005-0000-0000-0000491D0000}"/>
    <cellStyle name="Cancel 20" xfId="7512" xr:uid="{00000000-0005-0000-0000-00004A1D0000}"/>
    <cellStyle name="Cancel 21" xfId="7513" xr:uid="{00000000-0005-0000-0000-00004B1D0000}"/>
    <cellStyle name="Cancel 22" xfId="7514" xr:uid="{00000000-0005-0000-0000-00004C1D0000}"/>
    <cellStyle name="Cancel 23" xfId="7515" xr:uid="{00000000-0005-0000-0000-00004D1D0000}"/>
    <cellStyle name="Cancel 24" xfId="7516" xr:uid="{00000000-0005-0000-0000-00004E1D0000}"/>
    <cellStyle name="Cancel 25" xfId="7517" xr:uid="{00000000-0005-0000-0000-00004F1D0000}"/>
    <cellStyle name="Cancel 26" xfId="7518" xr:uid="{00000000-0005-0000-0000-0000501D0000}"/>
    <cellStyle name="Cancel 27" xfId="7519" xr:uid="{00000000-0005-0000-0000-0000511D0000}"/>
    <cellStyle name="Cancel 28" xfId="7520" xr:uid="{00000000-0005-0000-0000-0000521D0000}"/>
    <cellStyle name="Cancel 29" xfId="7521" xr:uid="{00000000-0005-0000-0000-0000531D0000}"/>
    <cellStyle name="Cancel 3" xfId="7522" xr:uid="{00000000-0005-0000-0000-0000541D0000}"/>
    <cellStyle name="Cancel 30" xfId="7523" xr:uid="{00000000-0005-0000-0000-0000551D0000}"/>
    <cellStyle name="Cancel 31" xfId="7524" xr:uid="{00000000-0005-0000-0000-0000561D0000}"/>
    <cellStyle name="Cancel 32" xfId="7525" xr:uid="{00000000-0005-0000-0000-0000571D0000}"/>
    <cellStyle name="Cancel 33" xfId="7526" xr:uid="{00000000-0005-0000-0000-0000581D0000}"/>
    <cellStyle name="Cancel 34" xfId="7527" xr:uid="{00000000-0005-0000-0000-0000591D0000}"/>
    <cellStyle name="Cancel 35" xfId="7528" xr:uid="{00000000-0005-0000-0000-00005A1D0000}"/>
    <cellStyle name="Cancel 36" xfId="7529" xr:uid="{00000000-0005-0000-0000-00005B1D0000}"/>
    <cellStyle name="Cancel 37" xfId="7530" xr:uid="{00000000-0005-0000-0000-00005C1D0000}"/>
    <cellStyle name="Cancel 38" xfId="7531" xr:uid="{00000000-0005-0000-0000-00005D1D0000}"/>
    <cellStyle name="Cancel 39" xfId="7532" xr:uid="{00000000-0005-0000-0000-00005E1D0000}"/>
    <cellStyle name="Cancel 4" xfId="7533" xr:uid="{00000000-0005-0000-0000-00005F1D0000}"/>
    <cellStyle name="Cancel 40" xfId="7534" xr:uid="{00000000-0005-0000-0000-0000601D0000}"/>
    <cellStyle name="Cancel 41" xfId="7535" xr:uid="{00000000-0005-0000-0000-0000611D0000}"/>
    <cellStyle name="Cancel 42" xfId="7536" xr:uid="{00000000-0005-0000-0000-0000621D0000}"/>
    <cellStyle name="Cancel 43" xfId="7537" xr:uid="{00000000-0005-0000-0000-0000631D0000}"/>
    <cellStyle name="Cancel 5" xfId="7538" xr:uid="{00000000-0005-0000-0000-0000641D0000}"/>
    <cellStyle name="Cancel 6" xfId="7539" xr:uid="{00000000-0005-0000-0000-0000651D0000}"/>
    <cellStyle name="Cancel 7" xfId="7540" xr:uid="{00000000-0005-0000-0000-0000661D0000}"/>
    <cellStyle name="Cancel 8" xfId="7541" xr:uid="{00000000-0005-0000-0000-0000671D0000}"/>
    <cellStyle name="Cancel 9" xfId="7542" xr:uid="{00000000-0005-0000-0000-0000681D0000}"/>
    <cellStyle name="cc" xfId="58826" xr:uid="{00000000-0005-0000-0000-0000691D0000}"/>
    <cellStyle name="Celda de comprobación" xfId="7556" builtinId="23" customBuiltin="1"/>
    <cellStyle name="Celda de comprobación 2" xfId="7543" xr:uid="{00000000-0005-0000-0000-00006B1D0000}"/>
    <cellStyle name="Celda de comprobación 3" xfId="7544" xr:uid="{00000000-0005-0000-0000-00006C1D0000}"/>
    <cellStyle name="Celda de comprobación 4" xfId="7545" xr:uid="{00000000-0005-0000-0000-00006D1D0000}"/>
    <cellStyle name="Celda de comprobación 5" xfId="7546" xr:uid="{00000000-0005-0000-0000-00006E1D0000}"/>
    <cellStyle name="Celda de comprobación 6" xfId="7547" xr:uid="{00000000-0005-0000-0000-00006F1D0000}"/>
    <cellStyle name="Celda de comprobación 7" xfId="7548" xr:uid="{00000000-0005-0000-0000-0000701D0000}"/>
    <cellStyle name="Celda vinculada" xfId="32425" builtinId="24" customBuiltin="1"/>
    <cellStyle name="Celda vinculada 2" xfId="7549" xr:uid="{00000000-0005-0000-0000-0000721D0000}"/>
    <cellStyle name="Celda vinculada 2 2" xfId="7550" xr:uid="{00000000-0005-0000-0000-0000731D0000}"/>
    <cellStyle name="Celda vinculada 3" xfId="7551" xr:uid="{00000000-0005-0000-0000-0000741D0000}"/>
    <cellStyle name="Celda vinculada 4" xfId="7552" xr:uid="{00000000-0005-0000-0000-0000751D0000}"/>
    <cellStyle name="Celda vinculada 5" xfId="7553" xr:uid="{00000000-0005-0000-0000-0000761D0000}"/>
    <cellStyle name="Celda vinculada 6" xfId="7554" xr:uid="{00000000-0005-0000-0000-0000771D0000}"/>
    <cellStyle name="Celda vinculada 7" xfId="7555" xr:uid="{00000000-0005-0000-0000-0000781D0000}"/>
    <cellStyle name="Check Cell 2" xfId="7557" xr:uid="{00000000-0005-0000-0000-0000791D0000}"/>
    <cellStyle name="Column heading" xfId="7558" xr:uid="{00000000-0005-0000-0000-00007A1D0000}"/>
    <cellStyle name="Comma 2" xfId="7559" xr:uid="{00000000-0005-0000-0000-00007B1D0000}"/>
    <cellStyle name="Comma 2 2" xfId="58886" xr:uid="{00000000-0005-0000-0000-00007C1D0000}"/>
    <cellStyle name="Comma0" xfId="7560" xr:uid="{00000000-0005-0000-0000-00007D1D0000}"/>
    <cellStyle name="Comma0 - Style1" xfId="7561" xr:uid="{00000000-0005-0000-0000-00007E1D0000}"/>
    <cellStyle name="Comma0 - Style1 10" xfId="7562" xr:uid="{00000000-0005-0000-0000-00007F1D0000}"/>
    <cellStyle name="Comma0 - Style1 11" xfId="7563" xr:uid="{00000000-0005-0000-0000-0000801D0000}"/>
    <cellStyle name="Comma0 - Style1 12" xfId="7564" xr:uid="{00000000-0005-0000-0000-0000811D0000}"/>
    <cellStyle name="Comma0 - Style1 13" xfId="7565" xr:uid="{00000000-0005-0000-0000-0000821D0000}"/>
    <cellStyle name="Comma0 - Style1 14" xfId="7566" xr:uid="{00000000-0005-0000-0000-0000831D0000}"/>
    <cellStyle name="Comma0 - Style1 15" xfId="7567" xr:uid="{00000000-0005-0000-0000-0000841D0000}"/>
    <cellStyle name="Comma0 - Style1 16" xfId="7568" xr:uid="{00000000-0005-0000-0000-0000851D0000}"/>
    <cellStyle name="Comma0 - Style1 17" xfId="7569" xr:uid="{00000000-0005-0000-0000-0000861D0000}"/>
    <cellStyle name="Comma0 - Style1 18" xfId="7570" xr:uid="{00000000-0005-0000-0000-0000871D0000}"/>
    <cellStyle name="Comma0 - Style1 19" xfId="7571" xr:uid="{00000000-0005-0000-0000-0000881D0000}"/>
    <cellStyle name="Comma0 - Style1 2" xfId="7572" xr:uid="{00000000-0005-0000-0000-0000891D0000}"/>
    <cellStyle name="Comma0 - Style1 20" xfId="7573" xr:uid="{00000000-0005-0000-0000-00008A1D0000}"/>
    <cellStyle name="Comma0 - Style1 21" xfId="7574" xr:uid="{00000000-0005-0000-0000-00008B1D0000}"/>
    <cellStyle name="Comma0 - Style1 3" xfId="7575" xr:uid="{00000000-0005-0000-0000-00008C1D0000}"/>
    <cellStyle name="Comma0 - Style1 4" xfId="7576" xr:uid="{00000000-0005-0000-0000-00008D1D0000}"/>
    <cellStyle name="Comma0 - Style1 5" xfId="7577" xr:uid="{00000000-0005-0000-0000-00008E1D0000}"/>
    <cellStyle name="Comma0 - Style1 6" xfId="7578" xr:uid="{00000000-0005-0000-0000-00008F1D0000}"/>
    <cellStyle name="Comma0 - Style1 7" xfId="7579" xr:uid="{00000000-0005-0000-0000-0000901D0000}"/>
    <cellStyle name="Comma0 - Style1 8" xfId="7580" xr:uid="{00000000-0005-0000-0000-0000911D0000}"/>
    <cellStyle name="Comma0 - Style1 9" xfId="7581" xr:uid="{00000000-0005-0000-0000-0000921D0000}"/>
    <cellStyle name="Comma0 - Style2" xfId="7582" xr:uid="{00000000-0005-0000-0000-0000931D0000}"/>
    <cellStyle name="Comma0 - Style2 10" xfId="7583" xr:uid="{00000000-0005-0000-0000-0000941D0000}"/>
    <cellStyle name="Comma0 - Style2 11" xfId="7584" xr:uid="{00000000-0005-0000-0000-0000951D0000}"/>
    <cellStyle name="Comma0 - Style2 12" xfId="7585" xr:uid="{00000000-0005-0000-0000-0000961D0000}"/>
    <cellStyle name="Comma0 - Style2 13" xfId="7586" xr:uid="{00000000-0005-0000-0000-0000971D0000}"/>
    <cellStyle name="Comma0 - Style2 14" xfId="7587" xr:uid="{00000000-0005-0000-0000-0000981D0000}"/>
    <cellStyle name="Comma0 - Style2 15" xfId="7588" xr:uid="{00000000-0005-0000-0000-0000991D0000}"/>
    <cellStyle name="Comma0 - Style2 16" xfId="7589" xr:uid="{00000000-0005-0000-0000-00009A1D0000}"/>
    <cellStyle name="Comma0 - Style2 17" xfId="7590" xr:uid="{00000000-0005-0000-0000-00009B1D0000}"/>
    <cellStyle name="Comma0 - Style2 18" xfId="7591" xr:uid="{00000000-0005-0000-0000-00009C1D0000}"/>
    <cellStyle name="Comma0 - Style2 19" xfId="7592" xr:uid="{00000000-0005-0000-0000-00009D1D0000}"/>
    <cellStyle name="Comma0 - Style2 2" xfId="7593" xr:uid="{00000000-0005-0000-0000-00009E1D0000}"/>
    <cellStyle name="Comma0 - Style2 20" xfId="7594" xr:uid="{00000000-0005-0000-0000-00009F1D0000}"/>
    <cellStyle name="Comma0 - Style2 21" xfId="7595" xr:uid="{00000000-0005-0000-0000-0000A01D0000}"/>
    <cellStyle name="Comma0 - Style2 3" xfId="7596" xr:uid="{00000000-0005-0000-0000-0000A11D0000}"/>
    <cellStyle name="Comma0 - Style2 4" xfId="7597" xr:uid="{00000000-0005-0000-0000-0000A21D0000}"/>
    <cellStyle name="Comma0 - Style2 5" xfId="7598" xr:uid="{00000000-0005-0000-0000-0000A31D0000}"/>
    <cellStyle name="Comma0 - Style2 6" xfId="7599" xr:uid="{00000000-0005-0000-0000-0000A41D0000}"/>
    <cellStyle name="Comma0 - Style2 7" xfId="7600" xr:uid="{00000000-0005-0000-0000-0000A51D0000}"/>
    <cellStyle name="Comma0 - Style2 8" xfId="7601" xr:uid="{00000000-0005-0000-0000-0000A61D0000}"/>
    <cellStyle name="Comma0 - Style2 9" xfId="7602" xr:uid="{00000000-0005-0000-0000-0000A71D0000}"/>
    <cellStyle name="Comma1 - Style1" xfId="7603" xr:uid="{00000000-0005-0000-0000-0000A81D0000}"/>
    <cellStyle name="Comma1 - Style1 10" xfId="7604" xr:uid="{00000000-0005-0000-0000-0000A91D0000}"/>
    <cellStyle name="Comma1 - Style1 11" xfId="7605" xr:uid="{00000000-0005-0000-0000-0000AA1D0000}"/>
    <cellStyle name="Comma1 - Style1 12" xfId="7606" xr:uid="{00000000-0005-0000-0000-0000AB1D0000}"/>
    <cellStyle name="Comma1 - Style1 13" xfId="7607" xr:uid="{00000000-0005-0000-0000-0000AC1D0000}"/>
    <cellStyle name="Comma1 - Style1 14" xfId="7608" xr:uid="{00000000-0005-0000-0000-0000AD1D0000}"/>
    <cellStyle name="Comma1 - Style1 15" xfId="7609" xr:uid="{00000000-0005-0000-0000-0000AE1D0000}"/>
    <cellStyle name="Comma1 - Style1 16" xfId="7610" xr:uid="{00000000-0005-0000-0000-0000AF1D0000}"/>
    <cellStyle name="Comma1 - Style1 17" xfId="7611" xr:uid="{00000000-0005-0000-0000-0000B01D0000}"/>
    <cellStyle name="Comma1 - Style1 18" xfId="7612" xr:uid="{00000000-0005-0000-0000-0000B11D0000}"/>
    <cellStyle name="Comma1 - Style1 19" xfId="7613" xr:uid="{00000000-0005-0000-0000-0000B21D0000}"/>
    <cellStyle name="Comma1 - Style1 2" xfId="7614" xr:uid="{00000000-0005-0000-0000-0000B31D0000}"/>
    <cellStyle name="Comma1 - Style1 20" xfId="7615" xr:uid="{00000000-0005-0000-0000-0000B41D0000}"/>
    <cellStyle name="Comma1 - Style1 21" xfId="7616" xr:uid="{00000000-0005-0000-0000-0000B51D0000}"/>
    <cellStyle name="Comma1 - Style1 3" xfId="7617" xr:uid="{00000000-0005-0000-0000-0000B61D0000}"/>
    <cellStyle name="Comma1 - Style1 4" xfId="7618" xr:uid="{00000000-0005-0000-0000-0000B71D0000}"/>
    <cellStyle name="Comma1 - Style1 5" xfId="7619" xr:uid="{00000000-0005-0000-0000-0000B81D0000}"/>
    <cellStyle name="Comma1 - Style1 6" xfId="7620" xr:uid="{00000000-0005-0000-0000-0000B91D0000}"/>
    <cellStyle name="Comma1 - Style1 7" xfId="7621" xr:uid="{00000000-0005-0000-0000-0000BA1D0000}"/>
    <cellStyle name="Comma1 - Style1 8" xfId="7622" xr:uid="{00000000-0005-0000-0000-0000BB1D0000}"/>
    <cellStyle name="Comma1 - Style1 9" xfId="7623" xr:uid="{00000000-0005-0000-0000-0000BC1D0000}"/>
    <cellStyle name="Comma1 - Style2" xfId="7624" xr:uid="{00000000-0005-0000-0000-0000BD1D0000}"/>
    <cellStyle name="Comma1 - Style2 10" xfId="7625" xr:uid="{00000000-0005-0000-0000-0000BE1D0000}"/>
    <cellStyle name="Comma1 - Style2 11" xfId="7626" xr:uid="{00000000-0005-0000-0000-0000BF1D0000}"/>
    <cellStyle name="Comma1 - Style2 12" xfId="7627" xr:uid="{00000000-0005-0000-0000-0000C01D0000}"/>
    <cellStyle name="Comma1 - Style2 13" xfId="7628" xr:uid="{00000000-0005-0000-0000-0000C11D0000}"/>
    <cellStyle name="Comma1 - Style2 14" xfId="7629" xr:uid="{00000000-0005-0000-0000-0000C21D0000}"/>
    <cellStyle name="Comma1 - Style2 15" xfId="7630" xr:uid="{00000000-0005-0000-0000-0000C31D0000}"/>
    <cellStyle name="Comma1 - Style2 16" xfId="7631" xr:uid="{00000000-0005-0000-0000-0000C41D0000}"/>
    <cellStyle name="Comma1 - Style2 17" xfId="7632" xr:uid="{00000000-0005-0000-0000-0000C51D0000}"/>
    <cellStyle name="Comma1 - Style2 18" xfId="7633" xr:uid="{00000000-0005-0000-0000-0000C61D0000}"/>
    <cellStyle name="Comma1 - Style2 19" xfId="7634" xr:uid="{00000000-0005-0000-0000-0000C71D0000}"/>
    <cellStyle name="Comma1 - Style2 2" xfId="7635" xr:uid="{00000000-0005-0000-0000-0000C81D0000}"/>
    <cellStyle name="Comma1 - Style2 20" xfId="7636" xr:uid="{00000000-0005-0000-0000-0000C91D0000}"/>
    <cellStyle name="Comma1 - Style2 21" xfId="7637" xr:uid="{00000000-0005-0000-0000-0000CA1D0000}"/>
    <cellStyle name="Comma1 - Style2 3" xfId="7638" xr:uid="{00000000-0005-0000-0000-0000CB1D0000}"/>
    <cellStyle name="Comma1 - Style2 4" xfId="7639" xr:uid="{00000000-0005-0000-0000-0000CC1D0000}"/>
    <cellStyle name="Comma1 - Style2 5" xfId="7640" xr:uid="{00000000-0005-0000-0000-0000CD1D0000}"/>
    <cellStyle name="Comma1 - Style2 6" xfId="7641" xr:uid="{00000000-0005-0000-0000-0000CE1D0000}"/>
    <cellStyle name="Comma1 - Style2 7" xfId="7642" xr:uid="{00000000-0005-0000-0000-0000CF1D0000}"/>
    <cellStyle name="Comma1 - Style2 8" xfId="7643" xr:uid="{00000000-0005-0000-0000-0000D01D0000}"/>
    <cellStyle name="Comma1 - Style2 9" xfId="7644" xr:uid="{00000000-0005-0000-0000-0000D11D0000}"/>
    <cellStyle name="Constants" xfId="58919" xr:uid="{00000000-0005-0000-0000-0000D21D0000}"/>
    <cellStyle name="Copied" xfId="7645" xr:uid="{00000000-0005-0000-0000-0000D31D0000}"/>
    <cellStyle name="Copied 10" xfId="7646" xr:uid="{00000000-0005-0000-0000-0000D41D0000}"/>
    <cellStyle name="Copied 11" xfId="7647" xr:uid="{00000000-0005-0000-0000-0000D51D0000}"/>
    <cellStyle name="Copied 12" xfId="7648" xr:uid="{00000000-0005-0000-0000-0000D61D0000}"/>
    <cellStyle name="Copied 13" xfId="7649" xr:uid="{00000000-0005-0000-0000-0000D71D0000}"/>
    <cellStyle name="Copied 14" xfId="7650" xr:uid="{00000000-0005-0000-0000-0000D81D0000}"/>
    <cellStyle name="Copied 15" xfId="7651" xr:uid="{00000000-0005-0000-0000-0000D91D0000}"/>
    <cellStyle name="Copied 16" xfId="7652" xr:uid="{00000000-0005-0000-0000-0000DA1D0000}"/>
    <cellStyle name="Copied 17" xfId="7653" xr:uid="{00000000-0005-0000-0000-0000DB1D0000}"/>
    <cellStyle name="Copied 18" xfId="7654" xr:uid="{00000000-0005-0000-0000-0000DC1D0000}"/>
    <cellStyle name="Copied 19" xfId="7655" xr:uid="{00000000-0005-0000-0000-0000DD1D0000}"/>
    <cellStyle name="Copied 2" xfId="7656" xr:uid="{00000000-0005-0000-0000-0000DE1D0000}"/>
    <cellStyle name="Copied 20" xfId="7657" xr:uid="{00000000-0005-0000-0000-0000DF1D0000}"/>
    <cellStyle name="Copied 21" xfId="7658" xr:uid="{00000000-0005-0000-0000-0000E01D0000}"/>
    <cellStyle name="Copied 3" xfId="7659" xr:uid="{00000000-0005-0000-0000-0000E11D0000}"/>
    <cellStyle name="Copied 4" xfId="7660" xr:uid="{00000000-0005-0000-0000-0000E21D0000}"/>
    <cellStyle name="Copied 5" xfId="7661" xr:uid="{00000000-0005-0000-0000-0000E31D0000}"/>
    <cellStyle name="Copied 6" xfId="7662" xr:uid="{00000000-0005-0000-0000-0000E41D0000}"/>
    <cellStyle name="Copied 7" xfId="7663" xr:uid="{00000000-0005-0000-0000-0000E51D0000}"/>
    <cellStyle name="Copied 8" xfId="7664" xr:uid="{00000000-0005-0000-0000-0000E61D0000}"/>
    <cellStyle name="Copied 9" xfId="7665" xr:uid="{00000000-0005-0000-0000-0000E71D0000}"/>
    <cellStyle name="Corner heading" xfId="7666" xr:uid="{00000000-0005-0000-0000-0000E81D0000}"/>
    <cellStyle name="COST1" xfId="7667" xr:uid="{00000000-0005-0000-0000-0000E91D0000}"/>
    <cellStyle name="COST1 10" xfId="7668" xr:uid="{00000000-0005-0000-0000-0000EA1D0000}"/>
    <cellStyle name="COST1 11" xfId="7669" xr:uid="{00000000-0005-0000-0000-0000EB1D0000}"/>
    <cellStyle name="COST1 12" xfId="7670" xr:uid="{00000000-0005-0000-0000-0000EC1D0000}"/>
    <cellStyle name="COST1 13" xfId="7671" xr:uid="{00000000-0005-0000-0000-0000ED1D0000}"/>
    <cellStyle name="COST1 14" xfId="7672" xr:uid="{00000000-0005-0000-0000-0000EE1D0000}"/>
    <cellStyle name="COST1 15" xfId="7673" xr:uid="{00000000-0005-0000-0000-0000EF1D0000}"/>
    <cellStyle name="COST1 16" xfId="7674" xr:uid="{00000000-0005-0000-0000-0000F01D0000}"/>
    <cellStyle name="COST1 17" xfId="7675" xr:uid="{00000000-0005-0000-0000-0000F11D0000}"/>
    <cellStyle name="COST1 18" xfId="7676" xr:uid="{00000000-0005-0000-0000-0000F21D0000}"/>
    <cellStyle name="COST1 19" xfId="7677" xr:uid="{00000000-0005-0000-0000-0000F31D0000}"/>
    <cellStyle name="COST1 2" xfId="7678" xr:uid="{00000000-0005-0000-0000-0000F41D0000}"/>
    <cellStyle name="COST1 20" xfId="7679" xr:uid="{00000000-0005-0000-0000-0000F51D0000}"/>
    <cellStyle name="COST1 21" xfId="7680" xr:uid="{00000000-0005-0000-0000-0000F61D0000}"/>
    <cellStyle name="COST1 3" xfId="7681" xr:uid="{00000000-0005-0000-0000-0000F71D0000}"/>
    <cellStyle name="COST1 4" xfId="7682" xr:uid="{00000000-0005-0000-0000-0000F81D0000}"/>
    <cellStyle name="COST1 5" xfId="7683" xr:uid="{00000000-0005-0000-0000-0000F91D0000}"/>
    <cellStyle name="COST1 6" xfId="7684" xr:uid="{00000000-0005-0000-0000-0000FA1D0000}"/>
    <cellStyle name="COST1 7" xfId="7685" xr:uid="{00000000-0005-0000-0000-0000FB1D0000}"/>
    <cellStyle name="COST1 8" xfId="7686" xr:uid="{00000000-0005-0000-0000-0000FC1D0000}"/>
    <cellStyle name="COST1 9" xfId="7687" xr:uid="{00000000-0005-0000-0000-0000FD1D0000}"/>
    <cellStyle name="Currency0" xfId="7688" xr:uid="{00000000-0005-0000-0000-0000FE1D0000}"/>
    <cellStyle name="CustomizationCells" xfId="58925" xr:uid="{00000000-0005-0000-0000-0000FF1D0000}"/>
    <cellStyle name="Data" xfId="7689" xr:uid="{00000000-0005-0000-0000-0000001E0000}"/>
    <cellStyle name="Data no deci" xfId="7690" xr:uid="{00000000-0005-0000-0000-0000011E0000}"/>
    <cellStyle name="Data Superscript" xfId="7691" xr:uid="{00000000-0005-0000-0000-0000021E0000}"/>
    <cellStyle name="Data_1-1A-Regular" xfId="7692" xr:uid="{00000000-0005-0000-0000-0000031E0000}"/>
    <cellStyle name="Data-one deci" xfId="7693" xr:uid="{00000000-0005-0000-0000-0000041E0000}"/>
    <cellStyle name="Date" xfId="7694" xr:uid="{00000000-0005-0000-0000-0000051E0000}"/>
    <cellStyle name="Diseño" xfId="7695" xr:uid="{00000000-0005-0000-0000-0000061E0000}"/>
    <cellStyle name="Diseño 2" xfId="7696" xr:uid="{00000000-0005-0000-0000-0000071E0000}"/>
    <cellStyle name="DobleEspacio" xfId="58827" xr:uid="{00000000-0005-0000-0000-0000081E0000}"/>
    <cellStyle name="Encabezado 1" xfId="28275" builtinId="16" customBuiltin="1"/>
    <cellStyle name="Encabezado 4" xfId="28279" builtinId="19" customBuiltin="1"/>
    <cellStyle name="Encabezado 4 2" xfId="7697" xr:uid="{00000000-0005-0000-0000-00000B1E0000}"/>
    <cellStyle name="Encabezado 4 3" xfId="7698" xr:uid="{00000000-0005-0000-0000-00000C1E0000}"/>
    <cellStyle name="Encabezado 4 4" xfId="7699" xr:uid="{00000000-0005-0000-0000-00000D1E0000}"/>
    <cellStyle name="Encabezado 4 5" xfId="7700" xr:uid="{00000000-0005-0000-0000-00000E1E0000}"/>
    <cellStyle name="Encabezado 4 6" xfId="7701" xr:uid="{00000000-0005-0000-0000-00000F1E0000}"/>
    <cellStyle name="Encabezado 4 7" xfId="7702" xr:uid="{00000000-0005-0000-0000-0000101E0000}"/>
    <cellStyle name="Énfasis1 2" xfId="7703" xr:uid="{00000000-0005-0000-0000-0000111E0000}"/>
    <cellStyle name="Énfasis1 3" xfId="7704" xr:uid="{00000000-0005-0000-0000-0000121E0000}"/>
    <cellStyle name="Énfasis1 4" xfId="7705" xr:uid="{00000000-0005-0000-0000-0000131E0000}"/>
    <cellStyle name="Énfasis1 5" xfId="7706" xr:uid="{00000000-0005-0000-0000-0000141E0000}"/>
    <cellStyle name="Énfasis1 6" xfId="7707" xr:uid="{00000000-0005-0000-0000-0000151E0000}"/>
    <cellStyle name="Énfasis1 7" xfId="7708" xr:uid="{00000000-0005-0000-0000-0000161E0000}"/>
    <cellStyle name="Énfasis2 2" xfId="7709" xr:uid="{00000000-0005-0000-0000-0000171E0000}"/>
    <cellStyle name="Énfasis2 3" xfId="7710" xr:uid="{00000000-0005-0000-0000-0000181E0000}"/>
    <cellStyle name="Énfasis2 4" xfId="7711" xr:uid="{00000000-0005-0000-0000-0000191E0000}"/>
    <cellStyle name="Énfasis2 5" xfId="7712" xr:uid="{00000000-0005-0000-0000-00001A1E0000}"/>
    <cellStyle name="Énfasis2 6" xfId="7713" xr:uid="{00000000-0005-0000-0000-00001B1E0000}"/>
    <cellStyle name="Énfasis2 7" xfId="7714" xr:uid="{00000000-0005-0000-0000-00001C1E0000}"/>
    <cellStyle name="Énfasis3 2" xfId="7715" xr:uid="{00000000-0005-0000-0000-00001D1E0000}"/>
    <cellStyle name="Énfasis3 3" xfId="7716" xr:uid="{00000000-0005-0000-0000-00001E1E0000}"/>
    <cellStyle name="Énfasis3 4" xfId="7717" xr:uid="{00000000-0005-0000-0000-00001F1E0000}"/>
    <cellStyle name="Énfasis3 5" xfId="7718" xr:uid="{00000000-0005-0000-0000-0000201E0000}"/>
    <cellStyle name="Énfasis3 6" xfId="7719" xr:uid="{00000000-0005-0000-0000-0000211E0000}"/>
    <cellStyle name="Énfasis3 7" xfId="7720" xr:uid="{00000000-0005-0000-0000-0000221E0000}"/>
    <cellStyle name="Énfasis4 2" xfId="7721" xr:uid="{00000000-0005-0000-0000-0000231E0000}"/>
    <cellStyle name="Énfasis4 3" xfId="7722" xr:uid="{00000000-0005-0000-0000-0000241E0000}"/>
    <cellStyle name="Énfasis4 4" xfId="7723" xr:uid="{00000000-0005-0000-0000-0000251E0000}"/>
    <cellStyle name="Énfasis4 5" xfId="7724" xr:uid="{00000000-0005-0000-0000-0000261E0000}"/>
    <cellStyle name="Énfasis4 6" xfId="7725" xr:uid="{00000000-0005-0000-0000-0000271E0000}"/>
    <cellStyle name="Énfasis4 7" xfId="7726" xr:uid="{00000000-0005-0000-0000-0000281E0000}"/>
    <cellStyle name="Énfasis5 2" xfId="7727" xr:uid="{00000000-0005-0000-0000-0000291E0000}"/>
    <cellStyle name="Énfasis5 3" xfId="7728" xr:uid="{00000000-0005-0000-0000-00002A1E0000}"/>
    <cellStyle name="Énfasis5 4" xfId="7729" xr:uid="{00000000-0005-0000-0000-00002B1E0000}"/>
    <cellStyle name="Énfasis5 5" xfId="7730" xr:uid="{00000000-0005-0000-0000-00002C1E0000}"/>
    <cellStyle name="Énfasis5 6" xfId="7731" xr:uid="{00000000-0005-0000-0000-00002D1E0000}"/>
    <cellStyle name="Énfasis5 7" xfId="7732" xr:uid="{00000000-0005-0000-0000-00002E1E0000}"/>
    <cellStyle name="Énfasis6 2" xfId="7733" xr:uid="{00000000-0005-0000-0000-00002F1E0000}"/>
    <cellStyle name="Énfasis6 3" xfId="7734" xr:uid="{00000000-0005-0000-0000-0000301E0000}"/>
    <cellStyle name="Énfasis6 4" xfId="7735" xr:uid="{00000000-0005-0000-0000-0000311E0000}"/>
    <cellStyle name="Énfasis6 5" xfId="7736" xr:uid="{00000000-0005-0000-0000-0000321E0000}"/>
    <cellStyle name="Énfasis6 6" xfId="7737" xr:uid="{00000000-0005-0000-0000-0000331E0000}"/>
    <cellStyle name="Énfasis6 7" xfId="7738" xr:uid="{00000000-0005-0000-0000-0000341E0000}"/>
    <cellStyle name="Entered" xfId="7739" xr:uid="{00000000-0005-0000-0000-0000351E0000}"/>
    <cellStyle name="Entered 10" xfId="7740" xr:uid="{00000000-0005-0000-0000-0000361E0000}"/>
    <cellStyle name="Entered 11" xfId="7741" xr:uid="{00000000-0005-0000-0000-0000371E0000}"/>
    <cellStyle name="Entered 12" xfId="7742" xr:uid="{00000000-0005-0000-0000-0000381E0000}"/>
    <cellStyle name="Entered 13" xfId="7743" xr:uid="{00000000-0005-0000-0000-0000391E0000}"/>
    <cellStyle name="Entered 14" xfId="7744" xr:uid="{00000000-0005-0000-0000-00003A1E0000}"/>
    <cellStyle name="Entered 15" xfId="7745" xr:uid="{00000000-0005-0000-0000-00003B1E0000}"/>
    <cellStyle name="Entered 16" xfId="7746" xr:uid="{00000000-0005-0000-0000-00003C1E0000}"/>
    <cellStyle name="Entered 17" xfId="7747" xr:uid="{00000000-0005-0000-0000-00003D1E0000}"/>
    <cellStyle name="Entered 18" xfId="7748" xr:uid="{00000000-0005-0000-0000-00003E1E0000}"/>
    <cellStyle name="Entered 19" xfId="7749" xr:uid="{00000000-0005-0000-0000-00003F1E0000}"/>
    <cellStyle name="Entered 2" xfId="7750" xr:uid="{00000000-0005-0000-0000-0000401E0000}"/>
    <cellStyle name="Entered 20" xfId="7751" xr:uid="{00000000-0005-0000-0000-0000411E0000}"/>
    <cellStyle name="Entered 21" xfId="7752" xr:uid="{00000000-0005-0000-0000-0000421E0000}"/>
    <cellStyle name="Entered 3" xfId="7753" xr:uid="{00000000-0005-0000-0000-0000431E0000}"/>
    <cellStyle name="Entered 4" xfId="7754" xr:uid="{00000000-0005-0000-0000-0000441E0000}"/>
    <cellStyle name="Entered 5" xfId="7755" xr:uid="{00000000-0005-0000-0000-0000451E0000}"/>
    <cellStyle name="Entered 6" xfId="7756" xr:uid="{00000000-0005-0000-0000-0000461E0000}"/>
    <cellStyle name="Entered 7" xfId="7757" xr:uid="{00000000-0005-0000-0000-0000471E0000}"/>
    <cellStyle name="Entered 8" xfId="7758" xr:uid="{00000000-0005-0000-0000-0000481E0000}"/>
    <cellStyle name="Entered 9" xfId="7759" xr:uid="{00000000-0005-0000-0000-0000491E0000}"/>
    <cellStyle name="Entrada" xfId="28301" builtinId="20" customBuiltin="1"/>
    <cellStyle name="Entrada 2" xfId="7760" xr:uid="{00000000-0005-0000-0000-00004B1E0000}"/>
    <cellStyle name="Entrada 2 10" xfId="7761" xr:uid="{00000000-0005-0000-0000-00004C1E0000}"/>
    <cellStyle name="Entrada 2 10 2" xfId="7762" xr:uid="{00000000-0005-0000-0000-00004D1E0000}"/>
    <cellStyle name="Entrada 2 10 2 2" xfId="7763" xr:uid="{00000000-0005-0000-0000-00004E1E0000}"/>
    <cellStyle name="Entrada 2 10 2 2 2" xfId="7764" xr:uid="{00000000-0005-0000-0000-00004F1E0000}"/>
    <cellStyle name="Entrada 2 10 2 2 3" xfId="7765" xr:uid="{00000000-0005-0000-0000-0000501E0000}"/>
    <cellStyle name="Entrada 2 10 2 2 4" xfId="7766" xr:uid="{00000000-0005-0000-0000-0000511E0000}"/>
    <cellStyle name="Entrada 2 10 2 3" xfId="7767" xr:uid="{00000000-0005-0000-0000-0000521E0000}"/>
    <cellStyle name="Entrada 2 10 2 3 2" xfId="7768" xr:uid="{00000000-0005-0000-0000-0000531E0000}"/>
    <cellStyle name="Entrada 2 10 2 3 3" xfId="7769" xr:uid="{00000000-0005-0000-0000-0000541E0000}"/>
    <cellStyle name="Entrada 2 10 2 3 4" xfId="7770" xr:uid="{00000000-0005-0000-0000-0000551E0000}"/>
    <cellStyle name="Entrada 2 10 2 4" xfId="7771" xr:uid="{00000000-0005-0000-0000-0000561E0000}"/>
    <cellStyle name="Entrada 2 10 2 5" xfId="7772" xr:uid="{00000000-0005-0000-0000-0000571E0000}"/>
    <cellStyle name="Entrada 2 10 2 6" xfId="7773" xr:uid="{00000000-0005-0000-0000-0000581E0000}"/>
    <cellStyle name="Entrada 2 10 3" xfId="7774" xr:uid="{00000000-0005-0000-0000-0000591E0000}"/>
    <cellStyle name="Entrada 2 10 3 2" xfId="7775" xr:uid="{00000000-0005-0000-0000-00005A1E0000}"/>
    <cellStyle name="Entrada 2 10 3 2 2" xfId="7776" xr:uid="{00000000-0005-0000-0000-00005B1E0000}"/>
    <cellStyle name="Entrada 2 10 3 2 3" xfId="7777" xr:uid="{00000000-0005-0000-0000-00005C1E0000}"/>
    <cellStyle name="Entrada 2 10 3 2 4" xfId="7778" xr:uid="{00000000-0005-0000-0000-00005D1E0000}"/>
    <cellStyle name="Entrada 2 10 3 3" xfId="7779" xr:uid="{00000000-0005-0000-0000-00005E1E0000}"/>
    <cellStyle name="Entrada 2 10 3 3 2" xfId="7780" xr:uid="{00000000-0005-0000-0000-00005F1E0000}"/>
    <cellStyle name="Entrada 2 10 3 3 3" xfId="7781" xr:uid="{00000000-0005-0000-0000-0000601E0000}"/>
    <cellStyle name="Entrada 2 10 3 3 4" xfId="7782" xr:uid="{00000000-0005-0000-0000-0000611E0000}"/>
    <cellStyle name="Entrada 2 10 3 4" xfId="7783" xr:uid="{00000000-0005-0000-0000-0000621E0000}"/>
    <cellStyle name="Entrada 2 10 3 5" xfId="7784" xr:uid="{00000000-0005-0000-0000-0000631E0000}"/>
    <cellStyle name="Entrada 2 10 3 6" xfId="7785" xr:uid="{00000000-0005-0000-0000-0000641E0000}"/>
    <cellStyle name="Entrada 2 10 4" xfId="7786" xr:uid="{00000000-0005-0000-0000-0000651E0000}"/>
    <cellStyle name="Entrada 2 10 4 2" xfId="7787" xr:uid="{00000000-0005-0000-0000-0000661E0000}"/>
    <cellStyle name="Entrada 2 10 4 3" xfId="7788" xr:uid="{00000000-0005-0000-0000-0000671E0000}"/>
    <cellStyle name="Entrada 2 10 4 4" xfId="7789" xr:uid="{00000000-0005-0000-0000-0000681E0000}"/>
    <cellStyle name="Entrada 2 10 5" xfId="7790" xr:uid="{00000000-0005-0000-0000-0000691E0000}"/>
    <cellStyle name="Entrada 2 10 6" xfId="7791" xr:uid="{00000000-0005-0000-0000-00006A1E0000}"/>
    <cellStyle name="Entrada 2 11" xfId="7792" xr:uid="{00000000-0005-0000-0000-00006B1E0000}"/>
    <cellStyle name="Entrada 2 11 2" xfId="7793" xr:uid="{00000000-0005-0000-0000-00006C1E0000}"/>
    <cellStyle name="Entrada 2 11 2 2" xfId="7794" xr:uid="{00000000-0005-0000-0000-00006D1E0000}"/>
    <cellStyle name="Entrada 2 11 2 2 2" xfId="7795" xr:uid="{00000000-0005-0000-0000-00006E1E0000}"/>
    <cellStyle name="Entrada 2 11 2 2 3" xfId="7796" xr:uid="{00000000-0005-0000-0000-00006F1E0000}"/>
    <cellStyle name="Entrada 2 11 2 2 4" xfId="7797" xr:uid="{00000000-0005-0000-0000-0000701E0000}"/>
    <cellStyle name="Entrada 2 11 2 3" xfId="7798" xr:uid="{00000000-0005-0000-0000-0000711E0000}"/>
    <cellStyle name="Entrada 2 11 2 3 2" xfId="7799" xr:uid="{00000000-0005-0000-0000-0000721E0000}"/>
    <cellStyle name="Entrada 2 11 2 3 3" xfId="7800" xr:uid="{00000000-0005-0000-0000-0000731E0000}"/>
    <cellStyle name="Entrada 2 11 2 3 4" xfId="7801" xr:uid="{00000000-0005-0000-0000-0000741E0000}"/>
    <cellStyle name="Entrada 2 11 2 4" xfId="7802" xr:uid="{00000000-0005-0000-0000-0000751E0000}"/>
    <cellStyle name="Entrada 2 11 2 5" xfId="7803" xr:uid="{00000000-0005-0000-0000-0000761E0000}"/>
    <cellStyle name="Entrada 2 11 2 6" xfId="7804" xr:uid="{00000000-0005-0000-0000-0000771E0000}"/>
    <cellStyle name="Entrada 2 11 3" xfId="7805" xr:uid="{00000000-0005-0000-0000-0000781E0000}"/>
    <cellStyle name="Entrada 2 11 3 2" xfId="7806" xr:uid="{00000000-0005-0000-0000-0000791E0000}"/>
    <cellStyle name="Entrada 2 11 3 2 2" xfId="7807" xr:uid="{00000000-0005-0000-0000-00007A1E0000}"/>
    <cellStyle name="Entrada 2 11 3 2 3" xfId="7808" xr:uid="{00000000-0005-0000-0000-00007B1E0000}"/>
    <cellStyle name="Entrada 2 11 3 2 4" xfId="7809" xr:uid="{00000000-0005-0000-0000-00007C1E0000}"/>
    <cellStyle name="Entrada 2 11 3 3" xfId="7810" xr:uid="{00000000-0005-0000-0000-00007D1E0000}"/>
    <cellStyle name="Entrada 2 11 3 3 2" xfId="7811" xr:uid="{00000000-0005-0000-0000-00007E1E0000}"/>
    <cellStyle name="Entrada 2 11 3 3 3" xfId="7812" xr:uid="{00000000-0005-0000-0000-00007F1E0000}"/>
    <cellStyle name="Entrada 2 11 3 3 4" xfId="7813" xr:uid="{00000000-0005-0000-0000-0000801E0000}"/>
    <cellStyle name="Entrada 2 11 3 4" xfId="7814" xr:uid="{00000000-0005-0000-0000-0000811E0000}"/>
    <cellStyle name="Entrada 2 11 3 5" xfId="7815" xr:uid="{00000000-0005-0000-0000-0000821E0000}"/>
    <cellStyle name="Entrada 2 11 3 6" xfId="7816" xr:uid="{00000000-0005-0000-0000-0000831E0000}"/>
    <cellStyle name="Entrada 2 11 4" xfId="7817" xr:uid="{00000000-0005-0000-0000-0000841E0000}"/>
    <cellStyle name="Entrada 2 11 5" xfId="7818" xr:uid="{00000000-0005-0000-0000-0000851E0000}"/>
    <cellStyle name="Entrada 2 11 6" xfId="7819" xr:uid="{00000000-0005-0000-0000-0000861E0000}"/>
    <cellStyle name="Entrada 2 12" xfId="7820" xr:uid="{00000000-0005-0000-0000-0000871E0000}"/>
    <cellStyle name="Entrada 2 13" xfId="7821" xr:uid="{00000000-0005-0000-0000-0000881E0000}"/>
    <cellStyle name="Entrada 2 2" xfId="7822" xr:uid="{00000000-0005-0000-0000-0000891E0000}"/>
    <cellStyle name="Entrada 2 2 10" xfId="7823" xr:uid="{00000000-0005-0000-0000-00008A1E0000}"/>
    <cellStyle name="Entrada 2 2 10 2" xfId="7824" xr:uid="{00000000-0005-0000-0000-00008B1E0000}"/>
    <cellStyle name="Entrada 2 2 10 2 2" xfId="7825" xr:uid="{00000000-0005-0000-0000-00008C1E0000}"/>
    <cellStyle name="Entrada 2 2 10 2 2 2" xfId="7826" xr:uid="{00000000-0005-0000-0000-00008D1E0000}"/>
    <cellStyle name="Entrada 2 2 10 2 2 3" xfId="7827" xr:uid="{00000000-0005-0000-0000-00008E1E0000}"/>
    <cellStyle name="Entrada 2 2 10 2 2 4" xfId="7828" xr:uid="{00000000-0005-0000-0000-00008F1E0000}"/>
    <cellStyle name="Entrada 2 2 10 2 3" xfId="7829" xr:uid="{00000000-0005-0000-0000-0000901E0000}"/>
    <cellStyle name="Entrada 2 2 10 2 3 2" xfId="7830" xr:uid="{00000000-0005-0000-0000-0000911E0000}"/>
    <cellStyle name="Entrada 2 2 10 2 3 3" xfId="7831" xr:uid="{00000000-0005-0000-0000-0000921E0000}"/>
    <cellStyle name="Entrada 2 2 10 2 3 4" xfId="7832" xr:uid="{00000000-0005-0000-0000-0000931E0000}"/>
    <cellStyle name="Entrada 2 2 10 2 4" xfId="7833" xr:uid="{00000000-0005-0000-0000-0000941E0000}"/>
    <cellStyle name="Entrada 2 2 10 2 5" xfId="7834" xr:uid="{00000000-0005-0000-0000-0000951E0000}"/>
    <cellStyle name="Entrada 2 2 10 2 6" xfId="7835" xr:uid="{00000000-0005-0000-0000-0000961E0000}"/>
    <cellStyle name="Entrada 2 2 10 3" xfId="7836" xr:uid="{00000000-0005-0000-0000-0000971E0000}"/>
    <cellStyle name="Entrada 2 2 10 3 2" xfId="7837" xr:uid="{00000000-0005-0000-0000-0000981E0000}"/>
    <cellStyle name="Entrada 2 2 10 3 2 2" xfId="7838" xr:uid="{00000000-0005-0000-0000-0000991E0000}"/>
    <cellStyle name="Entrada 2 2 10 3 2 3" xfId="7839" xr:uid="{00000000-0005-0000-0000-00009A1E0000}"/>
    <cellStyle name="Entrada 2 2 10 3 2 4" xfId="7840" xr:uid="{00000000-0005-0000-0000-00009B1E0000}"/>
    <cellStyle name="Entrada 2 2 10 3 3" xfId="7841" xr:uid="{00000000-0005-0000-0000-00009C1E0000}"/>
    <cellStyle name="Entrada 2 2 10 3 3 2" xfId="7842" xr:uid="{00000000-0005-0000-0000-00009D1E0000}"/>
    <cellStyle name="Entrada 2 2 10 3 3 3" xfId="7843" xr:uid="{00000000-0005-0000-0000-00009E1E0000}"/>
    <cellStyle name="Entrada 2 2 10 3 3 4" xfId="7844" xr:uid="{00000000-0005-0000-0000-00009F1E0000}"/>
    <cellStyle name="Entrada 2 2 10 3 4" xfId="7845" xr:uid="{00000000-0005-0000-0000-0000A01E0000}"/>
    <cellStyle name="Entrada 2 2 10 3 5" xfId="7846" xr:uid="{00000000-0005-0000-0000-0000A11E0000}"/>
    <cellStyle name="Entrada 2 2 10 3 6" xfId="7847" xr:uid="{00000000-0005-0000-0000-0000A21E0000}"/>
    <cellStyle name="Entrada 2 2 10 4" xfId="7848" xr:uid="{00000000-0005-0000-0000-0000A31E0000}"/>
    <cellStyle name="Entrada 2 2 10 5" xfId="7849" xr:uid="{00000000-0005-0000-0000-0000A41E0000}"/>
    <cellStyle name="Entrada 2 2 10 6" xfId="7850" xr:uid="{00000000-0005-0000-0000-0000A51E0000}"/>
    <cellStyle name="Entrada 2 2 11" xfId="7851" xr:uid="{00000000-0005-0000-0000-0000A61E0000}"/>
    <cellStyle name="Entrada 2 2 12" xfId="7852" xr:uid="{00000000-0005-0000-0000-0000A71E0000}"/>
    <cellStyle name="Entrada 2 2 2" xfId="7853" xr:uid="{00000000-0005-0000-0000-0000A81E0000}"/>
    <cellStyle name="Entrada 2 2 2 2" xfId="7854" xr:uid="{00000000-0005-0000-0000-0000A91E0000}"/>
    <cellStyle name="Entrada 2 2 2 2 2" xfId="7855" xr:uid="{00000000-0005-0000-0000-0000AA1E0000}"/>
    <cellStyle name="Entrada 2 2 2 2 2 2" xfId="7856" xr:uid="{00000000-0005-0000-0000-0000AB1E0000}"/>
    <cellStyle name="Entrada 2 2 2 2 2 2 2" xfId="7857" xr:uid="{00000000-0005-0000-0000-0000AC1E0000}"/>
    <cellStyle name="Entrada 2 2 2 2 2 2 3" xfId="7858" xr:uid="{00000000-0005-0000-0000-0000AD1E0000}"/>
    <cellStyle name="Entrada 2 2 2 2 2 2 4" xfId="7859" xr:uid="{00000000-0005-0000-0000-0000AE1E0000}"/>
    <cellStyle name="Entrada 2 2 2 2 2 3" xfId="7860" xr:uid="{00000000-0005-0000-0000-0000AF1E0000}"/>
    <cellStyle name="Entrada 2 2 2 2 2 3 2" xfId="7861" xr:uid="{00000000-0005-0000-0000-0000B01E0000}"/>
    <cellStyle name="Entrada 2 2 2 2 2 3 3" xfId="7862" xr:uid="{00000000-0005-0000-0000-0000B11E0000}"/>
    <cellStyle name="Entrada 2 2 2 2 2 3 4" xfId="7863" xr:uid="{00000000-0005-0000-0000-0000B21E0000}"/>
    <cellStyle name="Entrada 2 2 2 2 2 4" xfId="7864" xr:uid="{00000000-0005-0000-0000-0000B31E0000}"/>
    <cellStyle name="Entrada 2 2 2 2 2 5" xfId="7865" xr:uid="{00000000-0005-0000-0000-0000B41E0000}"/>
    <cellStyle name="Entrada 2 2 2 2 2 6" xfId="7866" xr:uid="{00000000-0005-0000-0000-0000B51E0000}"/>
    <cellStyle name="Entrada 2 2 2 2 3" xfId="7867" xr:uid="{00000000-0005-0000-0000-0000B61E0000}"/>
    <cellStyle name="Entrada 2 2 2 2 3 2" xfId="7868" xr:uid="{00000000-0005-0000-0000-0000B71E0000}"/>
    <cellStyle name="Entrada 2 2 2 2 3 2 2" xfId="7869" xr:uid="{00000000-0005-0000-0000-0000B81E0000}"/>
    <cellStyle name="Entrada 2 2 2 2 3 2 3" xfId="7870" xr:uid="{00000000-0005-0000-0000-0000B91E0000}"/>
    <cellStyle name="Entrada 2 2 2 2 3 2 4" xfId="7871" xr:uid="{00000000-0005-0000-0000-0000BA1E0000}"/>
    <cellStyle name="Entrada 2 2 2 2 3 3" xfId="7872" xr:uid="{00000000-0005-0000-0000-0000BB1E0000}"/>
    <cellStyle name="Entrada 2 2 2 2 3 3 2" xfId="7873" xr:uid="{00000000-0005-0000-0000-0000BC1E0000}"/>
    <cellStyle name="Entrada 2 2 2 2 3 3 3" xfId="7874" xr:uid="{00000000-0005-0000-0000-0000BD1E0000}"/>
    <cellStyle name="Entrada 2 2 2 2 3 3 4" xfId="7875" xr:uid="{00000000-0005-0000-0000-0000BE1E0000}"/>
    <cellStyle name="Entrada 2 2 2 2 3 4" xfId="7876" xr:uid="{00000000-0005-0000-0000-0000BF1E0000}"/>
    <cellStyle name="Entrada 2 2 2 2 3 5" xfId="7877" xr:uid="{00000000-0005-0000-0000-0000C01E0000}"/>
    <cellStyle name="Entrada 2 2 2 2 3 6" xfId="7878" xr:uid="{00000000-0005-0000-0000-0000C11E0000}"/>
    <cellStyle name="Entrada 2 2 2 2 4" xfId="7879" xr:uid="{00000000-0005-0000-0000-0000C21E0000}"/>
    <cellStyle name="Entrada 2 2 2 2 5" xfId="7880" xr:uid="{00000000-0005-0000-0000-0000C31E0000}"/>
    <cellStyle name="Entrada 2 2 2 2 6" xfId="7881" xr:uid="{00000000-0005-0000-0000-0000C41E0000}"/>
    <cellStyle name="Entrada 2 2 2 3" xfId="7882" xr:uid="{00000000-0005-0000-0000-0000C51E0000}"/>
    <cellStyle name="Entrada 2 2 2 4" xfId="7883" xr:uid="{00000000-0005-0000-0000-0000C61E0000}"/>
    <cellStyle name="Entrada 2 2 3" xfId="7884" xr:uid="{00000000-0005-0000-0000-0000C71E0000}"/>
    <cellStyle name="Entrada 2 2 3 2" xfId="7885" xr:uid="{00000000-0005-0000-0000-0000C81E0000}"/>
    <cellStyle name="Entrada 2 2 3 2 2" xfId="7886" xr:uid="{00000000-0005-0000-0000-0000C91E0000}"/>
    <cellStyle name="Entrada 2 2 3 2 2 2" xfId="7887" xr:uid="{00000000-0005-0000-0000-0000CA1E0000}"/>
    <cellStyle name="Entrada 2 2 3 2 2 2 2" xfId="7888" xr:uid="{00000000-0005-0000-0000-0000CB1E0000}"/>
    <cellStyle name="Entrada 2 2 3 2 2 2 3" xfId="7889" xr:uid="{00000000-0005-0000-0000-0000CC1E0000}"/>
    <cellStyle name="Entrada 2 2 3 2 2 2 4" xfId="7890" xr:uid="{00000000-0005-0000-0000-0000CD1E0000}"/>
    <cellStyle name="Entrada 2 2 3 2 2 3" xfId="7891" xr:uid="{00000000-0005-0000-0000-0000CE1E0000}"/>
    <cellStyle name="Entrada 2 2 3 2 2 3 2" xfId="7892" xr:uid="{00000000-0005-0000-0000-0000CF1E0000}"/>
    <cellStyle name="Entrada 2 2 3 2 2 3 3" xfId="7893" xr:uid="{00000000-0005-0000-0000-0000D01E0000}"/>
    <cellStyle name="Entrada 2 2 3 2 2 3 4" xfId="7894" xr:uid="{00000000-0005-0000-0000-0000D11E0000}"/>
    <cellStyle name="Entrada 2 2 3 2 2 4" xfId="7895" xr:uid="{00000000-0005-0000-0000-0000D21E0000}"/>
    <cellStyle name="Entrada 2 2 3 2 2 5" xfId="7896" xr:uid="{00000000-0005-0000-0000-0000D31E0000}"/>
    <cellStyle name="Entrada 2 2 3 2 2 6" xfId="7897" xr:uid="{00000000-0005-0000-0000-0000D41E0000}"/>
    <cellStyle name="Entrada 2 2 3 2 3" xfId="7898" xr:uid="{00000000-0005-0000-0000-0000D51E0000}"/>
    <cellStyle name="Entrada 2 2 3 2 3 2" xfId="7899" xr:uid="{00000000-0005-0000-0000-0000D61E0000}"/>
    <cellStyle name="Entrada 2 2 3 2 3 2 2" xfId="7900" xr:uid="{00000000-0005-0000-0000-0000D71E0000}"/>
    <cellStyle name="Entrada 2 2 3 2 3 2 3" xfId="7901" xr:uid="{00000000-0005-0000-0000-0000D81E0000}"/>
    <cellStyle name="Entrada 2 2 3 2 3 2 4" xfId="7902" xr:uid="{00000000-0005-0000-0000-0000D91E0000}"/>
    <cellStyle name="Entrada 2 2 3 2 3 3" xfId="7903" xr:uid="{00000000-0005-0000-0000-0000DA1E0000}"/>
    <cellStyle name="Entrada 2 2 3 2 3 3 2" xfId="7904" xr:uid="{00000000-0005-0000-0000-0000DB1E0000}"/>
    <cellStyle name="Entrada 2 2 3 2 3 3 3" xfId="7905" xr:uid="{00000000-0005-0000-0000-0000DC1E0000}"/>
    <cellStyle name="Entrada 2 2 3 2 3 3 4" xfId="7906" xr:uid="{00000000-0005-0000-0000-0000DD1E0000}"/>
    <cellStyle name="Entrada 2 2 3 2 3 4" xfId="7907" xr:uid="{00000000-0005-0000-0000-0000DE1E0000}"/>
    <cellStyle name="Entrada 2 2 3 2 3 5" xfId="7908" xr:uid="{00000000-0005-0000-0000-0000DF1E0000}"/>
    <cellStyle name="Entrada 2 2 3 2 3 6" xfId="7909" xr:uid="{00000000-0005-0000-0000-0000E01E0000}"/>
    <cellStyle name="Entrada 2 2 3 2 4" xfId="7910" xr:uid="{00000000-0005-0000-0000-0000E11E0000}"/>
    <cellStyle name="Entrada 2 2 3 2 5" xfId="7911" xr:uid="{00000000-0005-0000-0000-0000E21E0000}"/>
    <cellStyle name="Entrada 2 2 3 2 6" xfId="7912" xr:uid="{00000000-0005-0000-0000-0000E31E0000}"/>
    <cellStyle name="Entrada 2 2 3 3" xfId="7913" xr:uid="{00000000-0005-0000-0000-0000E41E0000}"/>
    <cellStyle name="Entrada 2 2 3 4" xfId="7914" xr:uid="{00000000-0005-0000-0000-0000E51E0000}"/>
    <cellStyle name="Entrada 2 2 4" xfId="7915" xr:uid="{00000000-0005-0000-0000-0000E61E0000}"/>
    <cellStyle name="Entrada 2 2 4 2" xfId="7916" xr:uid="{00000000-0005-0000-0000-0000E71E0000}"/>
    <cellStyle name="Entrada 2 2 4 2 2" xfId="7917" xr:uid="{00000000-0005-0000-0000-0000E81E0000}"/>
    <cellStyle name="Entrada 2 2 4 2 2 2" xfId="7918" xr:uid="{00000000-0005-0000-0000-0000E91E0000}"/>
    <cellStyle name="Entrada 2 2 4 2 2 2 2" xfId="7919" xr:uid="{00000000-0005-0000-0000-0000EA1E0000}"/>
    <cellStyle name="Entrada 2 2 4 2 2 2 3" xfId="7920" xr:uid="{00000000-0005-0000-0000-0000EB1E0000}"/>
    <cellStyle name="Entrada 2 2 4 2 2 2 4" xfId="7921" xr:uid="{00000000-0005-0000-0000-0000EC1E0000}"/>
    <cellStyle name="Entrada 2 2 4 2 2 3" xfId="7922" xr:uid="{00000000-0005-0000-0000-0000ED1E0000}"/>
    <cellStyle name="Entrada 2 2 4 2 2 3 2" xfId="7923" xr:uid="{00000000-0005-0000-0000-0000EE1E0000}"/>
    <cellStyle name="Entrada 2 2 4 2 2 3 3" xfId="7924" xr:uid="{00000000-0005-0000-0000-0000EF1E0000}"/>
    <cellStyle name="Entrada 2 2 4 2 2 3 4" xfId="7925" xr:uid="{00000000-0005-0000-0000-0000F01E0000}"/>
    <cellStyle name="Entrada 2 2 4 2 2 4" xfId="7926" xr:uid="{00000000-0005-0000-0000-0000F11E0000}"/>
    <cellStyle name="Entrada 2 2 4 2 2 5" xfId="7927" xr:uid="{00000000-0005-0000-0000-0000F21E0000}"/>
    <cellStyle name="Entrada 2 2 4 2 2 6" xfId="7928" xr:uid="{00000000-0005-0000-0000-0000F31E0000}"/>
    <cellStyle name="Entrada 2 2 4 2 3" xfId="7929" xr:uid="{00000000-0005-0000-0000-0000F41E0000}"/>
    <cellStyle name="Entrada 2 2 4 2 3 2" xfId="7930" xr:uid="{00000000-0005-0000-0000-0000F51E0000}"/>
    <cellStyle name="Entrada 2 2 4 2 3 2 2" xfId="7931" xr:uid="{00000000-0005-0000-0000-0000F61E0000}"/>
    <cellStyle name="Entrada 2 2 4 2 3 2 3" xfId="7932" xr:uid="{00000000-0005-0000-0000-0000F71E0000}"/>
    <cellStyle name="Entrada 2 2 4 2 3 2 4" xfId="7933" xr:uid="{00000000-0005-0000-0000-0000F81E0000}"/>
    <cellStyle name="Entrada 2 2 4 2 3 3" xfId="7934" xr:uid="{00000000-0005-0000-0000-0000F91E0000}"/>
    <cellStyle name="Entrada 2 2 4 2 3 3 2" xfId="7935" xr:uid="{00000000-0005-0000-0000-0000FA1E0000}"/>
    <cellStyle name="Entrada 2 2 4 2 3 3 3" xfId="7936" xr:uid="{00000000-0005-0000-0000-0000FB1E0000}"/>
    <cellStyle name="Entrada 2 2 4 2 3 3 4" xfId="7937" xr:uid="{00000000-0005-0000-0000-0000FC1E0000}"/>
    <cellStyle name="Entrada 2 2 4 2 3 4" xfId="7938" xr:uid="{00000000-0005-0000-0000-0000FD1E0000}"/>
    <cellStyle name="Entrada 2 2 4 2 3 5" xfId="7939" xr:uid="{00000000-0005-0000-0000-0000FE1E0000}"/>
    <cellStyle name="Entrada 2 2 4 2 3 6" xfId="7940" xr:uid="{00000000-0005-0000-0000-0000FF1E0000}"/>
    <cellStyle name="Entrada 2 2 4 2 4" xfId="7941" xr:uid="{00000000-0005-0000-0000-0000001F0000}"/>
    <cellStyle name="Entrada 2 2 4 2 5" xfId="7942" xr:uid="{00000000-0005-0000-0000-0000011F0000}"/>
    <cellStyle name="Entrada 2 2 4 2 6" xfId="7943" xr:uid="{00000000-0005-0000-0000-0000021F0000}"/>
    <cellStyle name="Entrada 2 2 4 3" xfId="7944" xr:uid="{00000000-0005-0000-0000-0000031F0000}"/>
    <cellStyle name="Entrada 2 2 4 4" xfId="7945" xr:uid="{00000000-0005-0000-0000-0000041F0000}"/>
    <cellStyle name="Entrada 2 2 5" xfId="7946" xr:uid="{00000000-0005-0000-0000-0000051F0000}"/>
    <cellStyle name="Entrada 2 2 5 2" xfId="7947" xr:uid="{00000000-0005-0000-0000-0000061F0000}"/>
    <cellStyle name="Entrada 2 2 5 2 2" xfId="7948" xr:uid="{00000000-0005-0000-0000-0000071F0000}"/>
    <cellStyle name="Entrada 2 2 5 2 2 2" xfId="7949" xr:uid="{00000000-0005-0000-0000-0000081F0000}"/>
    <cellStyle name="Entrada 2 2 5 2 2 2 2" xfId="7950" xr:uid="{00000000-0005-0000-0000-0000091F0000}"/>
    <cellStyle name="Entrada 2 2 5 2 2 2 3" xfId="7951" xr:uid="{00000000-0005-0000-0000-00000A1F0000}"/>
    <cellStyle name="Entrada 2 2 5 2 2 2 4" xfId="7952" xr:uid="{00000000-0005-0000-0000-00000B1F0000}"/>
    <cellStyle name="Entrada 2 2 5 2 2 3" xfId="7953" xr:uid="{00000000-0005-0000-0000-00000C1F0000}"/>
    <cellStyle name="Entrada 2 2 5 2 2 3 2" xfId="7954" xr:uid="{00000000-0005-0000-0000-00000D1F0000}"/>
    <cellStyle name="Entrada 2 2 5 2 2 3 3" xfId="7955" xr:uid="{00000000-0005-0000-0000-00000E1F0000}"/>
    <cellStyle name="Entrada 2 2 5 2 2 3 4" xfId="7956" xr:uid="{00000000-0005-0000-0000-00000F1F0000}"/>
    <cellStyle name="Entrada 2 2 5 2 2 4" xfId="7957" xr:uid="{00000000-0005-0000-0000-0000101F0000}"/>
    <cellStyle name="Entrada 2 2 5 2 2 5" xfId="7958" xr:uid="{00000000-0005-0000-0000-0000111F0000}"/>
    <cellStyle name="Entrada 2 2 5 2 2 6" xfId="7959" xr:uid="{00000000-0005-0000-0000-0000121F0000}"/>
    <cellStyle name="Entrada 2 2 5 2 3" xfId="7960" xr:uid="{00000000-0005-0000-0000-0000131F0000}"/>
    <cellStyle name="Entrada 2 2 5 2 3 2" xfId="7961" xr:uid="{00000000-0005-0000-0000-0000141F0000}"/>
    <cellStyle name="Entrada 2 2 5 2 3 2 2" xfId="7962" xr:uid="{00000000-0005-0000-0000-0000151F0000}"/>
    <cellStyle name="Entrada 2 2 5 2 3 2 3" xfId="7963" xr:uid="{00000000-0005-0000-0000-0000161F0000}"/>
    <cellStyle name="Entrada 2 2 5 2 3 2 4" xfId="7964" xr:uid="{00000000-0005-0000-0000-0000171F0000}"/>
    <cellStyle name="Entrada 2 2 5 2 3 3" xfId="7965" xr:uid="{00000000-0005-0000-0000-0000181F0000}"/>
    <cellStyle name="Entrada 2 2 5 2 3 3 2" xfId="7966" xr:uid="{00000000-0005-0000-0000-0000191F0000}"/>
    <cellStyle name="Entrada 2 2 5 2 3 3 3" xfId="7967" xr:uid="{00000000-0005-0000-0000-00001A1F0000}"/>
    <cellStyle name="Entrada 2 2 5 2 3 3 4" xfId="7968" xr:uid="{00000000-0005-0000-0000-00001B1F0000}"/>
    <cellStyle name="Entrada 2 2 5 2 3 4" xfId="7969" xr:uid="{00000000-0005-0000-0000-00001C1F0000}"/>
    <cellStyle name="Entrada 2 2 5 2 3 5" xfId="7970" xr:uid="{00000000-0005-0000-0000-00001D1F0000}"/>
    <cellStyle name="Entrada 2 2 5 2 3 6" xfId="7971" xr:uid="{00000000-0005-0000-0000-00001E1F0000}"/>
    <cellStyle name="Entrada 2 2 5 2 4" xfId="7972" xr:uid="{00000000-0005-0000-0000-00001F1F0000}"/>
    <cellStyle name="Entrada 2 2 5 2 5" xfId="7973" xr:uid="{00000000-0005-0000-0000-0000201F0000}"/>
    <cellStyle name="Entrada 2 2 5 2 6" xfId="7974" xr:uid="{00000000-0005-0000-0000-0000211F0000}"/>
    <cellStyle name="Entrada 2 2 5 3" xfId="7975" xr:uid="{00000000-0005-0000-0000-0000221F0000}"/>
    <cellStyle name="Entrada 2 2 5 4" xfId="7976" xr:uid="{00000000-0005-0000-0000-0000231F0000}"/>
    <cellStyle name="Entrada 2 2 6" xfId="7977" xr:uid="{00000000-0005-0000-0000-0000241F0000}"/>
    <cellStyle name="Entrada 2 2 6 2" xfId="7978" xr:uid="{00000000-0005-0000-0000-0000251F0000}"/>
    <cellStyle name="Entrada 2 2 6 2 2" xfId="7979" xr:uid="{00000000-0005-0000-0000-0000261F0000}"/>
    <cellStyle name="Entrada 2 2 6 2 2 2" xfId="7980" xr:uid="{00000000-0005-0000-0000-0000271F0000}"/>
    <cellStyle name="Entrada 2 2 6 2 2 3" xfId="7981" xr:uid="{00000000-0005-0000-0000-0000281F0000}"/>
    <cellStyle name="Entrada 2 2 6 2 2 4" xfId="7982" xr:uid="{00000000-0005-0000-0000-0000291F0000}"/>
    <cellStyle name="Entrada 2 2 6 2 3" xfId="7983" xr:uid="{00000000-0005-0000-0000-00002A1F0000}"/>
    <cellStyle name="Entrada 2 2 6 2 3 2" xfId="7984" xr:uid="{00000000-0005-0000-0000-00002B1F0000}"/>
    <cellStyle name="Entrada 2 2 6 2 3 3" xfId="7985" xr:uid="{00000000-0005-0000-0000-00002C1F0000}"/>
    <cellStyle name="Entrada 2 2 6 2 3 4" xfId="7986" xr:uid="{00000000-0005-0000-0000-00002D1F0000}"/>
    <cellStyle name="Entrada 2 2 6 2 4" xfId="7987" xr:uid="{00000000-0005-0000-0000-00002E1F0000}"/>
    <cellStyle name="Entrada 2 2 6 2 5" xfId="7988" xr:uid="{00000000-0005-0000-0000-00002F1F0000}"/>
    <cellStyle name="Entrada 2 2 6 2 6" xfId="7989" xr:uid="{00000000-0005-0000-0000-0000301F0000}"/>
    <cellStyle name="Entrada 2 2 6 3" xfId="7990" xr:uid="{00000000-0005-0000-0000-0000311F0000}"/>
    <cellStyle name="Entrada 2 2 6 3 2" xfId="7991" xr:uid="{00000000-0005-0000-0000-0000321F0000}"/>
    <cellStyle name="Entrada 2 2 6 3 2 2" xfId="7992" xr:uid="{00000000-0005-0000-0000-0000331F0000}"/>
    <cellStyle name="Entrada 2 2 6 3 2 3" xfId="7993" xr:uid="{00000000-0005-0000-0000-0000341F0000}"/>
    <cellStyle name="Entrada 2 2 6 3 2 4" xfId="7994" xr:uid="{00000000-0005-0000-0000-0000351F0000}"/>
    <cellStyle name="Entrada 2 2 6 3 3" xfId="7995" xr:uid="{00000000-0005-0000-0000-0000361F0000}"/>
    <cellStyle name="Entrada 2 2 6 3 3 2" xfId="7996" xr:uid="{00000000-0005-0000-0000-0000371F0000}"/>
    <cellStyle name="Entrada 2 2 6 3 3 3" xfId="7997" xr:uid="{00000000-0005-0000-0000-0000381F0000}"/>
    <cellStyle name="Entrada 2 2 6 3 3 4" xfId="7998" xr:uid="{00000000-0005-0000-0000-0000391F0000}"/>
    <cellStyle name="Entrada 2 2 6 3 4" xfId="7999" xr:uid="{00000000-0005-0000-0000-00003A1F0000}"/>
    <cellStyle name="Entrada 2 2 6 3 5" xfId="8000" xr:uid="{00000000-0005-0000-0000-00003B1F0000}"/>
    <cellStyle name="Entrada 2 2 6 3 6" xfId="8001" xr:uid="{00000000-0005-0000-0000-00003C1F0000}"/>
    <cellStyle name="Entrada 2 2 6 4" xfId="8002" xr:uid="{00000000-0005-0000-0000-00003D1F0000}"/>
    <cellStyle name="Entrada 2 2 6 4 2" xfId="8003" xr:uid="{00000000-0005-0000-0000-00003E1F0000}"/>
    <cellStyle name="Entrada 2 2 6 4 3" xfId="8004" xr:uid="{00000000-0005-0000-0000-00003F1F0000}"/>
    <cellStyle name="Entrada 2 2 6 4 4" xfId="8005" xr:uid="{00000000-0005-0000-0000-0000401F0000}"/>
    <cellStyle name="Entrada 2 2 6 5" xfId="8006" xr:uid="{00000000-0005-0000-0000-0000411F0000}"/>
    <cellStyle name="Entrada 2 2 6 6" xfId="8007" xr:uid="{00000000-0005-0000-0000-0000421F0000}"/>
    <cellStyle name="Entrada 2 2 7" xfId="8008" xr:uid="{00000000-0005-0000-0000-0000431F0000}"/>
    <cellStyle name="Entrada 2 2 7 2" xfId="8009" xr:uid="{00000000-0005-0000-0000-0000441F0000}"/>
    <cellStyle name="Entrada 2 2 7 2 2" xfId="8010" xr:uid="{00000000-0005-0000-0000-0000451F0000}"/>
    <cellStyle name="Entrada 2 2 7 2 2 2" xfId="8011" xr:uid="{00000000-0005-0000-0000-0000461F0000}"/>
    <cellStyle name="Entrada 2 2 7 2 2 3" xfId="8012" xr:uid="{00000000-0005-0000-0000-0000471F0000}"/>
    <cellStyle name="Entrada 2 2 7 2 2 4" xfId="8013" xr:uid="{00000000-0005-0000-0000-0000481F0000}"/>
    <cellStyle name="Entrada 2 2 7 2 3" xfId="8014" xr:uid="{00000000-0005-0000-0000-0000491F0000}"/>
    <cellStyle name="Entrada 2 2 7 2 3 2" xfId="8015" xr:uid="{00000000-0005-0000-0000-00004A1F0000}"/>
    <cellStyle name="Entrada 2 2 7 2 3 3" xfId="8016" xr:uid="{00000000-0005-0000-0000-00004B1F0000}"/>
    <cellStyle name="Entrada 2 2 7 2 3 4" xfId="8017" xr:uid="{00000000-0005-0000-0000-00004C1F0000}"/>
    <cellStyle name="Entrada 2 2 7 2 4" xfId="8018" xr:uid="{00000000-0005-0000-0000-00004D1F0000}"/>
    <cellStyle name="Entrada 2 2 7 2 5" xfId="8019" xr:uid="{00000000-0005-0000-0000-00004E1F0000}"/>
    <cellStyle name="Entrada 2 2 7 2 6" xfId="8020" xr:uid="{00000000-0005-0000-0000-00004F1F0000}"/>
    <cellStyle name="Entrada 2 2 7 3" xfId="8021" xr:uid="{00000000-0005-0000-0000-0000501F0000}"/>
    <cellStyle name="Entrada 2 2 7 3 2" xfId="8022" xr:uid="{00000000-0005-0000-0000-0000511F0000}"/>
    <cellStyle name="Entrada 2 2 7 3 2 2" xfId="8023" xr:uid="{00000000-0005-0000-0000-0000521F0000}"/>
    <cellStyle name="Entrada 2 2 7 3 2 3" xfId="8024" xr:uid="{00000000-0005-0000-0000-0000531F0000}"/>
    <cellStyle name="Entrada 2 2 7 3 2 4" xfId="8025" xr:uid="{00000000-0005-0000-0000-0000541F0000}"/>
    <cellStyle name="Entrada 2 2 7 3 3" xfId="8026" xr:uid="{00000000-0005-0000-0000-0000551F0000}"/>
    <cellStyle name="Entrada 2 2 7 3 3 2" xfId="8027" xr:uid="{00000000-0005-0000-0000-0000561F0000}"/>
    <cellStyle name="Entrada 2 2 7 3 3 3" xfId="8028" xr:uid="{00000000-0005-0000-0000-0000571F0000}"/>
    <cellStyle name="Entrada 2 2 7 3 3 4" xfId="8029" xr:uid="{00000000-0005-0000-0000-0000581F0000}"/>
    <cellStyle name="Entrada 2 2 7 3 4" xfId="8030" xr:uid="{00000000-0005-0000-0000-0000591F0000}"/>
    <cellStyle name="Entrada 2 2 7 3 5" xfId="8031" xr:uid="{00000000-0005-0000-0000-00005A1F0000}"/>
    <cellStyle name="Entrada 2 2 7 3 6" xfId="8032" xr:uid="{00000000-0005-0000-0000-00005B1F0000}"/>
    <cellStyle name="Entrada 2 2 7 4" xfId="8033" xr:uid="{00000000-0005-0000-0000-00005C1F0000}"/>
    <cellStyle name="Entrada 2 2 7 4 2" xfId="8034" xr:uid="{00000000-0005-0000-0000-00005D1F0000}"/>
    <cellStyle name="Entrada 2 2 7 4 3" xfId="8035" xr:uid="{00000000-0005-0000-0000-00005E1F0000}"/>
    <cellStyle name="Entrada 2 2 7 4 4" xfId="8036" xr:uid="{00000000-0005-0000-0000-00005F1F0000}"/>
    <cellStyle name="Entrada 2 2 7 5" xfId="8037" xr:uid="{00000000-0005-0000-0000-0000601F0000}"/>
    <cellStyle name="Entrada 2 2 7 6" xfId="8038" xr:uid="{00000000-0005-0000-0000-0000611F0000}"/>
    <cellStyle name="Entrada 2 2 8" xfId="8039" xr:uid="{00000000-0005-0000-0000-0000621F0000}"/>
    <cellStyle name="Entrada 2 2 8 2" xfId="8040" xr:uid="{00000000-0005-0000-0000-0000631F0000}"/>
    <cellStyle name="Entrada 2 2 8 2 2" xfId="8041" xr:uid="{00000000-0005-0000-0000-0000641F0000}"/>
    <cellStyle name="Entrada 2 2 8 2 2 2" xfId="8042" xr:uid="{00000000-0005-0000-0000-0000651F0000}"/>
    <cellStyle name="Entrada 2 2 8 2 2 3" xfId="8043" xr:uid="{00000000-0005-0000-0000-0000661F0000}"/>
    <cellStyle name="Entrada 2 2 8 2 2 4" xfId="8044" xr:uid="{00000000-0005-0000-0000-0000671F0000}"/>
    <cellStyle name="Entrada 2 2 8 2 3" xfId="8045" xr:uid="{00000000-0005-0000-0000-0000681F0000}"/>
    <cellStyle name="Entrada 2 2 8 2 3 2" xfId="8046" xr:uid="{00000000-0005-0000-0000-0000691F0000}"/>
    <cellStyle name="Entrada 2 2 8 2 3 3" xfId="8047" xr:uid="{00000000-0005-0000-0000-00006A1F0000}"/>
    <cellStyle name="Entrada 2 2 8 2 3 4" xfId="8048" xr:uid="{00000000-0005-0000-0000-00006B1F0000}"/>
    <cellStyle name="Entrada 2 2 8 2 4" xfId="8049" xr:uid="{00000000-0005-0000-0000-00006C1F0000}"/>
    <cellStyle name="Entrada 2 2 8 2 5" xfId="8050" xr:uid="{00000000-0005-0000-0000-00006D1F0000}"/>
    <cellStyle name="Entrada 2 2 8 2 6" xfId="8051" xr:uid="{00000000-0005-0000-0000-00006E1F0000}"/>
    <cellStyle name="Entrada 2 2 8 3" xfId="8052" xr:uid="{00000000-0005-0000-0000-00006F1F0000}"/>
    <cellStyle name="Entrada 2 2 8 3 2" xfId="8053" xr:uid="{00000000-0005-0000-0000-0000701F0000}"/>
    <cellStyle name="Entrada 2 2 8 3 2 2" xfId="8054" xr:uid="{00000000-0005-0000-0000-0000711F0000}"/>
    <cellStyle name="Entrada 2 2 8 3 2 3" xfId="8055" xr:uid="{00000000-0005-0000-0000-0000721F0000}"/>
    <cellStyle name="Entrada 2 2 8 3 2 4" xfId="8056" xr:uid="{00000000-0005-0000-0000-0000731F0000}"/>
    <cellStyle name="Entrada 2 2 8 3 3" xfId="8057" xr:uid="{00000000-0005-0000-0000-0000741F0000}"/>
    <cellStyle name="Entrada 2 2 8 3 3 2" xfId="8058" xr:uid="{00000000-0005-0000-0000-0000751F0000}"/>
    <cellStyle name="Entrada 2 2 8 3 3 3" xfId="8059" xr:uid="{00000000-0005-0000-0000-0000761F0000}"/>
    <cellStyle name="Entrada 2 2 8 3 3 4" xfId="8060" xr:uid="{00000000-0005-0000-0000-0000771F0000}"/>
    <cellStyle name="Entrada 2 2 8 3 4" xfId="8061" xr:uid="{00000000-0005-0000-0000-0000781F0000}"/>
    <cellStyle name="Entrada 2 2 8 3 5" xfId="8062" xr:uid="{00000000-0005-0000-0000-0000791F0000}"/>
    <cellStyle name="Entrada 2 2 8 3 6" xfId="8063" xr:uid="{00000000-0005-0000-0000-00007A1F0000}"/>
    <cellStyle name="Entrada 2 2 8 4" xfId="8064" xr:uid="{00000000-0005-0000-0000-00007B1F0000}"/>
    <cellStyle name="Entrada 2 2 8 4 2" xfId="8065" xr:uid="{00000000-0005-0000-0000-00007C1F0000}"/>
    <cellStyle name="Entrada 2 2 8 4 3" xfId="8066" xr:uid="{00000000-0005-0000-0000-00007D1F0000}"/>
    <cellStyle name="Entrada 2 2 8 4 4" xfId="8067" xr:uid="{00000000-0005-0000-0000-00007E1F0000}"/>
    <cellStyle name="Entrada 2 2 8 5" xfId="8068" xr:uid="{00000000-0005-0000-0000-00007F1F0000}"/>
    <cellStyle name="Entrada 2 2 8 6" xfId="8069" xr:uid="{00000000-0005-0000-0000-0000801F0000}"/>
    <cellStyle name="Entrada 2 2 9" xfId="8070" xr:uid="{00000000-0005-0000-0000-0000811F0000}"/>
    <cellStyle name="Entrada 2 2 9 2" xfId="8071" xr:uid="{00000000-0005-0000-0000-0000821F0000}"/>
    <cellStyle name="Entrada 2 2 9 2 2" xfId="8072" xr:uid="{00000000-0005-0000-0000-0000831F0000}"/>
    <cellStyle name="Entrada 2 2 9 2 2 2" xfId="8073" xr:uid="{00000000-0005-0000-0000-0000841F0000}"/>
    <cellStyle name="Entrada 2 2 9 2 2 3" xfId="8074" xr:uid="{00000000-0005-0000-0000-0000851F0000}"/>
    <cellStyle name="Entrada 2 2 9 2 2 4" xfId="8075" xr:uid="{00000000-0005-0000-0000-0000861F0000}"/>
    <cellStyle name="Entrada 2 2 9 2 3" xfId="8076" xr:uid="{00000000-0005-0000-0000-0000871F0000}"/>
    <cellStyle name="Entrada 2 2 9 2 3 2" xfId="8077" xr:uid="{00000000-0005-0000-0000-0000881F0000}"/>
    <cellStyle name="Entrada 2 2 9 2 3 3" xfId="8078" xr:uid="{00000000-0005-0000-0000-0000891F0000}"/>
    <cellStyle name="Entrada 2 2 9 2 3 4" xfId="8079" xr:uid="{00000000-0005-0000-0000-00008A1F0000}"/>
    <cellStyle name="Entrada 2 2 9 2 4" xfId="8080" xr:uid="{00000000-0005-0000-0000-00008B1F0000}"/>
    <cellStyle name="Entrada 2 2 9 2 5" xfId="8081" xr:uid="{00000000-0005-0000-0000-00008C1F0000}"/>
    <cellStyle name="Entrada 2 2 9 2 6" xfId="8082" xr:uid="{00000000-0005-0000-0000-00008D1F0000}"/>
    <cellStyle name="Entrada 2 2 9 3" xfId="8083" xr:uid="{00000000-0005-0000-0000-00008E1F0000}"/>
    <cellStyle name="Entrada 2 2 9 3 2" xfId="8084" xr:uid="{00000000-0005-0000-0000-00008F1F0000}"/>
    <cellStyle name="Entrada 2 2 9 3 2 2" xfId="8085" xr:uid="{00000000-0005-0000-0000-0000901F0000}"/>
    <cellStyle name="Entrada 2 2 9 3 2 3" xfId="8086" xr:uid="{00000000-0005-0000-0000-0000911F0000}"/>
    <cellStyle name="Entrada 2 2 9 3 2 4" xfId="8087" xr:uid="{00000000-0005-0000-0000-0000921F0000}"/>
    <cellStyle name="Entrada 2 2 9 3 3" xfId="8088" xr:uid="{00000000-0005-0000-0000-0000931F0000}"/>
    <cellStyle name="Entrada 2 2 9 3 3 2" xfId="8089" xr:uid="{00000000-0005-0000-0000-0000941F0000}"/>
    <cellStyle name="Entrada 2 2 9 3 3 3" xfId="8090" xr:uid="{00000000-0005-0000-0000-0000951F0000}"/>
    <cellStyle name="Entrada 2 2 9 3 3 4" xfId="8091" xr:uid="{00000000-0005-0000-0000-0000961F0000}"/>
    <cellStyle name="Entrada 2 2 9 3 4" xfId="8092" xr:uid="{00000000-0005-0000-0000-0000971F0000}"/>
    <cellStyle name="Entrada 2 2 9 3 5" xfId="8093" xr:uid="{00000000-0005-0000-0000-0000981F0000}"/>
    <cellStyle name="Entrada 2 2 9 3 6" xfId="8094" xr:uid="{00000000-0005-0000-0000-0000991F0000}"/>
    <cellStyle name="Entrada 2 2 9 4" xfId="8095" xr:uid="{00000000-0005-0000-0000-00009A1F0000}"/>
    <cellStyle name="Entrada 2 2 9 4 2" xfId="8096" xr:uid="{00000000-0005-0000-0000-00009B1F0000}"/>
    <cellStyle name="Entrada 2 2 9 4 3" xfId="8097" xr:uid="{00000000-0005-0000-0000-00009C1F0000}"/>
    <cellStyle name="Entrada 2 2 9 4 4" xfId="8098" xr:uid="{00000000-0005-0000-0000-00009D1F0000}"/>
    <cellStyle name="Entrada 2 2 9 5" xfId="8099" xr:uid="{00000000-0005-0000-0000-00009E1F0000}"/>
    <cellStyle name="Entrada 2 2 9 6" xfId="8100" xr:uid="{00000000-0005-0000-0000-00009F1F0000}"/>
    <cellStyle name="Entrada 2 3" xfId="8101" xr:uid="{00000000-0005-0000-0000-0000A01F0000}"/>
    <cellStyle name="Entrada 2 3 10" xfId="8102" xr:uid="{00000000-0005-0000-0000-0000A11F0000}"/>
    <cellStyle name="Entrada 2 3 10 2" xfId="8103" xr:uid="{00000000-0005-0000-0000-0000A21F0000}"/>
    <cellStyle name="Entrada 2 3 10 2 2" xfId="8104" xr:uid="{00000000-0005-0000-0000-0000A31F0000}"/>
    <cellStyle name="Entrada 2 3 10 2 2 2" xfId="8105" xr:uid="{00000000-0005-0000-0000-0000A41F0000}"/>
    <cellStyle name="Entrada 2 3 10 2 2 3" xfId="8106" xr:uid="{00000000-0005-0000-0000-0000A51F0000}"/>
    <cellStyle name="Entrada 2 3 10 2 2 4" xfId="8107" xr:uid="{00000000-0005-0000-0000-0000A61F0000}"/>
    <cellStyle name="Entrada 2 3 10 2 3" xfId="8108" xr:uid="{00000000-0005-0000-0000-0000A71F0000}"/>
    <cellStyle name="Entrada 2 3 10 2 3 2" xfId="8109" xr:uid="{00000000-0005-0000-0000-0000A81F0000}"/>
    <cellStyle name="Entrada 2 3 10 2 3 3" xfId="8110" xr:uid="{00000000-0005-0000-0000-0000A91F0000}"/>
    <cellStyle name="Entrada 2 3 10 2 3 4" xfId="8111" xr:uid="{00000000-0005-0000-0000-0000AA1F0000}"/>
    <cellStyle name="Entrada 2 3 10 2 4" xfId="8112" xr:uid="{00000000-0005-0000-0000-0000AB1F0000}"/>
    <cellStyle name="Entrada 2 3 10 2 5" xfId="8113" xr:uid="{00000000-0005-0000-0000-0000AC1F0000}"/>
    <cellStyle name="Entrada 2 3 10 2 6" xfId="8114" xr:uid="{00000000-0005-0000-0000-0000AD1F0000}"/>
    <cellStyle name="Entrada 2 3 10 3" xfId="8115" xr:uid="{00000000-0005-0000-0000-0000AE1F0000}"/>
    <cellStyle name="Entrada 2 3 10 3 2" xfId="8116" xr:uid="{00000000-0005-0000-0000-0000AF1F0000}"/>
    <cellStyle name="Entrada 2 3 10 3 2 2" xfId="8117" xr:uid="{00000000-0005-0000-0000-0000B01F0000}"/>
    <cellStyle name="Entrada 2 3 10 3 2 3" xfId="8118" xr:uid="{00000000-0005-0000-0000-0000B11F0000}"/>
    <cellStyle name="Entrada 2 3 10 3 2 4" xfId="8119" xr:uid="{00000000-0005-0000-0000-0000B21F0000}"/>
    <cellStyle name="Entrada 2 3 10 3 3" xfId="8120" xr:uid="{00000000-0005-0000-0000-0000B31F0000}"/>
    <cellStyle name="Entrada 2 3 10 3 3 2" xfId="8121" xr:uid="{00000000-0005-0000-0000-0000B41F0000}"/>
    <cellStyle name="Entrada 2 3 10 3 3 3" xfId="8122" xr:uid="{00000000-0005-0000-0000-0000B51F0000}"/>
    <cellStyle name="Entrada 2 3 10 3 3 4" xfId="8123" xr:uid="{00000000-0005-0000-0000-0000B61F0000}"/>
    <cellStyle name="Entrada 2 3 10 3 4" xfId="8124" xr:uid="{00000000-0005-0000-0000-0000B71F0000}"/>
    <cellStyle name="Entrada 2 3 10 3 5" xfId="8125" xr:uid="{00000000-0005-0000-0000-0000B81F0000}"/>
    <cellStyle name="Entrada 2 3 10 3 6" xfId="8126" xr:uid="{00000000-0005-0000-0000-0000B91F0000}"/>
    <cellStyle name="Entrada 2 3 10 4" xfId="8127" xr:uid="{00000000-0005-0000-0000-0000BA1F0000}"/>
    <cellStyle name="Entrada 2 3 10 5" xfId="8128" xr:uid="{00000000-0005-0000-0000-0000BB1F0000}"/>
    <cellStyle name="Entrada 2 3 10 6" xfId="8129" xr:uid="{00000000-0005-0000-0000-0000BC1F0000}"/>
    <cellStyle name="Entrada 2 3 11" xfId="8130" xr:uid="{00000000-0005-0000-0000-0000BD1F0000}"/>
    <cellStyle name="Entrada 2 3 12" xfId="8131" xr:uid="{00000000-0005-0000-0000-0000BE1F0000}"/>
    <cellStyle name="Entrada 2 3 2" xfId="8132" xr:uid="{00000000-0005-0000-0000-0000BF1F0000}"/>
    <cellStyle name="Entrada 2 3 2 2" xfId="8133" xr:uid="{00000000-0005-0000-0000-0000C01F0000}"/>
    <cellStyle name="Entrada 2 3 2 2 2" xfId="8134" xr:uid="{00000000-0005-0000-0000-0000C11F0000}"/>
    <cellStyle name="Entrada 2 3 2 2 2 2" xfId="8135" xr:uid="{00000000-0005-0000-0000-0000C21F0000}"/>
    <cellStyle name="Entrada 2 3 2 2 2 2 2" xfId="8136" xr:uid="{00000000-0005-0000-0000-0000C31F0000}"/>
    <cellStyle name="Entrada 2 3 2 2 2 2 3" xfId="8137" xr:uid="{00000000-0005-0000-0000-0000C41F0000}"/>
    <cellStyle name="Entrada 2 3 2 2 2 2 4" xfId="8138" xr:uid="{00000000-0005-0000-0000-0000C51F0000}"/>
    <cellStyle name="Entrada 2 3 2 2 2 3" xfId="8139" xr:uid="{00000000-0005-0000-0000-0000C61F0000}"/>
    <cellStyle name="Entrada 2 3 2 2 2 3 2" xfId="8140" xr:uid="{00000000-0005-0000-0000-0000C71F0000}"/>
    <cellStyle name="Entrada 2 3 2 2 2 3 3" xfId="8141" xr:uid="{00000000-0005-0000-0000-0000C81F0000}"/>
    <cellStyle name="Entrada 2 3 2 2 2 3 4" xfId="8142" xr:uid="{00000000-0005-0000-0000-0000C91F0000}"/>
    <cellStyle name="Entrada 2 3 2 2 2 4" xfId="8143" xr:uid="{00000000-0005-0000-0000-0000CA1F0000}"/>
    <cellStyle name="Entrada 2 3 2 2 2 5" xfId="8144" xr:uid="{00000000-0005-0000-0000-0000CB1F0000}"/>
    <cellStyle name="Entrada 2 3 2 2 2 6" xfId="8145" xr:uid="{00000000-0005-0000-0000-0000CC1F0000}"/>
    <cellStyle name="Entrada 2 3 2 2 3" xfId="8146" xr:uid="{00000000-0005-0000-0000-0000CD1F0000}"/>
    <cellStyle name="Entrada 2 3 2 2 3 2" xfId="8147" xr:uid="{00000000-0005-0000-0000-0000CE1F0000}"/>
    <cellStyle name="Entrada 2 3 2 2 3 2 2" xfId="8148" xr:uid="{00000000-0005-0000-0000-0000CF1F0000}"/>
    <cellStyle name="Entrada 2 3 2 2 3 2 3" xfId="8149" xr:uid="{00000000-0005-0000-0000-0000D01F0000}"/>
    <cellStyle name="Entrada 2 3 2 2 3 2 4" xfId="8150" xr:uid="{00000000-0005-0000-0000-0000D11F0000}"/>
    <cellStyle name="Entrada 2 3 2 2 3 3" xfId="8151" xr:uid="{00000000-0005-0000-0000-0000D21F0000}"/>
    <cellStyle name="Entrada 2 3 2 2 3 3 2" xfId="8152" xr:uid="{00000000-0005-0000-0000-0000D31F0000}"/>
    <cellStyle name="Entrada 2 3 2 2 3 3 3" xfId="8153" xr:uid="{00000000-0005-0000-0000-0000D41F0000}"/>
    <cellStyle name="Entrada 2 3 2 2 3 3 4" xfId="8154" xr:uid="{00000000-0005-0000-0000-0000D51F0000}"/>
    <cellStyle name="Entrada 2 3 2 2 3 4" xfId="8155" xr:uid="{00000000-0005-0000-0000-0000D61F0000}"/>
    <cellStyle name="Entrada 2 3 2 2 3 5" xfId="8156" xr:uid="{00000000-0005-0000-0000-0000D71F0000}"/>
    <cellStyle name="Entrada 2 3 2 2 3 6" xfId="8157" xr:uid="{00000000-0005-0000-0000-0000D81F0000}"/>
    <cellStyle name="Entrada 2 3 2 2 4" xfId="8158" xr:uid="{00000000-0005-0000-0000-0000D91F0000}"/>
    <cellStyle name="Entrada 2 3 2 2 5" xfId="8159" xr:uid="{00000000-0005-0000-0000-0000DA1F0000}"/>
    <cellStyle name="Entrada 2 3 2 2 6" xfId="8160" xr:uid="{00000000-0005-0000-0000-0000DB1F0000}"/>
    <cellStyle name="Entrada 2 3 2 3" xfId="8161" xr:uid="{00000000-0005-0000-0000-0000DC1F0000}"/>
    <cellStyle name="Entrada 2 3 2 4" xfId="8162" xr:uid="{00000000-0005-0000-0000-0000DD1F0000}"/>
    <cellStyle name="Entrada 2 3 3" xfId="8163" xr:uid="{00000000-0005-0000-0000-0000DE1F0000}"/>
    <cellStyle name="Entrada 2 3 3 2" xfId="8164" xr:uid="{00000000-0005-0000-0000-0000DF1F0000}"/>
    <cellStyle name="Entrada 2 3 3 2 2" xfId="8165" xr:uid="{00000000-0005-0000-0000-0000E01F0000}"/>
    <cellStyle name="Entrada 2 3 3 2 2 2" xfId="8166" xr:uid="{00000000-0005-0000-0000-0000E11F0000}"/>
    <cellStyle name="Entrada 2 3 3 2 2 2 2" xfId="8167" xr:uid="{00000000-0005-0000-0000-0000E21F0000}"/>
    <cellStyle name="Entrada 2 3 3 2 2 2 3" xfId="8168" xr:uid="{00000000-0005-0000-0000-0000E31F0000}"/>
    <cellStyle name="Entrada 2 3 3 2 2 2 4" xfId="8169" xr:uid="{00000000-0005-0000-0000-0000E41F0000}"/>
    <cellStyle name="Entrada 2 3 3 2 2 3" xfId="8170" xr:uid="{00000000-0005-0000-0000-0000E51F0000}"/>
    <cellStyle name="Entrada 2 3 3 2 2 3 2" xfId="8171" xr:uid="{00000000-0005-0000-0000-0000E61F0000}"/>
    <cellStyle name="Entrada 2 3 3 2 2 3 3" xfId="8172" xr:uid="{00000000-0005-0000-0000-0000E71F0000}"/>
    <cellStyle name="Entrada 2 3 3 2 2 3 4" xfId="8173" xr:uid="{00000000-0005-0000-0000-0000E81F0000}"/>
    <cellStyle name="Entrada 2 3 3 2 2 4" xfId="8174" xr:uid="{00000000-0005-0000-0000-0000E91F0000}"/>
    <cellStyle name="Entrada 2 3 3 2 2 5" xfId="8175" xr:uid="{00000000-0005-0000-0000-0000EA1F0000}"/>
    <cellStyle name="Entrada 2 3 3 2 2 6" xfId="8176" xr:uid="{00000000-0005-0000-0000-0000EB1F0000}"/>
    <cellStyle name="Entrada 2 3 3 2 3" xfId="8177" xr:uid="{00000000-0005-0000-0000-0000EC1F0000}"/>
    <cellStyle name="Entrada 2 3 3 2 3 2" xfId="8178" xr:uid="{00000000-0005-0000-0000-0000ED1F0000}"/>
    <cellStyle name="Entrada 2 3 3 2 3 2 2" xfId="8179" xr:uid="{00000000-0005-0000-0000-0000EE1F0000}"/>
    <cellStyle name="Entrada 2 3 3 2 3 2 3" xfId="8180" xr:uid="{00000000-0005-0000-0000-0000EF1F0000}"/>
    <cellStyle name="Entrada 2 3 3 2 3 2 4" xfId="8181" xr:uid="{00000000-0005-0000-0000-0000F01F0000}"/>
    <cellStyle name="Entrada 2 3 3 2 3 3" xfId="8182" xr:uid="{00000000-0005-0000-0000-0000F11F0000}"/>
    <cellStyle name="Entrada 2 3 3 2 3 3 2" xfId="8183" xr:uid="{00000000-0005-0000-0000-0000F21F0000}"/>
    <cellStyle name="Entrada 2 3 3 2 3 3 3" xfId="8184" xr:uid="{00000000-0005-0000-0000-0000F31F0000}"/>
    <cellStyle name="Entrada 2 3 3 2 3 3 4" xfId="8185" xr:uid="{00000000-0005-0000-0000-0000F41F0000}"/>
    <cellStyle name="Entrada 2 3 3 2 3 4" xfId="8186" xr:uid="{00000000-0005-0000-0000-0000F51F0000}"/>
    <cellStyle name="Entrada 2 3 3 2 3 5" xfId="8187" xr:uid="{00000000-0005-0000-0000-0000F61F0000}"/>
    <cellStyle name="Entrada 2 3 3 2 3 6" xfId="8188" xr:uid="{00000000-0005-0000-0000-0000F71F0000}"/>
    <cellStyle name="Entrada 2 3 3 2 4" xfId="8189" xr:uid="{00000000-0005-0000-0000-0000F81F0000}"/>
    <cellStyle name="Entrada 2 3 3 2 5" xfId="8190" xr:uid="{00000000-0005-0000-0000-0000F91F0000}"/>
    <cellStyle name="Entrada 2 3 3 2 6" xfId="8191" xr:uid="{00000000-0005-0000-0000-0000FA1F0000}"/>
    <cellStyle name="Entrada 2 3 3 3" xfId="8192" xr:uid="{00000000-0005-0000-0000-0000FB1F0000}"/>
    <cellStyle name="Entrada 2 3 3 4" xfId="8193" xr:uid="{00000000-0005-0000-0000-0000FC1F0000}"/>
    <cellStyle name="Entrada 2 3 4" xfId="8194" xr:uid="{00000000-0005-0000-0000-0000FD1F0000}"/>
    <cellStyle name="Entrada 2 3 4 2" xfId="8195" xr:uid="{00000000-0005-0000-0000-0000FE1F0000}"/>
    <cellStyle name="Entrada 2 3 4 2 2" xfId="8196" xr:uid="{00000000-0005-0000-0000-0000FF1F0000}"/>
    <cellStyle name="Entrada 2 3 4 2 2 2" xfId="8197" xr:uid="{00000000-0005-0000-0000-000000200000}"/>
    <cellStyle name="Entrada 2 3 4 2 2 2 2" xfId="8198" xr:uid="{00000000-0005-0000-0000-000001200000}"/>
    <cellStyle name="Entrada 2 3 4 2 2 2 3" xfId="8199" xr:uid="{00000000-0005-0000-0000-000002200000}"/>
    <cellStyle name="Entrada 2 3 4 2 2 2 4" xfId="8200" xr:uid="{00000000-0005-0000-0000-000003200000}"/>
    <cellStyle name="Entrada 2 3 4 2 2 3" xfId="8201" xr:uid="{00000000-0005-0000-0000-000004200000}"/>
    <cellStyle name="Entrada 2 3 4 2 2 3 2" xfId="8202" xr:uid="{00000000-0005-0000-0000-000005200000}"/>
    <cellStyle name="Entrada 2 3 4 2 2 3 3" xfId="8203" xr:uid="{00000000-0005-0000-0000-000006200000}"/>
    <cellStyle name="Entrada 2 3 4 2 2 3 4" xfId="8204" xr:uid="{00000000-0005-0000-0000-000007200000}"/>
    <cellStyle name="Entrada 2 3 4 2 2 4" xfId="8205" xr:uid="{00000000-0005-0000-0000-000008200000}"/>
    <cellStyle name="Entrada 2 3 4 2 2 5" xfId="8206" xr:uid="{00000000-0005-0000-0000-000009200000}"/>
    <cellStyle name="Entrada 2 3 4 2 2 6" xfId="8207" xr:uid="{00000000-0005-0000-0000-00000A200000}"/>
    <cellStyle name="Entrada 2 3 4 2 3" xfId="8208" xr:uid="{00000000-0005-0000-0000-00000B200000}"/>
    <cellStyle name="Entrada 2 3 4 2 3 2" xfId="8209" xr:uid="{00000000-0005-0000-0000-00000C200000}"/>
    <cellStyle name="Entrada 2 3 4 2 3 2 2" xfId="8210" xr:uid="{00000000-0005-0000-0000-00000D200000}"/>
    <cellStyle name="Entrada 2 3 4 2 3 2 3" xfId="8211" xr:uid="{00000000-0005-0000-0000-00000E200000}"/>
    <cellStyle name="Entrada 2 3 4 2 3 2 4" xfId="8212" xr:uid="{00000000-0005-0000-0000-00000F200000}"/>
    <cellStyle name="Entrada 2 3 4 2 3 3" xfId="8213" xr:uid="{00000000-0005-0000-0000-000010200000}"/>
    <cellStyle name="Entrada 2 3 4 2 3 3 2" xfId="8214" xr:uid="{00000000-0005-0000-0000-000011200000}"/>
    <cellStyle name="Entrada 2 3 4 2 3 3 3" xfId="8215" xr:uid="{00000000-0005-0000-0000-000012200000}"/>
    <cellStyle name="Entrada 2 3 4 2 3 3 4" xfId="8216" xr:uid="{00000000-0005-0000-0000-000013200000}"/>
    <cellStyle name="Entrada 2 3 4 2 3 4" xfId="8217" xr:uid="{00000000-0005-0000-0000-000014200000}"/>
    <cellStyle name="Entrada 2 3 4 2 3 5" xfId="8218" xr:uid="{00000000-0005-0000-0000-000015200000}"/>
    <cellStyle name="Entrada 2 3 4 2 3 6" xfId="8219" xr:uid="{00000000-0005-0000-0000-000016200000}"/>
    <cellStyle name="Entrada 2 3 4 2 4" xfId="8220" xr:uid="{00000000-0005-0000-0000-000017200000}"/>
    <cellStyle name="Entrada 2 3 4 2 5" xfId="8221" xr:uid="{00000000-0005-0000-0000-000018200000}"/>
    <cellStyle name="Entrada 2 3 4 2 6" xfId="8222" xr:uid="{00000000-0005-0000-0000-000019200000}"/>
    <cellStyle name="Entrada 2 3 4 3" xfId="8223" xr:uid="{00000000-0005-0000-0000-00001A200000}"/>
    <cellStyle name="Entrada 2 3 4 4" xfId="8224" xr:uid="{00000000-0005-0000-0000-00001B200000}"/>
    <cellStyle name="Entrada 2 3 5" xfId="8225" xr:uid="{00000000-0005-0000-0000-00001C200000}"/>
    <cellStyle name="Entrada 2 3 5 2" xfId="8226" xr:uid="{00000000-0005-0000-0000-00001D200000}"/>
    <cellStyle name="Entrada 2 3 5 2 2" xfId="8227" xr:uid="{00000000-0005-0000-0000-00001E200000}"/>
    <cellStyle name="Entrada 2 3 5 2 2 2" xfId="8228" xr:uid="{00000000-0005-0000-0000-00001F200000}"/>
    <cellStyle name="Entrada 2 3 5 2 2 2 2" xfId="8229" xr:uid="{00000000-0005-0000-0000-000020200000}"/>
    <cellStyle name="Entrada 2 3 5 2 2 2 3" xfId="8230" xr:uid="{00000000-0005-0000-0000-000021200000}"/>
    <cellStyle name="Entrada 2 3 5 2 2 2 4" xfId="8231" xr:uid="{00000000-0005-0000-0000-000022200000}"/>
    <cellStyle name="Entrada 2 3 5 2 2 3" xfId="8232" xr:uid="{00000000-0005-0000-0000-000023200000}"/>
    <cellStyle name="Entrada 2 3 5 2 2 3 2" xfId="8233" xr:uid="{00000000-0005-0000-0000-000024200000}"/>
    <cellStyle name="Entrada 2 3 5 2 2 3 3" xfId="8234" xr:uid="{00000000-0005-0000-0000-000025200000}"/>
    <cellStyle name="Entrada 2 3 5 2 2 3 4" xfId="8235" xr:uid="{00000000-0005-0000-0000-000026200000}"/>
    <cellStyle name="Entrada 2 3 5 2 2 4" xfId="8236" xr:uid="{00000000-0005-0000-0000-000027200000}"/>
    <cellStyle name="Entrada 2 3 5 2 2 5" xfId="8237" xr:uid="{00000000-0005-0000-0000-000028200000}"/>
    <cellStyle name="Entrada 2 3 5 2 2 6" xfId="8238" xr:uid="{00000000-0005-0000-0000-000029200000}"/>
    <cellStyle name="Entrada 2 3 5 2 3" xfId="8239" xr:uid="{00000000-0005-0000-0000-00002A200000}"/>
    <cellStyle name="Entrada 2 3 5 2 3 2" xfId="8240" xr:uid="{00000000-0005-0000-0000-00002B200000}"/>
    <cellStyle name="Entrada 2 3 5 2 3 2 2" xfId="8241" xr:uid="{00000000-0005-0000-0000-00002C200000}"/>
    <cellStyle name="Entrada 2 3 5 2 3 2 3" xfId="8242" xr:uid="{00000000-0005-0000-0000-00002D200000}"/>
    <cellStyle name="Entrada 2 3 5 2 3 2 4" xfId="8243" xr:uid="{00000000-0005-0000-0000-00002E200000}"/>
    <cellStyle name="Entrada 2 3 5 2 3 3" xfId="8244" xr:uid="{00000000-0005-0000-0000-00002F200000}"/>
    <cellStyle name="Entrada 2 3 5 2 3 3 2" xfId="8245" xr:uid="{00000000-0005-0000-0000-000030200000}"/>
    <cellStyle name="Entrada 2 3 5 2 3 3 3" xfId="8246" xr:uid="{00000000-0005-0000-0000-000031200000}"/>
    <cellStyle name="Entrada 2 3 5 2 3 3 4" xfId="8247" xr:uid="{00000000-0005-0000-0000-000032200000}"/>
    <cellStyle name="Entrada 2 3 5 2 3 4" xfId="8248" xr:uid="{00000000-0005-0000-0000-000033200000}"/>
    <cellStyle name="Entrada 2 3 5 2 3 5" xfId="8249" xr:uid="{00000000-0005-0000-0000-000034200000}"/>
    <cellStyle name="Entrada 2 3 5 2 3 6" xfId="8250" xr:uid="{00000000-0005-0000-0000-000035200000}"/>
    <cellStyle name="Entrada 2 3 5 2 4" xfId="8251" xr:uid="{00000000-0005-0000-0000-000036200000}"/>
    <cellStyle name="Entrada 2 3 5 2 5" xfId="8252" xr:uid="{00000000-0005-0000-0000-000037200000}"/>
    <cellStyle name="Entrada 2 3 5 2 6" xfId="8253" xr:uid="{00000000-0005-0000-0000-000038200000}"/>
    <cellStyle name="Entrada 2 3 5 3" xfId="8254" xr:uid="{00000000-0005-0000-0000-000039200000}"/>
    <cellStyle name="Entrada 2 3 5 4" xfId="8255" xr:uid="{00000000-0005-0000-0000-00003A200000}"/>
    <cellStyle name="Entrada 2 3 6" xfId="8256" xr:uid="{00000000-0005-0000-0000-00003B200000}"/>
    <cellStyle name="Entrada 2 3 6 2" xfId="8257" xr:uid="{00000000-0005-0000-0000-00003C200000}"/>
    <cellStyle name="Entrada 2 3 6 2 2" xfId="8258" xr:uid="{00000000-0005-0000-0000-00003D200000}"/>
    <cellStyle name="Entrada 2 3 6 2 2 2" xfId="8259" xr:uid="{00000000-0005-0000-0000-00003E200000}"/>
    <cellStyle name="Entrada 2 3 6 2 2 3" xfId="8260" xr:uid="{00000000-0005-0000-0000-00003F200000}"/>
    <cellStyle name="Entrada 2 3 6 2 2 4" xfId="8261" xr:uid="{00000000-0005-0000-0000-000040200000}"/>
    <cellStyle name="Entrada 2 3 6 2 3" xfId="8262" xr:uid="{00000000-0005-0000-0000-000041200000}"/>
    <cellStyle name="Entrada 2 3 6 2 3 2" xfId="8263" xr:uid="{00000000-0005-0000-0000-000042200000}"/>
    <cellStyle name="Entrada 2 3 6 2 3 3" xfId="8264" xr:uid="{00000000-0005-0000-0000-000043200000}"/>
    <cellStyle name="Entrada 2 3 6 2 3 4" xfId="8265" xr:uid="{00000000-0005-0000-0000-000044200000}"/>
    <cellStyle name="Entrada 2 3 6 2 4" xfId="8266" xr:uid="{00000000-0005-0000-0000-000045200000}"/>
    <cellStyle name="Entrada 2 3 6 2 5" xfId="8267" xr:uid="{00000000-0005-0000-0000-000046200000}"/>
    <cellStyle name="Entrada 2 3 6 2 6" xfId="8268" xr:uid="{00000000-0005-0000-0000-000047200000}"/>
    <cellStyle name="Entrada 2 3 6 3" xfId="8269" xr:uid="{00000000-0005-0000-0000-000048200000}"/>
    <cellStyle name="Entrada 2 3 6 3 2" xfId="8270" xr:uid="{00000000-0005-0000-0000-000049200000}"/>
    <cellStyle name="Entrada 2 3 6 3 2 2" xfId="8271" xr:uid="{00000000-0005-0000-0000-00004A200000}"/>
    <cellStyle name="Entrada 2 3 6 3 2 3" xfId="8272" xr:uid="{00000000-0005-0000-0000-00004B200000}"/>
    <cellStyle name="Entrada 2 3 6 3 2 4" xfId="8273" xr:uid="{00000000-0005-0000-0000-00004C200000}"/>
    <cellStyle name="Entrada 2 3 6 3 3" xfId="8274" xr:uid="{00000000-0005-0000-0000-00004D200000}"/>
    <cellStyle name="Entrada 2 3 6 3 3 2" xfId="8275" xr:uid="{00000000-0005-0000-0000-00004E200000}"/>
    <cellStyle name="Entrada 2 3 6 3 3 3" xfId="8276" xr:uid="{00000000-0005-0000-0000-00004F200000}"/>
    <cellStyle name="Entrada 2 3 6 3 3 4" xfId="8277" xr:uid="{00000000-0005-0000-0000-000050200000}"/>
    <cellStyle name="Entrada 2 3 6 3 4" xfId="8278" xr:uid="{00000000-0005-0000-0000-000051200000}"/>
    <cellStyle name="Entrada 2 3 6 3 5" xfId="8279" xr:uid="{00000000-0005-0000-0000-000052200000}"/>
    <cellStyle name="Entrada 2 3 6 3 6" xfId="8280" xr:uid="{00000000-0005-0000-0000-000053200000}"/>
    <cellStyle name="Entrada 2 3 6 4" xfId="8281" xr:uid="{00000000-0005-0000-0000-000054200000}"/>
    <cellStyle name="Entrada 2 3 6 4 2" xfId="8282" xr:uid="{00000000-0005-0000-0000-000055200000}"/>
    <cellStyle name="Entrada 2 3 6 4 3" xfId="8283" xr:uid="{00000000-0005-0000-0000-000056200000}"/>
    <cellStyle name="Entrada 2 3 6 4 4" xfId="8284" xr:uid="{00000000-0005-0000-0000-000057200000}"/>
    <cellStyle name="Entrada 2 3 6 5" xfId="8285" xr:uid="{00000000-0005-0000-0000-000058200000}"/>
    <cellStyle name="Entrada 2 3 6 6" xfId="8286" xr:uid="{00000000-0005-0000-0000-000059200000}"/>
    <cellStyle name="Entrada 2 3 7" xfId="8287" xr:uid="{00000000-0005-0000-0000-00005A200000}"/>
    <cellStyle name="Entrada 2 3 7 2" xfId="8288" xr:uid="{00000000-0005-0000-0000-00005B200000}"/>
    <cellStyle name="Entrada 2 3 7 2 2" xfId="8289" xr:uid="{00000000-0005-0000-0000-00005C200000}"/>
    <cellStyle name="Entrada 2 3 7 2 2 2" xfId="8290" xr:uid="{00000000-0005-0000-0000-00005D200000}"/>
    <cellStyle name="Entrada 2 3 7 2 2 3" xfId="8291" xr:uid="{00000000-0005-0000-0000-00005E200000}"/>
    <cellStyle name="Entrada 2 3 7 2 2 4" xfId="8292" xr:uid="{00000000-0005-0000-0000-00005F200000}"/>
    <cellStyle name="Entrada 2 3 7 2 3" xfId="8293" xr:uid="{00000000-0005-0000-0000-000060200000}"/>
    <cellStyle name="Entrada 2 3 7 2 3 2" xfId="8294" xr:uid="{00000000-0005-0000-0000-000061200000}"/>
    <cellStyle name="Entrada 2 3 7 2 3 3" xfId="8295" xr:uid="{00000000-0005-0000-0000-000062200000}"/>
    <cellStyle name="Entrada 2 3 7 2 3 4" xfId="8296" xr:uid="{00000000-0005-0000-0000-000063200000}"/>
    <cellStyle name="Entrada 2 3 7 2 4" xfId="8297" xr:uid="{00000000-0005-0000-0000-000064200000}"/>
    <cellStyle name="Entrada 2 3 7 2 5" xfId="8298" xr:uid="{00000000-0005-0000-0000-000065200000}"/>
    <cellStyle name="Entrada 2 3 7 2 6" xfId="8299" xr:uid="{00000000-0005-0000-0000-000066200000}"/>
    <cellStyle name="Entrada 2 3 7 3" xfId="8300" xr:uid="{00000000-0005-0000-0000-000067200000}"/>
    <cellStyle name="Entrada 2 3 7 3 2" xfId="8301" xr:uid="{00000000-0005-0000-0000-000068200000}"/>
    <cellStyle name="Entrada 2 3 7 3 2 2" xfId="8302" xr:uid="{00000000-0005-0000-0000-000069200000}"/>
    <cellStyle name="Entrada 2 3 7 3 2 3" xfId="8303" xr:uid="{00000000-0005-0000-0000-00006A200000}"/>
    <cellStyle name="Entrada 2 3 7 3 2 4" xfId="8304" xr:uid="{00000000-0005-0000-0000-00006B200000}"/>
    <cellStyle name="Entrada 2 3 7 3 3" xfId="8305" xr:uid="{00000000-0005-0000-0000-00006C200000}"/>
    <cellStyle name="Entrada 2 3 7 3 3 2" xfId="8306" xr:uid="{00000000-0005-0000-0000-00006D200000}"/>
    <cellStyle name="Entrada 2 3 7 3 3 3" xfId="8307" xr:uid="{00000000-0005-0000-0000-00006E200000}"/>
    <cellStyle name="Entrada 2 3 7 3 3 4" xfId="8308" xr:uid="{00000000-0005-0000-0000-00006F200000}"/>
    <cellStyle name="Entrada 2 3 7 3 4" xfId="8309" xr:uid="{00000000-0005-0000-0000-000070200000}"/>
    <cellStyle name="Entrada 2 3 7 3 5" xfId="8310" xr:uid="{00000000-0005-0000-0000-000071200000}"/>
    <cellStyle name="Entrada 2 3 7 3 6" xfId="8311" xr:uid="{00000000-0005-0000-0000-000072200000}"/>
    <cellStyle name="Entrada 2 3 7 4" xfId="8312" xr:uid="{00000000-0005-0000-0000-000073200000}"/>
    <cellStyle name="Entrada 2 3 7 4 2" xfId="8313" xr:uid="{00000000-0005-0000-0000-000074200000}"/>
    <cellStyle name="Entrada 2 3 7 4 3" xfId="8314" xr:uid="{00000000-0005-0000-0000-000075200000}"/>
    <cellStyle name="Entrada 2 3 7 4 4" xfId="8315" xr:uid="{00000000-0005-0000-0000-000076200000}"/>
    <cellStyle name="Entrada 2 3 7 5" xfId="8316" xr:uid="{00000000-0005-0000-0000-000077200000}"/>
    <cellStyle name="Entrada 2 3 7 6" xfId="8317" xr:uid="{00000000-0005-0000-0000-000078200000}"/>
    <cellStyle name="Entrada 2 3 8" xfId="8318" xr:uid="{00000000-0005-0000-0000-000079200000}"/>
    <cellStyle name="Entrada 2 3 8 2" xfId="8319" xr:uid="{00000000-0005-0000-0000-00007A200000}"/>
    <cellStyle name="Entrada 2 3 8 2 2" xfId="8320" xr:uid="{00000000-0005-0000-0000-00007B200000}"/>
    <cellStyle name="Entrada 2 3 8 2 2 2" xfId="8321" xr:uid="{00000000-0005-0000-0000-00007C200000}"/>
    <cellStyle name="Entrada 2 3 8 2 2 3" xfId="8322" xr:uid="{00000000-0005-0000-0000-00007D200000}"/>
    <cellStyle name="Entrada 2 3 8 2 2 4" xfId="8323" xr:uid="{00000000-0005-0000-0000-00007E200000}"/>
    <cellStyle name="Entrada 2 3 8 2 3" xfId="8324" xr:uid="{00000000-0005-0000-0000-00007F200000}"/>
    <cellStyle name="Entrada 2 3 8 2 3 2" xfId="8325" xr:uid="{00000000-0005-0000-0000-000080200000}"/>
    <cellStyle name="Entrada 2 3 8 2 3 3" xfId="8326" xr:uid="{00000000-0005-0000-0000-000081200000}"/>
    <cellStyle name="Entrada 2 3 8 2 3 4" xfId="8327" xr:uid="{00000000-0005-0000-0000-000082200000}"/>
    <cellStyle name="Entrada 2 3 8 2 4" xfId="8328" xr:uid="{00000000-0005-0000-0000-000083200000}"/>
    <cellStyle name="Entrada 2 3 8 2 5" xfId="8329" xr:uid="{00000000-0005-0000-0000-000084200000}"/>
    <cellStyle name="Entrada 2 3 8 2 6" xfId="8330" xr:uid="{00000000-0005-0000-0000-000085200000}"/>
    <cellStyle name="Entrada 2 3 8 3" xfId="8331" xr:uid="{00000000-0005-0000-0000-000086200000}"/>
    <cellStyle name="Entrada 2 3 8 3 2" xfId="8332" xr:uid="{00000000-0005-0000-0000-000087200000}"/>
    <cellStyle name="Entrada 2 3 8 3 2 2" xfId="8333" xr:uid="{00000000-0005-0000-0000-000088200000}"/>
    <cellStyle name="Entrada 2 3 8 3 2 3" xfId="8334" xr:uid="{00000000-0005-0000-0000-000089200000}"/>
    <cellStyle name="Entrada 2 3 8 3 2 4" xfId="8335" xr:uid="{00000000-0005-0000-0000-00008A200000}"/>
    <cellStyle name="Entrada 2 3 8 3 3" xfId="8336" xr:uid="{00000000-0005-0000-0000-00008B200000}"/>
    <cellStyle name="Entrada 2 3 8 3 3 2" xfId="8337" xr:uid="{00000000-0005-0000-0000-00008C200000}"/>
    <cellStyle name="Entrada 2 3 8 3 3 3" xfId="8338" xr:uid="{00000000-0005-0000-0000-00008D200000}"/>
    <cellStyle name="Entrada 2 3 8 3 3 4" xfId="8339" xr:uid="{00000000-0005-0000-0000-00008E200000}"/>
    <cellStyle name="Entrada 2 3 8 3 4" xfId="8340" xr:uid="{00000000-0005-0000-0000-00008F200000}"/>
    <cellStyle name="Entrada 2 3 8 3 5" xfId="8341" xr:uid="{00000000-0005-0000-0000-000090200000}"/>
    <cellStyle name="Entrada 2 3 8 3 6" xfId="8342" xr:uid="{00000000-0005-0000-0000-000091200000}"/>
    <cellStyle name="Entrada 2 3 8 4" xfId="8343" xr:uid="{00000000-0005-0000-0000-000092200000}"/>
    <cellStyle name="Entrada 2 3 8 4 2" xfId="8344" xr:uid="{00000000-0005-0000-0000-000093200000}"/>
    <cellStyle name="Entrada 2 3 8 4 3" xfId="8345" xr:uid="{00000000-0005-0000-0000-000094200000}"/>
    <cellStyle name="Entrada 2 3 8 4 4" xfId="8346" xr:uid="{00000000-0005-0000-0000-000095200000}"/>
    <cellStyle name="Entrada 2 3 8 5" xfId="8347" xr:uid="{00000000-0005-0000-0000-000096200000}"/>
    <cellStyle name="Entrada 2 3 8 6" xfId="8348" xr:uid="{00000000-0005-0000-0000-000097200000}"/>
    <cellStyle name="Entrada 2 3 9" xfId="8349" xr:uid="{00000000-0005-0000-0000-000098200000}"/>
    <cellStyle name="Entrada 2 3 9 2" xfId="8350" xr:uid="{00000000-0005-0000-0000-000099200000}"/>
    <cellStyle name="Entrada 2 3 9 2 2" xfId="8351" xr:uid="{00000000-0005-0000-0000-00009A200000}"/>
    <cellStyle name="Entrada 2 3 9 2 2 2" xfId="8352" xr:uid="{00000000-0005-0000-0000-00009B200000}"/>
    <cellStyle name="Entrada 2 3 9 2 2 3" xfId="8353" xr:uid="{00000000-0005-0000-0000-00009C200000}"/>
    <cellStyle name="Entrada 2 3 9 2 2 4" xfId="8354" xr:uid="{00000000-0005-0000-0000-00009D200000}"/>
    <cellStyle name="Entrada 2 3 9 2 3" xfId="8355" xr:uid="{00000000-0005-0000-0000-00009E200000}"/>
    <cellStyle name="Entrada 2 3 9 2 3 2" xfId="8356" xr:uid="{00000000-0005-0000-0000-00009F200000}"/>
    <cellStyle name="Entrada 2 3 9 2 3 3" xfId="8357" xr:uid="{00000000-0005-0000-0000-0000A0200000}"/>
    <cellStyle name="Entrada 2 3 9 2 3 4" xfId="8358" xr:uid="{00000000-0005-0000-0000-0000A1200000}"/>
    <cellStyle name="Entrada 2 3 9 2 4" xfId="8359" xr:uid="{00000000-0005-0000-0000-0000A2200000}"/>
    <cellStyle name="Entrada 2 3 9 2 5" xfId="8360" xr:uid="{00000000-0005-0000-0000-0000A3200000}"/>
    <cellStyle name="Entrada 2 3 9 2 6" xfId="8361" xr:uid="{00000000-0005-0000-0000-0000A4200000}"/>
    <cellStyle name="Entrada 2 3 9 3" xfId="8362" xr:uid="{00000000-0005-0000-0000-0000A5200000}"/>
    <cellStyle name="Entrada 2 3 9 3 2" xfId="8363" xr:uid="{00000000-0005-0000-0000-0000A6200000}"/>
    <cellStyle name="Entrada 2 3 9 3 2 2" xfId="8364" xr:uid="{00000000-0005-0000-0000-0000A7200000}"/>
    <cellStyle name="Entrada 2 3 9 3 2 3" xfId="8365" xr:uid="{00000000-0005-0000-0000-0000A8200000}"/>
    <cellStyle name="Entrada 2 3 9 3 2 4" xfId="8366" xr:uid="{00000000-0005-0000-0000-0000A9200000}"/>
    <cellStyle name="Entrada 2 3 9 3 3" xfId="8367" xr:uid="{00000000-0005-0000-0000-0000AA200000}"/>
    <cellStyle name="Entrada 2 3 9 3 3 2" xfId="8368" xr:uid="{00000000-0005-0000-0000-0000AB200000}"/>
    <cellStyle name="Entrada 2 3 9 3 3 3" xfId="8369" xr:uid="{00000000-0005-0000-0000-0000AC200000}"/>
    <cellStyle name="Entrada 2 3 9 3 3 4" xfId="8370" xr:uid="{00000000-0005-0000-0000-0000AD200000}"/>
    <cellStyle name="Entrada 2 3 9 3 4" xfId="8371" xr:uid="{00000000-0005-0000-0000-0000AE200000}"/>
    <cellStyle name="Entrada 2 3 9 3 5" xfId="8372" xr:uid="{00000000-0005-0000-0000-0000AF200000}"/>
    <cellStyle name="Entrada 2 3 9 3 6" xfId="8373" xr:uid="{00000000-0005-0000-0000-0000B0200000}"/>
    <cellStyle name="Entrada 2 3 9 4" xfId="8374" xr:uid="{00000000-0005-0000-0000-0000B1200000}"/>
    <cellStyle name="Entrada 2 3 9 4 2" xfId="8375" xr:uid="{00000000-0005-0000-0000-0000B2200000}"/>
    <cellStyle name="Entrada 2 3 9 4 3" xfId="8376" xr:uid="{00000000-0005-0000-0000-0000B3200000}"/>
    <cellStyle name="Entrada 2 3 9 4 4" xfId="8377" xr:uid="{00000000-0005-0000-0000-0000B4200000}"/>
    <cellStyle name="Entrada 2 3 9 5" xfId="8378" xr:uid="{00000000-0005-0000-0000-0000B5200000}"/>
    <cellStyle name="Entrada 2 3 9 6" xfId="8379" xr:uid="{00000000-0005-0000-0000-0000B6200000}"/>
    <cellStyle name="Entrada 2 4" xfId="8380" xr:uid="{00000000-0005-0000-0000-0000B7200000}"/>
    <cellStyle name="Entrada 2 4 2" xfId="8381" xr:uid="{00000000-0005-0000-0000-0000B8200000}"/>
    <cellStyle name="Entrada 2 4 2 2" xfId="8382" xr:uid="{00000000-0005-0000-0000-0000B9200000}"/>
    <cellStyle name="Entrada 2 4 2 2 2" xfId="8383" xr:uid="{00000000-0005-0000-0000-0000BA200000}"/>
    <cellStyle name="Entrada 2 4 2 2 2 2" xfId="8384" xr:uid="{00000000-0005-0000-0000-0000BB200000}"/>
    <cellStyle name="Entrada 2 4 2 2 2 3" xfId="8385" xr:uid="{00000000-0005-0000-0000-0000BC200000}"/>
    <cellStyle name="Entrada 2 4 2 2 2 4" xfId="8386" xr:uid="{00000000-0005-0000-0000-0000BD200000}"/>
    <cellStyle name="Entrada 2 4 2 2 3" xfId="8387" xr:uid="{00000000-0005-0000-0000-0000BE200000}"/>
    <cellStyle name="Entrada 2 4 2 2 3 2" xfId="8388" xr:uid="{00000000-0005-0000-0000-0000BF200000}"/>
    <cellStyle name="Entrada 2 4 2 2 3 3" xfId="8389" xr:uid="{00000000-0005-0000-0000-0000C0200000}"/>
    <cellStyle name="Entrada 2 4 2 2 3 4" xfId="8390" xr:uid="{00000000-0005-0000-0000-0000C1200000}"/>
    <cellStyle name="Entrada 2 4 2 2 4" xfId="8391" xr:uid="{00000000-0005-0000-0000-0000C2200000}"/>
    <cellStyle name="Entrada 2 4 2 2 5" xfId="8392" xr:uid="{00000000-0005-0000-0000-0000C3200000}"/>
    <cellStyle name="Entrada 2 4 2 2 6" xfId="8393" xr:uid="{00000000-0005-0000-0000-0000C4200000}"/>
    <cellStyle name="Entrada 2 4 2 3" xfId="8394" xr:uid="{00000000-0005-0000-0000-0000C5200000}"/>
    <cellStyle name="Entrada 2 4 2 3 2" xfId="8395" xr:uid="{00000000-0005-0000-0000-0000C6200000}"/>
    <cellStyle name="Entrada 2 4 2 3 2 2" xfId="8396" xr:uid="{00000000-0005-0000-0000-0000C7200000}"/>
    <cellStyle name="Entrada 2 4 2 3 2 3" xfId="8397" xr:uid="{00000000-0005-0000-0000-0000C8200000}"/>
    <cellStyle name="Entrada 2 4 2 3 2 4" xfId="8398" xr:uid="{00000000-0005-0000-0000-0000C9200000}"/>
    <cellStyle name="Entrada 2 4 2 3 3" xfId="8399" xr:uid="{00000000-0005-0000-0000-0000CA200000}"/>
    <cellStyle name="Entrada 2 4 2 3 3 2" xfId="8400" xr:uid="{00000000-0005-0000-0000-0000CB200000}"/>
    <cellStyle name="Entrada 2 4 2 3 3 3" xfId="8401" xr:uid="{00000000-0005-0000-0000-0000CC200000}"/>
    <cellStyle name="Entrada 2 4 2 3 3 4" xfId="8402" xr:uid="{00000000-0005-0000-0000-0000CD200000}"/>
    <cellStyle name="Entrada 2 4 2 3 4" xfId="8403" xr:uid="{00000000-0005-0000-0000-0000CE200000}"/>
    <cellStyle name="Entrada 2 4 2 3 5" xfId="8404" xr:uid="{00000000-0005-0000-0000-0000CF200000}"/>
    <cellStyle name="Entrada 2 4 2 3 6" xfId="8405" xr:uid="{00000000-0005-0000-0000-0000D0200000}"/>
    <cellStyle name="Entrada 2 4 2 4" xfId="8406" xr:uid="{00000000-0005-0000-0000-0000D1200000}"/>
    <cellStyle name="Entrada 2 4 2 5" xfId="8407" xr:uid="{00000000-0005-0000-0000-0000D2200000}"/>
    <cellStyle name="Entrada 2 4 2 6" xfId="8408" xr:uid="{00000000-0005-0000-0000-0000D3200000}"/>
    <cellStyle name="Entrada 2 4 3" xfId="8409" xr:uid="{00000000-0005-0000-0000-0000D4200000}"/>
    <cellStyle name="Entrada 2 4 4" xfId="8410" xr:uid="{00000000-0005-0000-0000-0000D5200000}"/>
    <cellStyle name="Entrada 2 5" xfId="8411" xr:uid="{00000000-0005-0000-0000-0000D6200000}"/>
    <cellStyle name="Entrada 2 5 2" xfId="8412" xr:uid="{00000000-0005-0000-0000-0000D7200000}"/>
    <cellStyle name="Entrada 2 5 2 2" xfId="8413" xr:uid="{00000000-0005-0000-0000-0000D8200000}"/>
    <cellStyle name="Entrada 2 5 2 2 2" xfId="8414" xr:uid="{00000000-0005-0000-0000-0000D9200000}"/>
    <cellStyle name="Entrada 2 5 2 2 2 2" xfId="8415" xr:uid="{00000000-0005-0000-0000-0000DA200000}"/>
    <cellStyle name="Entrada 2 5 2 2 2 3" xfId="8416" xr:uid="{00000000-0005-0000-0000-0000DB200000}"/>
    <cellStyle name="Entrada 2 5 2 2 2 4" xfId="8417" xr:uid="{00000000-0005-0000-0000-0000DC200000}"/>
    <cellStyle name="Entrada 2 5 2 2 3" xfId="8418" xr:uid="{00000000-0005-0000-0000-0000DD200000}"/>
    <cellStyle name="Entrada 2 5 2 2 3 2" xfId="8419" xr:uid="{00000000-0005-0000-0000-0000DE200000}"/>
    <cellStyle name="Entrada 2 5 2 2 3 3" xfId="8420" xr:uid="{00000000-0005-0000-0000-0000DF200000}"/>
    <cellStyle name="Entrada 2 5 2 2 3 4" xfId="8421" xr:uid="{00000000-0005-0000-0000-0000E0200000}"/>
    <cellStyle name="Entrada 2 5 2 2 4" xfId="8422" xr:uid="{00000000-0005-0000-0000-0000E1200000}"/>
    <cellStyle name="Entrada 2 5 2 2 5" xfId="8423" xr:uid="{00000000-0005-0000-0000-0000E2200000}"/>
    <cellStyle name="Entrada 2 5 2 2 6" xfId="8424" xr:uid="{00000000-0005-0000-0000-0000E3200000}"/>
    <cellStyle name="Entrada 2 5 2 3" xfId="8425" xr:uid="{00000000-0005-0000-0000-0000E4200000}"/>
    <cellStyle name="Entrada 2 5 2 3 2" xfId="8426" xr:uid="{00000000-0005-0000-0000-0000E5200000}"/>
    <cellStyle name="Entrada 2 5 2 3 2 2" xfId="8427" xr:uid="{00000000-0005-0000-0000-0000E6200000}"/>
    <cellStyle name="Entrada 2 5 2 3 2 3" xfId="8428" xr:uid="{00000000-0005-0000-0000-0000E7200000}"/>
    <cellStyle name="Entrada 2 5 2 3 2 4" xfId="8429" xr:uid="{00000000-0005-0000-0000-0000E8200000}"/>
    <cellStyle name="Entrada 2 5 2 3 3" xfId="8430" xr:uid="{00000000-0005-0000-0000-0000E9200000}"/>
    <cellStyle name="Entrada 2 5 2 3 3 2" xfId="8431" xr:uid="{00000000-0005-0000-0000-0000EA200000}"/>
    <cellStyle name="Entrada 2 5 2 3 3 3" xfId="8432" xr:uid="{00000000-0005-0000-0000-0000EB200000}"/>
    <cellStyle name="Entrada 2 5 2 3 3 4" xfId="8433" xr:uid="{00000000-0005-0000-0000-0000EC200000}"/>
    <cellStyle name="Entrada 2 5 2 3 4" xfId="8434" xr:uid="{00000000-0005-0000-0000-0000ED200000}"/>
    <cellStyle name="Entrada 2 5 2 3 5" xfId="8435" xr:uid="{00000000-0005-0000-0000-0000EE200000}"/>
    <cellStyle name="Entrada 2 5 2 3 6" xfId="8436" xr:uid="{00000000-0005-0000-0000-0000EF200000}"/>
    <cellStyle name="Entrada 2 5 2 4" xfId="8437" xr:uid="{00000000-0005-0000-0000-0000F0200000}"/>
    <cellStyle name="Entrada 2 5 2 5" xfId="8438" xr:uid="{00000000-0005-0000-0000-0000F1200000}"/>
    <cellStyle name="Entrada 2 5 2 6" xfId="8439" xr:uid="{00000000-0005-0000-0000-0000F2200000}"/>
    <cellStyle name="Entrada 2 5 3" xfId="8440" xr:uid="{00000000-0005-0000-0000-0000F3200000}"/>
    <cellStyle name="Entrada 2 5 4" xfId="8441" xr:uid="{00000000-0005-0000-0000-0000F4200000}"/>
    <cellStyle name="Entrada 2 6" xfId="8442" xr:uid="{00000000-0005-0000-0000-0000F5200000}"/>
    <cellStyle name="Entrada 2 6 2" xfId="8443" xr:uid="{00000000-0005-0000-0000-0000F6200000}"/>
    <cellStyle name="Entrada 2 6 2 2" xfId="8444" xr:uid="{00000000-0005-0000-0000-0000F7200000}"/>
    <cellStyle name="Entrada 2 6 2 2 2" xfId="8445" xr:uid="{00000000-0005-0000-0000-0000F8200000}"/>
    <cellStyle name="Entrada 2 6 2 2 2 2" xfId="8446" xr:uid="{00000000-0005-0000-0000-0000F9200000}"/>
    <cellStyle name="Entrada 2 6 2 2 2 3" xfId="8447" xr:uid="{00000000-0005-0000-0000-0000FA200000}"/>
    <cellStyle name="Entrada 2 6 2 2 2 4" xfId="8448" xr:uid="{00000000-0005-0000-0000-0000FB200000}"/>
    <cellStyle name="Entrada 2 6 2 2 3" xfId="8449" xr:uid="{00000000-0005-0000-0000-0000FC200000}"/>
    <cellStyle name="Entrada 2 6 2 2 3 2" xfId="8450" xr:uid="{00000000-0005-0000-0000-0000FD200000}"/>
    <cellStyle name="Entrada 2 6 2 2 3 3" xfId="8451" xr:uid="{00000000-0005-0000-0000-0000FE200000}"/>
    <cellStyle name="Entrada 2 6 2 2 3 4" xfId="8452" xr:uid="{00000000-0005-0000-0000-0000FF200000}"/>
    <cellStyle name="Entrada 2 6 2 2 4" xfId="8453" xr:uid="{00000000-0005-0000-0000-000000210000}"/>
    <cellStyle name="Entrada 2 6 2 2 5" xfId="8454" xr:uid="{00000000-0005-0000-0000-000001210000}"/>
    <cellStyle name="Entrada 2 6 2 2 6" xfId="8455" xr:uid="{00000000-0005-0000-0000-000002210000}"/>
    <cellStyle name="Entrada 2 6 2 3" xfId="8456" xr:uid="{00000000-0005-0000-0000-000003210000}"/>
    <cellStyle name="Entrada 2 6 2 3 2" xfId="8457" xr:uid="{00000000-0005-0000-0000-000004210000}"/>
    <cellStyle name="Entrada 2 6 2 3 2 2" xfId="8458" xr:uid="{00000000-0005-0000-0000-000005210000}"/>
    <cellStyle name="Entrada 2 6 2 3 2 3" xfId="8459" xr:uid="{00000000-0005-0000-0000-000006210000}"/>
    <cellStyle name="Entrada 2 6 2 3 2 4" xfId="8460" xr:uid="{00000000-0005-0000-0000-000007210000}"/>
    <cellStyle name="Entrada 2 6 2 3 3" xfId="8461" xr:uid="{00000000-0005-0000-0000-000008210000}"/>
    <cellStyle name="Entrada 2 6 2 3 3 2" xfId="8462" xr:uid="{00000000-0005-0000-0000-000009210000}"/>
    <cellStyle name="Entrada 2 6 2 3 3 3" xfId="8463" xr:uid="{00000000-0005-0000-0000-00000A210000}"/>
    <cellStyle name="Entrada 2 6 2 3 3 4" xfId="8464" xr:uid="{00000000-0005-0000-0000-00000B210000}"/>
    <cellStyle name="Entrada 2 6 2 3 4" xfId="8465" xr:uid="{00000000-0005-0000-0000-00000C210000}"/>
    <cellStyle name="Entrada 2 6 2 3 5" xfId="8466" xr:uid="{00000000-0005-0000-0000-00000D210000}"/>
    <cellStyle name="Entrada 2 6 2 3 6" xfId="8467" xr:uid="{00000000-0005-0000-0000-00000E210000}"/>
    <cellStyle name="Entrada 2 6 2 4" xfId="8468" xr:uid="{00000000-0005-0000-0000-00000F210000}"/>
    <cellStyle name="Entrada 2 6 2 5" xfId="8469" xr:uid="{00000000-0005-0000-0000-000010210000}"/>
    <cellStyle name="Entrada 2 6 2 6" xfId="8470" xr:uid="{00000000-0005-0000-0000-000011210000}"/>
    <cellStyle name="Entrada 2 6 3" xfId="8471" xr:uid="{00000000-0005-0000-0000-000012210000}"/>
    <cellStyle name="Entrada 2 6 4" xfId="8472" xr:uid="{00000000-0005-0000-0000-000013210000}"/>
    <cellStyle name="Entrada 2 7" xfId="8473" xr:uid="{00000000-0005-0000-0000-000014210000}"/>
    <cellStyle name="Entrada 2 7 2" xfId="8474" xr:uid="{00000000-0005-0000-0000-000015210000}"/>
    <cellStyle name="Entrada 2 7 2 2" xfId="8475" xr:uid="{00000000-0005-0000-0000-000016210000}"/>
    <cellStyle name="Entrada 2 7 2 2 2" xfId="8476" xr:uid="{00000000-0005-0000-0000-000017210000}"/>
    <cellStyle name="Entrada 2 7 2 2 2 2" xfId="8477" xr:uid="{00000000-0005-0000-0000-000018210000}"/>
    <cellStyle name="Entrada 2 7 2 2 2 3" xfId="8478" xr:uid="{00000000-0005-0000-0000-000019210000}"/>
    <cellStyle name="Entrada 2 7 2 2 2 4" xfId="8479" xr:uid="{00000000-0005-0000-0000-00001A210000}"/>
    <cellStyle name="Entrada 2 7 2 2 3" xfId="8480" xr:uid="{00000000-0005-0000-0000-00001B210000}"/>
    <cellStyle name="Entrada 2 7 2 2 3 2" xfId="8481" xr:uid="{00000000-0005-0000-0000-00001C210000}"/>
    <cellStyle name="Entrada 2 7 2 2 3 3" xfId="8482" xr:uid="{00000000-0005-0000-0000-00001D210000}"/>
    <cellStyle name="Entrada 2 7 2 2 3 4" xfId="8483" xr:uid="{00000000-0005-0000-0000-00001E210000}"/>
    <cellStyle name="Entrada 2 7 2 2 4" xfId="8484" xr:uid="{00000000-0005-0000-0000-00001F210000}"/>
    <cellStyle name="Entrada 2 7 2 2 5" xfId="8485" xr:uid="{00000000-0005-0000-0000-000020210000}"/>
    <cellStyle name="Entrada 2 7 2 2 6" xfId="8486" xr:uid="{00000000-0005-0000-0000-000021210000}"/>
    <cellStyle name="Entrada 2 7 2 3" xfId="8487" xr:uid="{00000000-0005-0000-0000-000022210000}"/>
    <cellStyle name="Entrada 2 7 2 3 2" xfId="8488" xr:uid="{00000000-0005-0000-0000-000023210000}"/>
    <cellStyle name="Entrada 2 7 2 3 2 2" xfId="8489" xr:uid="{00000000-0005-0000-0000-000024210000}"/>
    <cellStyle name="Entrada 2 7 2 3 2 3" xfId="8490" xr:uid="{00000000-0005-0000-0000-000025210000}"/>
    <cellStyle name="Entrada 2 7 2 3 2 4" xfId="8491" xr:uid="{00000000-0005-0000-0000-000026210000}"/>
    <cellStyle name="Entrada 2 7 2 3 3" xfId="8492" xr:uid="{00000000-0005-0000-0000-000027210000}"/>
    <cellStyle name="Entrada 2 7 2 3 3 2" xfId="8493" xr:uid="{00000000-0005-0000-0000-000028210000}"/>
    <cellStyle name="Entrada 2 7 2 3 3 3" xfId="8494" xr:uid="{00000000-0005-0000-0000-000029210000}"/>
    <cellStyle name="Entrada 2 7 2 3 3 4" xfId="8495" xr:uid="{00000000-0005-0000-0000-00002A210000}"/>
    <cellStyle name="Entrada 2 7 2 3 4" xfId="8496" xr:uid="{00000000-0005-0000-0000-00002B210000}"/>
    <cellStyle name="Entrada 2 7 2 3 5" xfId="8497" xr:uid="{00000000-0005-0000-0000-00002C210000}"/>
    <cellStyle name="Entrada 2 7 2 3 6" xfId="8498" xr:uid="{00000000-0005-0000-0000-00002D210000}"/>
    <cellStyle name="Entrada 2 7 2 4" xfId="8499" xr:uid="{00000000-0005-0000-0000-00002E210000}"/>
    <cellStyle name="Entrada 2 7 2 5" xfId="8500" xr:uid="{00000000-0005-0000-0000-00002F210000}"/>
    <cellStyle name="Entrada 2 7 2 6" xfId="8501" xr:uid="{00000000-0005-0000-0000-000030210000}"/>
    <cellStyle name="Entrada 2 7 3" xfId="8502" xr:uid="{00000000-0005-0000-0000-000031210000}"/>
    <cellStyle name="Entrada 2 7 4" xfId="8503" xr:uid="{00000000-0005-0000-0000-000032210000}"/>
    <cellStyle name="Entrada 2 8" xfId="8504" xr:uid="{00000000-0005-0000-0000-000033210000}"/>
    <cellStyle name="Entrada 2 8 2" xfId="8505" xr:uid="{00000000-0005-0000-0000-000034210000}"/>
    <cellStyle name="Entrada 2 8 2 2" xfId="8506" xr:uid="{00000000-0005-0000-0000-000035210000}"/>
    <cellStyle name="Entrada 2 8 2 2 2" xfId="8507" xr:uid="{00000000-0005-0000-0000-000036210000}"/>
    <cellStyle name="Entrada 2 8 2 2 3" xfId="8508" xr:uid="{00000000-0005-0000-0000-000037210000}"/>
    <cellStyle name="Entrada 2 8 2 2 4" xfId="8509" xr:uid="{00000000-0005-0000-0000-000038210000}"/>
    <cellStyle name="Entrada 2 8 2 3" xfId="8510" xr:uid="{00000000-0005-0000-0000-000039210000}"/>
    <cellStyle name="Entrada 2 8 2 3 2" xfId="8511" xr:uid="{00000000-0005-0000-0000-00003A210000}"/>
    <cellStyle name="Entrada 2 8 2 3 3" xfId="8512" xr:uid="{00000000-0005-0000-0000-00003B210000}"/>
    <cellStyle name="Entrada 2 8 2 3 4" xfId="8513" xr:uid="{00000000-0005-0000-0000-00003C210000}"/>
    <cellStyle name="Entrada 2 8 2 4" xfId="8514" xr:uid="{00000000-0005-0000-0000-00003D210000}"/>
    <cellStyle name="Entrada 2 8 2 5" xfId="8515" xr:uid="{00000000-0005-0000-0000-00003E210000}"/>
    <cellStyle name="Entrada 2 8 2 6" xfId="8516" xr:uid="{00000000-0005-0000-0000-00003F210000}"/>
    <cellStyle name="Entrada 2 8 3" xfId="8517" xr:uid="{00000000-0005-0000-0000-000040210000}"/>
    <cellStyle name="Entrada 2 8 3 2" xfId="8518" xr:uid="{00000000-0005-0000-0000-000041210000}"/>
    <cellStyle name="Entrada 2 8 3 2 2" xfId="8519" xr:uid="{00000000-0005-0000-0000-000042210000}"/>
    <cellStyle name="Entrada 2 8 3 2 3" xfId="8520" xr:uid="{00000000-0005-0000-0000-000043210000}"/>
    <cellStyle name="Entrada 2 8 3 2 4" xfId="8521" xr:uid="{00000000-0005-0000-0000-000044210000}"/>
    <cellStyle name="Entrada 2 8 3 3" xfId="8522" xr:uid="{00000000-0005-0000-0000-000045210000}"/>
    <cellStyle name="Entrada 2 8 3 3 2" xfId="8523" xr:uid="{00000000-0005-0000-0000-000046210000}"/>
    <cellStyle name="Entrada 2 8 3 3 3" xfId="8524" xr:uid="{00000000-0005-0000-0000-000047210000}"/>
    <cellStyle name="Entrada 2 8 3 3 4" xfId="8525" xr:uid="{00000000-0005-0000-0000-000048210000}"/>
    <cellStyle name="Entrada 2 8 3 4" xfId="8526" xr:uid="{00000000-0005-0000-0000-000049210000}"/>
    <cellStyle name="Entrada 2 8 3 5" xfId="8527" xr:uid="{00000000-0005-0000-0000-00004A210000}"/>
    <cellStyle name="Entrada 2 8 3 6" xfId="8528" xr:uid="{00000000-0005-0000-0000-00004B210000}"/>
    <cellStyle name="Entrada 2 8 4" xfId="8529" xr:uid="{00000000-0005-0000-0000-00004C210000}"/>
    <cellStyle name="Entrada 2 8 4 2" xfId="8530" xr:uid="{00000000-0005-0000-0000-00004D210000}"/>
    <cellStyle name="Entrada 2 8 4 3" xfId="8531" xr:uid="{00000000-0005-0000-0000-00004E210000}"/>
    <cellStyle name="Entrada 2 8 4 4" xfId="8532" xr:uid="{00000000-0005-0000-0000-00004F210000}"/>
    <cellStyle name="Entrada 2 8 5" xfId="8533" xr:uid="{00000000-0005-0000-0000-000050210000}"/>
    <cellStyle name="Entrada 2 8 6" xfId="8534" xr:uid="{00000000-0005-0000-0000-000051210000}"/>
    <cellStyle name="Entrada 2 9" xfId="8535" xr:uid="{00000000-0005-0000-0000-000052210000}"/>
    <cellStyle name="Entrada 2 9 2" xfId="8536" xr:uid="{00000000-0005-0000-0000-000053210000}"/>
    <cellStyle name="Entrada 2 9 2 2" xfId="8537" xr:uid="{00000000-0005-0000-0000-000054210000}"/>
    <cellStyle name="Entrada 2 9 2 2 2" xfId="8538" xr:uid="{00000000-0005-0000-0000-000055210000}"/>
    <cellStyle name="Entrada 2 9 2 2 3" xfId="8539" xr:uid="{00000000-0005-0000-0000-000056210000}"/>
    <cellStyle name="Entrada 2 9 2 2 4" xfId="8540" xr:uid="{00000000-0005-0000-0000-000057210000}"/>
    <cellStyle name="Entrada 2 9 2 3" xfId="8541" xr:uid="{00000000-0005-0000-0000-000058210000}"/>
    <cellStyle name="Entrada 2 9 2 3 2" xfId="8542" xr:uid="{00000000-0005-0000-0000-000059210000}"/>
    <cellStyle name="Entrada 2 9 2 3 3" xfId="8543" xr:uid="{00000000-0005-0000-0000-00005A210000}"/>
    <cellStyle name="Entrada 2 9 2 3 4" xfId="8544" xr:uid="{00000000-0005-0000-0000-00005B210000}"/>
    <cellStyle name="Entrada 2 9 2 4" xfId="8545" xr:uid="{00000000-0005-0000-0000-00005C210000}"/>
    <cellStyle name="Entrada 2 9 2 5" xfId="8546" xr:uid="{00000000-0005-0000-0000-00005D210000}"/>
    <cellStyle name="Entrada 2 9 2 6" xfId="8547" xr:uid="{00000000-0005-0000-0000-00005E210000}"/>
    <cellStyle name="Entrada 2 9 3" xfId="8548" xr:uid="{00000000-0005-0000-0000-00005F210000}"/>
    <cellStyle name="Entrada 2 9 3 2" xfId="8549" xr:uid="{00000000-0005-0000-0000-000060210000}"/>
    <cellStyle name="Entrada 2 9 3 2 2" xfId="8550" xr:uid="{00000000-0005-0000-0000-000061210000}"/>
    <cellStyle name="Entrada 2 9 3 2 3" xfId="8551" xr:uid="{00000000-0005-0000-0000-000062210000}"/>
    <cellStyle name="Entrada 2 9 3 2 4" xfId="8552" xr:uid="{00000000-0005-0000-0000-000063210000}"/>
    <cellStyle name="Entrada 2 9 3 3" xfId="8553" xr:uid="{00000000-0005-0000-0000-000064210000}"/>
    <cellStyle name="Entrada 2 9 3 3 2" xfId="8554" xr:uid="{00000000-0005-0000-0000-000065210000}"/>
    <cellStyle name="Entrada 2 9 3 3 3" xfId="8555" xr:uid="{00000000-0005-0000-0000-000066210000}"/>
    <cellStyle name="Entrada 2 9 3 3 4" xfId="8556" xr:uid="{00000000-0005-0000-0000-000067210000}"/>
    <cellStyle name="Entrada 2 9 3 4" xfId="8557" xr:uid="{00000000-0005-0000-0000-000068210000}"/>
    <cellStyle name="Entrada 2 9 3 5" xfId="8558" xr:uid="{00000000-0005-0000-0000-000069210000}"/>
    <cellStyle name="Entrada 2 9 3 6" xfId="8559" xr:uid="{00000000-0005-0000-0000-00006A210000}"/>
    <cellStyle name="Entrada 2 9 4" xfId="8560" xr:uid="{00000000-0005-0000-0000-00006B210000}"/>
    <cellStyle name="Entrada 2 9 4 2" xfId="8561" xr:uid="{00000000-0005-0000-0000-00006C210000}"/>
    <cellStyle name="Entrada 2 9 4 3" xfId="8562" xr:uid="{00000000-0005-0000-0000-00006D210000}"/>
    <cellStyle name="Entrada 2 9 4 4" xfId="8563" xr:uid="{00000000-0005-0000-0000-00006E210000}"/>
    <cellStyle name="Entrada 2 9 5" xfId="8564" xr:uid="{00000000-0005-0000-0000-00006F210000}"/>
    <cellStyle name="Entrada 2 9 6" xfId="8565" xr:uid="{00000000-0005-0000-0000-000070210000}"/>
    <cellStyle name="Entrada 3" xfId="8566" xr:uid="{00000000-0005-0000-0000-000071210000}"/>
    <cellStyle name="Entrada 3 10" xfId="8567" xr:uid="{00000000-0005-0000-0000-000072210000}"/>
    <cellStyle name="Entrada 3 10 2" xfId="8568" xr:uid="{00000000-0005-0000-0000-000073210000}"/>
    <cellStyle name="Entrada 3 10 2 2" xfId="8569" xr:uid="{00000000-0005-0000-0000-000074210000}"/>
    <cellStyle name="Entrada 3 10 2 2 2" xfId="8570" xr:uid="{00000000-0005-0000-0000-000075210000}"/>
    <cellStyle name="Entrada 3 10 2 2 3" xfId="8571" xr:uid="{00000000-0005-0000-0000-000076210000}"/>
    <cellStyle name="Entrada 3 10 2 2 4" xfId="8572" xr:uid="{00000000-0005-0000-0000-000077210000}"/>
    <cellStyle name="Entrada 3 10 2 3" xfId="8573" xr:uid="{00000000-0005-0000-0000-000078210000}"/>
    <cellStyle name="Entrada 3 10 2 3 2" xfId="8574" xr:uid="{00000000-0005-0000-0000-000079210000}"/>
    <cellStyle name="Entrada 3 10 2 3 3" xfId="8575" xr:uid="{00000000-0005-0000-0000-00007A210000}"/>
    <cellStyle name="Entrada 3 10 2 3 4" xfId="8576" xr:uid="{00000000-0005-0000-0000-00007B210000}"/>
    <cellStyle name="Entrada 3 10 2 4" xfId="8577" xr:uid="{00000000-0005-0000-0000-00007C210000}"/>
    <cellStyle name="Entrada 3 10 2 5" xfId="8578" xr:uid="{00000000-0005-0000-0000-00007D210000}"/>
    <cellStyle name="Entrada 3 10 2 6" xfId="8579" xr:uid="{00000000-0005-0000-0000-00007E210000}"/>
    <cellStyle name="Entrada 3 10 3" xfId="8580" xr:uid="{00000000-0005-0000-0000-00007F210000}"/>
    <cellStyle name="Entrada 3 10 3 2" xfId="8581" xr:uid="{00000000-0005-0000-0000-000080210000}"/>
    <cellStyle name="Entrada 3 10 3 2 2" xfId="8582" xr:uid="{00000000-0005-0000-0000-000081210000}"/>
    <cellStyle name="Entrada 3 10 3 2 3" xfId="8583" xr:uid="{00000000-0005-0000-0000-000082210000}"/>
    <cellStyle name="Entrada 3 10 3 2 4" xfId="8584" xr:uid="{00000000-0005-0000-0000-000083210000}"/>
    <cellStyle name="Entrada 3 10 3 3" xfId="8585" xr:uid="{00000000-0005-0000-0000-000084210000}"/>
    <cellStyle name="Entrada 3 10 3 3 2" xfId="8586" xr:uid="{00000000-0005-0000-0000-000085210000}"/>
    <cellStyle name="Entrada 3 10 3 3 3" xfId="8587" xr:uid="{00000000-0005-0000-0000-000086210000}"/>
    <cellStyle name="Entrada 3 10 3 3 4" xfId="8588" xr:uid="{00000000-0005-0000-0000-000087210000}"/>
    <cellStyle name="Entrada 3 10 3 4" xfId="8589" xr:uid="{00000000-0005-0000-0000-000088210000}"/>
    <cellStyle name="Entrada 3 10 3 5" xfId="8590" xr:uid="{00000000-0005-0000-0000-000089210000}"/>
    <cellStyle name="Entrada 3 10 3 6" xfId="8591" xr:uid="{00000000-0005-0000-0000-00008A210000}"/>
    <cellStyle name="Entrada 3 10 4" xfId="8592" xr:uid="{00000000-0005-0000-0000-00008B210000}"/>
    <cellStyle name="Entrada 3 10 4 2" xfId="8593" xr:uid="{00000000-0005-0000-0000-00008C210000}"/>
    <cellStyle name="Entrada 3 10 4 3" xfId="8594" xr:uid="{00000000-0005-0000-0000-00008D210000}"/>
    <cellStyle name="Entrada 3 10 4 4" xfId="8595" xr:uid="{00000000-0005-0000-0000-00008E210000}"/>
    <cellStyle name="Entrada 3 10 5" xfId="8596" xr:uid="{00000000-0005-0000-0000-00008F210000}"/>
    <cellStyle name="Entrada 3 10 6" xfId="8597" xr:uid="{00000000-0005-0000-0000-000090210000}"/>
    <cellStyle name="Entrada 3 11" xfId="8598" xr:uid="{00000000-0005-0000-0000-000091210000}"/>
    <cellStyle name="Entrada 3 11 2" xfId="8599" xr:uid="{00000000-0005-0000-0000-000092210000}"/>
    <cellStyle name="Entrada 3 11 2 2" xfId="8600" xr:uid="{00000000-0005-0000-0000-000093210000}"/>
    <cellStyle name="Entrada 3 11 2 2 2" xfId="8601" xr:uid="{00000000-0005-0000-0000-000094210000}"/>
    <cellStyle name="Entrada 3 11 2 2 3" xfId="8602" xr:uid="{00000000-0005-0000-0000-000095210000}"/>
    <cellStyle name="Entrada 3 11 2 2 4" xfId="8603" xr:uid="{00000000-0005-0000-0000-000096210000}"/>
    <cellStyle name="Entrada 3 11 2 3" xfId="8604" xr:uid="{00000000-0005-0000-0000-000097210000}"/>
    <cellStyle name="Entrada 3 11 2 3 2" xfId="8605" xr:uid="{00000000-0005-0000-0000-000098210000}"/>
    <cellStyle name="Entrada 3 11 2 3 3" xfId="8606" xr:uid="{00000000-0005-0000-0000-000099210000}"/>
    <cellStyle name="Entrada 3 11 2 3 4" xfId="8607" xr:uid="{00000000-0005-0000-0000-00009A210000}"/>
    <cellStyle name="Entrada 3 11 2 4" xfId="8608" xr:uid="{00000000-0005-0000-0000-00009B210000}"/>
    <cellStyle name="Entrada 3 11 2 5" xfId="8609" xr:uid="{00000000-0005-0000-0000-00009C210000}"/>
    <cellStyle name="Entrada 3 11 2 6" xfId="8610" xr:uid="{00000000-0005-0000-0000-00009D210000}"/>
    <cellStyle name="Entrada 3 11 3" xfId="8611" xr:uid="{00000000-0005-0000-0000-00009E210000}"/>
    <cellStyle name="Entrada 3 11 3 2" xfId="8612" xr:uid="{00000000-0005-0000-0000-00009F210000}"/>
    <cellStyle name="Entrada 3 11 3 2 2" xfId="8613" xr:uid="{00000000-0005-0000-0000-0000A0210000}"/>
    <cellStyle name="Entrada 3 11 3 2 3" xfId="8614" xr:uid="{00000000-0005-0000-0000-0000A1210000}"/>
    <cellStyle name="Entrada 3 11 3 2 4" xfId="8615" xr:uid="{00000000-0005-0000-0000-0000A2210000}"/>
    <cellStyle name="Entrada 3 11 3 3" xfId="8616" xr:uid="{00000000-0005-0000-0000-0000A3210000}"/>
    <cellStyle name="Entrada 3 11 3 3 2" xfId="8617" xr:uid="{00000000-0005-0000-0000-0000A4210000}"/>
    <cellStyle name="Entrada 3 11 3 3 3" xfId="8618" xr:uid="{00000000-0005-0000-0000-0000A5210000}"/>
    <cellStyle name="Entrada 3 11 3 3 4" xfId="8619" xr:uid="{00000000-0005-0000-0000-0000A6210000}"/>
    <cellStyle name="Entrada 3 11 3 4" xfId="8620" xr:uid="{00000000-0005-0000-0000-0000A7210000}"/>
    <cellStyle name="Entrada 3 11 3 5" xfId="8621" xr:uid="{00000000-0005-0000-0000-0000A8210000}"/>
    <cellStyle name="Entrada 3 11 3 6" xfId="8622" xr:uid="{00000000-0005-0000-0000-0000A9210000}"/>
    <cellStyle name="Entrada 3 11 4" xfId="8623" xr:uid="{00000000-0005-0000-0000-0000AA210000}"/>
    <cellStyle name="Entrada 3 11 5" xfId="8624" xr:uid="{00000000-0005-0000-0000-0000AB210000}"/>
    <cellStyle name="Entrada 3 11 6" xfId="8625" xr:uid="{00000000-0005-0000-0000-0000AC210000}"/>
    <cellStyle name="Entrada 3 12" xfId="8626" xr:uid="{00000000-0005-0000-0000-0000AD210000}"/>
    <cellStyle name="Entrada 3 13" xfId="8627" xr:uid="{00000000-0005-0000-0000-0000AE210000}"/>
    <cellStyle name="Entrada 3 2" xfId="8628" xr:uid="{00000000-0005-0000-0000-0000AF210000}"/>
    <cellStyle name="Entrada 3 2 10" xfId="8629" xr:uid="{00000000-0005-0000-0000-0000B0210000}"/>
    <cellStyle name="Entrada 3 2 10 2" xfId="8630" xr:uid="{00000000-0005-0000-0000-0000B1210000}"/>
    <cellStyle name="Entrada 3 2 10 2 2" xfId="8631" xr:uid="{00000000-0005-0000-0000-0000B2210000}"/>
    <cellStyle name="Entrada 3 2 10 2 2 2" xfId="8632" xr:uid="{00000000-0005-0000-0000-0000B3210000}"/>
    <cellStyle name="Entrada 3 2 10 2 2 3" xfId="8633" xr:uid="{00000000-0005-0000-0000-0000B4210000}"/>
    <cellStyle name="Entrada 3 2 10 2 2 4" xfId="8634" xr:uid="{00000000-0005-0000-0000-0000B5210000}"/>
    <cellStyle name="Entrada 3 2 10 2 3" xfId="8635" xr:uid="{00000000-0005-0000-0000-0000B6210000}"/>
    <cellStyle name="Entrada 3 2 10 2 3 2" xfId="8636" xr:uid="{00000000-0005-0000-0000-0000B7210000}"/>
    <cellStyle name="Entrada 3 2 10 2 3 3" xfId="8637" xr:uid="{00000000-0005-0000-0000-0000B8210000}"/>
    <cellStyle name="Entrada 3 2 10 2 3 4" xfId="8638" xr:uid="{00000000-0005-0000-0000-0000B9210000}"/>
    <cellStyle name="Entrada 3 2 10 2 4" xfId="8639" xr:uid="{00000000-0005-0000-0000-0000BA210000}"/>
    <cellStyle name="Entrada 3 2 10 2 5" xfId="8640" xr:uid="{00000000-0005-0000-0000-0000BB210000}"/>
    <cellStyle name="Entrada 3 2 10 2 6" xfId="8641" xr:uid="{00000000-0005-0000-0000-0000BC210000}"/>
    <cellStyle name="Entrada 3 2 10 3" xfId="8642" xr:uid="{00000000-0005-0000-0000-0000BD210000}"/>
    <cellStyle name="Entrada 3 2 10 3 2" xfId="8643" xr:uid="{00000000-0005-0000-0000-0000BE210000}"/>
    <cellStyle name="Entrada 3 2 10 3 2 2" xfId="8644" xr:uid="{00000000-0005-0000-0000-0000BF210000}"/>
    <cellStyle name="Entrada 3 2 10 3 2 3" xfId="8645" xr:uid="{00000000-0005-0000-0000-0000C0210000}"/>
    <cellStyle name="Entrada 3 2 10 3 2 4" xfId="8646" xr:uid="{00000000-0005-0000-0000-0000C1210000}"/>
    <cellStyle name="Entrada 3 2 10 3 3" xfId="8647" xr:uid="{00000000-0005-0000-0000-0000C2210000}"/>
    <cellStyle name="Entrada 3 2 10 3 3 2" xfId="8648" xr:uid="{00000000-0005-0000-0000-0000C3210000}"/>
    <cellStyle name="Entrada 3 2 10 3 3 3" xfId="8649" xr:uid="{00000000-0005-0000-0000-0000C4210000}"/>
    <cellStyle name="Entrada 3 2 10 3 3 4" xfId="8650" xr:uid="{00000000-0005-0000-0000-0000C5210000}"/>
    <cellStyle name="Entrada 3 2 10 3 4" xfId="8651" xr:uid="{00000000-0005-0000-0000-0000C6210000}"/>
    <cellStyle name="Entrada 3 2 10 3 5" xfId="8652" xr:uid="{00000000-0005-0000-0000-0000C7210000}"/>
    <cellStyle name="Entrada 3 2 10 3 6" xfId="8653" xr:uid="{00000000-0005-0000-0000-0000C8210000}"/>
    <cellStyle name="Entrada 3 2 10 4" xfId="8654" xr:uid="{00000000-0005-0000-0000-0000C9210000}"/>
    <cellStyle name="Entrada 3 2 10 5" xfId="8655" xr:uid="{00000000-0005-0000-0000-0000CA210000}"/>
    <cellStyle name="Entrada 3 2 10 6" xfId="8656" xr:uid="{00000000-0005-0000-0000-0000CB210000}"/>
    <cellStyle name="Entrada 3 2 11" xfId="8657" xr:uid="{00000000-0005-0000-0000-0000CC210000}"/>
    <cellStyle name="Entrada 3 2 12" xfId="8658" xr:uid="{00000000-0005-0000-0000-0000CD210000}"/>
    <cellStyle name="Entrada 3 2 2" xfId="8659" xr:uid="{00000000-0005-0000-0000-0000CE210000}"/>
    <cellStyle name="Entrada 3 2 2 2" xfId="8660" xr:uid="{00000000-0005-0000-0000-0000CF210000}"/>
    <cellStyle name="Entrada 3 2 2 2 2" xfId="8661" xr:uid="{00000000-0005-0000-0000-0000D0210000}"/>
    <cellStyle name="Entrada 3 2 2 2 2 2" xfId="8662" xr:uid="{00000000-0005-0000-0000-0000D1210000}"/>
    <cellStyle name="Entrada 3 2 2 2 2 2 2" xfId="8663" xr:uid="{00000000-0005-0000-0000-0000D2210000}"/>
    <cellStyle name="Entrada 3 2 2 2 2 2 3" xfId="8664" xr:uid="{00000000-0005-0000-0000-0000D3210000}"/>
    <cellStyle name="Entrada 3 2 2 2 2 2 4" xfId="8665" xr:uid="{00000000-0005-0000-0000-0000D4210000}"/>
    <cellStyle name="Entrada 3 2 2 2 2 3" xfId="8666" xr:uid="{00000000-0005-0000-0000-0000D5210000}"/>
    <cellStyle name="Entrada 3 2 2 2 2 3 2" xfId="8667" xr:uid="{00000000-0005-0000-0000-0000D6210000}"/>
    <cellStyle name="Entrada 3 2 2 2 2 3 3" xfId="8668" xr:uid="{00000000-0005-0000-0000-0000D7210000}"/>
    <cellStyle name="Entrada 3 2 2 2 2 3 4" xfId="8669" xr:uid="{00000000-0005-0000-0000-0000D8210000}"/>
    <cellStyle name="Entrada 3 2 2 2 2 4" xfId="8670" xr:uid="{00000000-0005-0000-0000-0000D9210000}"/>
    <cellStyle name="Entrada 3 2 2 2 2 5" xfId="8671" xr:uid="{00000000-0005-0000-0000-0000DA210000}"/>
    <cellStyle name="Entrada 3 2 2 2 2 6" xfId="8672" xr:uid="{00000000-0005-0000-0000-0000DB210000}"/>
    <cellStyle name="Entrada 3 2 2 2 3" xfId="8673" xr:uid="{00000000-0005-0000-0000-0000DC210000}"/>
    <cellStyle name="Entrada 3 2 2 2 3 2" xfId="8674" xr:uid="{00000000-0005-0000-0000-0000DD210000}"/>
    <cellStyle name="Entrada 3 2 2 2 3 2 2" xfId="8675" xr:uid="{00000000-0005-0000-0000-0000DE210000}"/>
    <cellStyle name="Entrada 3 2 2 2 3 2 3" xfId="8676" xr:uid="{00000000-0005-0000-0000-0000DF210000}"/>
    <cellStyle name="Entrada 3 2 2 2 3 2 4" xfId="8677" xr:uid="{00000000-0005-0000-0000-0000E0210000}"/>
    <cellStyle name="Entrada 3 2 2 2 3 3" xfId="8678" xr:uid="{00000000-0005-0000-0000-0000E1210000}"/>
    <cellStyle name="Entrada 3 2 2 2 3 3 2" xfId="8679" xr:uid="{00000000-0005-0000-0000-0000E2210000}"/>
    <cellStyle name="Entrada 3 2 2 2 3 3 3" xfId="8680" xr:uid="{00000000-0005-0000-0000-0000E3210000}"/>
    <cellStyle name="Entrada 3 2 2 2 3 3 4" xfId="8681" xr:uid="{00000000-0005-0000-0000-0000E4210000}"/>
    <cellStyle name="Entrada 3 2 2 2 3 4" xfId="8682" xr:uid="{00000000-0005-0000-0000-0000E5210000}"/>
    <cellStyle name="Entrada 3 2 2 2 3 5" xfId="8683" xr:uid="{00000000-0005-0000-0000-0000E6210000}"/>
    <cellStyle name="Entrada 3 2 2 2 3 6" xfId="8684" xr:uid="{00000000-0005-0000-0000-0000E7210000}"/>
    <cellStyle name="Entrada 3 2 2 2 4" xfId="8685" xr:uid="{00000000-0005-0000-0000-0000E8210000}"/>
    <cellStyle name="Entrada 3 2 2 2 5" xfId="8686" xr:uid="{00000000-0005-0000-0000-0000E9210000}"/>
    <cellStyle name="Entrada 3 2 2 2 6" xfId="8687" xr:uid="{00000000-0005-0000-0000-0000EA210000}"/>
    <cellStyle name="Entrada 3 2 2 3" xfId="8688" xr:uid="{00000000-0005-0000-0000-0000EB210000}"/>
    <cellStyle name="Entrada 3 2 2 4" xfId="8689" xr:uid="{00000000-0005-0000-0000-0000EC210000}"/>
    <cellStyle name="Entrada 3 2 3" xfId="8690" xr:uid="{00000000-0005-0000-0000-0000ED210000}"/>
    <cellStyle name="Entrada 3 2 3 2" xfId="8691" xr:uid="{00000000-0005-0000-0000-0000EE210000}"/>
    <cellStyle name="Entrada 3 2 3 2 2" xfId="8692" xr:uid="{00000000-0005-0000-0000-0000EF210000}"/>
    <cellStyle name="Entrada 3 2 3 2 2 2" xfId="8693" xr:uid="{00000000-0005-0000-0000-0000F0210000}"/>
    <cellStyle name="Entrada 3 2 3 2 2 2 2" xfId="8694" xr:uid="{00000000-0005-0000-0000-0000F1210000}"/>
    <cellStyle name="Entrada 3 2 3 2 2 2 3" xfId="8695" xr:uid="{00000000-0005-0000-0000-0000F2210000}"/>
    <cellStyle name="Entrada 3 2 3 2 2 2 4" xfId="8696" xr:uid="{00000000-0005-0000-0000-0000F3210000}"/>
    <cellStyle name="Entrada 3 2 3 2 2 3" xfId="8697" xr:uid="{00000000-0005-0000-0000-0000F4210000}"/>
    <cellStyle name="Entrada 3 2 3 2 2 3 2" xfId="8698" xr:uid="{00000000-0005-0000-0000-0000F5210000}"/>
    <cellStyle name="Entrada 3 2 3 2 2 3 3" xfId="8699" xr:uid="{00000000-0005-0000-0000-0000F6210000}"/>
    <cellStyle name="Entrada 3 2 3 2 2 3 4" xfId="8700" xr:uid="{00000000-0005-0000-0000-0000F7210000}"/>
    <cellStyle name="Entrada 3 2 3 2 2 4" xfId="8701" xr:uid="{00000000-0005-0000-0000-0000F8210000}"/>
    <cellStyle name="Entrada 3 2 3 2 2 5" xfId="8702" xr:uid="{00000000-0005-0000-0000-0000F9210000}"/>
    <cellStyle name="Entrada 3 2 3 2 2 6" xfId="8703" xr:uid="{00000000-0005-0000-0000-0000FA210000}"/>
    <cellStyle name="Entrada 3 2 3 2 3" xfId="8704" xr:uid="{00000000-0005-0000-0000-0000FB210000}"/>
    <cellStyle name="Entrada 3 2 3 2 3 2" xfId="8705" xr:uid="{00000000-0005-0000-0000-0000FC210000}"/>
    <cellStyle name="Entrada 3 2 3 2 3 2 2" xfId="8706" xr:uid="{00000000-0005-0000-0000-0000FD210000}"/>
    <cellStyle name="Entrada 3 2 3 2 3 2 3" xfId="8707" xr:uid="{00000000-0005-0000-0000-0000FE210000}"/>
    <cellStyle name="Entrada 3 2 3 2 3 2 4" xfId="8708" xr:uid="{00000000-0005-0000-0000-0000FF210000}"/>
    <cellStyle name="Entrada 3 2 3 2 3 3" xfId="8709" xr:uid="{00000000-0005-0000-0000-000000220000}"/>
    <cellStyle name="Entrada 3 2 3 2 3 3 2" xfId="8710" xr:uid="{00000000-0005-0000-0000-000001220000}"/>
    <cellStyle name="Entrada 3 2 3 2 3 3 3" xfId="8711" xr:uid="{00000000-0005-0000-0000-000002220000}"/>
    <cellStyle name="Entrada 3 2 3 2 3 3 4" xfId="8712" xr:uid="{00000000-0005-0000-0000-000003220000}"/>
    <cellStyle name="Entrada 3 2 3 2 3 4" xfId="8713" xr:uid="{00000000-0005-0000-0000-000004220000}"/>
    <cellStyle name="Entrada 3 2 3 2 3 5" xfId="8714" xr:uid="{00000000-0005-0000-0000-000005220000}"/>
    <cellStyle name="Entrada 3 2 3 2 3 6" xfId="8715" xr:uid="{00000000-0005-0000-0000-000006220000}"/>
    <cellStyle name="Entrada 3 2 3 2 4" xfId="8716" xr:uid="{00000000-0005-0000-0000-000007220000}"/>
    <cellStyle name="Entrada 3 2 3 2 5" xfId="8717" xr:uid="{00000000-0005-0000-0000-000008220000}"/>
    <cellStyle name="Entrada 3 2 3 2 6" xfId="8718" xr:uid="{00000000-0005-0000-0000-000009220000}"/>
    <cellStyle name="Entrada 3 2 3 3" xfId="8719" xr:uid="{00000000-0005-0000-0000-00000A220000}"/>
    <cellStyle name="Entrada 3 2 3 4" xfId="8720" xr:uid="{00000000-0005-0000-0000-00000B220000}"/>
    <cellStyle name="Entrada 3 2 4" xfId="8721" xr:uid="{00000000-0005-0000-0000-00000C220000}"/>
    <cellStyle name="Entrada 3 2 4 2" xfId="8722" xr:uid="{00000000-0005-0000-0000-00000D220000}"/>
    <cellStyle name="Entrada 3 2 4 2 2" xfId="8723" xr:uid="{00000000-0005-0000-0000-00000E220000}"/>
    <cellStyle name="Entrada 3 2 4 2 2 2" xfId="8724" xr:uid="{00000000-0005-0000-0000-00000F220000}"/>
    <cellStyle name="Entrada 3 2 4 2 2 2 2" xfId="8725" xr:uid="{00000000-0005-0000-0000-000010220000}"/>
    <cellStyle name="Entrada 3 2 4 2 2 2 3" xfId="8726" xr:uid="{00000000-0005-0000-0000-000011220000}"/>
    <cellStyle name="Entrada 3 2 4 2 2 2 4" xfId="8727" xr:uid="{00000000-0005-0000-0000-000012220000}"/>
    <cellStyle name="Entrada 3 2 4 2 2 3" xfId="8728" xr:uid="{00000000-0005-0000-0000-000013220000}"/>
    <cellStyle name="Entrada 3 2 4 2 2 3 2" xfId="8729" xr:uid="{00000000-0005-0000-0000-000014220000}"/>
    <cellStyle name="Entrada 3 2 4 2 2 3 3" xfId="8730" xr:uid="{00000000-0005-0000-0000-000015220000}"/>
    <cellStyle name="Entrada 3 2 4 2 2 3 4" xfId="8731" xr:uid="{00000000-0005-0000-0000-000016220000}"/>
    <cellStyle name="Entrada 3 2 4 2 2 4" xfId="8732" xr:uid="{00000000-0005-0000-0000-000017220000}"/>
    <cellStyle name="Entrada 3 2 4 2 2 5" xfId="8733" xr:uid="{00000000-0005-0000-0000-000018220000}"/>
    <cellStyle name="Entrada 3 2 4 2 2 6" xfId="8734" xr:uid="{00000000-0005-0000-0000-000019220000}"/>
    <cellStyle name="Entrada 3 2 4 2 3" xfId="8735" xr:uid="{00000000-0005-0000-0000-00001A220000}"/>
    <cellStyle name="Entrada 3 2 4 2 3 2" xfId="8736" xr:uid="{00000000-0005-0000-0000-00001B220000}"/>
    <cellStyle name="Entrada 3 2 4 2 3 2 2" xfId="8737" xr:uid="{00000000-0005-0000-0000-00001C220000}"/>
    <cellStyle name="Entrada 3 2 4 2 3 2 3" xfId="8738" xr:uid="{00000000-0005-0000-0000-00001D220000}"/>
    <cellStyle name="Entrada 3 2 4 2 3 2 4" xfId="8739" xr:uid="{00000000-0005-0000-0000-00001E220000}"/>
    <cellStyle name="Entrada 3 2 4 2 3 3" xfId="8740" xr:uid="{00000000-0005-0000-0000-00001F220000}"/>
    <cellStyle name="Entrada 3 2 4 2 3 3 2" xfId="8741" xr:uid="{00000000-0005-0000-0000-000020220000}"/>
    <cellStyle name="Entrada 3 2 4 2 3 3 3" xfId="8742" xr:uid="{00000000-0005-0000-0000-000021220000}"/>
    <cellStyle name="Entrada 3 2 4 2 3 3 4" xfId="8743" xr:uid="{00000000-0005-0000-0000-000022220000}"/>
    <cellStyle name="Entrada 3 2 4 2 3 4" xfId="8744" xr:uid="{00000000-0005-0000-0000-000023220000}"/>
    <cellStyle name="Entrada 3 2 4 2 3 5" xfId="8745" xr:uid="{00000000-0005-0000-0000-000024220000}"/>
    <cellStyle name="Entrada 3 2 4 2 3 6" xfId="8746" xr:uid="{00000000-0005-0000-0000-000025220000}"/>
    <cellStyle name="Entrada 3 2 4 2 4" xfId="8747" xr:uid="{00000000-0005-0000-0000-000026220000}"/>
    <cellStyle name="Entrada 3 2 4 2 5" xfId="8748" xr:uid="{00000000-0005-0000-0000-000027220000}"/>
    <cellStyle name="Entrada 3 2 4 2 6" xfId="8749" xr:uid="{00000000-0005-0000-0000-000028220000}"/>
    <cellStyle name="Entrada 3 2 4 3" xfId="8750" xr:uid="{00000000-0005-0000-0000-000029220000}"/>
    <cellStyle name="Entrada 3 2 4 4" xfId="8751" xr:uid="{00000000-0005-0000-0000-00002A220000}"/>
    <cellStyle name="Entrada 3 2 5" xfId="8752" xr:uid="{00000000-0005-0000-0000-00002B220000}"/>
    <cellStyle name="Entrada 3 2 5 2" xfId="8753" xr:uid="{00000000-0005-0000-0000-00002C220000}"/>
    <cellStyle name="Entrada 3 2 5 2 2" xfId="8754" xr:uid="{00000000-0005-0000-0000-00002D220000}"/>
    <cellStyle name="Entrada 3 2 5 2 2 2" xfId="8755" xr:uid="{00000000-0005-0000-0000-00002E220000}"/>
    <cellStyle name="Entrada 3 2 5 2 2 2 2" xfId="8756" xr:uid="{00000000-0005-0000-0000-00002F220000}"/>
    <cellStyle name="Entrada 3 2 5 2 2 2 3" xfId="8757" xr:uid="{00000000-0005-0000-0000-000030220000}"/>
    <cellStyle name="Entrada 3 2 5 2 2 2 4" xfId="8758" xr:uid="{00000000-0005-0000-0000-000031220000}"/>
    <cellStyle name="Entrada 3 2 5 2 2 3" xfId="8759" xr:uid="{00000000-0005-0000-0000-000032220000}"/>
    <cellStyle name="Entrada 3 2 5 2 2 3 2" xfId="8760" xr:uid="{00000000-0005-0000-0000-000033220000}"/>
    <cellStyle name="Entrada 3 2 5 2 2 3 3" xfId="8761" xr:uid="{00000000-0005-0000-0000-000034220000}"/>
    <cellStyle name="Entrada 3 2 5 2 2 3 4" xfId="8762" xr:uid="{00000000-0005-0000-0000-000035220000}"/>
    <cellStyle name="Entrada 3 2 5 2 2 4" xfId="8763" xr:uid="{00000000-0005-0000-0000-000036220000}"/>
    <cellStyle name="Entrada 3 2 5 2 2 5" xfId="8764" xr:uid="{00000000-0005-0000-0000-000037220000}"/>
    <cellStyle name="Entrada 3 2 5 2 2 6" xfId="8765" xr:uid="{00000000-0005-0000-0000-000038220000}"/>
    <cellStyle name="Entrada 3 2 5 2 3" xfId="8766" xr:uid="{00000000-0005-0000-0000-000039220000}"/>
    <cellStyle name="Entrada 3 2 5 2 3 2" xfId="8767" xr:uid="{00000000-0005-0000-0000-00003A220000}"/>
    <cellStyle name="Entrada 3 2 5 2 3 2 2" xfId="8768" xr:uid="{00000000-0005-0000-0000-00003B220000}"/>
    <cellStyle name="Entrada 3 2 5 2 3 2 3" xfId="8769" xr:uid="{00000000-0005-0000-0000-00003C220000}"/>
    <cellStyle name="Entrada 3 2 5 2 3 2 4" xfId="8770" xr:uid="{00000000-0005-0000-0000-00003D220000}"/>
    <cellStyle name="Entrada 3 2 5 2 3 3" xfId="8771" xr:uid="{00000000-0005-0000-0000-00003E220000}"/>
    <cellStyle name="Entrada 3 2 5 2 3 3 2" xfId="8772" xr:uid="{00000000-0005-0000-0000-00003F220000}"/>
    <cellStyle name="Entrada 3 2 5 2 3 3 3" xfId="8773" xr:uid="{00000000-0005-0000-0000-000040220000}"/>
    <cellStyle name="Entrada 3 2 5 2 3 3 4" xfId="8774" xr:uid="{00000000-0005-0000-0000-000041220000}"/>
    <cellStyle name="Entrada 3 2 5 2 3 4" xfId="8775" xr:uid="{00000000-0005-0000-0000-000042220000}"/>
    <cellStyle name="Entrada 3 2 5 2 3 5" xfId="8776" xr:uid="{00000000-0005-0000-0000-000043220000}"/>
    <cellStyle name="Entrada 3 2 5 2 3 6" xfId="8777" xr:uid="{00000000-0005-0000-0000-000044220000}"/>
    <cellStyle name="Entrada 3 2 5 2 4" xfId="8778" xr:uid="{00000000-0005-0000-0000-000045220000}"/>
    <cellStyle name="Entrada 3 2 5 2 5" xfId="8779" xr:uid="{00000000-0005-0000-0000-000046220000}"/>
    <cellStyle name="Entrada 3 2 5 2 6" xfId="8780" xr:uid="{00000000-0005-0000-0000-000047220000}"/>
    <cellStyle name="Entrada 3 2 5 3" xfId="8781" xr:uid="{00000000-0005-0000-0000-000048220000}"/>
    <cellStyle name="Entrada 3 2 5 4" xfId="8782" xr:uid="{00000000-0005-0000-0000-000049220000}"/>
    <cellStyle name="Entrada 3 2 6" xfId="8783" xr:uid="{00000000-0005-0000-0000-00004A220000}"/>
    <cellStyle name="Entrada 3 2 6 2" xfId="8784" xr:uid="{00000000-0005-0000-0000-00004B220000}"/>
    <cellStyle name="Entrada 3 2 6 2 2" xfId="8785" xr:uid="{00000000-0005-0000-0000-00004C220000}"/>
    <cellStyle name="Entrada 3 2 6 2 2 2" xfId="8786" xr:uid="{00000000-0005-0000-0000-00004D220000}"/>
    <cellStyle name="Entrada 3 2 6 2 2 3" xfId="8787" xr:uid="{00000000-0005-0000-0000-00004E220000}"/>
    <cellStyle name="Entrada 3 2 6 2 2 4" xfId="8788" xr:uid="{00000000-0005-0000-0000-00004F220000}"/>
    <cellStyle name="Entrada 3 2 6 2 3" xfId="8789" xr:uid="{00000000-0005-0000-0000-000050220000}"/>
    <cellStyle name="Entrada 3 2 6 2 3 2" xfId="8790" xr:uid="{00000000-0005-0000-0000-000051220000}"/>
    <cellStyle name="Entrada 3 2 6 2 3 3" xfId="8791" xr:uid="{00000000-0005-0000-0000-000052220000}"/>
    <cellStyle name="Entrada 3 2 6 2 3 4" xfId="8792" xr:uid="{00000000-0005-0000-0000-000053220000}"/>
    <cellStyle name="Entrada 3 2 6 2 4" xfId="8793" xr:uid="{00000000-0005-0000-0000-000054220000}"/>
    <cellStyle name="Entrada 3 2 6 2 5" xfId="8794" xr:uid="{00000000-0005-0000-0000-000055220000}"/>
    <cellStyle name="Entrada 3 2 6 2 6" xfId="8795" xr:uid="{00000000-0005-0000-0000-000056220000}"/>
    <cellStyle name="Entrada 3 2 6 3" xfId="8796" xr:uid="{00000000-0005-0000-0000-000057220000}"/>
    <cellStyle name="Entrada 3 2 6 3 2" xfId="8797" xr:uid="{00000000-0005-0000-0000-000058220000}"/>
    <cellStyle name="Entrada 3 2 6 3 2 2" xfId="8798" xr:uid="{00000000-0005-0000-0000-000059220000}"/>
    <cellStyle name="Entrada 3 2 6 3 2 3" xfId="8799" xr:uid="{00000000-0005-0000-0000-00005A220000}"/>
    <cellStyle name="Entrada 3 2 6 3 2 4" xfId="8800" xr:uid="{00000000-0005-0000-0000-00005B220000}"/>
    <cellStyle name="Entrada 3 2 6 3 3" xfId="8801" xr:uid="{00000000-0005-0000-0000-00005C220000}"/>
    <cellStyle name="Entrada 3 2 6 3 3 2" xfId="8802" xr:uid="{00000000-0005-0000-0000-00005D220000}"/>
    <cellStyle name="Entrada 3 2 6 3 3 3" xfId="8803" xr:uid="{00000000-0005-0000-0000-00005E220000}"/>
    <cellStyle name="Entrada 3 2 6 3 3 4" xfId="8804" xr:uid="{00000000-0005-0000-0000-00005F220000}"/>
    <cellStyle name="Entrada 3 2 6 3 4" xfId="8805" xr:uid="{00000000-0005-0000-0000-000060220000}"/>
    <cellStyle name="Entrada 3 2 6 3 5" xfId="8806" xr:uid="{00000000-0005-0000-0000-000061220000}"/>
    <cellStyle name="Entrada 3 2 6 3 6" xfId="8807" xr:uid="{00000000-0005-0000-0000-000062220000}"/>
    <cellStyle name="Entrada 3 2 6 4" xfId="8808" xr:uid="{00000000-0005-0000-0000-000063220000}"/>
    <cellStyle name="Entrada 3 2 6 4 2" xfId="8809" xr:uid="{00000000-0005-0000-0000-000064220000}"/>
    <cellStyle name="Entrada 3 2 6 4 3" xfId="8810" xr:uid="{00000000-0005-0000-0000-000065220000}"/>
    <cellStyle name="Entrada 3 2 6 4 4" xfId="8811" xr:uid="{00000000-0005-0000-0000-000066220000}"/>
    <cellStyle name="Entrada 3 2 6 5" xfId="8812" xr:uid="{00000000-0005-0000-0000-000067220000}"/>
    <cellStyle name="Entrada 3 2 6 6" xfId="8813" xr:uid="{00000000-0005-0000-0000-000068220000}"/>
    <cellStyle name="Entrada 3 2 7" xfId="8814" xr:uid="{00000000-0005-0000-0000-000069220000}"/>
    <cellStyle name="Entrada 3 2 7 2" xfId="8815" xr:uid="{00000000-0005-0000-0000-00006A220000}"/>
    <cellStyle name="Entrada 3 2 7 2 2" xfId="8816" xr:uid="{00000000-0005-0000-0000-00006B220000}"/>
    <cellStyle name="Entrada 3 2 7 2 2 2" xfId="8817" xr:uid="{00000000-0005-0000-0000-00006C220000}"/>
    <cellStyle name="Entrada 3 2 7 2 2 3" xfId="8818" xr:uid="{00000000-0005-0000-0000-00006D220000}"/>
    <cellStyle name="Entrada 3 2 7 2 2 4" xfId="8819" xr:uid="{00000000-0005-0000-0000-00006E220000}"/>
    <cellStyle name="Entrada 3 2 7 2 3" xfId="8820" xr:uid="{00000000-0005-0000-0000-00006F220000}"/>
    <cellStyle name="Entrada 3 2 7 2 3 2" xfId="8821" xr:uid="{00000000-0005-0000-0000-000070220000}"/>
    <cellStyle name="Entrada 3 2 7 2 3 3" xfId="8822" xr:uid="{00000000-0005-0000-0000-000071220000}"/>
    <cellStyle name="Entrada 3 2 7 2 3 4" xfId="8823" xr:uid="{00000000-0005-0000-0000-000072220000}"/>
    <cellStyle name="Entrada 3 2 7 2 4" xfId="8824" xr:uid="{00000000-0005-0000-0000-000073220000}"/>
    <cellStyle name="Entrada 3 2 7 2 5" xfId="8825" xr:uid="{00000000-0005-0000-0000-000074220000}"/>
    <cellStyle name="Entrada 3 2 7 2 6" xfId="8826" xr:uid="{00000000-0005-0000-0000-000075220000}"/>
    <cellStyle name="Entrada 3 2 7 3" xfId="8827" xr:uid="{00000000-0005-0000-0000-000076220000}"/>
    <cellStyle name="Entrada 3 2 7 3 2" xfId="8828" xr:uid="{00000000-0005-0000-0000-000077220000}"/>
    <cellStyle name="Entrada 3 2 7 3 2 2" xfId="8829" xr:uid="{00000000-0005-0000-0000-000078220000}"/>
    <cellStyle name="Entrada 3 2 7 3 2 3" xfId="8830" xr:uid="{00000000-0005-0000-0000-000079220000}"/>
    <cellStyle name="Entrada 3 2 7 3 2 4" xfId="8831" xr:uid="{00000000-0005-0000-0000-00007A220000}"/>
    <cellStyle name="Entrada 3 2 7 3 3" xfId="8832" xr:uid="{00000000-0005-0000-0000-00007B220000}"/>
    <cellStyle name="Entrada 3 2 7 3 3 2" xfId="8833" xr:uid="{00000000-0005-0000-0000-00007C220000}"/>
    <cellStyle name="Entrada 3 2 7 3 3 3" xfId="8834" xr:uid="{00000000-0005-0000-0000-00007D220000}"/>
    <cellStyle name="Entrada 3 2 7 3 3 4" xfId="8835" xr:uid="{00000000-0005-0000-0000-00007E220000}"/>
    <cellStyle name="Entrada 3 2 7 3 4" xfId="8836" xr:uid="{00000000-0005-0000-0000-00007F220000}"/>
    <cellStyle name="Entrada 3 2 7 3 5" xfId="8837" xr:uid="{00000000-0005-0000-0000-000080220000}"/>
    <cellStyle name="Entrada 3 2 7 3 6" xfId="8838" xr:uid="{00000000-0005-0000-0000-000081220000}"/>
    <cellStyle name="Entrada 3 2 7 4" xfId="8839" xr:uid="{00000000-0005-0000-0000-000082220000}"/>
    <cellStyle name="Entrada 3 2 7 4 2" xfId="8840" xr:uid="{00000000-0005-0000-0000-000083220000}"/>
    <cellStyle name="Entrada 3 2 7 4 3" xfId="8841" xr:uid="{00000000-0005-0000-0000-000084220000}"/>
    <cellStyle name="Entrada 3 2 7 4 4" xfId="8842" xr:uid="{00000000-0005-0000-0000-000085220000}"/>
    <cellStyle name="Entrada 3 2 7 5" xfId="8843" xr:uid="{00000000-0005-0000-0000-000086220000}"/>
    <cellStyle name="Entrada 3 2 7 6" xfId="8844" xr:uid="{00000000-0005-0000-0000-000087220000}"/>
    <cellStyle name="Entrada 3 2 8" xfId="8845" xr:uid="{00000000-0005-0000-0000-000088220000}"/>
    <cellStyle name="Entrada 3 2 8 2" xfId="8846" xr:uid="{00000000-0005-0000-0000-000089220000}"/>
    <cellStyle name="Entrada 3 2 8 2 2" xfId="8847" xr:uid="{00000000-0005-0000-0000-00008A220000}"/>
    <cellStyle name="Entrada 3 2 8 2 2 2" xfId="8848" xr:uid="{00000000-0005-0000-0000-00008B220000}"/>
    <cellStyle name="Entrada 3 2 8 2 2 3" xfId="8849" xr:uid="{00000000-0005-0000-0000-00008C220000}"/>
    <cellStyle name="Entrada 3 2 8 2 2 4" xfId="8850" xr:uid="{00000000-0005-0000-0000-00008D220000}"/>
    <cellStyle name="Entrada 3 2 8 2 3" xfId="8851" xr:uid="{00000000-0005-0000-0000-00008E220000}"/>
    <cellStyle name="Entrada 3 2 8 2 3 2" xfId="8852" xr:uid="{00000000-0005-0000-0000-00008F220000}"/>
    <cellStyle name="Entrada 3 2 8 2 3 3" xfId="8853" xr:uid="{00000000-0005-0000-0000-000090220000}"/>
    <cellStyle name="Entrada 3 2 8 2 3 4" xfId="8854" xr:uid="{00000000-0005-0000-0000-000091220000}"/>
    <cellStyle name="Entrada 3 2 8 2 4" xfId="8855" xr:uid="{00000000-0005-0000-0000-000092220000}"/>
    <cellStyle name="Entrada 3 2 8 2 5" xfId="8856" xr:uid="{00000000-0005-0000-0000-000093220000}"/>
    <cellStyle name="Entrada 3 2 8 2 6" xfId="8857" xr:uid="{00000000-0005-0000-0000-000094220000}"/>
    <cellStyle name="Entrada 3 2 8 3" xfId="8858" xr:uid="{00000000-0005-0000-0000-000095220000}"/>
    <cellStyle name="Entrada 3 2 8 3 2" xfId="8859" xr:uid="{00000000-0005-0000-0000-000096220000}"/>
    <cellStyle name="Entrada 3 2 8 3 2 2" xfId="8860" xr:uid="{00000000-0005-0000-0000-000097220000}"/>
    <cellStyle name="Entrada 3 2 8 3 2 3" xfId="8861" xr:uid="{00000000-0005-0000-0000-000098220000}"/>
    <cellStyle name="Entrada 3 2 8 3 2 4" xfId="8862" xr:uid="{00000000-0005-0000-0000-000099220000}"/>
    <cellStyle name="Entrada 3 2 8 3 3" xfId="8863" xr:uid="{00000000-0005-0000-0000-00009A220000}"/>
    <cellStyle name="Entrada 3 2 8 3 3 2" xfId="8864" xr:uid="{00000000-0005-0000-0000-00009B220000}"/>
    <cellStyle name="Entrada 3 2 8 3 3 3" xfId="8865" xr:uid="{00000000-0005-0000-0000-00009C220000}"/>
    <cellStyle name="Entrada 3 2 8 3 3 4" xfId="8866" xr:uid="{00000000-0005-0000-0000-00009D220000}"/>
    <cellStyle name="Entrada 3 2 8 3 4" xfId="8867" xr:uid="{00000000-0005-0000-0000-00009E220000}"/>
    <cellStyle name="Entrada 3 2 8 3 5" xfId="8868" xr:uid="{00000000-0005-0000-0000-00009F220000}"/>
    <cellStyle name="Entrada 3 2 8 3 6" xfId="8869" xr:uid="{00000000-0005-0000-0000-0000A0220000}"/>
    <cellStyle name="Entrada 3 2 8 4" xfId="8870" xr:uid="{00000000-0005-0000-0000-0000A1220000}"/>
    <cellStyle name="Entrada 3 2 8 4 2" xfId="8871" xr:uid="{00000000-0005-0000-0000-0000A2220000}"/>
    <cellStyle name="Entrada 3 2 8 4 3" xfId="8872" xr:uid="{00000000-0005-0000-0000-0000A3220000}"/>
    <cellStyle name="Entrada 3 2 8 4 4" xfId="8873" xr:uid="{00000000-0005-0000-0000-0000A4220000}"/>
    <cellStyle name="Entrada 3 2 8 5" xfId="8874" xr:uid="{00000000-0005-0000-0000-0000A5220000}"/>
    <cellStyle name="Entrada 3 2 8 6" xfId="8875" xr:uid="{00000000-0005-0000-0000-0000A6220000}"/>
    <cellStyle name="Entrada 3 2 9" xfId="8876" xr:uid="{00000000-0005-0000-0000-0000A7220000}"/>
    <cellStyle name="Entrada 3 2 9 2" xfId="8877" xr:uid="{00000000-0005-0000-0000-0000A8220000}"/>
    <cellStyle name="Entrada 3 2 9 2 2" xfId="8878" xr:uid="{00000000-0005-0000-0000-0000A9220000}"/>
    <cellStyle name="Entrada 3 2 9 2 2 2" xfId="8879" xr:uid="{00000000-0005-0000-0000-0000AA220000}"/>
    <cellStyle name="Entrada 3 2 9 2 2 3" xfId="8880" xr:uid="{00000000-0005-0000-0000-0000AB220000}"/>
    <cellStyle name="Entrada 3 2 9 2 2 4" xfId="8881" xr:uid="{00000000-0005-0000-0000-0000AC220000}"/>
    <cellStyle name="Entrada 3 2 9 2 3" xfId="8882" xr:uid="{00000000-0005-0000-0000-0000AD220000}"/>
    <cellStyle name="Entrada 3 2 9 2 3 2" xfId="8883" xr:uid="{00000000-0005-0000-0000-0000AE220000}"/>
    <cellStyle name="Entrada 3 2 9 2 3 3" xfId="8884" xr:uid="{00000000-0005-0000-0000-0000AF220000}"/>
    <cellStyle name="Entrada 3 2 9 2 3 4" xfId="8885" xr:uid="{00000000-0005-0000-0000-0000B0220000}"/>
    <cellStyle name="Entrada 3 2 9 2 4" xfId="8886" xr:uid="{00000000-0005-0000-0000-0000B1220000}"/>
    <cellStyle name="Entrada 3 2 9 2 5" xfId="8887" xr:uid="{00000000-0005-0000-0000-0000B2220000}"/>
    <cellStyle name="Entrada 3 2 9 2 6" xfId="8888" xr:uid="{00000000-0005-0000-0000-0000B3220000}"/>
    <cellStyle name="Entrada 3 2 9 3" xfId="8889" xr:uid="{00000000-0005-0000-0000-0000B4220000}"/>
    <cellStyle name="Entrada 3 2 9 3 2" xfId="8890" xr:uid="{00000000-0005-0000-0000-0000B5220000}"/>
    <cellStyle name="Entrada 3 2 9 3 2 2" xfId="8891" xr:uid="{00000000-0005-0000-0000-0000B6220000}"/>
    <cellStyle name="Entrada 3 2 9 3 2 3" xfId="8892" xr:uid="{00000000-0005-0000-0000-0000B7220000}"/>
    <cellStyle name="Entrada 3 2 9 3 2 4" xfId="8893" xr:uid="{00000000-0005-0000-0000-0000B8220000}"/>
    <cellStyle name="Entrada 3 2 9 3 3" xfId="8894" xr:uid="{00000000-0005-0000-0000-0000B9220000}"/>
    <cellStyle name="Entrada 3 2 9 3 3 2" xfId="8895" xr:uid="{00000000-0005-0000-0000-0000BA220000}"/>
    <cellStyle name="Entrada 3 2 9 3 3 3" xfId="8896" xr:uid="{00000000-0005-0000-0000-0000BB220000}"/>
    <cellStyle name="Entrada 3 2 9 3 3 4" xfId="8897" xr:uid="{00000000-0005-0000-0000-0000BC220000}"/>
    <cellStyle name="Entrada 3 2 9 3 4" xfId="8898" xr:uid="{00000000-0005-0000-0000-0000BD220000}"/>
    <cellStyle name="Entrada 3 2 9 3 5" xfId="8899" xr:uid="{00000000-0005-0000-0000-0000BE220000}"/>
    <cellStyle name="Entrada 3 2 9 3 6" xfId="8900" xr:uid="{00000000-0005-0000-0000-0000BF220000}"/>
    <cellStyle name="Entrada 3 2 9 4" xfId="8901" xr:uid="{00000000-0005-0000-0000-0000C0220000}"/>
    <cellStyle name="Entrada 3 2 9 4 2" xfId="8902" xr:uid="{00000000-0005-0000-0000-0000C1220000}"/>
    <cellStyle name="Entrada 3 2 9 4 3" xfId="8903" xr:uid="{00000000-0005-0000-0000-0000C2220000}"/>
    <cellStyle name="Entrada 3 2 9 4 4" xfId="8904" xr:uid="{00000000-0005-0000-0000-0000C3220000}"/>
    <cellStyle name="Entrada 3 2 9 5" xfId="8905" xr:uid="{00000000-0005-0000-0000-0000C4220000}"/>
    <cellStyle name="Entrada 3 2 9 6" xfId="8906" xr:uid="{00000000-0005-0000-0000-0000C5220000}"/>
    <cellStyle name="Entrada 3 3" xfId="8907" xr:uid="{00000000-0005-0000-0000-0000C6220000}"/>
    <cellStyle name="Entrada 3 3 10" xfId="8908" xr:uid="{00000000-0005-0000-0000-0000C7220000}"/>
    <cellStyle name="Entrada 3 3 10 2" xfId="8909" xr:uid="{00000000-0005-0000-0000-0000C8220000}"/>
    <cellStyle name="Entrada 3 3 10 2 2" xfId="8910" xr:uid="{00000000-0005-0000-0000-0000C9220000}"/>
    <cellStyle name="Entrada 3 3 10 2 2 2" xfId="8911" xr:uid="{00000000-0005-0000-0000-0000CA220000}"/>
    <cellStyle name="Entrada 3 3 10 2 2 3" xfId="8912" xr:uid="{00000000-0005-0000-0000-0000CB220000}"/>
    <cellStyle name="Entrada 3 3 10 2 2 4" xfId="8913" xr:uid="{00000000-0005-0000-0000-0000CC220000}"/>
    <cellStyle name="Entrada 3 3 10 2 3" xfId="8914" xr:uid="{00000000-0005-0000-0000-0000CD220000}"/>
    <cellStyle name="Entrada 3 3 10 2 3 2" xfId="8915" xr:uid="{00000000-0005-0000-0000-0000CE220000}"/>
    <cellStyle name="Entrada 3 3 10 2 3 3" xfId="8916" xr:uid="{00000000-0005-0000-0000-0000CF220000}"/>
    <cellStyle name="Entrada 3 3 10 2 3 4" xfId="8917" xr:uid="{00000000-0005-0000-0000-0000D0220000}"/>
    <cellStyle name="Entrada 3 3 10 2 4" xfId="8918" xr:uid="{00000000-0005-0000-0000-0000D1220000}"/>
    <cellStyle name="Entrada 3 3 10 2 5" xfId="8919" xr:uid="{00000000-0005-0000-0000-0000D2220000}"/>
    <cellStyle name="Entrada 3 3 10 2 6" xfId="8920" xr:uid="{00000000-0005-0000-0000-0000D3220000}"/>
    <cellStyle name="Entrada 3 3 10 3" xfId="8921" xr:uid="{00000000-0005-0000-0000-0000D4220000}"/>
    <cellStyle name="Entrada 3 3 10 3 2" xfId="8922" xr:uid="{00000000-0005-0000-0000-0000D5220000}"/>
    <cellStyle name="Entrada 3 3 10 3 2 2" xfId="8923" xr:uid="{00000000-0005-0000-0000-0000D6220000}"/>
    <cellStyle name="Entrada 3 3 10 3 2 3" xfId="8924" xr:uid="{00000000-0005-0000-0000-0000D7220000}"/>
    <cellStyle name="Entrada 3 3 10 3 2 4" xfId="8925" xr:uid="{00000000-0005-0000-0000-0000D8220000}"/>
    <cellStyle name="Entrada 3 3 10 3 3" xfId="8926" xr:uid="{00000000-0005-0000-0000-0000D9220000}"/>
    <cellStyle name="Entrada 3 3 10 3 3 2" xfId="8927" xr:uid="{00000000-0005-0000-0000-0000DA220000}"/>
    <cellStyle name="Entrada 3 3 10 3 3 3" xfId="8928" xr:uid="{00000000-0005-0000-0000-0000DB220000}"/>
    <cellStyle name="Entrada 3 3 10 3 3 4" xfId="8929" xr:uid="{00000000-0005-0000-0000-0000DC220000}"/>
    <cellStyle name="Entrada 3 3 10 3 4" xfId="8930" xr:uid="{00000000-0005-0000-0000-0000DD220000}"/>
    <cellStyle name="Entrada 3 3 10 3 5" xfId="8931" xr:uid="{00000000-0005-0000-0000-0000DE220000}"/>
    <cellStyle name="Entrada 3 3 10 3 6" xfId="8932" xr:uid="{00000000-0005-0000-0000-0000DF220000}"/>
    <cellStyle name="Entrada 3 3 10 4" xfId="8933" xr:uid="{00000000-0005-0000-0000-0000E0220000}"/>
    <cellStyle name="Entrada 3 3 10 5" xfId="8934" xr:uid="{00000000-0005-0000-0000-0000E1220000}"/>
    <cellStyle name="Entrada 3 3 10 6" xfId="8935" xr:uid="{00000000-0005-0000-0000-0000E2220000}"/>
    <cellStyle name="Entrada 3 3 11" xfId="8936" xr:uid="{00000000-0005-0000-0000-0000E3220000}"/>
    <cellStyle name="Entrada 3 3 12" xfId="8937" xr:uid="{00000000-0005-0000-0000-0000E4220000}"/>
    <cellStyle name="Entrada 3 3 2" xfId="8938" xr:uid="{00000000-0005-0000-0000-0000E5220000}"/>
    <cellStyle name="Entrada 3 3 2 2" xfId="8939" xr:uid="{00000000-0005-0000-0000-0000E6220000}"/>
    <cellStyle name="Entrada 3 3 2 2 2" xfId="8940" xr:uid="{00000000-0005-0000-0000-0000E7220000}"/>
    <cellStyle name="Entrada 3 3 2 2 2 2" xfId="8941" xr:uid="{00000000-0005-0000-0000-0000E8220000}"/>
    <cellStyle name="Entrada 3 3 2 2 2 2 2" xfId="8942" xr:uid="{00000000-0005-0000-0000-0000E9220000}"/>
    <cellStyle name="Entrada 3 3 2 2 2 2 3" xfId="8943" xr:uid="{00000000-0005-0000-0000-0000EA220000}"/>
    <cellStyle name="Entrada 3 3 2 2 2 2 4" xfId="8944" xr:uid="{00000000-0005-0000-0000-0000EB220000}"/>
    <cellStyle name="Entrada 3 3 2 2 2 3" xfId="8945" xr:uid="{00000000-0005-0000-0000-0000EC220000}"/>
    <cellStyle name="Entrada 3 3 2 2 2 3 2" xfId="8946" xr:uid="{00000000-0005-0000-0000-0000ED220000}"/>
    <cellStyle name="Entrada 3 3 2 2 2 3 3" xfId="8947" xr:uid="{00000000-0005-0000-0000-0000EE220000}"/>
    <cellStyle name="Entrada 3 3 2 2 2 3 4" xfId="8948" xr:uid="{00000000-0005-0000-0000-0000EF220000}"/>
    <cellStyle name="Entrada 3 3 2 2 2 4" xfId="8949" xr:uid="{00000000-0005-0000-0000-0000F0220000}"/>
    <cellStyle name="Entrada 3 3 2 2 2 5" xfId="8950" xr:uid="{00000000-0005-0000-0000-0000F1220000}"/>
    <cellStyle name="Entrada 3 3 2 2 2 6" xfId="8951" xr:uid="{00000000-0005-0000-0000-0000F2220000}"/>
    <cellStyle name="Entrada 3 3 2 2 3" xfId="8952" xr:uid="{00000000-0005-0000-0000-0000F3220000}"/>
    <cellStyle name="Entrada 3 3 2 2 3 2" xfId="8953" xr:uid="{00000000-0005-0000-0000-0000F4220000}"/>
    <cellStyle name="Entrada 3 3 2 2 3 2 2" xfId="8954" xr:uid="{00000000-0005-0000-0000-0000F5220000}"/>
    <cellStyle name="Entrada 3 3 2 2 3 2 3" xfId="8955" xr:uid="{00000000-0005-0000-0000-0000F6220000}"/>
    <cellStyle name="Entrada 3 3 2 2 3 2 4" xfId="8956" xr:uid="{00000000-0005-0000-0000-0000F7220000}"/>
    <cellStyle name="Entrada 3 3 2 2 3 3" xfId="8957" xr:uid="{00000000-0005-0000-0000-0000F8220000}"/>
    <cellStyle name="Entrada 3 3 2 2 3 3 2" xfId="8958" xr:uid="{00000000-0005-0000-0000-0000F9220000}"/>
    <cellStyle name="Entrada 3 3 2 2 3 3 3" xfId="8959" xr:uid="{00000000-0005-0000-0000-0000FA220000}"/>
    <cellStyle name="Entrada 3 3 2 2 3 3 4" xfId="8960" xr:uid="{00000000-0005-0000-0000-0000FB220000}"/>
    <cellStyle name="Entrada 3 3 2 2 3 4" xfId="8961" xr:uid="{00000000-0005-0000-0000-0000FC220000}"/>
    <cellStyle name="Entrada 3 3 2 2 3 5" xfId="8962" xr:uid="{00000000-0005-0000-0000-0000FD220000}"/>
    <cellStyle name="Entrada 3 3 2 2 3 6" xfId="8963" xr:uid="{00000000-0005-0000-0000-0000FE220000}"/>
    <cellStyle name="Entrada 3 3 2 2 4" xfId="8964" xr:uid="{00000000-0005-0000-0000-0000FF220000}"/>
    <cellStyle name="Entrada 3 3 2 2 5" xfId="8965" xr:uid="{00000000-0005-0000-0000-000000230000}"/>
    <cellStyle name="Entrada 3 3 2 2 6" xfId="8966" xr:uid="{00000000-0005-0000-0000-000001230000}"/>
    <cellStyle name="Entrada 3 3 2 3" xfId="8967" xr:uid="{00000000-0005-0000-0000-000002230000}"/>
    <cellStyle name="Entrada 3 3 2 4" xfId="8968" xr:uid="{00000000-0005-0000-0000-000003230000}"/>
    <cellStyle name="Entrada 3 3 3" xfId="8969" xr:uid="{00000000-0005-0000-0000-000004230000}"/>
    <cellStyle name="Entrada 3 3 3 2" xfId="8970" xr:uid="{00000000-0005-0000-0000-000005230000}"/>
    <cellStyle name="Entrada 3 3 3 2 2" xfId="8971" xr:uid="{00000000-0005-0000-0000-000006230000}"/>
    <cellStyle name="Entrada 3 3 3 2 2 2" xfId="8972" xr:uid="{00000000-0005-0000-0000-000007230000}"/>
    <cellStyle name="Entrada 3 3 3 2 2 2 2" xfId="8973" xr:uid="{00000000-0005-0000-0000-000008230000}"/>
    <cellStyle name="Entrada 3 3 3 2 2 2 3" xfId="8974" xr:uid="{00000000-0005-0000-0000-000009230000}"/>
    <cellStyle name="Entrada 3 3 3 2 2 2 4" xfId="8975" xr:uid="{00000000-0005-0000-0000-00000A230000}"/>
    <cellStyle name="Entrada 3 3 3 2 2 3" xfId="8976" xr:uid="{00000000-0005-0000-0000-00000B230000}"/>
    <cellStyle name="Entrada 3 3 3 2 2 3 2" xfId="8977" xr:uid="{00000000-0005-0000-0000-00000C230000}"/>
    <cellStyle name="Entrada 3 3 3 2 2 3 3" xfId="8978" xr:uid="{00000000-0005-0000-0000-00000D230000}"/>
    <cellStyle name="Entrada 3 3 3 2 2 3 4" xfId="8979" xr:uid="{00000000-0005-0000-0000-00000E230000}"/>
    <cellStyle name="Entrada 3 3 3 2 2 4" xfId="8980" xr:uid="{00000000-0005-0000-0000-00000F230000}"/>
    <cellStyle name="Entrada 3 3 3 2 2 5" xfId="8981" xr:uid="{00000000-0005-0000-0000-000010230000}"/>
    <cellStyle name="Entrada 3 3 3 2 2 6" xfId="8982" xr:uid="{00000000-0005-0000-0000-000011230000}"/>
    <cellStyle name="Entrada 3 3 3 2 3" xfId="8983" xr:uid="{00000000-0005-0000-0000-000012230000}"/>
    <cellStyle name="Entrada 3 3 3 2 3 2" xfId="8984" xr:uid="{00000000-0005-0000-0000-000013230000}"/>
    <cellStyle name="Entrada 3 3 3 2 3 2 2" xfId="8985" xr:uid="{00000000-0005-0000-0000-000014230000}"/>
    <cellStyle name="Entrada 3 3 3 2 3 2 3" xfId="8986" xr:uid="{00000000-0005-0000-0000-000015230000}"/>
    <cellStyle name="Entrada 3 3 3 2 3 2 4" xfId="8987" xr:uid="{00000000-0005-0000-0000-000016230000}"/>
    <cellStyle name="Entrada 3 3 3 2 3 3" xfId="8988" xr:uid="{00000000-0005-0000-0000-000017230000}"/>
    <cellStyle name="Entrada 3 3 3 2 3 3 2" xfId="8989" xr:uid="{00000000-0005-0000-0000-000018230000}"/>
    <cellStyle name="Entrada 3 3 3 2 3 3 3" xfId="8990" xr:uid="{00000000-0005-0000-0000-000019230000}"/>
    <cellStyle name="Entrada 3 3 3 2 3 3 4" xfId="8991" xr:uid="{00000000-0005-0000-0000-00001A230000}"/>
    <cellStyle name="Entrada 3 3 3 2 3 4" xfId="8992" xr:uid="{00000000-0005-0000-0000-00001B230000}"/>
    <cellStyle name="Entrada 3 3 3 2 3 5" xfId="8993" xr:uid="{00000000-0005-0000-0000-00001C230000}"/>
    <cellStyle name="Entrada 3 3 3 2 3 6" xfId="8994" xr:uid="{00000000-0005-0000-0000-00001D230000}"/>
    <cellStyle name="Entrada 3 3 3 2 4" xfId="8995" xr:uid="{00000000-0005-0000-0000-00001E230000}"/>
    <cellStyle name="Entrada 3 3 3 2 5" xfId="8996" xr:uid="{00000000-0005-0000-0000-00001F230000}"/>
    <cellStyle name="Entrada 3 3 3 2 6" xfId="8997" xr:uid="{00000000-0005-0000-0000-000020230000}"/>
    <cellStyle name="Entrada 3 3 3 3" xfId="8998" xr:uid="{00000000-0005-0000-0000-000021230000}"/>
    <cellStyle name="Entrada 3 3 3 4" xfId="8999" xr:uid="{00000000-0005-0000-0000-000022230000}"/>
    <cellStyle name="Entrada 3 3 4" xfId="9000" xr:uid="{00000000-0005-0000-0000-000023230000}"/>
    <cellStyle name="Entrada 3 3 4 2" xfId="9001" xr:uid="{00000000-0005-0000-0000-000024230000}"/>
    <cellStyle name="Entrada 3 3 4 2 2" xfId="9002" xr:uid="{00000000-0005-0000-0000-000025230000}"/>
    <cellStyle name="Entrada 3 3 4 2 2 2" xfId="9003" xr:uid="{00000000-0005-0000-0000-000026230000}"/>
    <cellStyle name="Entrada 3 3 4 2 2 2 2" xfId="9004" xr:uid="{00000000-0005-0000-0000-000027230000}"/>
    <cellStyle name="Entrada 3 3 4 2 2 2 3" xfId="9005" xr:uid="{00000000-0005-0000-0000-000028230000}"/>
    <cellStyle name="Entrada 3 3 4 2 2 2 4" xfId="9006" xr:uid="{00000000-0005-0000-0000-000029230000}"/>
    <cellStyle name="Entrada 3 3 4 2 2 3" xfId="9007" xr:uid="{00000000-0005-0000-0000-00002A230000}"/>
    <cellStyle name="Entrada 3 3 4 2 2 3 2" xfId="9008" xr:uid="{00000000-0005-0000-0000-00002B230000}"/>
    <cellStyle name="Entrada 3 3 4 2 2 3 3" xfId="9009" xr:uid="{00000000-0005-0000-0000-00002C230000}"/>
    <cellStyle name="Entrada 3 3 4 2 2 3 4" xfId="9010" xr:uid="{00000000-0005-0000-0000-00002D230000}"/>
    <cellStyle name="Entrada 3 3 4 2 2 4" xfId="9011" xr:uid="{00000000-0005-0000-0000-00002E230000}"/>
    <cellStyle name="Entrada 3 3 4 2 2 5" xfId="9012" xr:uid="{00000000-0005-0000-0000-00002F230000}"/>
    <cellStyle name="Entrada 3 3 4 2 2 6" xfId="9013" xr:uid="{00000000-0005-0000-0000-000030230000}"/>
    <cellStyle name="Entrada 3 3 4 2 3" xfId="9014" xr:uid="{00000000-0005-0000-0000-000031230000}"/>
    <cellStyle name="Entrada 3 3 4 2 3 2" xfId="9015" xr:uid="{00000000-0005-0000-0000-000032230000}"/>
    <cellStyle name="Entrada 3 3 4 2 3 2 2" xfId="9016" xr:uid="{00000000-0005-0000-0000-000033230000}"/>
    <cellStyle name="Entrada 3 3 4 2 3 2 3" xfId="9017" xr:uid="{00000000-0005-0000-0000-000034230000}"/>
    <cellStyle name="Entrada 3 3 4 2 3 2 4" xfId="9018" xr:uid="{00000000-0005-0000-0000-000035230000}"/>
    <cellStyle name="Entrada 3 3 4 2 3 3" xfId="9019" xr:uid="{00000000-0005-0000-0000-000036230000}"/>
    <cellStyle name="Entrada 3 3 4 2 3 3 2" xfId="9020" xr:uid="{00000000-0005-0000-0000-000037230000}"/>
    <cellStyle name="Entrada 3 3 4 2 3 3 3" xfId="9021" xr:uid="{00000000-0005-0000-0000-000038230000}"/>
    <cellStyle name="Entrada 3 3 4 2 3 3 4" xfId="9022" xr:uid="{00000000-0005-0000-0000-000039230000}"/>
    <cellStyle name="Entrada 3 3 4 2 3 4" xfId="9023" xr:uid="{00000000-0005-0000-0000-00003A230000}"/>
    <cellStyle name="Entrada 3 3 4 2 3 5" xfId="9024" xr:uid="{00000000-0005-0000-0000-00003B230000}"/>
    <cellStyle name="Entrada 3 3 4 2 3 6" xfId="9025" xr:uid="{00000000-0005-0000-0000-00003C230000}"/>
    <cellStyle name="Entrada 3 3 4 2 4" xfId="9026" xr:uid="{00000000-0005-0000-0000-00003D230000}"/>
    <cellStyle name="Entrada 3 3 4 2 5" xfId="9027" xr:uid="{00000000-0005-0000-0000-00003E230000}"/>
    <cellStyle name="Entrada 3 3 4 2 6" xfId="9028" xr:uid="{00000000-0005-0000-0000-00003F230000}"/>
    <cellStyle name="Entrada 3 3 4 3" xfId="9029" xr:uid="{00000000-0005-0000-0000-000040230000}"/>
    <cellStyle name="Entrada 3 3 4 4" xfId="9030" xr:uid="{00000000-0005-0000-0000-000041230000}"/>
    <cellStyle name="Entrada 3 3 5" xfId="9031" xr:uid="{00000000-0005-0000-0000-000042230000}"/>
    <cellStyle name="Entrada 3 3 5 2" xfId="9032" xr:uid="{00000000-0005-0000-0000-000043230000}"/>
    <cellStyle name="Entrada 3 3 5 2 2" xfId="9033" xr:uid="{00000000-0005-0000-0000-000044230000}"/>
    <cellStyle name="Entrada 3 3 5 2 2 2" xfId="9034" xr:uid="{00000000-0005-0000-0000-000045230000}"/>
    <cellStyle name="Entrada 3 3 5 2 2 2 2" xfId="9035" xr:uid="{00000000-0005-0000-0000-000046230000}"/>
    <cellStyle name="Entrada 3 3 5 2 2 2 3" xfId="9036" xr:uid="{00000000-0005-0000-0000-000047230000}"/>
    <cellStyle name="Entrada 3 3 5 2 2 2 4" xfId="9037" xr:uid="{00000000-0005-0000-0000-000048230000}"/>
    <cellStyle name="Entrada 3 3 5 2 2 3" xfId="9038" xr:uid="{00000000-0005-0000-0000-000049230000}"/>
    <cellStyle name="Entrada 3 3 5 2 2 3 2" xfId="9039" xr:uid="{00000000-0005-0000-0000-00004A230000}"/>
    <cellStyle name="Entrada 3 3 5 2 2 3 3" xfId="9040" xr:uid="{00000000-0005-0000-0000-00004B230000}"/>
    <cellStyle name="Entrada 3 3 5 2 2 3 4" xfId="9041" xr:uid="{00000000-0005-0000-0000-00004C230000}"/>
    <cellStyle name="Entrada 3 3 5 2 2 4" xfId="9042" xr:uid="{00000000-0005-0000-0000-00004D230000}"/>
    <cellStyle name="Entrada 3 3 5 2 2 5" xfId="9043" xr:uid="{00000000-0005-0000-0000-00004E230000}"/>
    <cellStyle name="Entrada 3 3 5 2 2 6" xfId="9044" xr:uid="{00000000-0005-0000-0000-00004F230000}"/>
    <cellStyle name="Entrada 3 3 5 2 3" xfId="9045" xr:uid="{00000000-0005-0000-0000-000050230000}"/>
    <cellStyle name="Entrada 3 3 5 2 3 2" xfId="9046" xr:uid="{00000000-0005-0000-0000-000051230000}"/>
    <cellStyle name="Entrada 3 3 5 2 3 2 2" xfId="9047" xr:uid="{00000000-0005-0000-0000-000052230000}"/>
    <cellStyle name="Entrada 3 3 5 2 3 2 3" xfId="9048" xr:uid="{00000000-0005-0000-0000-000053230000}"/>
    <cellStyle name="Entrada 3 3 5 2 3 2 4" xfId="9049" xr:uid="{00000000-0005-0000-0000-000054230000}"/>
    <cellStyle name="Entrada 3 3 5 2 3 3" xfId="9050" xr:uid="{00000000-0005-0000-0000-000055230000}"/>
    <cellStyle name="Entrada 3 3 5 2 3 3 2" xfId="9051" xr:uid="{00000000-0005-0000-0000-000056230000}"/>
    <cellStyle name="Entrada 3 3 5 2 3 3 3" xfId="9052" xr:uid="{00000000-0005-0000-0000-000057230000}"/>
    <cellStyle name="Entrada 3 3 5 2 3 3 4" xfId="9053" xr:uid="{00000000-0005-0000-0000-000058230000}"/>
    <cellStyle name="Entrada 3 3 5 2 3 4" xfId="9054" xr:uid="{00000000-0005-0000-0000-000059230000}"/>
    <cellStyle name="Entrada 3 3 5 2 3 5" xfId="9055" xr:uid="{00000000-0005-0000-0000-00005A230000}"/>
    <cellStyle name="Entrada 3 3 5 2 3 6" xfId="9056" xr:uid="{00000000-0005-0000-0000-00005B230000}"/>
    <cellStyle name="Entrada 3 3 5 2 4" xfId="9057" xr:uid="{00000000-0005-0000-0000-00005C230000}"/>
    <cellStyle name="Entrada 3 3 5 2 5" xfId="9058" xr:uid="{00000000-0005-0000-0000-00005D230000}"/>
    <cellStyle name="Entrada 3 3 5 2 6" xfId="9059" xr:uid="{00000000-0005-0000-0000-00005E230000}"/>
    <cellStyle name="Entrada 3 3 5 3" xfId="9060" xr:uid="{00000000-0005-0000-0000-00005F230000}"/>
    <cellStyle name="Entrada 3 3 5 4" xfId="9061" xr:uid="{00000000-0005-0000-0000-000060230000}"/>
    <cellStyle name="Entrada 3 3 6" xfId="9062" xr:uid="{00000000-0005-0000-0000-000061230000}"/>
    <cellStyle name="Entrada 3 3 6 2" xfId="9063" xr:uid="{00000000-0005-0000-0000-000062230000}"/>
    <cellStyle name="Entrada 3 3 6 2 2" xfId="9064" xr:uid="{00000000-0005-0000-0000-000063230000}"/>
    <cellStyle name="Entrada 3 3 6 2 2 2" xfId="9065" xr:uid="{00000000-0005-0000-0000-000064230000}"/>
    <cellStyle name="Entrada 3 3 6 2 2 3" xfId="9066" xr:uid="{00000000-0005-0000-0000-000065230000}"/>
    <cellStyle name="Entrada 3 3 6 2 2 4" xfId="9067" xr:uid="{00000000-0005-0000-0000-000066230000}"/>
    <cellStyle name="Entrada 3 3 6 2 3" xfId="9068" xr:uid="{00000000-0005-0000-0000-000067230000}"/>
    <cellStyle name="Entrada 3 3 6 2 3 2" xfId="9069" xr:uid="{00000000-0005-0000-0000-000068230000}"/>
    <cellStyle name="Entrada 3 3 6 2 3 3" xfId="9070" xr:uid="{00000000-0005-0000-0000-000069230000}"/>
    <cellStyle name="Entrada 3 3 6 2 3 4" xfId="9071" xr:uid="{00000000-0005-0000-0000-00006A230000}"/>
    <cellStyle name="Entrada 3 3 6 2 4" xfId="9072" xr:uid="{00000000-0005-0000-0000-00006B230000}"/>
    <cellStyle name="Entrada 3 3 6 2 5" xfId="9073" xr:uid="{00000000-0005-0000-0000-00006C230000}"/>
    <cellStyle name="Entrada 3 3 6 2 6" xfId="9074" xr:uid="{00000000-0005-0000-0000-00006D230000}"/>
    <cellStyle name="Entrada 3 3 6 3" xfId="9075" xr:uid="{00000000-0005-0000-0000-00006E230000}"/>
    <cellStyle name="Entrada 3 3 6 3 2" xfId="9076" xr:uid="{00000000-0005-0000-0000-00006F230000}"/>
    <cellStyle name="Entrada 3 3 6 3 2 2" xfId="9077" xr:uid="{00000000-0005-0000-0000-000070230000}"/>
    <cellStyle name="Entrada 3 3 6 3 2 3" xfId="9078" xr:uid="{00000000-0005-0000-0000-000071230000}"/>
    <cellStyle name="Entrada 3 3 6 3 2 4" xfId="9079" xr:uid="{00000000-0005-0000-0000-000072230000}"/>
    <cellStyle name="Entrada 3 3 6 3 3" xfId="9080" xr:uid="{00000000-0005-0000-0000-000073230000}"/>
    <cellStyle name="Entrada 3 3 6 3 3 2" xfId="9081" xr:uid="{00000000-0005-0000-0000-000074230000}"/>
    <cellStyle name="Entrada 3 3 6 3 3 3" xfId="9082" xr:uid="{00000000-0005-0000-0000-000075230000}"/>
    <cellStyle name="Entrada 3 3 6 3 3 4" xfId="9083" xr:uid="{00000000-0005-0000-0000-000076230000}"/>
    <cellStyle name="Entrada 3 3 6 3 4" xfId="9084" xr:uid="{00000000-0005-0000-0000-000077230000}"/>
    <cellStyle name="Entrada 3 3 6 3 5" xfId="9085" xr:uid="{00000000-0005-0000-0000-000078230000}"/>
    <cellStyle name="Entrada 3 3 6 3 6" xfId="9086" xr:uid="{00000000-0005-0000-0000-000079230000}"/>
    <cellStyle name="Entrada 3 3 6 4" xfId="9087" xr:uid="{00000000-0005-0000-0000-00007A230000}"/>
    <cellStyle name="Entrada 3 3 6 4 2" xfId="9088" xr:uid="{00000000-0005-0000-0000-00007B230000}"/>
    <cellStyle name="Entrada 3 3 6 4 3" xfId="9089" xr:uid="{00000000-0005-0000-0000-00007C230000}"/>
    <cellStyle name="Entrada 3 3 6 4 4" xfId="9090" xr:uid="{00000000-0005-0000-0000-00007D230000}"/>
    <cellStyle name="Entrada 3 3 6 5" xfId="9091" xr:uid="{00000000-0005-0000-0000-00007E230000}"/>
    <cellStyle name="Entrada 3 3 6 6" xfId="9092" xr:uid="{00000000-0005-0000-0000-00007F230000}"/>
    <cellStyle name="Entrada 3 3 7" xfId="9093" xr:uid="{00000000-0005-0000-0000-000080230000}"/>
    <cellStyle name="Entrada 3 3 7 2" xfId="9094" xr:uid="{00000000-0005-0000-0000-000081230000}"/>
    <cellStyle name="Entrada 3 3 7 2 2" xfId="9095" xr:uid="{00000000-0005-0000-0000-000082230000}"/>
    <cellStyle name="Entrada 3 3 7 2 2 2" xfId="9096" xr:uid="{00000000-0005-0000-0000-000083230000}"/>
    <cellStyle name="Entrada 3 3 7 2 2 3" xfId="9097" xr:uid="{00000000-0005-0000-0000-000084230000}"/>
    <cellStyle name="Entrada 3 3 7 2 2 4" xfId="9098" xr:uid="{00000000-0005-0000-0000-000085230000}"/>
    <cellStyle name="Entrada 3 3 7 2 3" xfId="9099" xr:uid="{00000000-0005-0000-0000-000086230000}"/>
    <cellStyle name="Entrada 3 3 7 2 3 2" xfId="9100" xr:uid="{00000000-0005-0000-0000-000087230000}"/>
    <cellStyle name="Entrada 3 3 7 2 3 3" xfId="9101" xr:uid="{00000000-0005-0000-0000-000088230000}"/>
    <cellStyle name="Entrada 3 3 7 2 3 4" xfId="9102" xr:uid="{00000000-0005-0000-0000-000089230000}"/>
    <cellStyle name="Entrada 3 3 7 2 4" xfId="9103" xr:uid="{00000000-0005-0000-0000-00008A230000}"/>
    <cellStyle name="Entrada 3 3 7 2 5" xfId="9104" xr:uid="{00000000-0005-0000-0000-00008B230000}"/>
    <cellStyle name="Entrada 3 3 7 2 6" xfId="9105" xr:uid="{00000000-0005-0000-0000-00008C230000}"/>
    <cellStyle name="Entrada 3 3 7 3" xfId="9106" xr:uid="{00000000-0005-0000-0000-00008D230000}"/>
    <cellStyle name="Entrada 3 3 7 3 2" xfId="9107" xr:uid="{00000000-0005-0000-0000-00008E230000}"/>
    <cellStyle name="Entrada 3 3 7 3 2 2" xfId="9108" xr:uid="{00000000-0005-0000-0000-00008F230000}"/>
    <cellStyle name="Entrada 3 3 7 3 2 3" xfId="9109" xr:uid="{00000000-0005-0000-0000-000090230000}"/>
    <cellStyle name="Entrada 3 3 7 3 2 4" xfId="9110" xr:uid="{00000000-0005-0000-0000-000091230000}"/>
    <cellStyle name="Entrada 3 3 7 3 3" xfId="9111" xr:uid="{00000000-0005-0000-0000-000092230000}"/>
    <cellStyle name="Entrada 3 3 7 3 3 2" xfId="9112" xr:uid="{00000000-0005-0000-0000-000093230000}"/>
    <cellStyle name="Entrada 3 3 7 3 3 3" xfId="9113" xr:uid="{00000000-0005-0000-0000-000094230000}"/>
    <cellStyle name="Entrada 3 3 7 3 3 4" xfId="9114" xr:uid="{00000000-0005-0000-0000-000095230000}"/>
    <cellStyle name="Entrada 3 3 7 3 4" xfId="9115" xr:uid="{00000000-0005-0000-0000-000096230000}"/>
    <cellStyle name="Entrada 3 3 7 3 5" xfId="9116" xr:uid="{00000000-0005-0000-0000-000097230000}"/>
    <cellStyle name="Entrada 3 3 7 3 6" xfId="9117" xr:uid="{00000000-0005-0000-0000-000098230000}"/>
    <cellStyle name="Entrada 3 3 7 4" xfId="9118" xr:uid="{00000000-0005-0000-0000-000099230000}"/>
    <cellStyle name="Entrada 3 3 7 4 2" xfId="9119" xr:uid="{00000000-0005-0000-0000-00009A230000}"/>
    <cellStyle name="Entrada 3 3 7 4 3" xfId="9120" xr:uid="{00000000-0005-0000-0000-00009B230000}"/>
    <cellStyle name="Entrada 3 3 7 4 4" xfId="9121" xr:uid="{00000000-0005-0000-0000-00009C230000}"/>
    <cellStyle name="Entrada 3 3 7 5" xfId="9122" xr:uid="{00000000-0005-0000-0000-00009D230000}"/>
    <cellStyle name="Entrada 3 3 7 6" xfId="9123" xr:uid="{00000000-0005-0000-0000-00009E230000}"/>
    <cellStyle name="Entrada 3 3 8" xfId="9124" xr:uid="{00000000-0005-0000-0000-00009F230000}"/>
    <cellStyle name="Entrada 3 3 8 2" xfId="9125" xr:uid="{00000000-0005-0000-0000-0000A0230000}"/>
    <cellStyle name="Entrada 3 3 8 2 2" xfId="9126" xr:uid="{00000000-0005-0000-0000-0000A1230000}"/>
    <cellStyle name="Entrada 3 3 8 2 2 2" xfId="9127" xr:uid="{00000000-0005-0000-0000-0000A2230000}"/>
    <cellStyle name="Entrada 3 3 8 2 2 3" xfId="9128" xr:uid="{00000000-0005-0000-0000-0000A3230000}"/>
    <cellStyle name="Entrada 3 3 8 2 2 4" xfId="9129" xr:uid="{00000000-0005-0000-0000-0000A4230000}"/>
    <cellStyle name="Entrada 3 3 8 2 3" xfId="9130" xr:uid="{00000000-0005-0000-0000-0000A5230000}"/>
    <cellStyle name="Entrada 3 3 8 2 3 2" xfId="9131" xr:uid="{00000000-0005-0000-0000-0000A6230000}"/>
    <cellStyle name="Entrada 3 3 8 2 3 3" xfId="9132" xr:uid="{00000000-0005-0000-0000-0000A7230000}"/>
    <cellStyle name="Entrada 3 3 8 2 3 4" xfId="9133" xr:uid="{00000000-0005-0000-0000-0000A8230000}"/>
    <cellStyle name="Entrada 3 3 8 2 4" xfId="9134" xr:uid="{00000000-0005-0000-0000-0000A9230000}"/>
    <cellStyle name="Entrada 3 3 8 2 5" xfId="9135" xr:uid="{00000000-0005-0000-0000-0000AA230000}"/>
    <cellStyle name="Entrada 3 3 8 2 6" xfId="9136" xr:uid="{00000000-0005-0000-0000-0000AB230000}"/>
    <cellStyle name="Entrada 3 3 8 3" xfId="9137" xr:uid="{00000000-0005-0000-0000-0000AC230000}"/>
    <cellStyle name="Entrada 3 3 8 3 2" xfId="9138" xr:uid="{00000000-0005-0000-0000-0000AD230000}"/>
    <cellStyle name="Entrada 3 3 8 3 2 2" xfId="9139" xr:uid="{00000000-0005-0000-0000-0000AE230000}"/>
    <cellStyle name="Entrada 3 3 8 3 2 3" xfId="9140" xr:uid="{00000000-0005-0000-0000-0000AF230000}"/>
    <cellStyle name="Entrada 3 3 8 3 2 4" xfId="9141" xr:uid="{00000000-0005-0000-0000-0000B0230000}"/>
    <cellStyle name="Entrada 3 3 8 3 3" xfId="9142" xr:uid="{00000000-0005-0000-0000-0000B1230000}"/>
    <cellStyle name="Entrada 3 3 8 3 3 2" xfId="9143" xr:uid="{00000000-0005-0000-0000-0000B2230000}"/>
    <cellStyle name="Entrada 3 3 8 3 3 3" xfId="9144" xr:uid="{00000000-0005-0000-0000-0000B3230000}"/>
    <cellStyle name="Entrada 3 3 8 3 3 4" xfId="9145" xr:uid="{00000000-0005-0000-0000-0000B4230000}"/>
    <cellStyle name="Entrada 3 3 8 3 4" xfId="9146" xr:uid="{00000000-0005-0000-0000-0000B5230000}"/>
    <cellStyle name="Entrada 3 3 8 3 5" xfId="9147" xr:uid="{00000000-0005-0000-0000-0000B6230000}"/>
    <cellStyle name="Entrada 3 3 8 3 6" xfId="9148" xr:uid="{00000000-0005-0000-0000-0000B7230000}"/>
    <cellStyle name="Entrada 3 3 8 4" xfId="9149" xr:uid="{00000000-0005-0000-0000-0000B8230000}"/>
    <cellStyle name="Entrada 3 3 8 4 2" xfId="9150" xr:uid="{00000000-0005-0000-0000-0000B9230000}"/>
    <cellStyle name="Entrada 3 3 8 4 3" xfId="9151" xr:uid="{00000000-0005-0000-0000-0000BA230000}"/>
    <cellStyle name="Entrada 3 3 8 4 4" xfId="9152" xr:uid="{00000000-0005-0000-0000-0000BB230000}"/>
    <cellStyle name="Entrada 3 3 8 5" xfId="9153" xr:uid="{00000000-0005-0000-0000-0000BC230000}"/>
    <cellStyle name="Entrada 3 3 8 6" xfId="9154" xr:uid="{00000000-0005-0000-0000-0000BD230000}"/>
    <cellStyle name="Entrada 3 3 9" xfId="9155" xr:uid="{00000000-0005-0000-0000-0000BE230000}"/>
    <cellStyle name="Entrada 3 3 9 2" xfId="9156" xr:uid="{00000000-0005-0000-0000-0000BF230000}"/>
    <cellStyle name="Entrada 3 3 9 2 2" xfId="9157" xr:uid="{00000000-0005-0000-0000-0000C0230000}"/>
    <cellStyle name="Entrada 3 3 9 2 2 2" xfId="9158" xr:uid="{00000000-0005-0000-0000-0000C1230000}"/>
    <cellStyle name="Entrada 3 3 9 2 2 3" xfId="9159" xr:uid="{00000000-0005-0000-0000-0000C2230000}"/>
    <cellStyle name="Entrada 3 3 9 2 2 4" xfId="9160" xr:uid="{00000000-0005-0000-0000-0000C3230000}"/>
    <cellStyle name="Entrada 3 3 9 2 3" xfId="9161" xr:uid="{00000000-0005-0000-0000-0000C4230000}"/>
    <cellStyle name="Entrada 3 3 9 2 3 2" xfId="9162" xr:uid="{00000000-0005-0000-0000-0000C5230000}"/>
    <cellStyle name="Entrada 3 3 9 2 3 3" xfId="9163" xr:uid="{00000000-0005-0000-0000-0000C6230000}"/>
    <cellStyle name="Entrada 3 3 9 2 3 4" xfId="9164" xr:uid="{00000000-0005-0000-0000-0000C7230000}"/>
    <cellStyle name="Entrada 3 3 9 2 4" xfId="9165" xr:uid="{00000000-0005-0000-0000-0000C8230000}"/>
    <cellStyle name="Entrada 3 3 9 2 5" xfId="9166" xr:uid="{00000000-0005-0000-0000-0000C9230000}"/>
    <cellStyle name="Entrada 3 3 9 2 6" xfId="9167" xr:uid="{00000000-0005-0000-0000-0000CA230000}"/>
    <cellStyle name="Entrada 3 3 9 3" xfId="9168" xr:uid="{00000000-0005-0000-0000-0000CB230000}"/>
    <cellStyle name="Entrada 3 3 9 3 2" xfId="9169" xr:uid="{00000000-0005-0000-0000-0000CC230000}"/>
    <cellStyle name="Entrada 3 3 9 3 2 2" xfId="9170" xr:uid="{00000000-0005-0000-0000-0000CD230000}"/>
    <cellStyle name="Entrada 3 3 9 3 2 3" xfId="9171" xr:uid="{00000000-0005-0000-0000-0000CE230000}"/>
    <cellStyle name="Entrada 3 3 9 3 2 4" xfId="9172" xr:uid="{00000000-0005-0000-0000-0000CF230000}"/>
    <cellStyle name="Entrada 3 3 9 3 3" xfId="9173" xr:uid="{00000000-0005-0000-0000-0000D0230000}"/>
    <cellStyle name="Entrada 3 3 9 3 3 2" xfId="9174" xr:uid="{00000000-0005-0000-0000-0000D1230000}"/>
    <cellStyle name="Entrada 3 3 9 3 3 3" xfId="9175" xr:uid="{00000000-0005-0000-0000-0000D2230000}"/>
    <cellStyle name="Entrada 3 3 9 3 3 4" xfId="9176" xr:uid="{00000000-0005-0000-0000-0000D3230000}"/>
    <cellStyle name="Entrada 3 3 9 3 4" xfId="9177" xr:uid="{00000000-0005-0000-0000-0000D4230000}"/>
    <cellStyle name="Entrada 3 3 9 3 5" xfId="9178" xr:uid="{00000000-0005-0000-0000-0000D5230000}"/>
    <cellStyle name="Entrada 3 3 9 3 6" xfId="9179" xr:uid="{00000000-0005-0000-0000-0000D6230000}"/>
    <cellStyle name="Entrada 3 3 9 4" xfId="9180" xr:uid="{00000000-0005-0000-0000-0000D7230000}"/>
    <cellStyle name="Entrada 3 3 9 4 2" xfId="9181" xr:uid="{00000000-0005-0000-0000-0000D8230000}"/>
    <cellStyle name="Entrada 3 3 9 4 3" xfId="9182" xr:uid="{00000000-0005-0000-0000-0000D9230000}"/>
    <cellStyle name="Entrada 3 3 9 4 4" xfId="9183" xr:uid="{00000000-0005-0000-0000-0000DA230000}"/>
    <cellStyle name="Entrada 3 3 9 5" xfId="9184" xr:uid="{00000000-0005-0000-0000-0000DB230000}"/>
    <cellStyle name="Entrada 3 3 9 6" xfId="9185" xr:uid="{00000000-0005-0000-0000-0000DC230000}"/>
    <cellStyle name="Entrada 3 4" xfId="9186" xr:uid="{00000000-0005-0000-0000-0000DD230000}"/>
    <cellStyle name="Entrada 3 4 2" xfId="9187" xr:uid="{00000000-0005-0000-0000-0000DE230000}"/>
    <cellStyle name="Entrada 3 4 2 2" xfId="9188" xr:uid="{00000000-0005-0000-0000-0000DF230000}"/>
    <cellStyle name="Entrada 3 4 2 2 2" xfId="9189" xr:uid="{00000000-0005-0000-0000-0000E0230000}"/>
    <cellStyle name="Entrada 3 4 2 2 2 2" xfId="9190" xr:uid="{00000000-0005-0000-0000-0000E1230000}"/>
    <cellStyle name="Entrada 3 4 2 2 2 3" xfId="9191" xr:uid="{00000000-0005-0000-0000-0000E2230000}"/>
    <cellStyle name="Entrada 3 4 2 2 2 4" xfId="9192" xr:uid="{00000000-0005-0000-0000-0000E3230000}"/>
    <cellStyle name="Entrada 3 4 2 2 3" xfId="9193" xr:uid="{00000000-0005-0000-0000-0000E4230000}"/>
    <cellStyle name="Entrada 3 4 2 2 3 2" xfId="9194" xr:uid="{00000000-0005-0000-0000-0000E5230000}"/>
    <cellStyle name="Entrada 3 4 2 2 3 3" xfId="9195" xr:uid="{00000000-0005-0000-0000-0000E6230000}"/>
    <cellStyle name="Entrada 3 4 2 2 3 4" xfId="9196" xr:uid="{00000000-0005-0000-0000-0000E7230000}"/>
    <cellStyle name="Entrada 3 4 2 2 4" xfId="9197" xr:uid="{00000000-0005-0000-0000-0000E8230000}"/>
    <cellStyle name="Entrada 3 4 2 2 5" xfId="9198" xr:uid="{00000000-0005-0000-0000-0000E9230000}"/>
    <cellStyle name="Entrada 3 4 2 2 6" xfId="9199" xr:uid="{00000000-0005-0000-0000-0000EA230000}"/>
    <cellStyle name="Entrada 3 4 2 3" xfId="9200" xr:uid="{00000000-0005-0000-0000-0000EB230000}"/>
    <cellStyle name="Entrada 3 4 2 3 2" xfId="9201" xr:uid="{00000000-0005-0000-0000-0000EC230000}"/>
    <cellStyle name="Entrada 3 4 2 3 2 2" xfId="9202" xr:uid="{00000000-0005-0000-0000-0000ED230000}"/>
    <cellStyle name="Entrada 3 4 2 3 2 3" xfId="9203" xr:uid="{00000000-0005-0000-0000-0000EE230000}"/>
    <cellStyle name="Entrada 3 4 2 3 2 4" xfId="9204" xr:uid="{00000000-0005-0000-0000-0000EF230000}"/>
    <cellStyle name="Entrada 3 4 2 3 3" xfId="9205" xr:uid="{00000000-0005-0000-0000-0000F0230000}"/>
    <cellStyle name="Entrada 3 4 2 3 3 2" xfId="9206" xr:uid="{00000000-0005-0000-0000-0000F1230000}"/>
    <cellStyle name="Entrada 3 4 2 3 3 3" xfId="9207" xr:uid="{00000000-0005-0000-0000-0000F2230000}"/>
    <cellStyle name="Entrada 3 4 2 3 3 4" xfId="9208" xr:uid="{00000000-0005-0000-0000-0000F3230000}"/>
    <cellStyle name="Entrada 3 4 2 3 4" xfId="9209" xr:uid="{00000000-0005-0000-0000-0000F4230000}"/>
    <cellStyle name="Entrada 3 4 2 3 5" xfId="9210" xr:uid="{00000000-0005-0000-0000-0000F5230000}"/>
    <cellStyle name="Entrada 3 4 2 3 6" xfId="9211" xr:uid="{00000000-0005-0000-0000-0000F6230000}"/>
    <cellStyle name="Entrada 3 4 2 4" xfId="9212" xr:uid="{00000000-0005-0000-0000-0000F7230000}"/>
    <cellStyle name="Entrada 3 4 2 5" xfId="9213" xr:uid="{00000000-0005-0000-0000-0000F8230000}"/>
    <cellStyle name="Entrada 3 4 2 6" xfId="9214" xr:uid="{00000000-0005-0000-0000-0000F9230000}"/>
    <cellStyle name="Entrada 3 4 3" xfId="9215" xr:uid="{00000000-0005-0000-0000-0000FA230000}"/>
    <cellStyle name="Entrada 3 4 4" xfId="9216" xr:uid="{00000000-0005-0000-0000-0000FB230000}"/>
    <cellStyle name="Entrada 3 5" xfId="9217" xr:uid="{00000000-0005-0000-0000-0000FC230000}"/>
    <cellStyle name="Entrada 3 5 2" xfId="9218" xr:uid="{00000000-0005-0000-0000-0000FD230000}"/>
    <cellStyle name="Entrada 3 5 2 2" xfId="9219" xr:uid="{00000000-0005-0000-0000-0000FE230000}"/>
    <cellStyle name="Entrada 3 5 2 2 2" xfId="9220" xr:uid="{00000000-0005-0000-0000-0000FF230000}"/>
    <cellStyle name="Entrada 3 5 2 2 2 2" xfId="9221" xr:uid="{00000000-0005-0000-0000-000000240000}"/>
    <cellStyle name="Entrada 3 5 2 2 2 3" xfId="9222" xr:uid="{00000000-0005-0000-0000-000001240000}"/>
    <cellStyle name="Entrada 3 5 2 2 2 4" xfId="9223" xr:uid="{00000000-0005-0000-0000-000002240000}"/>
    <cellStyle name="Entrada 3 5 2 2 3" xfId="9224" xr:uid="{00000000-0005-0000-0000-000003240000}"/>
    <cellStyle name="Entrada 3 5 2 2 3 2" xfId="9225" xr:uid="{00000000-0005-0000-0000-000004240000}"/>
    <cellStyle name="Entrada 3 5 2 2 3 3" xfId="9226" xr:uid="{00000000-0005-0000-0000-000005240000}"/>
    <cellStyle name="Entrada 3 5 2 2 3 4" xfId="9227" xr:uid="{00000000-0005-0000-0000-000006240000}"/>
    <cellStyle name="Entrada 3 5 2 2 4" xfId="9228" xr:uid="{00000000-0005-0000-0000-000007240000}"/>
    <cellStyle name="Entrada 3 5 2 2 5" xfId="9229" xr:uid="{00000000-0005-0000-0000-000008240000}"/>
    <cellStyle name="Entrada 3 5 2 2 6" xfId="9230" xr:uid="{00000000-0005-0000-0000-000009240000}"/>
    <cellStyle name="Entrada 3 5 2 3" xfId="9231" xr:uid="{00000000-0005-0000-0000-00000A240000}"/>
    <cellStyle name="Entrada 3 5 2 3 2" xfId="9232" xr:uid="{00000000-0005-0000-0000-00000B240000}"/>
    <cellStyle name="Entrada 3 5 2 3 2 2" xfId="9233" xr:uid="{00000000-0005-0000-0000-00000C240000}"/>
    <cellStyle name="Entrada 3 5 2 3 2 3" xfId="9234" xr:uid="{00000000-0005-0000-0000-00000D240000}"/>
    <cellStyle name="Entrada 3 5 2 3 2 4" xfId="9235" xr:uid="{00000000-0005-0000-0000-00000E240000}"/>
    <cellStyle name="Entrada 3 5 2 3 3" xfId="9236" xr:uid="{00000000-0005-0000-0000-00000F240000}"/>
    <cellStyle name="Entrada 3 5 2 3 3 2" xfId="9237" xr:uid="{00000000-0005-0000-0000-000010240000}"/>
    <cellStyle name="Entrada 3 5 2 3 3 3" xfId="9238" xr:uid="{00000000-0005-0000-0000-000011240000}"/>
    <cellStyle name="Entrada 3 5 2 3 3 4" xfId="9239" xr:uid="{00000000-0005-0000-0000-000012240000}"/>
    <cellStyle name="Entrada 3 5 2 3 4" xfId="9240" xr:uid="{00000000-0005-0000-0000-000013240000}"/>
    <cellStyle name="Entrada 3 5 2 3 5" xfId="9241" xr:uid="{00000000-0005-0000-0000-000014240000}"/>
    <cellStyle name="Entrada 3 5 2 3 6" xfId="9242" xr:uid="{00000000-0005-0000-0000-000015240000}"/>
    <cellStyle name="Entrada 3 5 2 4" xfId="9243" xr:uid="{00000000-0005-0000-0000-000016240000}"/>
    <cellStyle name="Entrada 3 5 2 5" xfId="9244" xr:uid="{00000000-0005-0000-0000-000017240000}"/>
    <cellStyle name="Entrada 3 5 2 6" xfId="9245" xr:uid="{00000000-0005-0000-0000-000018240000}"/>
    <cellStyle name="Entrada 3 5 3" xfId="9246" xr:uid="{00000000-0005-0000-0000-000019240000}"/>
    <cellStyle name="Entrada 3 5 4" xfId="9247" xr:uid="{00000000-0005-0000-0000-00001A240000}"/>
    <cellStyle name="Entrada 3 6" xfId="9248" xr:uid="{00000000-0005-0000-0000-00001B240000}"/>
    <cellStyle name="Entrada 3 6 2" xfId="9249" xr:uid="{00000000-0005-0000-0000-00001C240000}"/>
    <cellStyle name="Entrada 3 6 2 2" xfId="9250" xr:uid="{00000000-0005-0000-0000-00001D240000}"/>
    <cellStyle name="Entrada 3 6 2 2 2" xfId="9251" xr:uid="{00000000-0005-0000-0000-00001E240000}"/>
    <cellStyle name="Entrada 3 6 2 2 2 2" xfId="9252" xr:uid="{00000000-0005-0000-0000-00001F240000}"/>
    <cellStyle name="Entrada 3 6 2 2 2 3" xfId="9253" xr:uid="{00000000-0005-0000-0000-000020240000}"/>
    <cellStyle name="Entrada 3 6 2 2 2 4" xfId="9254" xr:uid="{00000000-0005-0000-0000-000021240000}"/>
    <cellStyle name="Entrada 3 6 2 2 3" xfId="9255" xr:uid="{00000000-0005-0000-0000-000022240000}"/>
    <cellStyle name="Entrada 3 6 2 2 3 2" xfId="9256" xr:uid="{00000000-0005-0000-0000-000023240000}"/>
    <cellStyle name="Entrada 3 6 2 2 3 3" xfId="9257" xr:uid="{00000000-0005-0000-0000-000024240000}"/>
    <cellStyle name="Entrada 3 6 2 2 3 4" xfId="9258" xr:uid="{00000000-0005-0000-0000-000025240000}"/>
    <cellStyle name="Entrada 3 6 2 2 4" xfId="9259" xr:uid="{00000000-0005-0000-0000-000026240000}"/>
    <cellStyle name="Entrada 3 6 2 2 5" xfId="9260" xr:uid="{00000000-0005-0000-0000-000027240000}"/>
    <cellStyle name="Entrada 3 6 2 2 6" xfId="9261" xr:uid="{00000000-0005-0000-0000-000028240000}"/>
    <cellStyle name="Entrada 3 6 2 3" xfId="9262" xr:uid="{00000000-0005-0000-0000-000029240000}"/>
    <cellStyle name="Entrada 3 6 2 3 2" xfId="9263" xr:uid="{00000000-0005-0000-0000-00002A240000}"/>
    <cellStyle name="Entrada 3 6 2 3 2 2" xfId="9264" xr:uid="{00000000-0005-0000-0000-00002B240000}"/>
    <cellStyle name="Entrada 3 6 2 3 2 3" xfId="9265" xr:uid="{00000000-0005-0000-0000-00002C240000}"/>
    <cellStyle name="Entrada 3 6 2 3 2 4" xfId="9266" xr:uid="{00000000-0005-0000-0000-00002D240000}"/>
    <cellStyle name="Entrada 3 6 2 3 3" xfId="9267" xr:uid="{00000000-0005-0000-0000-00002E240000}"/>
    <cellStyle name="Entrada 3 6 2 3 3 2" xfId="9268" xr:uid="{00000000-0005-0000-0000-00002F240000}"/>
    <cellStyle name="Entrada 3 6 2 3 3 3" xfId="9269" xr:uid="{00000000-0005-0000-0000-000030240000}"/>
    <cellStyle name="Entrada 3 6 2 3 3 4" xfId="9270" xr:uid="{00000000-0005-0000-0000-000031240000}"/>
    <cellStyle name="Entrada 3 6 2 3 4" xfId="9271" xr:uid="{00000000-0005-0000-0000-000032240000}"/>
    <cellStyle name="Entrada 3 6 2 3 5" xfId="9272" xr:uid="{00000000-0005-0000-0000-000033240000}"/>
    <cellStyle name="Entrada 3 6 2 3 6" xfId="9273" xr:uid="{00000000-0005-0000-0000-000034240000}"/>
    <cellStyle name="Entrada 3 6 2 4" xfId="9274" xr:uid="{00000000-0005-0000-0000-000035240000}"/>
    <cellStyle name="Entrada 3 6 2 5" xfId="9275" xr:uid="{00000000-0005-0000-0000-000036240000}"/>
    <cellStyle name="Entrada 3 6 2 6" xfId="9276" xr:uid="{00000000-0005-0000-0000-000037240000}"/>
    <cellStyle name="Entrada 3 6 3" xfId="9277" xr:uid="{00000000-0005-0000-0000-000038240000}"/>
    <cellStyle name="Entrada 3 6 4" xfId="9278" xr:uid="{00000000-0005-0000-0000-000039240000}"/>
    <cellStyle name="Entrada 3 7" xfId="9279" xr:uid="{00000000-0005-0000-0000-00003A240000}"/>
    <cellStyle name="Entrada 3 7 2" xfId="9280" xr:uid="{00000000-0005-0000-0000-00003B240000}"/>
    <cellStyle name="Entrada 3 7 2 2" xfId="9281" xr:uid="{00000000-0005-0000-0000-00003C240000}"/>
    <cellStyle name="Entrada 3 7 2 2 2" xfId="9282" xr:uid="{00000000-0005-0000-0000-00003D240000}"/>
    <cellStyle name="Entrada 3 7 2 2 2 2" xfId="9283" xr:uid="{00000000-0005-0000-0000-00003E240000}"/>
    <cellStyle name="Entrada 3 7 2 2 2 3" xfId="9284" xr:uid="{00000000-0005-0000-0000-00003F240000}"/>
    <cellStyle name="Entrada 3 7 2 2 2 4" xfId="9285" xr:uid="{00000000-0005-0000-0000-000040240000}"/>
    <cellStyle name="Entrada 3 7 2 2 3" xfId="9286" xr:uid="{00000000-0005-0000-0000-000041240000}"/>
    <cellStyle name="Entrada 3 7 2 2 3 2" xfId="9287" xr:uid="{00000000-0005-0000-0000-000042240000}"/>
    <cellStyle name="Entrada 3 7 2 2 3 3" xfId="9288" xr:uid="{00000000-0005-0000-0000-000043240000}"/>
    <cellStyle name="Entrada 3 7 2 2 3 4" xfId="9289" xr:uid="{00000000-0005-0000-0000-000044240000}"/>
    <cellStyle name="Entrada 3 7 2 2 4" xfId="9290" xr:uid="{00000000-0005-0000-0000-000045240000}"/>
    <cellStyle name="Entrada 3 7 2 2 5" xfId="9291" xr:uid="{00000000-0005-0000-0000-000046240000}"/>
    <cellStyle name="Entrada 3 7 2 2 6" xfId="9292" xr:uid="{00000000-0005-0000-0000-000047240000}"/>
    <cellStyle name="Entrada 3 7 2 3" xfId="9293" xr:uid="{00000000-0005-0000-0000-000048240000}"/>
    <cellStyle name="Entrada 3 7 2 3 2" xfId="9294" xr:uid="{00000000-0005-0000-0000-000049240000}"/>
    <cellStyle name="Entrada 3 7 2 3 2 2" xfId="9295" xr:uid="{00000000-0005-0000-0000-00004A240000}"/>
    <cellStyle name="Entrada 3 7 2 3 2 3" xfId="9296" xr:uid="{00000000-0005-0000-0000-00004B240000}"/>
    <cellStyle name="Entrada 3 7 2 3 2 4" xfId="9297" xr:uid="{00000000-0005-0000-0000-00004C240000}"/>
    <cellStyle name="Entrada 3 7 2 3 3" xfId="9298" xr:uid="{00000000-0005-0000-0000-00004D240000}"/>
    <cellStyle name="Entrada 3 7 2 3 3 2" xfId="9299" xr:uid="{00000000-0005-0000-0000-00004E240000}"/>
    <cellStyle name="Entrada 3 7 2 3 3 3" xfId="9300" xr:uid="{00000000-0005-0000-0000-00004F240000}"/>
    <cellStyle name="Entrada 3 7 2 3 3 4" xfId="9301" xr:uid="{00000000-0005-0000-0000-000050240000}"/>
    <cellStyle name="Entrada 3 7 2 3 4" xfId="9302" xr:uid="{00000000-0005-0000-0000-000051240000}"/>
    <cellStyle name="Entrada 3 7 2 3 5" xfId="9303" xr:uid="{00000000-0005-0000-0000-000052240000}"/>
    <cellStyle name="Entrada 3 7 2 3 6" xfId="9304" xr:uid="{00000000-0005-0000-0000-000053240000}"/>
    <cellStyle name="Entrada 3 7 2 4" xfId="9305" xr:uid="{00000000-0005-0000-0000-000054240000}"/>
    <cellStyle name="Entrada 3 7 2 5" xfId="9306" xr:uid="{00000000-0005-0000-0000-000055240000}"/>
    <cellStyle name="Entrada 3 7 2 6" xfId="9307" xr:uid="{00000000-0005-0000-0000-000056240000}"/>
    <cellStyle name="Entrada 3 7 3" xfId="9308" xr:uid="{00000000-0005-0000-0000-000057240000}"/>
    <cellStyle name="Entrada 3 7 4" xfId="9309" xr:uid="{00000000-0005-0000-0000-000058240000}"/>
    <cellStyle name="Entrada 3 8" xfId="9310" xr:uid="{00000000-0005-0000-0000-000059240000}"/>
    <cellStyle name="Entrada 3 8 2" xfId="9311" xr:uid="{00000000-0005-0000-0000-00005A240000}"/>
    <cellStyle name="Entrada 3 8 2 2" xfId="9312" xr:uid="{00000000-0005-0000-0000-00005B240000}"/>
    <cellStyle name="Entrada 3 8 2 2 2" xfId="9313" xr:uid="{00000000-0005-0000-0000-00005C240000}"/>
    <cellStyle name="Entrada 3 8 2 2 3" xfId="9314" xr:uid="{00000000-0005-0000-0000-00005D240000}"/>
    <cellStyle name="Entrada 3 8 2 2 4" xfId="9315" xr:uid="{00000000-0005-0000-0000-00005E240000}"/>
    <cellStyle name="Entrada 3 8 2 3" xfId="9316" xr:uid="{00000000-0005-0000-0000-00005F240000}"/>
    <cellStyle name="Entrada 3 8 2 3 2" xfId="9317" xr:uid="{00000000-0005-0000-0000-000060240000}"/>
    <cellStyle name="Entrada 3 8 2 3 3" xfId="9318" xr:uid="{00000000-0005-0000-0000-000061240000}"/>
    <cellStyle name="Entrada 3 8 2 3 4" xfId="9319" xr:uid="{00000000-0005-0000-0000-000062240000}"/>
    <cellStyle name="Entrada 3 8 2 4" xfId="9320" xr:uid="{00000000-0005-0000-0000-000063240000}"/>
    <cellStyle name="Entrada 3 8 2 5" xfId="9321" xr:uid="{00000000-0005-0000-0000-000064240000}"/>
    <cellStyle name="Entrada 3 8 2 6" xfId="9322" xr:uid="{00000000-0005-0000-0000-000065240000}"/>
    <cellStyle name="Entrada 3 8 3" xfId="9323" xr:uid="{00000000-0005-0000-0000-000066240000}"/>
    <cellStyle name="Entrada 3 8 3 2" xfId="9324" xr:uid="{00000000-0005-0000-0000-000067240000}"/>
    <cellStyle name="Entrada 3 8 3 2 2" xfId="9325" xr:uid="{00000000-0005-0000-0000-000068240000}"/>
    <cellStyle name="Entrada 3 8 3 2 3" xfId="9326" xr:uid="{00000000-0005-0000-0000-000069240000}"/>
    <cellStyle name="Entrada 3 8 3 2 4" xfId="9327" xr:uid="{00000000-0005-0000-0000-00006A240000}"/>
    <cellStyle name="Entrada 3 8 3 3" xfId="9328" xr:uid="{00000000-0005-0000-0000-00006B240000}"/>
    <cellStyle name="Entrada 3 8 3 3 2" xfId="9329" xr:uid="{00000000-0005-0000-0000-00006C240000}"/>
    <cellStyle name="Entrada 3 8 3 3 3" xfId="9330" xr:uid="{00000000-0005-0000-0000-00006D240000}"/>
    <cellStyle name="Entrada 3 8 3 3 4" xfId="9331" xr:uid="{00000000-0005-0000-0000-00006E240000}"/>
    <cellStyle name="Entrada 3 8 3 4" xfId="9332" xr:uid="{00000000-0005-0000-0000-00006F240000}"/>
    <cellStyle name="Entrada 3 8 3 5" xfId="9333" xr:uid="{00000000-0005-0000-0000-000070240000}"/>
    <cellStyle name="Entrada 3 8 3 6" xfId="9334" xr:uid="{00000000-0005-0000-0000-000071240000}"/>
    <cellStyle name="Entrada 3 8 4" xfId="9335" xr:uid="{00000000-0005-0000-0000-000072240000}"/>
    <cellStyle name="Entrada 3 8 4 2" xfId="9336" xr:uid="{00000000-0005-0000-0000-000073240000}"/>
    <cellStyle name="Entrada 3 8 4 3" xfId="9337" xr:uid="{00000000-0005-0000-0000-000074240000}"/>
    <cellStyle name="Entrada 3 8 4 4" xfId="9338" xr:uid="{00000000-0005-0000-0000-000075240000}"/>
    <cellStyle name="Entrada 3 8 5" xfId="9339" xr:uid="{00000000-0005-0000-0000-000076240000}"/>
    <cellStyle name="Entrada 3 8 6" xfId="9340" xr:uid="{00000000-0005-0000-0000-000077240000}"/>
    <cellStyle name="Entrada 3 9" xfId="9341" xr:uid="{00000000-0005-0000-0000-000078240000}"/>
    <cellStyle name="Entrada 3 9 2" xfId="9342" xr:uid="{00000000-0005-0000-0000-000079240000}"/>
    <cellStyle name="Entrada 3 9 2 2" xfId="9343" xr:uid="{00000000-0005-0000-0000-00007A240000}"/>
    <cellStyle name="Entrada 3 9 2 2 2" xfId="9344" xr:uid="{00000000-0005-0000-0000-00007B240000}"/>
    <cellStyle name="Entrada 3 9 2 2 3" xfId="9345" xr:uid="{00000000-0005-0000-0000-00007C240000}"/>
    <cellStyle name="Entrada 3 9 2 2 4" xfId="9346" xr:uid="{00000000-0005-0000-0000-00007D240000}"/>
    <cellStyle name="Entrada 3 9 2 3" xfId="9347" xr:uid="{00000000-0005-0000-0000-00007E240000}"/>
    <cellStyle name="Entrada 3 9 2 3 2" xfId="9348" xr:uid="{00000000-0005-0000-0000-00007F240000}"/>
    <cellStyle name="Entrada 3 9 2 3 3" xfId="9349" xr:uid="{00000000-0005-0000-0000-000080240000}"/>
    <cellStyle name="Entrada 3 9 2 3 4" xfId="9350" xr:uid="{00000000-0005-0000-0000-000081240000}"/>
    <cellStyle name="Entrada 3 9 2 4" xfId="9351" xr:uid="{00000000-0005-0000-0000-000082240000}"/>
    <cellStyle name="Entrada 3 9 2 5" xfId="9352" xr:uid="{00000000-0005-0000-0000-000083240000}"/>
    <cellStyle name="Entrada 3 9 2 6" xfId="9353" xr:uid="{00000000-0005-0000-0000-000084240000}"/>
    <cellStyle name="Entrada 3 9 3" xfId="9354" xr:uid="{00000000-0005-0000-0000-000085240000}"/>
    <cellStyle name="Entrada 3 9 3 2" xfId="9355" xr:uid="{00000000-0005-0000-0000-000086240000}"/>
    <cellStyle name="Entrada 3 9 3 2 2" xfId="9356" xr:uid="{00000000-0005-0000-0000-000087240000}"/>
    <cellStyle name="Entrada 3 9 3 2 3" xfId="9357" xr:uid="{00000000-0005-0000-0000-000088240000}"/>
    <cellStyle name="Entrada 3 9 3 2 4" xfId="9358" xr:uid="{00000000-0005-0000-0000-000089240000}"/>
    <cellStyle name="Entrada 3 9 3 3" xfId="9359" xr:uid="{00000000-0005-0000-0000-00008A240000}"/>
    <cellStyle name="Entrada 3 9 3 3 2" xfId="9360" xr:uid="{00000000-0005-0000-0000-00008B240000}"/>
    <cellStyle name="Entrada 3 9 3 3 3" xfId="9361" xr:uid="{00000000-0005-0000-0000-00008C240000}"/>
    <cellStyle name="Entrada 3 9 3 3 4" xfId="9362" xr:uid="{00000000-0005-0000-0000-00008D240000}"/>
    <cellStyle name="Entrada 3 9 3 4" xfId="9363" xr:uid="{00000000-0005-0000-0000-00008E240000}"/>
    <cellStyle name="Entrada 3 9 3 5" xfId="9364" xr:uid="{00000000-0005-0000-0000-00008F240000}"/>
    <cellStyle name="Entrada 3 9 3 6" xfId="9365" xr:uid="{00000000-0005-0000-0000-000090240000}"/>
    <cellStyle name="Entrada 3 9 4" xfId="9366" xr:uid="{00000000-0005-0000-0000-000091240000}"/>
    <cellStyle name="Entrada 3 9 4 2" xfId="9367" xr:uid="{00000000-0005-0000-0000-000092240000}"/>
    <cellStyle name="Entrada 3 9 4 3" xfId="9368" xr:uid="{00000000-0005-0000-0000-000093240000}"/>
    <cellStyle name="Entrada 3 9 4 4" xfId="9369" xr:uid="{00000000-0005-0000-0000-000094240000}"/>
    <cellStyle name="Entrada 3 9 5" xfId="9370" xr:uid="{00000000-0005-0000-0000-000095240000}"/>
    <cellStyle name="Entrada 3 9 6" xfId="9371" xr:uid="{00000000-0005-0000-0000-000096240000}"/>
    <cellStyle name="Entrada 4" xfId="9372" xr:uid="{00000000-0005-0000-0000-000097240000}"/>
    <cellStyle name="Entrada 4 10" xfId="9373" xr:uid="{00000000-0005-0000-0000-000098240000}"/>
    <cellStyle name="Entrada 4 10 2" xfId="9374" xr:uid="{00000000-0005-0000-0000-000099240000}"/>
    <cellStyle name="Entrada 4 10 2 2" xfId="9375" xr:uid="{00000000-0005-0000-0000-00009A240000}"/>
    <cellStyle name="Entrada 4 10 2 2 2" xfId="9376" xr:uid="{00000000-0005-0000-0000-00009B240000}"/>
    <cellStyle name="Entrada 4 10 2 2 3" xfId="9377" xr:uid="{00000000-0005-0000-0000-00009C240000}"/>
    <cellStyle name="Entrada 4 10 2 2 4" xfId="9378" xr:uid="{00000000-0005-0000-0000-00009D240000}"/>
    <cellStyle name="Entrada 4 10 2 3" xfId="9379" xr:uid="{00000000-0005-0000-0000-00009E240000}"/>
    <cellStyle name="Entrada 4 10 2 3 2" xfId="9380" xr:uid="{00000000-0005-0000-0000-00009F240000}"/>
    <cellStyle name="Entrada 4 10 2 3 3" xfId="9381" xr:uid="{00000000-0005-0000-0000-0000A0240000}"/>
    <cellStyle name="Entrada 4 10 2 3 4" xfId="9382" xr:uid="{00000000-0005-0000-0000-0000A1240000}"/>
    <cellStyle name="Entrada 4 10 2 4" xfId="9383" xr:uid="{00000000-0005-0000-0000-0000A2240000}"/>
    <cellStyle name="Entrada 4 10 2 5" xfId="9384" xr:uid="{00000000-0005-0000-0000-0000A3240000}"/>
    <cellStyle name="Entrada 4 10 2 6" xfId="9385" xr:uid="{00000000-0005-0000-0000-0000A4240000}"/>
    <cellStyle name="Entrada 4 10 3" xfId="9386" xr:uid="{00000000-0005-0000-0000-0000A5240000}"/>
    <cellStyle name="Entrada 4 10 3 2" xfId="9387" xr:uid="{00000000-0005-0000-0000-0000A6240000}"/>
    <cellStyle name="Entrada 4 10 3 2 2" xfId="9388" xr:uid="{00000000-0005-0000-0000-0000A7240000}"/>
    <cellStyle name="Entrada 4 10 3 2 3" xfId="9389" xr:uid="{00000000-0005-0000-0000-0000A8240000}"/>
    <cellStyle name="Entrada 4 10 3 2 4" xfId="9390" xr:uid="{00000000-0005-0000-0000-0000A9240000}"/>
    <cellStyle name="Entrada 4 10 3 3" xfId="9391" xr:uid="{00000000-0005-0000-0000-0000AA240000}"/>
    <cellStyle name="Entrada 4 10 3 3 2" xfId="9392" xr:uid="{00000000-0005-0000-0000-0000AB240000}"/>
    <cellStyle name="Entrada 4 10 3 3 3" xfId="9393" xr:uid="{00000000-0005-0000-0000-0000AC240000}"/>
    <cellStyle name="Entrada 4 10 3 3 4" xfId="9394" xr:uid="{00000000-0005-0000-0000-0000AD240000}"/>
    <cellStyle name="Entrada 4 10 3 4" xfId="9395" xr:uid="{00000000-0005-0000-0000-0000AE240000}"/>
    <cellStyle name="Entrada 4 10 3 5" xfId="9396" xr:uid="{00000000-0005-0000-0000-0000AF240000}"/>
    <cellStyle name="Entrada 4 10 3 6" xfId="9397" xr:uid="{00000000-0005-0000-0000-0000B0240000}"/>
    <cellStyle name="Entrada 4 10 4" xfId="9398" xr:uid="{00000000-0005-0000-0000-0000B1240000}"/>
    <cellStyle name="Entrada 4 10 4 2" xfId="9399" xr:uid="{00000000-0005-0000-0000-0000B2240000}"/>
    <cellStyle name="Entrada 4 10 4 3" xfId="9400" xr:uid="{00000000-0005-0000-0000-0000B3240000}"/>
    <cellStyle name="Entrada 4 10 4 4" xfId="9401" xr:uid="{00000000-0005-0000-0000-0000B4240000}"/>
    <cellStyle name="Entrada 4 10 5" xfId="9402" xr:uid="{00000000-0005-0000-0000-0000B5240000}"/>
    <cellStyle name="Entrada 4 10 6" xfId="9403" xr:uid="{00000000-0005-0000-0000-0000B6240000}"/>
    <cellStyle name="Entrada 4 11" xfId="9404" xr:uid="{00000000-0005-0000-0000-0000B7240000}"/>
    <cellStyle name="Entrada 4 11 2" xfId="9405" xr:uid="{00000000-0005-0000-0000-0000B8240000}"/>
    <cellStyle name="Entrada 4 11 2 2" xfId="9406" xr:uid="{00000000-0005-0000-0000-0000B9240000}"/>
    <cellStyle name="Entrada 4 11 2 2 2" xfId="9407" xr:uid="{00000000-0005-0000-0000-0000BA240000}"/>
    <cellStyle name="Entrada 4 11 2 2 3" xfId="9408" xr:uid="{00000000-0005-0000-0000-0000BB240000}"/>
    <cellStyle name="Entrada 4 11 2 2 4" xfId="9409" xr:uid="{00000000-0005-0000-0000-0000BC240000}"/>
    <cellStyle name="Entrada 4 11 2 3" xfId="9410" xr:uid="{00000000-0005-0000-0000-0000BD240000}"/>
    <cellStyle name="Entrada 4 11 2 3 2" xfId="9411" xr:uid="{00000000-0005-0000-0000-0000BE240000}"/>
    <cellStyle name="Entrada 4 11 2 3 3" xfId="9412" xr:uid="{00000000-0005-0000-0000-0000BF240000}"/>
    <cellStyle name="Entrada 4 11 2 3 4" xfId="9413" xr:uid="{00000000-0005-0000-0000-0000C0240000}"/>
    <cellStyle name="Entrada 4 11 2 4" xfId="9414" xr:uid="{00000000-0005-0000-0000-0000C1240000}"/>
    <cellStyle name="Entrada 4 11 2 5" xfId="9415" xr:uid="{00000000-0005-0000-0000-0000C2240000}"/>
    <cellStyle name="Entrada 4 11 2 6" xfId="9416" xr:uid="{00000000-0005-0000-0000-0000C3240000}"/>
    <cellStyle name="Entrada 4 11 3" xfId="9417" xr:uid="{00000000-0005-0000-0000-0000C4240000}"/>
    <cellStyle name="Entrada 4 11 3 2" xfId="9418" xr:uid="{00000000-0005-0000-0000-0000C5240000}"/>
    <cellStyle name="Entrada 4 11 3 2 2" xfId="9419" xr:uid="{00000000-0005-0000-0000-0000C6240000}"/>
    <cellStyle name="Entrada 4 11 3 2 3" xfId="9420" xr:uid="{00000000-0005-0000-0000-0000C7240000}"/>
    <cellStyle name="Entrada 4 11 3 2 4" xfId="9421" xr:uid="{00000000-0005-0000-0000-0000C8240000}"/>
    <cellStyle name="Entrada 4 11 3 3" xfId="9422" xr:uid="{00000000-0005-0000-0000-0000C9240000}"/>
    <cellStyle name="Entrada 4 11 3 3 2" xfId="9423" xr:uid="{00000000-0005-0000-0000-0000CA240000}"/>
    <cellStyle name="Entrada 4 11 3 3 3" xfId="9424" xr:uid="{00000000-0005-0000-0000-0000CB240000}"/>
    <cellStyle name="Entrada 4 11 3 3 4" xfId="9425" xr:uid="{00000000-0005-0000-0000-0000CC240000}"/>
    <cellStyle name="Entrada 4 11 3 4" xfId="9426" xr:uid="{00000000-0005-0000-0000-0000CD240000}"/>
    <cellStyle name="Entrada 4 11 3 5" xfId="9427" xr:uid="{00000000-0005-0000-0000-0000CE240000}"/>
    <cellStyle name="Entrada 4 11 3 6" xfId="9428" xr:uid="{00000000-0005-0000-0000-0000CF240000}"/>
    <cellStyle name="Entrada 4 11 4" xfId="9429" xr:uid="{00000000-0005-0000-0000-0000D0240000}"/>
    <cellStyle name="Entrada 4 11 5" xfId="9430" xr:uid="{00000000-0005-0000-0000-0000D1240000}"/>
    <cellStyle name="Entrada 4 11 6" xfId="9431" xr:uid="{00000000-0005-0000-0000-0000D2240000}"/>
    <cellStyle name="Entrada 4 12" xfId="9432" xr:uid="{00000000-0005-0000-0000-0000D3240000}"/>
    <cellStyle name="Entrada 4 13" xfId="9433" xr:uid="{00000000-0005-0000-0000-0000D4240000}"/>
    <cellStyle name="Entrada 4 2" xfId="9434" xr:uid="{00000000-0005-0000-0000-0000D5240000}"/>
    <cellStyle name="Entrada 4 2 10" xfId="9435" xr:uid="{00000000-0005-0000-0000-0000D6240000}"/>
    <cellStyle name="Entrada 4 2 10 2" xfId="9436" xr:uid="{00000000-0005-0000-0000-0000D7240000}"/>
    <cellStyle name="Entrada 4 2 10 2 2" xfId="9437" xr:uid="{00000000-0005-0000-0000-0000D8240000}"/>
    <cellStyle name="Entrada 4 2 10 2 2 2" xfId="9438" xr:uid="{00000000-0005-0000-0000-0000D9240000}"/>
    <cellStyle name="Entrada 4 2 10 2 2 3" xfId="9439" xr:uid="{00000000-0005-0000-0000-0000DA240000}"/>
    <cellStyle name="Entrada 4 2 10 2 2 4" xfId="9440" xr:uid="{00000000-0005-0000-0000-0000DB240000}"/>
    <cellStyle name="Entrada 4 2 10 2 3" xfId="9441" xr:uid="{00000000-0005-0000-0000-0000DC240000}"/>
    <cellStyle name="Entrada 4 2 10 2 3 2" xfId="9442" xr:uid="{00000000-0005-0000-0000-0000DD240000}"/>
    <cellStyle name="Entrada 4 2 10 2 3 3" xfId="9443" xr:uid="{00000000-0005-0000-0000-0000DE240000}"/>
    <cellStyle name="Entrada 4 2 10 2 3 4" xfId="9444" xr:uid="{00000000-0005-0000-0000-0000DF240000}"/>
    <cellStyle name="Entrada 4 2 10 2 4" xfId="9445" xr:uid="{00000000-0005-0000-0000-0000E0240000}"/>
    <cellStyle name="Entrada 4 2 10 2 5" xfId="9446" xr:uid="{00000000-0005-0000-0000-0000E1240000}"/>
    <cellStyle name="Entrada 4 2 10 2 6" xfId="9447" xr:uid="{00000000-0005-0000-0000-0000E2240000}"/>
    <cellStyle name="Entrada 4 2 10 3" xfId="9448" xr:uid="{00000000-0005-0000-0000-0000E3240000}"/>
    <cellStyle name="Entrada 4 2 10 3 2" xfId="9449" xr:uid="{00000000-0005-0000-0000-0000E4240000}"/>
    <cellStyle name="Entrada 4 2 10 3 2 2" xfId="9450" xr:uid="{00000000-0005-0000-0000-0000E5240000}"/>
    <cellStyle name="Entrada 4 2 10 3 2 3" xfId="9451" xr:uid="{00000000-0005-0000-0000-0000E6240000}"/>
    <cellStyle name="Entrada 4 2 10 3 2 4" xfId="9452" xr:uid="{00000000-0005-0000-0000-0000E7240000}"/>
    <cellStyle name="Entrada 4 2 10 3 3" xfId="9453" xr:uid="{00000000-0005-0000-0000-0000E8240000}"/>
    <cellStyle name="Entrada 4 2 10 3 3 2" xfId="9454" xr:uid="{00000000-0005-0000-0000-0000E9240000}"/>
    <cellStyle name="Entrada 4 2 10 3 3 3" xfId="9455" xr:uid="{00000000-0005-0000-0000-0000EA240000}"/>
    <cellStyle name="Entrada 4 2 10 3 3 4" xfId="9456" xr:uid="{00000000-0005-0000-0000-0000EB240000}"/>
    <cellStyle name="Entrada 4 2 10 3 4" xfId="9457" xr:uid="{00000000-0005-0000-0000-0000EC240000}"/>
    <cellStyle name="Entrada 4 2 10 3 5" xfId="9458" xr:uid="{00000000-0005-0000-0000-0000ED240000}"/>
    <cellStyle name="Entrada 4 2 10 3 6" xfId="9459" xr:uid="{00000000-0005-0000-0000-0000EE240000}"/>
    <cellStyle name="Entrada 4 2 10 4" xfId="9460" xr:uid="{00000000-0005-0000-0000-0000EF240000}"/>
    <cellStyle name="Entrada 4 2 10 5" xfId="9461" xr:uid="{00000000-0005-0000-0000-0000F0240000}"/>
    <cellStyle name="Entrada 4 2 10 6" xfId="9462" xr:uid="{00000000-0005-0000-0000-0000F1240000}"/>
    <cellStyle name="Entrada 4 2 11" xfId="9463" xr:uid="{00000000-0005-0000-0000-0000F2240000}"/>
    <cellStyle name="Entrada 4 2 12" xfId="9464" xr:uid="{00000000-0005-0000-0000-0000F3240000}"/>
    <cellStyle name="Entrada 4 2 2" xfId="9465" xr:uid="{00000000-0005-0000-0000-0000F4240000}"/>
    <cellStyle name="Entrada 4 2 2 2" xfId="9466" xr:uid="{00000000-0005-0000-0000-0000F5240000}"/>
    <cellStyle name="Entrada 4 2 2 2 2" xfId="9467" xr:uid="{00000000-0005-0000-0000-0000F6240000}"/>
    <cellStyle name="Entrada 4 2 2 2 2 2" xfId="9468" xr:uid="{00000000-0005-0000-0000-0000F7240000}"/>
    <cellStyle name="Entrada 4 2 2 2 2 2 2" xfId="9469" xr:uid="{00000000-0005-0000-0000-0000F8240000}"/>
    <cellStyle name="Entrada 4 2 2 2 2 2 3" xfId="9470" xr:uid="{00000000-0005-0000-0000-0000F9240000}"/>
    <cellStyle name="Entrada 4 2 2 2 2 2 4" xfId="9471" xr:uid="{00000000-0005-0000-0000-0000FA240000}"/>
    <cellStyle name="Entrada 4 2 2 2 2 3" xfId="9472" xr:uid="{00000000-0005-0000-0000-0000FB240000}"/>
    <cellStyle name="Entrada 4 2 2 2 2 3 2" xfId="9473" xr:uid="{00000000-0005-0000-0000-0000FC240000}"/>
    <cellStyle name="Entrada 4 2 2 2 2 3 3" xfId="9474" xr:uid="{00000000-0005-0000-0000-0000FD240000}"/>
    <cellStyle name="Entrada 4 2 2 2 2 3 4" xfId="9475" xr:uid="{00000000-0005-0000-0000-0000FE240000}"/>
    <cellStyle name="Entrada 4 2 2 2 2 4" xfId="9476" xr:uid="{00000000-0005-0000-0000-0000FF240000}"/>
    <cellStyle name="Entrada 4 2 2 2 2 5" xfId="9477" xr:uid="{00000000-0005-0000-0000-000000250000}"/>
    <cellStyle name="Entrada 4 2 2 2 2 6" xfId="9478" xr:uid="{00000000-0005-0000-0000-000001250000}"/>
    <cellStyle name="Entrada 4 2 2 2 3" xfId="9479" xr:uid="{00000000-0005-0000-0000-000002250000}"/>
    <cellStyle name="Entrada 4 2 2 2 3 2" xfId="9480" xr:uid="{00000000-0005-0000-0000-000003250000}"/>
    <cellStyle name="Entrada 4 2 2 2 3 2 2" xfId="9481" xr:uid="{00000000-0005-0000-0000-000004250000}"/>
    <cellStyle name="Entrada 4 2 2 2 3 2 3" xfId="9482" xr:uid="{00000000-0005-0000-0000-000005250000}"/>
    <cellStyle name="Entrada 4 2 2 2 3 2 4" xfId="9483" xr:uid="{00000000-0005-0000-0000-000006250000}"/>
    <cellStyle name="Entrada 4 2 2 2 3 3" xfId="9484" xr:uid="{00000000-0005-0000-0000-000007250000}"/>
    <cellStyle name="Entrada 4 2 2 2 3 3 2" xfId="9485" xr:uid="{00000000-0005-0000-0000-000008250000}"/>
    <cellStyle name="Entrada 4 2 2 2 3 3 3" xfId="9486" xr:uid="{00000000-0005-0000-0000-000009250000}"/>
    <cellStyle name="Entrada 4 2 2 2 3 3 4" xfId="9487" xr:uid="{00000000-0005-0000-0000-00000A250000}"/>
    <cellStyle name="Entrada 4 2 2 2 3 4" xfId="9488" xr:uid="{00000000-0005-0000-0000-00000B250000}"/>
    <cellStyle name="Entrada 4 2 2 2 3 5" xfId="9489" xr:uid="{00000000-0005-0000-0000-00000C250000}"/>
    <cellStyle name="Entrada 4 2 2 2 3 6" xfId="9490" xr:uid="{00000000-0005-0000-0000-00000D250000}"/>
    <cellStyle name="Entrada 4 2 2 2 4" xfId="9491" xr:uid="{00000000-0005-0000-0000-00000E250000}"/>
    <cellStyle name="Entrada 4 2 2 2 5" xfId="9492" xr:uid="{00000000-0005-0000-0000-00000F250000}"/>
    <cellStyle name="Entrada 4 2 2 2 6" xfId="9493" xr:uid="{00000000-0005-0000-0000-000010250000}"/>
    <cellStyle name="Entrada 4 2 2 3" xfId="9494" xr:uid="{00000000-0005-0000-0000-000011250000}"/>
    <cellStyle name="Entrada 4 2 2 4" xfId="9495" xr:uid="{00000000-0005-0000-0000-000012250000}"/>
    <cellStyle name="Entrada 4 2 3" xfId="9496" xr:uid="{00000000-0005-0000-0000-000013250000}"/>
    <cellStyle name="Entrada 4 2 3 2" xfId="9497" xr:uid="{00000000-0005-0000-0000-000014250000}"/>
    <cellStyle name="Entrada 4 2 3 2 2" xfId="9498" xr:uid="{00000000-0005-0000-0000-000015250000}"/>
    <cellStyle name="Entrada 4 2 3 2 2 2" xfId="9499" xr:uid="{00000000-0005-0000-0000-000016250000}"/>
    <cellStyle name="Entrada 4 2 3 2 2 2 2" xfId="9500" xr:uid="{00000000-0005-0000-0000-000017250000}"/>
    <cellStyle name="Entrada 4 2 3 2 2 2 3" xfId="9501" xr:uid="{00000000-0005-0000-0000-000018250000}"/>
    <cellStyle name="Entrada 4 2 3 2 2 2 4" xfId="9502" xr:uid="{00000000-0005-0000-0000-000019250000}"/>
    <cellStyle name="Entrada 4 2 3 2 2 3" xfId="9503" xr:uid="{00000000-0005-0000-0000-00001A250000}"/>
    <cellStyle name="Entrada 4 2 3 2 2 3 2" xfId="9504" xr:uid="{00000000-0005-0000-0000-00001B250000}"/>
    <cellStyle name="Entrada 4 2 3 2 2 3 3" xfId="9505" xr:uid="{00000000-0005-0000-0000-00001C250000}"/>
    <cellStyle name="Entrada 4 2 3 2 2 3 4" xfId="9506" xr:uid="{00000000-0005-0000-0000-00001D250000}"/>
    <cellStyle name="Entrada 4 2 3 2 2 4" xfId="9507" xr:uid="{00000000-0005-0000-0000-00001E250000}"/>
    <cellStyle name="Entrada 4 2 3 2 2 5" xfId="9508" xr:uid="{00000000-0005-0000-0000-00001F250000}"/>
    <cellStyle name="Entrada 4 2 3 2 2 6" xfId="9509" xr:uid="{00000000-0005-0000-0000-000020250000}"/>
    <cellStyle name="Entrada 4 2 3 2 3" xfId="9510" xr:uid="{00000000-0005-0000-0000-000021250000}"/>
    <cellStyle name="Entrada 4 2 3 2 3 2" xfId="9511" xr:uid="{00000000-0005-0000-0000-000022250000}"/>
    <cellStyle name="Entrada 4 2 3 2 3 2 2" xfId="9512" xr:uid="{00000000-0005-0000-0000-000023250000}"/>
    <cellStyle name="Entrada 4 2 3 2 3 2 3" xfId="9513" xr:uid="{00000000-0005-0000-0000-000024250000}"/>
    <cellStyle name="Entrada 4 2 3 2 3 2 4" xfId="9514" xr:uid="{00000000-0005-0000-0000-000025250000}"/>
    <cellStyle name="Entrada 4 2 3 2 3 3" xfId="9515" xr:uid="{00000000-0005-0000-0000-000026250000}"/>
    <cellStyle name="Entrada 4 2 3 2 3 3 2" xfId="9516" xr:uid="{00000000-0005-0000-0000-000027250000}"/>
    <cellStyle name="Entrada 4 2 3 2 3 3 3" xfId="9517" xr:uid="{00000000-0005-0000-0000-000028250000}"/>
    <cellStyle name="Entrada 4 2 3 2 3 3 4" xfId="9518" xr:uid="{00000000-0005-0000-0000-000029250000}"/>
    <cellStyle name="Entrada 4 2 3 2 3 4" xfId="9519" xr:uid="{00000000-0005-0000-0000-00002A250000}"/>
    <cellStyle name="Entrada 4 2 3 2 3 5" xfId="9520" xr:uid="{00000000-0005-0000-0000-00002B250000}"/>
    <cellStyle name="Entrada 4 2 3 2 3 6" xfId="9521" xr:uid="{00000000-0005-0000-0000-00002C250000}"/>
    <cellStyle name="Entrada 4 2 3 2 4" xfId="9522" xr:uid="{00000000-0005-0000-0000-00002D250000}"/>
    <cellStyle name="Entrada 4 2 3 2 5" xfId="9523" xr:uid="{00000000-0005-0000-0000-00002E250000}"/>
    <cellStyle name="Entrada 4 2 3 2 6" xfId="9524" xr:uid="{00000000-0005-0000-0000-00002F250000}"/>
    <cellStyle name="Entrada 4 2 3 3" xfId="9525" xr:uid="{00000000-0005-0000-0000-000030250000}"/>
    <cellStyle name="Entrada 4 2 3 4" xfId="9526" xr:uid="{00000000-0005-0000-0000-000031250000}"/>
    <cellStyle name="Entrada 4 2 4" xfId="9527" xr:uid="{00000000-0005-0000-0000-000032250000}"/>
    <cellStyle name="Entrada 4 2 4 2" xfId="9528" xr:uid="{00000000-0005-0000-0000-000033250000}"/>
    <cellStyle name="Entrada 4 2 4 2 2" xfId="9529" xr:uid="{00000000-0005-0000-0000-000034250000}"/>
    <cellStyle name="Entrada 4 2 4 2 2 2" xfId="9530" xr:uid="{00000000-0005-0000-0000-000035250000}"/>
    <cellStyle name="Entrada 4 2 4 2 2 2 2" xfId="9531" xr:uid="{00000000-0005-0000-0000-000036250000}"/>
    <cellStyle name="Entrada 4 2 4 2 2 2 3" xfId="9532" xr:uid="{00000000-0005-0000-0000-000037250000}"/>
    <cellStyle name="Entrada 4 2 4 2 2 2 4" xfId="9533" xr:uid="{00000000-0005-0000-0000-000038250000}"/>
    <cellStyle name="Entrada 4 2 4 2 2 3" xfId="9534" xr:uid="{00000000-0005-0000-0000-000039250000}"/>
    <cellStyle name="Entrada 4 2 4 2 2 3 2" xfId="9535" xr:uid="{00000000-0005-0000-0000-00003A250000}"/>
    <cellStyle name="Entrada 4 2 4 2 2 3 3" xfId="9536" xr:uid="{00000000-0005-0000-0000-00003B250000}"/>
    <cellStyle name="Entrada 4 2 4 2 2 3 4" xfId="9537" xr:uid="{00000000-0005-0000-0000-00003C250000}"/>
    <cellStyle name="Entrada 4 2 4 2 2 4" xfId="9538" xr:uid="{00000000-0005-0000-0000-00003D250000}"/>
    <cellStyle name="Entrada 4 2 4 2 2 5" xfId="9539" xr:uid="{00000000-0005-0000-0000-00003E250000}"/>
    <cellStyle name="Entrada 4 2 4 2 2 6" xfId="9540" xr:uid="{00000000-0005-0000-0000-00003F250000}"/>
    <cellStyle name="Entrada 4 2 4 2 3" xfId="9541" xr:uid="{00000000-0005-0000-0000-000040250000}"/>
    <cellStyle name="Entrada 4 2 4 2 3 2" xfId="9542" xr:uid="{00000000-0005-0000-0000-000041250000}"/>
    <cellStyle name="Entrada 4 2 4 2 3 2 2" xfId="9543" xr:uid="{00000000-0005-0000-0000-000042250000}"/>
    <cellStyle name="Entrada 4 2 4 2 3 2 3" xfId="9544" xr:uid="{00000000-0005-0000-0000-000043250000}"/>
    <cellStyle name="Entrada 4 2 4 2 3 2 4" xfId="9545" xr:uid="{00000000-0005-0000-0000-000044250000}"/>
    <cellStyle name="Entrada 4 2 4 2 3 3" xfId="9546" xr:uid="{00000000-0005-0000-0000-000045250000}"/>
    <cellStyle name="Entrada 4 2 4 2 3 3 2" xfId="9547" xr:uid="{00000000-0005-0000-0000-000046250000}"/>
    <cellStyle name="Entrada 4 2 4 2 3 3 3" xfId="9548" xr:uid="{00000000-0005-0000-0000-000047250000}"/>
    <cellStyle name="Entrada 4 2 4 2 3 3 4" xfId="9549" xr:uid="{00000000-0005-0000-0000-000048250000}"/>
    <cellStyle name="Entrada 4 2 4 2 3 4" xfId="9550" xr:uid="{00000000-0005-0000-0000-000049250000}"/>
    <cellStyle name="Entrada 4 2 4 2 3 5" xfId="9551" xr:uid="{00000000-0005-0000-0000-00004A250000}"/>
    <cellStyle name="Entrada 4 2 4 2 3 6" xfId="9552" xr:uid="{00000000-0005-0000-0000-00004B250000}"/>
    <cellStyle name="Entrada 4 2 4 2 4" xfId="9553" xr:uid="{00000000-0005-0000-0000-00004C250000}"/>
    <cellStyle name="Entrada 4 2 4 2 5" xfId="9554" xr:uid="{00000000-0005-0000-0000-00004D250000}"/>
    <cellStyle name="Entrada 4 2 4 2 6" xfId="9555" xr:uid="{00000000-0005-0000-0000-00004E250000}"/>
    <cellStyle name="Entrada 4 2 4 3" xfId="9556" xr:uid="{00000000-0005-0000-0000-00004F250000}"/>
    <cellStyle name="Entrada 4 2 4 4" xfId="9557" xr:uid="{00000000-0005-0000-0000-000050250000}"/>
    <cellStyle name="Entrada 4 2 5" xfId="9558" xr:uid="{00000000-0005-0000-0000-000051250000}"/>
    <cellStyle name="Entrada 4 2 5 2" xfId="9559" xr:uid="{00000000-0005-0000-0000-000052250000}"/>
    <cellStyle name="Entrada 4 2 5 2 2" xfId="9560" xr:uid="{00000000-0005-0000-0000-000053250000}"/>
    <cellStyle name="Entrada 4 2 5 2 2 2" xfId="9561" xr:uid="{00000000-0005-0000-0000-000054250000}"/>
    <cellStyle name="Entrada 4 2 5 2 2 2 2" xfId="9562" xr:uid="{00000000-0005-0000-0000-000055250000}"/>
    <cellStyle name="Entrada 4 2 5 2 2 2 3" xfId="9563" xr:uid="{00000000-0005-0000-0000-000056250000}"/>
    <cellStyle name="Entrada 4 2 5 2 2 2 4" xfId="9564" xr:uid="{00000000-0005-0000-0000-000057250000}"/>
    <cellStyle name="Entrada 4 2 5 2 2 3" xfId="9565" xr:uid="{00000000-0005-0000-0000-000058250000}"/>
    <cellStyle name="Entrada 4 2 5 2 2 3 2" xfId="9566" xr:uid="{00000000-0005-0000-0000-000059250000}"/>
    <cellStyle name="Entrada 4 2 5 2 2 3 3" xfId="9567" xr:uid="{00000000-0005-0000-0000-00005A250000}"/>
    <cellStyle name="Entrada 4 2 5 2 2 3 4" xfId="9568" xr:uid="{00000000-0005-0000-0000-00005B250000}"/>
    <cellStyle name="Entrada 4 2 5 2 2 4" xfId="9569" xr:uid="{00000000-0005-0000-0000-00005C250000}"/>
    <cellStyle name="Entrada 4 2 5 2 2 5" xfId="9570" xr:uid="{00000000-0005-0000-0000-00005D250000}"/>
    <cellStyle name="Entrada 4 2 5 2 2 6" xfId="9571" xr:uid="{00000000-0005-0000-0000-00005E250000}"/>
    <cellStyle name="Entrada 4 2 5 2 3" xfId="9572" xr:uid="{00000000-0005-0000-0000-00005F250000}"/>
    <cellStyle name="Entrada 4 2 5 2 3 2" xfId="9573" xr:uid="{00000000-0005-0000-0000-000060250000}"/>
    <cellStyle name="Entrada 4 2 5 2 3 2 2" xfId="9574" xr:uid="{00000000-0005-0000-0000-000061250000}"/>
    <cellStyle name="Entrada 4 2 5 2 3 2 3" xfId="9575" xr:uid="{00000000-0005-0000-0000-000062250000}"/>
    <cellStyle name="Entrada 4 2 5 2 3 2 4" xfId="9576" xr:uid="{00000000-0005-0000-0000-000063250000}"/>
    <cellStyle name="Entrada 4 2 5 2 3 3" xfId="9577" xr:uid="{00000000-0005-0000-0000-000064250000}"/>
    <cellStyle name="Entrada 4 2 5 2 3 3 2" xfId="9578" xr:uid="{00000000-0005-0000-0000-000065250000}"/>
    <cellStyle name="Entrada 4 2 5 2 3 3 3" xfId="9579" xr:uid="{00000000-0005-0000-0000-000066250000}"/>
    <cellStyle name="Entrada 4 2 5 2 3 3 4" xfId="9580" xr:uid="{00000000-0005-0000-0000-000067250000}"/>
    <cellStyle name="Entrada 4 2 5 2 3 4" xfId="9581" xr:uid="{00000000-0005-0000-0000-000068250000}"/>
    <cellStyle name="Entrada 4 2 5 2 3 5" xfId="9582" xr:uid="{00000000-0005-0000-0000-000069250000}"/>
    <cellStyle name="Entrada 4 2 5 2 3 6" xfId="9583" xr:uid="{00000000-0005-0000-0000-00006A250000}"/>
    <cellStyle name="Entrada 4 2 5 2 4" xfId="9584" xr:uid="{00000000-0005-0000-0000-00006B250000}"/>
    <cellStyle name="Entrada 4 2 5 2 5" xfId="9585" xr:uid="{00000000-0005-0000-0000-00006C250000}"/>
    <cellStyle name="Entrada 4 2 5 2 6" xfId="9586" xr:uid="{00000000-0005-0000-0000-00006D250000}"/>
    <cellStyle name="Entrada 4 2 5 3" xfId="9587" xr:uid="{00000000-0005-0000-0000-00006E250000}"/>
    <cellStyle name="Entrada 4 2 5 4" xfId="9588" xr:uid="{00000000-0005-0000-0000-00006F250000}"/>
    <cellStyle name="Entrada 4 2 6" xfId="9589" xr:uid="{00000000-0005-0000-0000-000070250000}"/>
    <cellStyle name="Entrada 4 2 6 2" xfId="9590" xr:uid="{00000000-0005-0000-0000-000071250000}"/>
    <cellStyle name="Entrada 4 2 6 2 2" xfId="9591" xr:uid="{00000000-0005-0000-0000-000072250000}"/>
    <cellStyle name="Entrada 4 2 6 2 2 2" xfId="9592" xr:uid="{00000000-0005-0000-0000-000073250000}"/>
    <cellStyle name="Entrada 4 2 6 2 2 3" xfId="9593" xr:uid="{00000000-0005-0000-0000-000074250000}"/>
    <cellStyle name="Entrada 4 2 6 2 2 4" xfId="9594" xr:uid="{00000000-0005-0000-0000-000075250000}"/>
    <cellStyle name="Entrada 4 2 6 2 3" xfId="9595" xr:uid="{00000000-0005-0000-0000-000076250000}"/>
    <cellStyle name="Entrada 4 2 6 2 3 2" xfId="9596" xr:uid="{00000000-0005-0000-0000-000077250000}"/>
    <cellStyle name="Entrada 4 2 6 2 3 3" xfId="9597" xr:uid="{00000000-0005-0000-0000-000078250000}"/>
    <cellStyle name="Entrada 4 2 6 2 3 4" xfId="9598" xr:uid="{00000000-0005-0000-0000-000079250000}"/>
    <cellStyle name="Entrada 4 2 6 2 4" xfId="9599" xr:uid="{00000000-0005-0000-0000-00007A250000}"/>
    <cellStyle name="Entrada 4 2 6 2 5" xfId="9600" xr:uid="{00000000-0005-0000-0000-00007B250000}"/>
    <cellStyle name="Entrada 4 2 6 2 6" xfId="9601" xr:uid="{00000000-0005-0000-0000-00007C250000}"/>
    <cellStyle name="Entrada 4 2 6 3" xfId="9602" xr:uid="{00000000-0005-0000-0000-00007D250000}"/>
    <cellStyle name="Entrada 4 2 6 3 2" xfId="9603" xr:uid="{00000000-0005-0000-0000-00007E250000}"/>
    <cellStyle name="Entrada 4 2 6 3 2 2" xfId="9604" xr:uid="{00000000-0005-0000-0000-00007F250000}"/>
    <cellStyle name="Entrada 4 2 6 3 2 3" xfId="9605" xr:uid="{00000000-0005-0000-0000-000080250000}"/>
    <cellStyle name="Entrada 4 2 6 3 2 4" xfId="9606" xr:uid="{00000000-0005-0000-0000-000081250000}"/>
    <cellStyle name="Entrada 4 2 6 3 3" xfId="9607" xr:uid="{00000000-0005-0000-0000-000082250000}"/>
    <cellStyle name="Entrada 4 2 6 3 3 2" xfId="9608" xr:uid="{00000000-0005-0000-0000-000083250000}"/>
    <cellStyle name="Entrada 4 2 6 3 3 3" xfId="9609" xr:uid="{00000000-0005-0000-0000-000084250000}"/>
    <cellStyle name="Entrada 4 2 6 3 3 4" xfId="9610" xr:uid="{00000000-0005-0000-0000-000085250000}"/>
    <cellStyle name="Entrada 4 2 6 3 4" xfId="9611" xr:uid="{00000000-0005-0000-0000-000086250000}"/>
    <cellStyle name="Entrada 4 2 6 3 5" xfId="9612" xr:uid="{00000000-0005-0000-0000-000087250000}"/>
    <cellStyle name="Entrada 4 2 6 3 6" xfId="9613" xr:uid="{00000000-0005-0000-0000-000088250000}"/>
    <cellStyle name="Entrada 4 2 6 4" xfId="9614" xr:uid="{00000000-0005-0000-0000-000089250000}"/>
    <cellStyle name="Entrada 4 2 6 4 2" xfId="9615" xr:uid="{00000000-0005-0000-0000-00008A250000}"/>
    <cellStyle name="Entrada 4 2 6 4 3" xfId="9616" xr:uid="{00000000-0005-0000-0000-00008B250000}"/>
    <cellStyle name="Entrada 4 2 6 4 4" xfId="9617" xr:uid="{00000000-0005-0000-0000-00008C250000}"/>
    <cellStyle name="Entrada 4 2 6 5" xfId="9618" xr:uid="{00000000-0005-0000-0000-00008D250000}"/>
    <cellStyle name="Entrada 4 2 6 6" xfId="9619" xr:uid="{00000000-0005-0000-0000-00008E250000}"/>
    <cellStyle name="Entrada 4 2 7" xfId="9620" xr:uid="{00000000-0005-0000-0000-00008F250000}"/>
    <cellStyle name="Entrada 4 2 7 2" xfId="9621" xr:uid="{00000000-0005-0000-0000-000090250000}"/>
    <cellStyle name="Entrada 4 2 7 2 2" xfId="9622" xr:uid="{00000000-0005-0000-0000-000091250000}"/>
    <cellStyle name="Entrada 4 2 7 2 2 2" xfId="9623" xr:uid="{00000000-0005-0000-0000-000092250000}"/>
    <cellStyle name="Entrada 4 2 7 2 2 3" xfId="9624" xr:uid="{00000000-0005-0000-0000-000093250000}"/>
    <cellStyle name="Entrada 4 2 7 2 2 4" xfId="9625" xr:uid="{00000000-0005-0000-0000-000094250000}"/>
    <cellStyle name="Entrada 4 2 7 2 3" xfId="9626" xr:uid="{00000000-0005-0000-0000-000095250000}"/>
    <cellStyle name="Entrada 4 2 7 2 3 2" xfId="9627" xr:uid="{00000000-0005-0000-0000-000096250000}"/>
    <cellStyle name="Entrada 4 2 7 2 3 3" xfId="9628" xr:uid="{00000000-0005-0000-0000-000097250000}"/>
    <cellStyle name="Entrada 4 2 7 2 3 4" xfId="9629" xr:uid="{00000000-0005-0000-0000-000098250000}"/>
    <cellStyle name="Entrada 4 2 7 2 4" xfId="9630" xr:uid="{00000000-0005-0000-0000-000099250000}"/>
    <cellStyle name="Entrada 4 2 7 2 5" xfId="9631" xr:uid="{00000000-0005-0000-0000-00009A250000}"/>
    <cellStyle name="Entrada 4 2 7 2 6" xfId="9632" xr:uid="{00000000-0005-0000-0000-00009B250000}"/>
    <cellStyle name="Entrada 4 2 7 3" xfId="9633" xr:uid="{00000000-0005-0000-0000-00009C250000}"/>
    <cellStyle name="Entrada 4 2 7 3 2" xfId="9634" xr:uid="{00000000-0005-0000-0000-00009D250000}"/>
    <cellStyle name="Entrada 4 2 7 3 2 2" xfId="9635" xr:uid="{00000000-0005-0000-0000-00009E250000}"/>
    <cellStyle name="Entrada 4 2 7 3 2 3" xfId="9636" xr:uid="{00000000-0005-0000-0000-00009F250000}"/>
    <cellStyle name="Entrada 4 2 7 3 2 4" xfId="9637" xr:uid="{00000000-0005-0000-0000-0000A0250000}"/>
    <cellStyle name="Entrada 4 2 7 3 3" xfId="9638" xr:uid="{00000000-0005-0000-0000-0000A1250000}"/>
    <cellStyle name="Entrada 4 2 7 3 3 2" xfId="9639" xr:uid="{00000000-0005-0000-0000-0000A2250000}"/>
    <cellStyle name="Entrada 4 2 7 3 3 3" xfId="9640" xr:uid="{00000000-0005-0000-0000-0000A3250000}"/>
    <cellStyle name="Entrada 4 2 7 3 3 4" xfId="9641" xr:uid="{00000000-0005-0000-0000-0000A4250000}"/>
    <cellStyle name="Entrada 4 2 7 3 4" xfId="9642" xr:uid="{00000000-0005-0000-0000-0000A5250000}"/>
    <cellStyle name="Entrada 4 2 7 3 5" xfId="9643" xr:uid="{00000000-0005-0000-0000-0000A6250000}"/>
    <cellStyle name="Entrada 4 2 7 3 6" xfId="9644" xr:uid="{00000000-0005-0000-0000-0000A7250000}"/>
    <cellStyle name="Entrada 4 2 7 4" xfId="9645" xr:uid="{00000000-0005-0000-0000-0000A8250000}"/>
    <cellStyle name="Entrada 4 2 7 4 2" xfId="9646" xr:uid="{00000000-0005-0000-0000-0000A9250000}"/>
    <cellStyle name="Entrada 4 2 7 4 3" xfId="9647" xr:uid="{00000000-0005-0000-0000-0000AA250000}"/>
    <cellStyle name="Entrada 4 2 7 4 4" xfId="9648" xr:uid="{00000000-0005-0000-0000-0000AB250000}"/>
    <cellStyle name="Entrada 4 2 7 5" xfId="9649" xr:uid="{00000000-0005-0000-0000-0000AC250000}"/>
    <cellStyle name="Entrada 4 2 7 6" xfId="9650" xr:uid="{00000000-0005-0000-0000-0000AD250000}"/>
    <cellStyle name="Entrada 4 2 8" xfId="9651" xr:uid="{00000000-0005-0000-0000-0000AE250000}"/>
    <cellStyle name="Entrada 4 2 8 2" xfId="9652" xr:uid="{00000000-0005-0000-0000-0000AF250000}"/>
    <cellStyle name="Entrada 4 2 8 2 2" xfId="9653" xr:uid="{00000000-0005-0000-0000-0000B0250000}"/>
    <cellStyle name="Entrada 4 2 8 2 2 2" xfId="9654" xr:uid="{00000000-0005-0000-0000-0000B1250000}"/>
    <cellStyle name="Entrada 4 2 8 2 2 3" xfId="9655" xr:uid="{00000000-0005-0000-0000-0000B2250000}"/>
    <cellStyle name="Entrada 4 2 8 2 2 4" xfId="9656" xr:uid="{00000000-0005-0000-0000-0000B3250000}"/>
    <cellStyle name="Entrada 4 2 8 2 3" xfId="9657" xr:uid="{00000000-0005-0000-0000-0000B4250000}"/>
    <cellStyle name="Entrada 4 2 8 2 3 2" xfId="9658" xr:uid="{00000000-0005-0000-0000-0000B5250000}"/>
    <cellStyle name="Entrada 4 2 8 2 3 3" xfId="9659" xr:uid="{00000000-0005-0000-0000-0000B6250000}"/>
    <cellStyle name="Entrada 4 2 8 2 3 4" xfId="9660" xr:uid="{00000000-0005-0000-0000-0000B7250000}"/>
    <cellStyle name="Entrada 4 2 8 2 4" xfId="9661" xr:uid="{00000000-0005-0000-0000-0000B8250000}"/>
    <cellStyle name="Entrada 4 2 8 2 5" xfId="9662" xr:uid="{00000000-0005-0000-0000-0000B9250000}"/>
    <cellStyle name="Entrada 4 2 8 2 6" xfId="9663" xr:uid="{00000000-0005-0000-0000-0000BA250000}"/>
    <cellStyle name="Entrada 4 2 8 3" xfId="9664" xr:uid="{00000000-0005-0000-0000-0000BB250000}"/>
    <cellStyle name="Entrada 4 2 8 3 2" xfId="9665" xr:uid="{00000000-0005-0000-0000-0000BC250000}"/>
    <cellStyle name="Entrada 4 2 8 3 2 2" xfId="9666" xr:uid="{00000000-0005-0000-0000-0000BD250000}"/>
    <cellStyle name="Entrada 4 2 8 3 2 3" xfId="9667" xr:uid="{00000000-0005-0000-0000-0000BE250000}"/>
    <cellStyle name="Entrada 4 2 8 3 2 4" xfId="9668" xr:uid="{00000000-0005-0000-0000-0000BF250000}"/>
    <cellStyle name="Entrada 4 2 8 3 3" xfId="9669" xr:uid="{00000000-0005-0000-0000-0000C0250000}"/>
    <cellStyle name="Entrada 4 2 8 3 3 2" xfId="9670" xr:uid="{00000000-0005-0000-0000-0000C1250000}"/>
    <cellStyle name="Entrada 4 2 8 3 3 3" xfId="9671" xr:uid="{00000000-0005-0000-0000-0000C2250000}"/>
    <cellStyle name="Entrada 4 2 8 3 3 4" xfId="9672" xr:uid="{00000000-0005-0000-0000-0000C3250000}"/>
    <cellStyle name="Entrada 4 2 8 3 4" xfId="9673" xr:uid="{00000000-0005-0000-0000-0000C4250000}"/>
    <cellStyle name="Entrada 4 2 8 3 5" xfId="9674" xr:uid="{00000000-0005-0000-0000-0000C5250000}"/>
    <cellStyle name="Entrada 4 2 8 3 6" xfId="9675" xr:uid="{00000000-0005-0000-0000-0000C6250000}"/>
    <cellStyle name="Entrada 4 2 8 4" xfId="9676" xr:uid="{00000000-0005-0000-0000-0000C7250000}"/>
    <cellStyle name="Entrada 4 2 8 4 2" xfId="9677" xr:uid="{00000000-0005-0000-0000-0000C8250000}"/>
    <cellStyle name="Entrada 4 2 8 4 3" xfId="9678" xr:uid="{00000000-0005-0000-0000-0000C9250000}"/>
    <cellStyle name="Entrada 4 2 8 4 4" xfId="9679" xr:uid="{00000000-0005-0000-0000-0000CA250000}"/>
    <cellStyle name="Entrada 4 2 8 5" xfId="9680" xr:uid="{00000000-0005-0000-0000-0000CB250000}"/>
    <cellStyle name="Entrada 4 2 8 6" xfId="9681" xr:uid="{00000000-0005-0000-0000-0000CC250000}"/>
    <cellStyle name="Entrada 4 2 9" xfId="9682" xr:uid="{00000000-0005-0000-0000-0000CD250000}"/>
    <cellStyle name="Entrada 4 2 9 2" xfId="9683" xr:uid="{00000000-0005-0000-0000-0000CE250000}"/>
    <cellStyle name="Entrada 4 2 9 2 2" xfId="9684" xr:uid="{00000000-0005-0000-0000-0000CF250000}"/>
    <cellStyle name="Entrada 4 2 9 2 2 2" xfId="9685" xr:uid="{00000000-0005-0000-0000-0000D0250000}"/>
    <cellStyle name="Entrada 4 2 9 2 2 3" xfId="9686" xr:uid="{00000000-0005-0000-0000-0000D1250000}"/>
    <cellStyle name="Entrada 4 2 9 2 2 4" xfId="9687" xr:uid="{00000000-0005-0000-0000-0000D2250000}"/>
    <cellStyle name="Entrada 4 2 9 2 3" xfId="9688" xr:uid="{00000000-0005-0000-0000-0000D3250000}"/>
    <cellStyle name="Entrada 4 2 9 2 3 2" xfId="9689" xr:uid="{00000000-0005-0000-0000-0000D4250000}"/>
    <cellStyle name="Entrada 4 2 9 2 3 3" xfId="9690" xr:uid="{00000000-0005-0000-0000-0000D5250000}"/>
    <cellStyle name="Entrada 4 2 9 2 3 4" xfId="9691" xr:uid="{00000000-0005-0000-0000-0000D6250000}"/>
    <cellStyle name="Entrada 4 2 9 2 4" xfId="9692" xr:uid="{00000000-0005-0000-0000-0000D7250000}"/>
    <cellStyle name="Entrada 4 2 9 2 5" xfId="9693" xr:uid="{00000000-0005-0000-0000-0000D8250000}"/>
    <cellStyle name="Entrada 4 2 9 2 6" xfId="9694" xr:uid="{00000000-0005-0000-0000-0000D9250000}"/>
    <cellStyle name="Entrada 4 2 9 3" xfId="9695" xr:uid="{00000000-0005-0000-0000-0000DA250000}"/>
    <cellStyle name="Entrada 4 2 9 3 2" xfId="9696" xr:uid="{00000000-0005-0000-0000-0000DB250000}"/>
    <cellStyle name="Entrada 4 2 9 3 2 2" xfId="9697" xr:uid="{00000000-0005-0000-0000-0000DC250000}"/>
    <cellStyle name="Entrada 4 2 9 3 2 3" xfId="9698" xr:uid="{00000000-0005-0000-0000-0000DD250000}"/>
    <cellStyle name="Entrada 4 2 9 3 2 4" xfId="9699" xr:uid="{00000000-0005-0000-0000-0000DE250000}"/>
    <cellStyle name="Entrada 4 2 9 3 3" xfId="9700" xr:uid="{00000000-0005-0000-0000-0000DF250000}"/>
    <cellStyle name="Entrada 4 2 9 3 3 2" xfId="9701" xr:uid="{00000000-0005-0000-0000-0000E0250000}"/>
    <cellStyle name="Entrada 4 2 9 3 3 3" xfId="9702" xr:uid="{00000000-0005-0000-0000-0000E1250000}"/>
    <cellStyle name="Entrada 4 2 9 3 3 4" xfId="9703" xr:uid="{00000000-0005-0000-0000-0000E2250000}"/>
    <cellStyle name="Entrada 4 2 9 3 4" xfId="9704" xr:uid="{00000000-0005-0000-0000-0000E3250000}"/>
    <cellStyle name="Entrada 4 2 9 3 5" xfId="9705" xr:uid="{00000000-0005-0000-0000-0000E4250000}"/>
    <cellStyle name="Entrada 4 2 9 3 6" xfId="9706" xr:uid="{00000000-0005-0000-0000-0000E5250000}"/>
    <cellStyle name="Entrada 4 2 9 4" xfId="9707" xr:uid="{00000000-0005-0000-0000-0000E6250000}"/>
    <cellStyle name="Entrada 4 2 9 4 2" xfId="9708" xr:uid="{00000000-0005-0000-0000-0000E7250000}"/>
    <cellStyle name="Entrada 4 2 9 4 3" xfId="9709" xr:uid="{00000000-0005-0000-0000-0000E8250000}"/>
    <cellStyle name="Entrada 4 2 9 4 4" xfId="9710" xr:uid="{00000000-0005-0000-0000-0000E9250000}"/>
    <cellStyle name="Entrada 4 2 9 5" xfId="9711" xr:uid="{00000000-0005-0000-0000-0000EA250000}"/>
    <cellStyle name="Entrada 4 2 9 6" xfId="9712" xr:uid="{00000000-0005-0000-0000-0000EB250000}"/>
    <cellStyle name="Entrada 4 3" xfId="9713" xr:uid="{00000000-0005-0000-0000-0000EC250000}"/>
    <cellStyle name="Entrada 4 3 10" xfId="9714" xr:uid="{00000000-0005-0000-0000-0000ED250000}"/>
    <cellStyle name="Entrada 4 3 10 2" xfId="9715" xr:uid="{00000000-0005-0000-0000-0000EE250000}"/>
    <cellStyle name="Entrada 4 3 10 2 2" xfId="9716" xr:uid="{00000000-0005-0000-0000-0000EF250000}"/>
    <cellStyle name="Entrada 4 3 10 2 2 2" xfId="9717" xr:uid="{00000000-0005-0000-0000-0000F0250000}"/>
    <cellStyle name="Entrada 4 3 10 2 2 3" xfId="9718" xr:uid="{00000000-0005-0000-0000-0000F1250000}"/>
    <cellStyle name="Entrada 4 3 10 2 2 4" xfId="9719" xr:uid="{00000000-0005-0000-0000-0000F2250000}"/>
    <cellStyle name="Entrada 4 3 10 2 3" xfId="9720" xr:uid="{00000000-0005-0000-0000-0000F3250000}"/>
    <cellStyle name="Entrada 4 3 10 2 3 2" xfId="9721" xr:uid="{00000000-0005-0000-0000-0000F4250000}"/>
    <cellStyle name="Entrada 4 3 10 2 3 3" xfId="9722" xr:uid="{00000000-0005-0000-0000-0000F5250000}"/>
    <cellStyle name="Entrada 4 3 10 2 3 4" xfId="9723" xr:uid="{00000000-0005-0000-0000-0000F6250000}"/>
    <cellStyle name="Entrada 4 3 10 2 4" xfId="9724" xr:uid="{00000000-0005-0000-0000-0000F7250000}"/>
    <cellStyle name="Entrada 4 3 10 2 5" xfId="9725" xr:uid="{00000000-0005-0000-0000-0000F8250000}"/>
    <cellStyle name="Entrada 4 3 10 2 6" xfId="9726" xr:uid="{00000000-0005-0000-0000-0000F9250000}"/>
    <cellStyle name="Entrada 4 3 10 3" xfId="9727" xr:uid="{00000000-0005-0000-0000-0000FA250000}"/>
    <cellStyle name="Entrada 4 3 10 3 2" xfId="9728" xr:uid="{00000000-0005-0000-0000-0000FB250000}"/>
    <cellStyle name="Entrada 4 3 10 3 2 2" xfId="9729" xr:uid="{00000000-0005-0000-0000-0000FC250000}"/>
    <cellStyle name="Entrada 4 3 10 3 2 3" xfId="9730" xr:uid="{00000000-0005-0000-0000-0000FD250000}"/>
    <cellStyle name="Entrada 4 3 10 3 2 4" xfId="9731" xr:uid="{00000000-0005-0000-0000-0000FE250000}"/>
    <cellStyle name="Entrada 4 3 10 3 3" xfId="9732" xr:uid="{00000000-0005-0000-0000-0000FF250000}"/>
    <cellStyle name="Entrada 4 3 10 3 3 2" xfId="9733" xr:uid="{00000000-0005-0000-0000-000000260000}"/>
    <cellStyle name="Entrada 4 3 10 3 3 3" xfId="9734" xr:uid="{00000000-0005-0000-0000-000001260000}"/>
    <cellStyle name="Entrada 4 3 10 3 3 4" xfId="9735" xr:uid="{00000000-0005-0000-0000-000002260000}"/>
    <cellStyle name="Entrada 4 3 10 3 4" xfId="9736" xr:uid="{00000000-0005-0000-0000-000003260000}"/>
    <cellStyle name="Entrada 4 3 10 3 5" xfId="9737" xr:uid="{00000000-0005-0000-0000-000004260000}"/>
    <cellStyle name="Entrada 4 3 10 3 6" xfId="9738" xr:uid="{00000000-0005-0000-0000-000005260000}"/>
    <cellStyle name="Entrada 4 3 10 4" xfId="9739" xr:uid="{00000000-0005-0000-0000-000006260000}"/>
    <cellStyle name="Entrada 4 3 10 5" xfId="9740" xr:uid="{00000000-0005-0000-0000-000007260000}"/>
    <cellStyle name="Entrada 4 3 10 6" xfId="9741" xr:uid="{00000000-0005-0000-0000-000008260000}"/>
    <cellStyle name="Entrada 4 3 11" xfId="9742" xr:uid="{00000000-0005-0000-0000-000009260000}"/>
    <cellStyle name="Entrada 4 3 12" xfId="9743" xr:uid="{00000000-0005-0000-0000-00000A260000}"/>
    <cellStyle name="Entrada 4 3 2" xfId="9744" xr:uid="{00000000-0005-0000-0000-00000B260000}"/>
    <cellStyle name="Entrada 4 3 2 2" xfId="9745" xr:uid="{00000000-0005-0000-0000-00000C260000}"/>
    <cellStyle name="Entrada 4 3 2 2 2" xfId="9746" xr:uid="{00000000-0005-0000-0000-00000D260000}"/>
    <cellStyle name="Entrada 4 3 2 2 2 2" xfId="9747" xr:uid="{00000000-0005-0000-0000-00000E260000}"/>
    <cellStyle name="Entrada 4 3 2 2 2 2 2" xfId="9748" xr:uid="{00000000-0005-0000-0000-00000F260000}"/>
    <cellStyle name="Entrada 4 3 2 2 2 2 3" xfId="9749" xr:uid="{00000000-0005-0000-0000-000010260000}"/>
    <cellStyle name="Entrada 4 3 2 2 2 2 4" xfId="9750" xr:uid="{00000000-0005-0000-0000-000011260000}"/>
    <cellStyle name="Entrada 4 3 2 2 2 3" xfId="9751" xr:uid="{00000000-0005-0000-0000-000012260000}"/>
    <cellStyle name="Entrada 4 3 2 2 2 3 2" xfId="9752" xr:uid="{00000000-0005-0000-0000-000013260000}"/>
    <cellStyle name="Entrada 4 3 2 2 2 3 3" xfId="9753" xr:uid="{00000000-0005-0000-0000-000014260000}"/>
    <cellStyle name="Entrada 4 3 2 2 2 3 4" xfId="9754" xr:uid="{00000000-0005-0000-0000-000015260000}"/>
    <cellStyle name="Entrada 4 3 2 2 2 4" xfId="9755" xr:uid="{00000000-0005-0000-0000-000016260000}"/>
    <cellStyle name="Entrada 4 3 2 2 2 5" xfId="9756" xr:uid="{00000000-0005-0000-0000-000017260000}"/>
    <cellStyle name="Entrada 4 3 2 2 2 6" xfId="9757" xr:uid="{00000000-0005-0000-0000-000018260000}"/>
    <cellStyle name="Entrada 4 3 2 2 3" xfId="9758" xr:uid="{00000000-0005-0000-0000-000019260000}"/>
    <cellStyle name="Entrada 4 3 2 2 3 2" xfId="9759" xr:uid="{00000000-0005-0000-0000-00001A260000}"/>
    <cellStyle name="Entrada 4 3 2 2 3 2 2" xfId="9760" xr:uid="{00000000-0005-0000-0000-00001B260000}"/>
    <cellStyle name="Entrada 4 3 2 2 3 2 3" xfId="9761" xr:uid="{00000000-0005-0000-0000-00001C260000}"/>
    <cellStyle name="Entrada 4 3 2 2 3 2 4" xfId="9762" xr:uid="{00000000-0005-0000-0000-00001D260000}"/>
    <cellStyle name="Entrada 4 3 2 2 3 3" xfId="9763" xr:uid="{00000000-0005-0000-0000-00001E260000}"/>
    <cellStyle name="Entrada 4 3 2 2 3 3 2" xfId="9764" xr:uid="{00000000-0005-0000-0000-00001F260000}"/>
    <cellStyle name="Entrada 4 3 2 2 3 3 3" xfId="9765" xr:uid="{00000000-0005-0000-0000-000020260000}"/>
    <cellStyle name="Entrada 4 3 2 2 3 3 4" xfId="9766" xr:uid="{00000000-0005-0000-0000-000021260000}"/>
    <cellStyle name="Entrada 4 3 2 2 3 4" xfId="9767" xr:uid="{00000000-0005-0000-0000-000022260000}"/>
    <cellStyle name="Entrada 4 3 2 2 3 5" xfId="9768" xr:uid="{00000000-0005-0000-0000-000023260000}"/>
    <cellStyle name="Entrada 4 3 2 2 3 6" xfId="9769" xr:uid="{00000000-0005-0000-0000-000024260000}"/>
    <cellStyle name="Entrada 4 3 2 2 4" xfId="9770" xr:uid="{00000000-0005-0000-0000-000025260000}"/>
    <cellStyle name="Entrada 4 3 2 2 5" xfId="9771" xr:uid="{00000000-0005-0000-0000-000026260000}"/>
    <cellStyle name="Entrada 4 3 2 2 6" xfId="9772" xr:uid="{00000000-0005-0000-0000-000027260000}"/>
    <cellStyle name="Entrada 4 3 2 3" xfId="9773" xr:uid="{00000000-0005-0000-0000-000028260000}"/>
    <cellStyle name="Entrada 4 3 2 4" xfId="9774" xr:uid="{00000000-0005-0000-0000-000029260000}"/>
    <cellStyle name="Entrada 4 3 3" xfId="9775" xr:uid="{00000000-0005-0000-0000-00002A260000}"/>
    <cellStyle name="Entrada 4 3 3 2" xfId="9776" xr:uid="{00000000-0005-0000-0000-00002B260000}"/>
    <cellStyle name="Entrada 4 3 3 2 2" xfId="9777" xr:uid="{00000000-0005-0000-0000-00002C260000}"/>
    <cellStyle name="Entrada 4 3 3 2 2 2" xfId="9778" xr:uid="{00000000-0005-0000-0000-00002D260000}"/>
    <cellStyle name="Entrada 4 3 3 2 2 2 2" xfId="9779" xr:uid="{00000000-0005-0000-0000-00002E260000}"/>
    <cellStyle name="Entrada 4 3 3 2 2 2 3" xfId="9780" xr:uid="{00000000-0005-0000-0000-00002F260000}"/>
    <cellStyle name="Entrada 4 3 3 2 2 2 4" xfId="9781" xr:uid="{00000000-0005-0000-0000-000030260000}"/>
    <cellStyle name="Entrada 4 3 3 2 2 3" xfId="9782" xr:uid="{00000000-0005-0000-0000-000031260000}"/>
    <cellStyle name="Entrada 4 3 3 2 2 3 2" xfId="9783" xr:uid="{00000000-0005-0000-0000-000032260000}"/>
    <cellStyle name="Entrada 4 3 3 2 2 3 3" xfId="9784" xr:uid="{00000000-0005-0000-0000-000033260000}"/>
    <cellStyle name="Entrada 4 3 3 2 2 3 4" xfId="9785" xr:uid="{00000000-0005-0000-0000-000034260000}"/>
    <cellStyle name="Entrada 4 3 3 2 2 4" xfId="9786" xr:uid="{00000000-0005-0000-0000-000035260000}"/>
    <cellStyle name="Entrada 4 3 3 2 2 5" xfId="9787" xr:uid="{00000000-0005-0000-0000-000036260000}"/>
    <cellStyle name="Entrada 4 3 3 2 2 6" xfId="9788" xr:uid="{00000000-0005-0000-0000-000037260000}"/>
    <cellStyle name="Entrada 4 3 3 2 3" xfId="9789" xr:uid="{00000000-0005-0000-0000-000038260000}"/>
    <cellStyle name="Entrada 4 3 3 2 3 2" xfId="9790" xr:uid="{00000000-0005-0000-0000-000039260000}"/>
    <cellStyle name="Entrada 4 3 3 2 3 2 2" xfId="9791" xr:uid="{00000000-0005-0000-0000-00003A260000}"/>
    <cellStyle name="Entrada 4 3 3 2 3 2 3" xfId="9792" xr:uid="{00000000-0005-0000-0000-00003B260000}"/>
    <cellStyle name="Entrada 4 3 3 2 3 2 4" xfId="9793" xr:uid="{00000000-0005-0000-0000-00003C260000}"/>
    <cellStyle name="Entrada 4 3 3 2 3 3" xfId="9794" xr:uid="{00000000-0005-0000-0000-00003D260000}"/>
    <cellStyle name="Entrada 4 3 3 2 3 3 2" xfId="9795" xr:uid="{00000000-0005-0000-0000-00003E260000}"/>
    <cellStyle name="Entrada 4 3 3 2 3 3 3" xfId="9796" xr:uid="{00000000-0005-0000-0000-00003F260000}"/>
    <cellStyle name="Entrada 4 3 3 2 3 3 4" xfId="9797" xr:uid="{00000000-0005-0000-0000-000040260000}"/>
    <cellStyle name="Entrada 4 3 3 2 3 4" xfId="9798" xr:uid="{00000000-0005-0000-0000-000041260000}"/>
    <cellStyle name="Entrada 4 3 3 2 3 5" xfId="9799" xr:uid="{00000000-0005-0000-0000-000042260000}"/>
    <cellStyle name="Entrada 4 3 3 2 3 6" xfId="9800" xr:uid="{00000000-0005-0000-0000-000043260000}"/>
    <cellStyle name="Entrada 4 3 3 2 4" xfId="9801" xr:uid="{00000000-0005-0000-0000-000044260000}"/>
    <cellStyle name="Entrada 4 3 3 2 5" xfId="9802" xr:uid="{00000000-0005-0000-0000-000045260000}"/>
    <cellStyle name="Entrada 4 3 3 2 6" xfId="9803" xr:uid="{00000000-0005-0000-0000-000046260000}"/>
    <cellStyle name="Entrada 4 3 3 3" xfId="9804" xr:uid="{00000000-0005-0000-0000-000047260000}"/>
    <cellStyle name="Entrada 4 3 3 4" xfId="9805" xr:uid="{00000000-0005-0000-0000-000048260000}"/>
    <cellStyle name="Entrada 4 3 4" xfId="9806" xr:uid="{00000000-0005-0000-0000-000049260000}"/>
    <cellStyle name="Entrada 4 3 4 2" xfId="9807" xr:uid="{00000000-0005-0000-0000-00004A260000}"/>
    <cellStyle name="Entrada 4 3 4 2 2" xfId="9808" xr:uid="{00000000-0005-0000-0000-00004B260000}"/>
    <cellStyle name="Entrada 4 3 4 2 2 2" xfId="9809" xr:uid="{00000000-0005-0000-0000-00004C260000}"/>
    <cellStyle name="Entrada 4 3 4 2 2 2 2" xfId="9810" xr:uid="{00000000-0005-0000-0000-00004D260000}"/>
    <cellStyle name="Entrada 4 3 4 2 2 2 3" xfId="9811" xr:uid="{00000000-0005-0000-0000-00004E260000}"/>
    <cellStyle name="Entrada 4 3 4 2 2 2 4" xfId="9812" xr:uid="{00000000-0005-0000-0000-00004F260000}"/>
    <cellStyle name="Entrada 4 3 4 2 2 3" xfId="9813" xr:uid="{00000000-0005-0000-0000-000050260000}"/>
    <cellStyle name="Entrada 4 3 4 2 2 3 2" xfId="9814" xr:uid="{00000000-0005-0000-0000-000051260000}"/>
    <cellStyle name="Entrada 4 3 4 2 2 3 3" xfId="9815" xr:uid="{00000000-0005-0000-0000-000052260000}"/>
    <cellStyle name="Entrada 4 3 4 2 2 3 4" xfId="9816" xr:uid="{00000000-0005-0000-0000-000053260000}"/>
    <cellStyle name="Entrada 4 3 4 2 2 4" xfId="9817" xr:uid="{00000000-0005-0000-0000-000054260000}"/>
    <cellStyle name="Entrada 4 3 4 2 2 5" xfId="9818" xr:uid="{00000000-0005-0000-0000-000055260000}"/>
    <cellStyle name="Entrada 4 3 4 2 2 6" xfId="9819" xr:uid="{00000000-0005-0000-0000-000056260000}"/>
    <cellStyle name="Entrada 4 3 4 2 3" xfId="9820" xr:uid="{00000000-0005-0000-0000-000057260000}"/>
    <cellStyle name="Entrada 4 3 4 2 3 2" xfId="9821" xr:uid="{00000000-0005-0000-0000-000058260000}"/>
    <cellStyle name="Entrada 4 3 4 2 3 2 2" xfId="9822" xr:uid="{00000000-0005-0000-0000-000059260000}"/>
    <cellStyle name="Entrada 4 3 4 2 3 2 3" xfId="9823" xr:uid="{00000000-0005-0000-0000-00005A260000}"/>
    <cellStyle name="Entrada 4 3 4 2 3 2 4" xfId="9824" xr:uid="{00000000-0005-0000-0000-00005B260000}"/>
    <cellStyle name="Entrada 4 3 4 2 3 3" xfId="9825" xr:uid="{00000000-0005-0000-0000-00005C260000}"/>
    <cellStyle name="Entrada 4 3 4 2 3 3 2" xfId="9826" xr:uid="{00000000-0005-0000-0000-00005D260000}"/>
    <cellStyle name="Entrada 4 3 4 2 3 3 3" xfId="9827" xr:uid="{00000000-0005-0000-0000-00005E260000}"/>
    <cellStyle name="Entrada 4 3 4 2 3 3 4" xfId="9828" xr:uid="{00000000-0005-0000-0000-00005F260000}"/>
    <cellStyle name="Entrada 4 3 4 2 3 4" xfId="9829" xr:uid="{00000000-0005-0000-0000-000060260000}"/>
    <cellStyle name="Entrada 4 3 4 2 3 5" xfId="9830" xr:uid="{00000000-0005-0000-0000-000061260000}"/>
    <cellStyle name="Entrada 4 3 4 2 3 6" xfId="9831" xr:uid="{00000000-0005-0000-0000-000062260000}"/>
    <cellStyle name="Entrada 4 3 4 2 4" xfId="9832" xr:uid="{00000000-0005-0000-0000-000063260000}"/>
    <cellStyle name="Entrada 4 3 4 2 5" xfId="9833" xr:uid="{00000000-0005-0000-0000-000064260000}"/>
    <cellStyle name="Entrada 4 3 4 2 6" xfId="9834" xr:uid="{00000000-0005-0000-0000-000065260000}"/>
    <cellStyle name="Entrada 4 3 4 3" xfId="9835" xr:uid="{00000000-0005-0000-0000-000066260000}"/>
    <cellStyle name="Entrada 4 3 4 4" xfId="9836" xr:uid="{00000000-0005-0000-0000-000067260000}"/>
    <cellStyle name="Entrada 4 3 5" xfId="9837" xr:uid="{00000000-0005-0000-0000-000068260000}"/>
    <cellStyle name="Entrada 4 3 5 2" xfId="9838" xr:uid="{00000000-0005-0000-0000-000069260000}"/>
    <cellStyle name="Entrada 4 3 5 2 2" xfId="9839" xr:uid="{00000000-0005-0000-0000-00006A260000}"/>
    <cellStyle name="Entrada 4 3 5 2 2 2" xfId="9840" xr:uid="{00000000-0005-0000-0000-00006B260000}"/>
    <cellStyle name="Entrada 4 3 5 2 2 2 2" xfId="9841" xr:uid="{00000000-0005-0000-0000-00006C260000}"/>
    <cellStyle name="Entrada 4 3 5 2 2 2 3" xfId="9842" xr:uid="{00000000-0005-0000-0000-00006D260000}"/>
    <cellStyle name="Entrada 4 3 5 2 2 2 4" xfId="9843" xr:uid="{00000000-0005-0000-0000-00006E260000}"/>
    <cellStyle name="Entrada 4 3 5 2 2 3" xfId="9844" xr:uid="{00000000-0005-0000-0000-00006F260000}"/>
    <cellStyle name="Entrada 4 3 5 2 2 3 2" xfId="9845" xr:uid="{00000000-0005-0000-0000-000070260000}"/>
    <cellStyle name="Entrada 4 3 5 2 2 3 3" xfId="9846" xr:uid="{00000000-0005-0000-0000-000071260000}"/>
    <cellStyle name="Entrada 4 3 5 2 2 3 4" xfId="9847" xr:uid="{00000000-0005-0000-0000-000072260000}"/>
    <cellStyle name="Entrada 4 3 5 2 2 4" xfId="9848" xr:uid="{00000000-0005-0000-0000-000073260000}"/>
    <cellStyle name="Entrada 4 3 5 2 2 5" xfId="9849" xr:uid="{00000000-0005-0000-0000-000074260000}"/>
    <cellStyle name="Entrada 4 3 5 2 2 6" xfId="9850" xr:uid="{00000000-0005-0000-0000-000075260000}"/>
    <cellStyle name="Entrada 4 3 5 2 3" xfId="9851" xr:uid="{00000000-0005-0000-0000-000076260000}"/>
    <cellStyle name="Entrada 4 3 5 2 3 2" xfId="9852" xr:uid="{00000000-0005-0000-0000-000077260000}"/>
    <cellStyle name="Entrada 4 3 5 2 3 2 2" xfId="9853" xr:uid="{00000000-0005-0000-0000-000078260000}"/>
    <cellStyle name="Entrada 4 3 5 2 3 2 3" xfId="9854" xr:uid="{00000000-0005-0000-0000-000079260000}"/>
    <cellStyle name="Entrada 4 3 5 2 3 2 4" xfId="9855" xr:uid="{00000000-0005-0000-0000-00007A260000}"/>
    <cellStyle name="Entrada 4 3 5 2 3 3" xfId="9856" xr:uid="{00000000-0005-0000-0000-00007B260000}"/>
    <cellStyle name="Entrada 4 3 5 2 3 3 2" xfId="9857" xr:uid="{00000000-0005-0000-0000-00007C260000}"/>
    <cellStyle name="Entrada 4 3 5 2 3 3 3" xfId="9858" xr:uid="{00000000-0005-0000-0000-00007D260000}"/>
    <cellStyle name="Entrada 4 3 5 2 3 3 4" xfId="9859" xr:uid="{00000000-0005-0000-0000-00007E260000}"/>
    <cellStyle name="Entrada 4 3 5 2 3 4" xfId="9860" xr:uid="{00000000-0005-0000-0000-00007F260000}"/>
    <cellStyle name="Entrada 4 3 5 2 3 5" xfId="9861" xr:uid="{00000000-0005-0000-0000-000080260000}"/>
    <cellStyle name="Entrada 4 3 5 2 3 6" xfId="9862" xr:uid="{00000000-0005-0000-0000-000081260000}"/>
    <cellStyle name="Entrada 4 3 5 2 4" xfId="9863" xr:uid="{00000000-0005-0000-0000-000082260000}"/>
    <cellStyle name="Entrada 4 3 5 2 5" xfId="9864" xr:uid="{00000000-0005-0000-0000-000083260000}"/>
    <cellStyle name="Entrada 4 3 5 2 6" xfId="9865" xr:uid="{00000000-0005-0000-0000-000084260000}"/>
    <cellStyle name="Entrada 4 3 5 3" xfId="9866" xr:uid="{00000000-0005-0000-0000-000085260000}"/>
    <cellStyle name="Entrada 4 3 5 4" xfId="9867" xr:uid="{00000000-0005-0000-0000-000086260000}"/>
    <cellStyle name="Entrada 4 3 6" xfId="9868" xr:uid="{00000000-0005-0000-0000-000087260000}"/>
    <cellStyle name="Entrada 4 3 6 2" xfId="9869" xr:uid="{00000000-0005-0000-0000-000088260000}"/>
    <cellStyle name="Entrada 4 3 6 2 2" xfId="9870" xr:uid="{00000000-0005-0000-0000-000089260000}"/>
    <cellStyle name="Entrada 4 3 6 2 2 2" xfId="9871" xr:uid="{00000000-0005-0000-0000-00008A260000}"/>
    <cellStyle name="Entrada 4 3 6 2 2 3" xfId="9872" xr:uid="{00000000-0005-0000-0000-00008B260000}"/>
    <cellStyle name="Entrada 4 3 6 2 2 4" xfId="9873" xr:uid="{00000000-0005-0000-0000-00008C260000}"/>
    <cellStyle name="Entrada 4 3 6 2 3" xfId="9874" xr:uid="{00000000-0005-0000-0000-00008D260000}"/>
    <cellStyle name="Entrada 4 3 6 2 3 2" xfId="9875" xr:uid="{00000000-0005-0000-0000-00008E260000}"/>
    <cellStyle name="Entrada 4 3 6 2 3 3" xfId="9876" xr:uid="{00000000-0005-0000-0000-00008F260000}"/>
    <cellStyle name="Entrada 4 3 6 2 3 4" xfId="9877" xr:uid="{00000000-0005-0000-0000-000090260000}"/>
    <cellStyle name="Entrada 4 3 6 2 4" xfId="9878" xr:uid="{00000000-0005-0000-0000-000091260000}"/>
    <cellStyle name="Entrada 4 3 6 2 5" xfId="9879" xr:uid="{00000000-0005-0000-0000-000092260000}"/>
    <cellStyle name="Entrada 4 3 6 2 6" xfId="9880" xr:uid="{00000000-0005-0000-0000-000093260000}"/>
    <cellStyle name="Entrada 4 3 6 3" xfId="9881" xr:uid="{00000000-0005-0000-0000-000094260000}"/>
    <cellStyle name="Entrada 4 3 6 3 2" xfId="9882" xr:uid="{00000000-0005-0000-0000-000095260000}"/>
    <cellStyle name="Entrada 4 3 6 3 2 2" xfId="9883" xr:uid="{00000000-0005-0000-0000-000096260000}"/>
    <cellStyle name="Entrada 4 3 6 3 2 3" xfId="9884" xr:uid="{00000000-0005-0000-0000-000097260000}"/>
    <cellStyle name="Entrada 4 3 6 3 2 4" xfId="9885" xr:uid="{00000000-0005-0000-0000-000098260000}"/>
    <cellStyle name="Entrada 4 3 6 3 3" xfId="9886" xr:uid="{00000000-0005-0000-0000-000099260000}"/>
    <cellStyle name="Entrada 4 3 6 3 3 2" xfId="9887" xr:uid="{00000000-0005-0000-0000-00009A260000}"/>
    <cellStyle name="Entrada 4 3 6 3 3 3" xfId="9888" xr:uid="{00000000-0005-0000-0000-00009B260000}"/>
    <cellStyle name="Entrada 4 3 6 3 3 4" xfId="9889" xr:uid="{00000000-0005-0000-0000-00009C260000}"/>
    <cellStyle name="Entrada 4 3 6 3 4" xfId="9890" xr:uid="{00000000-0005-0000-0000-00009D260000}"/>
    <cellStyle name="Entrada 4 3 6 3 5" xfId="9891" xr:uid="{00000000-0005-0000-0000-00009E260000}"/>
    <cellStyle name="Entrada 4 3 6 3 6" xfId="9892" xr:uid="{00000000-0005-0000-0000-00009F260000}"/>
    <cellStyle name="Entrada 4 3 6 4" xfId="9893" xr:uid="{00000000-0005-0000-0000-0000A0260000}"/>
    <cellStyle name="Entrada 4 3 6 4 2" xfId="9894" xr:uid="{00000000-0005-0000-0000-0000A1260000}"/>
    <cellStyle name="Entrada 4 3 6 4 3" xfId="9895" xr:uid="{00000000-0005-0000-0000-0000A2260000}"/>
    <cellStyle name="Entrada 4 3 6 4 4" xfId="9896" xr:uid="{00000000-0005-0000-0000-0000A3260000}"/>
    <cellStyle name="Entrada 4 3 6 5" xfId="9897" xr:uid="{00000000-0005-0000-0000-0000A4260000}"/>
    <cellStyle name="Entrada 4 3 6 6" xfId="9898" xr:uid="{00000000-0005-0000-0000-0000A5260000}"/>
    <cellStyle name="Entrada 4 3 7" xfId="9899" xr:uid="{00000000-0005-0000-0000-0000A6260000}"/>
    <cellStyle name="Entrada 4 3 7 2" xfId="9900" xr:uid="{00000000-0005-0000-0000-0000A7260000}"/>
    <cellStyle name="Entrada 4 3 7 2 2" xfId="9901" xr:uid="{00000000-0005-0000-0000-0000A8260000}"/>
    <cellStyle name="Entrada 4 3 7 2 2 2" xfId="9902" xr:uid="{00000000-0005-0000-0000-0000A9260000}"/>
    <cellStyle name="Entrada 4 3 7 2 2 3" xfId="9903" xr:uid="{00000000-0005-0000-0000-0000AA260000}"/>
    <cellStyle name="Entrada 4 3 7 2 2 4" xfId="9904" xr:uid="{00000000-0005-0000-0000-0000AB260000}"/>
    <cellStyle name="Entrada 4 3 7 2 3" xfId="9905" xr:uid="{00000000-0005-0000-0000-0000AC260000}"/>
    <cellStyle name="Entrada 4 3 7 2 3 2" xfId="9906" xr:uid="{00000000-0005-0000-0000-0000AD260000}"/>
    <cellStyle name="Entrada 4 3 7 2 3 3" xfId="9907" xr:uid="{00000000-0005-0000-0000-0000AE260000}"/>
    <cellStyle name="Entrada 4 3 7 2 3 4" xfId="9908" xr:uid="{00000000-0005-0000-0000-0000AF260000}"/>
    <cellStyle name="Entrada 4 3 7 2 4" xfId="9909" xr:uid="{00000000-0005-0000-0000-0000B0260000}"/>
    <cellStyle name="Entrada 4 3 7 2 5" xfId="9910" xr:uid="{00000000-0005-0000-0000-0000B1260000}"/>
    <cellStyle name="Entrada 4 3 7 2 6" xfId="9911" xr:uid="{00000000-0005-0000-0000-0000B2260000}"/>
    <cellStyle name="Entrada 4 3 7 3" xfId="9912" xr:uid="{00000000-0005-0000-0000-0000B3260000}"/>
    <cellStyle name="Entrada 4 3 7 3 2" xfId="9913" xr:uid="{00000000-0005-0000-0000-0000B4260000}"/>
    <cellStyle name="Entrada 4 3 7 3 2 2" xfId="9914" xr:uid="{00000000-0005-0000-0000-0000B5260000}"/>
    <cellStyle name="Entrada 4 3 7 3 2 3" xfId="9915" xr:uid="{00000000-0005-0000-0000-0000B6260000}"/>
    <cellStyle name="Entrada 4 3 7 3 2 4" xfId="9916" xr:uid="{00000000-0005-0000-0000-0000B7260000}"/>
    <cellStyle name="Entrada 4 3 7 3 3" xfId="9917" xr:uid="{00000000-0005-0000-0000-0000B8260000}"/>
    <cellStyle name="Entrada 4 3 7 3 3 2" xfId="9918" xr:uid="{00000000-0005-0000-0000-0000B9260000}"/>
    <cellStyle name="Entrada 4 3 7 3 3 3" xfId="9919" xr:uid="{00000000-0005-0000-0000-0000BA260000}"/>
    <cellStyle name="Entrada 4 3 7 3 3 4" xfId="9920" xr:uid="{00000000-0005-0000-0000-0000BB260000}"/>
    <cellStyle name="Entrada 4 3 7 3 4" xfId="9921" xr:uid="{00000000-0005-0000-0000-0000BC260000}"/>
    <cellStyle name="Entrada 4 3 7 3 5" xfId="9922" xr:uid="{00000000-0005-0000-0000-0000BD260000}"/>
    <cellStyle name="Entrada 4 3 7 3 6" xfId="9923" xr:uid="{00000000-0005-0000-0000-0000BE260000}"/>
    <cellStyle name="Entrada 4 3 7 4" xfId="9924" xr:uid="{00000000-0005-0000-0000-0000BF260000}"/>
    <cellStyle name="Entrada 4 3 7 4 2" xfId="9925" xr:uid="{00000000-0005-0000-0000-0000C0260000}"/>
    <cellStyle name="Entrada 4 3 7 4 3" xfId="9926" xr:uid="{00000000-0005-0000-0000-0000C1260000}"/>
    <cellStyle name="Entrada 4 3 7 4 4" xfId="9927" xr:uid="{00000000-0005-0000-0000-0000C2260000}"/>
    <cellStyle name="Entrada 4 3 7 5" xfId="9928" xr:uid="{00000000-0005-0000-0000-0000C3260000}"/>
    <cellStyle name="Entrada 4 3 7 6" xfId="9929" xr:uid="{00000000-0005-0000-0000-0000C4260000}"/>
    <cellStyle name="Entrada 4 3 8" xfId="9930" xr:uid="{00000000-0005-0000-0000-0000C5260000}"/>
    <cellStyle name="Entrada 4 3 8 2" xfId="9931" xr:uid="{00000000-0005-0000-0000-0000C6260000}"/>
    <cellStyle name="Entrada 4 3 8 2 2" xfId="9932" xr:uid="{00000000-0005-0000-0000-0000C7260000}"/>
    <cellStyle name="Entrada 4 3 8 2 2 2" xfId="9933" xr:uid="{00000000-0005-0000-0000-0000C8260000}"/>
    <cellStyle name="Entrada 4 3 8 2 2 3" xfId="9934" xr:uid="{00000000-0005-0000-0000-0000C9260000}"/>
    <cellStyle name="Entrada 4 3 8 2 2 4" xfId="9935" xr:uid="{00000000-0005-0000-0000-0000CA260000}"/>
    <cellStyle name="Entrada 4 3 8 2 3" xfId="9936" xr:uid="{00000000-0005-0000-0000-0000CB260000}"/>
    <cellStyle name="Entrada 4 3 8 2 3 2" xfId="9937" xr:uid="{00000000-0005-0000-0000-0000CC260000}"/>
    <cellStyle name="Entrada 4 3 8 2 3 3" xfId="9938" xr:uid="{00000000-0005-0000-0000-0000CD260000}"/>
    <cellStyle name="Entrada 4 3 8 2 3 4" xfId="9939" xr:uid="{00000000-0005-0000-0000-0000CE260000}"/>
    <cellStyle name="Entrada 4 3 8 2 4" xfId="9940" xr:uid="{00000000-0005-0000-0000-0000CF260000}"/>
    <cellStyle name="Entrada 4 3 8 2 5" xfId="9941" xr:uid="{00000000-0005-0000-0000-0000D0260000}"/>
    <cellStyle name="Entrada 4 3 8 2 6" xfId="9942" xr:uid="{00000000-0005-0000-0000-0000D1260000}"/>
    <cellStyle name="Entrada 4 3 8 3" xfId="9943" xr:uid="{00000000-0005-0000-0000-0000D2260000}"/>
    <cellStyle name="Entrada 4 3 8 3 2" xfId="9944" xr:uid="{00000000-0005-0000-0000-0000D3260000}"/>
    <cellStyle name="Entrada 4 3 8 3 2 2" xfId="9945" xr:uid="{00000000-0005-0000-0000-0000D4260000}"/>
    <cellStyle name="Entrada 4 3 8 3 2 3" xfId="9946" xr:uid="{00000000-0005-0000-0000-0000D5260000}"/>
    <cellStyle name="Entrada 4 3 8 3 2 4" xfId="9947" xr:uid="{00000000-0005-0000-0000-0000D6260000}"/>
    <cellStyle name="Entrada 4 3 8 3 3" xfId="9948" xr:uid="{00000000-0005-0000-0000-0000D7260000}"/>
    <cellStyle name="Entrada 4 3 8 3 3 2" xfId="9949" xr:uid="{00000000-0005-0000-0000-0000D8260000}"/>
    <cellStyle name="Entrada 4 3 8 3 3 3" xfId="9950" xr:uid="{00000000-0005-0000-0000-0000D9260000}"/>
    <cellStyle name="Entrada 4 3 8 3 3 4" xfId="9951" xr:uid="{00000000-0005-0000-0000-0000DA260000}"/>
    <cellStyle name="Entrada 4 3 8 3 4" xfId="9952" xr:uid="{00000000-0005-0000-0000-0000DB260000}"/>
    <cellStyle name="Entrada 4 3 8 3 5" xfId="9953" xr:uid="{00000000-0005-0000-0000-0000DC260000}"/>
    <cellStyle name="Entrada 4 3 8 3 6" xfId="9954" xr:uid="{00000000-0005-0000-0000-0000DD260000}"/>
    <cellStyle name="Entrada 4 3 8 4" xfId="9955" xr:uid="{00000000-0005-0000-0000-0000DE260000}"/>
    <cellStyle name="Entrada 4 3 8 4 2" xfId="9956" xr:uid="{00000000-0005-0000-0000-0000DF260000}"/>
    <cellStyle name="Entrada 4 3 8 4 3" xfId="9957" xr:uid="{00000000-0005-0000-0000-0000E0260000}"/>
    <cellStyle name="Entrada 4 3 8 4 4" xfId="9958" xr:uid="{00000000-0005-0000-0000-0000E1260000}"/>
    <cellStyle name="Entrada 4 3 8 5" xfId="9959" xr:uid="{00000000-0005-0000-0000-0000E2260000}"/>
    <cellStyle name="Entrada 4 3 8 6" xfId="9960" xr:uid="{00000000-0005-0000-0000-0000E3260000}"/>
    <cellStyle name="Entrada 4 3 9" xfId="9961" xr:uid="{00000000-0005-0000-0000-0000E4260000}"/>
    <cellStyle name="Entrada 4 3 9 2" xfId="9962" xr:uid="{00000000-0005-0000-0000-0000E5260000}"/>
    <cellStyle name="Entrada 4 3 9 2 2" xfId="9963" xr:uid="{00000000-0005-0000-0000-0000E6260000}"/>
    <cellStyle name="Entrada 4 3 9 2 2 2" xfId="9964" xr:uid="{00000000-0005-0000-0000-0000E7260000}"/>
    <cellStyle name="Entrada 4 3 9 2 2 3" xfId="9965" xr:uid="{00000000-0005-0000-0000-0000E8260000}"/>
    <cellStyle name="Entrada 4 3 9 2 2 4" xfId="9966" xr:uid="{00000000-0005-0000-0000-0000E9260000}"/>
    <cellStyle name="Entrada 4 3 9 2 3" xfId="9967" xr:uid="{00000000-0005-0000-0000-0000EA260000}"/>
    <cellStyle name="Entrada 4 3 9 2 3 2" xfId="9968" xr:uid="{00000000-0005-0000-0000-0000EB260000}"/>
    <cellStyle name="Entrada 4 3 9 2 3 3" xfId="9969" xr:uid="{00000000-0005-0000-0000-0000EC260000}"/>
    <cellStyle name="Entrada 4 3 9 2 3 4" xfId="9970" xr:uid="{00000000-0005-0000-0000-0000ED260000}"/>
    <cellStyle name="Entrada 4 3 9 2 4" xfId="9971" xr:uid="{00000000-0005-0000-0000-0000EE260000}"/>
    <cellStyle name="Entrada 4 3 9 2 5" xfId="9972" xr:uid="{00000000-0005-0000-0000-0000EF260000}"/>
    <cellStyle name="Entrada 4 3 9 2 6" xfId="9973" xr:uid="{00000000-0005-0000-0000-0000F0260000}"/>
    <cellStyle name="Entrada 4 3 9 3" xfId="9974" xr:uid="{00000000-0005-0000-0000-0000F1260000}"/>
    <cellStyle name="Entrada 4 3 9 3 2" xfId="9975" xr:uid="{00000000-0005-0000-0000-0000F2260000}"/>
    <cellStyle name="Entrada 4 3 9 3 2 2" xfId="9976" xr:uid="{00000000-0005-0000-0000-0000F3260000}"/>
    <cellStyle name="Entrada 4 3 9 3 2 3" xfId="9977" xr:uid="{00000000-0005-0000-0000-0000F4260000}"/>
    <cellStyle name="Entrada 4 3 9 3 2 4" xfId="9978" xr:uid="{00000000-0005-0000-0000-0000F5260000}"/>
    <cellStyle name="Entrada 4 3 9 3 3" xfId="9979" xr:uid="{00000000-0005-0000-0000-0000F6260000}"/>
    <cellStyle name="Entrada 4 3 9 3 3 2" xfId="9980" xr:uid="{00000000-0005-0000-0000-0000F7260000}"/>
    <cellStyle name="Entrada 4 3 9 3 3 3" xfId="9981" xr:uid="{00000000-0005-0000-0000-0000F8260000}"/>
    <cellStyle name="Entrada 4 3 9 3 3 4" xfId="9982" xr:uid="{00000000-0005-0000-0000-0000F9260000}"/>
    <cellStyle name="Entrada 4 3 9 3 4" xfId="9983" xr:uid="{00000000-0005-0000-0000-0000FA260000}"/>
    <cellStyle name="Entrada 4 3 9 3 5" xfId="9984" xr:uid="{00000000-0005-0000-0000-0000FB260000}"/>
    <cellStyle name="Entrada 4 3 9 3 6" xfId="9985" xr:uid="{00000000-0005-0000-0000-0000FC260000}"/>
    <cellStyle name="Entrada 4 3 9 4" xfId="9986" xr:uid="{00000000-0005-0000-0000-0000FD260000}"/>
    <cellStyle name="Entrada 4 3 9 4 2" xfId="9987" xr:uid="{00000000-0005-0000-0000-0000FE260000}"/>
    <cellStyle name="Entrada 4 3 9 4 3" xfId="9988" xr:uid="{00000000-0005-0000-0000-0000FF260000}"/>
    <cellStyle name="Entrada 4 3 9 4 4" xfId="9989" xr:uid="{00000000-0005-0000-0000-000000270000}"/>
    <cellStyle name="Entrada 4 3 9 5" xfId="9990" xr:uid="{00000000-0005-0000-0000-000001270000}"/>
    <cellStyle name="Entrada 4 3 9 6" xfId="9991" xr:uid="{00000000-0005-0000-0000-000002270000}"/>
    <cellStyle name="Entrada 4 4" xfId="9992" xr:uid="{00000000-0005-0000-0000-000003270000}"/>
    <cellStyle name="Entrada 4 4 2" xfId="9993" xr:uid="{00000000-0005-0000-0000-000004270000}"/>
    <cellStyle name="Entrada 4 4 2 2" xfId="9994" xr:uid="{00000000-0005-0000-0000-000005270000}"/>
    <cellStyle name="Entrada 4 4 2 2 2" xfId="9995" xr:uid="{00000000-0005-0000-0000-000006270000}"/>
    <cellStyle name="Entrada 4 4 2 2 2 2" xfId="9996" xr:uid="{00000000-0005-0000-0000-000007270000}"/>
    <cellStyle name="Entrada 4 4 2 2 2 3" xfId="9997" xr:uid="{00000000-0005-0000-0000-000008270000}"/>
    <cellStyle name="Entrada 4 4 2 2 2 4" xfId="9998" xr:uid="{00000000-0005-0000-0000-000009270000}"/>
    <cellStyle name="Entrada 4 4 2 2 3" xfId="9999" xr:uid="{00000000-0005-0000-0000-00000A270000}"/>
    <cellStyle name="Entrada 4 4 2 2 3 2" xfId="10000" xr:uid="{00000000-0005-0000-0000-00000B270000}"/>
    <cellStyle name="Entrada 4 4 2 2 3 3" xfId="10001" xr:uid="{00000000-0005-0000-0000-00000C270000}"/>
    <cellStyle name="Entrada 4 4 2 2 3 4" xfId="10002" xr:uid="{00000000-0005-0000-0000-00000D270000}"/>
    <cellStyle name="Entrada 4 4 2 2 4" xfId="10003" xr:uid="{00000000-0005-0000-0000-00000E270000}"/>
    <cellStyle name="Entrada 4 4 2 2 5" xfId="10004" xr:uid="{00000000-0005-0000-0000-00000F270000}"/>
    <cellStyle name="Entrada 4 4 2 2 6" xfId="10005" xr:uid="{00000000-0005-0000-0000-000010270000}"/>
    <cellStyle name="Entrada 4 4 2 3" xfId="10006" xr:uid="{00000000-0005-0000-0000-000011270000}"/>
    <cellStyle name="Entrada 4 4 2 3 2" xfId="10007" xr:uid="{00000000-0005-0000-0000-000012270000}"/>
    <cellStyle name="Entrada 4 4 2 3 2 2" xfId="10008" xr:uid="{00000000-0005-0000-0000-000013270000}"/>
    <cellStyle name="Entrada 4 4 2 3 2 3" xfId="10009" xr:uid="{00000000-0005-0000-0000-000014270000}"/>
    <cellStyle name="Entrada 4 4 2 3 2 4" xfId="10010" xr:uid="{00000000-0005-0000-0000-000015270000}"/>
    <cellStyle name="Entrada 4 4 2 3 3" xfId="10011" xr:uid="{00000000-0005-0000-0000-000016270000}"/>
    <cellStyle name="Entrada 4 4 2 3 3 2" xfId="10012" xr:uid="{00000000-0005-0000-0000-000017270000}"/>
    <cellStyle name="Entrada 4 4 2 3 3 3" xfId="10013" xr:uid="{00000000-0005-0000-0000-000018270000}"/>
    <cellStyle name="Entrada 4 4 2 3 3 4" xfId="10014" xr:uid="{00000000-0005-0000-0000-000019270000}"/>
    <cellStyle name="Entrada 4 4 2 3 4" xfId="10015" xr:uid="{00000000-0005-0000-0000-00001A270000}"/>
    <cellStyle name="Entrada 4 4 2 3 5" xfId="10016" xr:uid="{00000000-0005-0000-0000-00001B270000}"/>
    <cellStyle name="Entrada 4 4 2 3 6" xfId="10017" xr:uid="{00000000-0005-0000-0000-00001C270000}"/>
    <cellStyle name="Entrada 4 4 2 4" xfId="10018" xr:uid="{00000000-0005-0000-0000-00001D270000}"/>
    <cellStyle name="Entrada 4 4 2 5" xfId="10019" xr:uid="{00000000-0005-0000-0000-00001E270000}"/>
    <cellStyle name="Entrada 4 4 2 6" xfId="10020" xr:uid="{00000000-0005-0000-0000-00001F270000}"/>
    <cellStyle name="Entrada 4 4 3" xfId="10021" xr:uid="{00000000-0005-0000-0000-000020270000}"/>
    <cellStyle name="Entrada 4 4 4" xfId="10022" xr:uid="{00000000-0005-0000-0000-000021270000}"/>
    <cellStyle name="Entrada 4 5" xfId="10023" xr:uid="{00000000-0005-0000-0000-000022270000}"/>
    <cellStyle name="Entrada 4 5 2" xfId="10024" xr:uid="{00000000-0005-0000-0000-000023270000}"/>
    <cellStyle name="Entrada 4 5 2 2" xfId="10025" xr:uid="{00000000-0005-0000-0000-000024270000}"/>
    <cellStyle name="Entrada 4 5 2 2 2" xfId="10026" xr:uid="{00000000-0005-0000-0000-000025270000}"/>
    <cellStyle name="Entrada 4 5 2 2 2 2" xfId="10027" xr:uid="{00000000-0005-0000-0000-000026270000}"/>
    <cellStyle name="Entrada 4 5 2 2 2 3" xfId="10028" xr:uid="{00000000-0005-0000-0000-000027270000}"/>
    <cellStyle name="Entrada 4 5 2 2 2 4" xfId="10029" xr:uid="{00000000-0005-0000-0000-000028270000}"/>
    <cellStyle name="Entrada 4 5 2 2 3" xfId="10030" xr:uid="{00000000-0005-0000-0000-000029270000}"/>
    <cellStyle name="Entrada 4 5 2 2 3 2" xfId="10031" xr:uid="{00000000-0005-0000-0000-00002A270000}"/>
    <cellStyle name="Entrada 4 5 2 2 3 3" xfId="10032" xr:uid="{00000000-0005-0000-0000-00002B270000}"/>
    <cellStyle name="Entrada 4 5 2 2 3 4" xfId="10033" xr:uid="{00000000-0005-0000-0000-00002C270000}"/>
    <cellStyle name="Entrada 4 5 2 2 4" xfId="10034" xr:uid="{00000000-0005-0000-0000-00002D270000}"/>
    <cellStyle name="Entrada 4 5 2 2 5" xfId="10035" xr:uid="{00000000-0005-0000-0000-00002E270000}"/>
    <cellStyle name="Entrada 4 5 2 2 6" xfId="10036" xr:uid="{00000000-0005-0000-0000-00002F270000}"/>
    <cellStyle name="Entrada 4 5 2 3" xfId="10037" xr:uid="{00000000-0005-0000-0000-000030270000}"/>
    <cellStyle name="Entrada 4 5 2 3 2" xfId="10038" xr:uid="{00000000-0005-0000-0000-000031270000}"/>
    <cellStyle name="Entrada 4 5 2 3 2 2" xfId="10039" xr:uid="{00000000-0005-0000-0000-000032270000}"/>
    <cellStyle name="Entrada 4 5 2 3 2 3" xfId="10040" xr:uid="{00000000-0005-0000-0000-000033270000}"/>
    <cellStyle name="Entrada 4 5 2 3 2 4" xfId="10041" xr:uid="{00000000-0005-0000-0000-000034270000}"/>
    <cellStyle name="Entrada 4 5 2 3 3" xfId="10042" xr:uid="{00000000-0005-0000-0000-000035270000}"/>
    <cellStyle name="Entrada 4 5 2 3 3 2" xfId="10043" xr:uid="{00000000-0005-0000-0000-000036270000}"/>
    <cellStyle name="Entrada 4 5 2 3 3 3" xfId="10044" xr:uid="{00000000-0005-0000-0000-000037270000}"/>
    <cellStyle name="Entrada 4 5 2 3 3 4" xfId="10045" xr:uid="{00000000-0005-0000-0000-000038270000}"/>
    <cellStyle name="Entrada 4 5 2 3 4" xfId="10046" xr:uid="{00000000-0005-0000-0000-000039270000}"/>
    <cellStyle name="Entrada 4 5 2 3 5" xfId="10047" xr:uid="{00000000-0005-0000-0000-00003A270000}"/>
    <cellStyle name="Entrada 4 5 2 3 6" xfId="10048" xr:uid="{00000000-0005-0000-0000-00003B270000}"/>
    <cellStyle name="Entrada 4 5 2 4" xfId="10049" xr:uid="{00000000-0005-0000-0000-00003C270000}"/>
    <cellStyle name="Entrada 4 5 2 5" xfId="10050" xr:uid="{00000000-0005-0000-0000-00003D270000}"/>
    <cellStyle name="Entrada 4 5 2 6" xfId="10051" xr:uid="{00000000-0005-0000-0000-00003E270000}"/>
    <cellStyle name="Entrada 4 5 3" xfId="10052" xr:uid="{00000000-0005-0000-0000-00003F270000}"/>
    <cellStyle name="Entrada 4 5 4" xfId="10053" xr:uid="{00000000-0005-0000-0000-000040270000}"/>
    <cellStyle name="Entrada 4 6" xfId="10054" xr:uid="{00000000-0005-0000-0000-000041270000}"/>
    <cellStyle name="Entrada 4 6 2" xfId="10055" xr:uid="{00000000-0005-0000-0000-000042270000}"/>
    <cellStyle name="Entrada 4 6 2 2" xfId="10056" xr:uid="{00000000-0005-0000-0000-000043270000}"/>
    <cellStyle name="Entrada 4 6 2 2 2" xfId="10057" xr:uid="{00000000-0005-0000-0000-000044270000}"/>
    <cellStyle name="Entrada 4 6 2 2 2 2" xfId="10058" xr:uid="{00000000-0005-0000-0000-000045270000}"/>
    <cellStyle name="Entrada 4 6 2 2 2 3" xfId="10059" xr:uid="{00000000-0005-0000-0000-000046270000}"/>
    <cellStyle name="Entrada 4 6 2 2 2 4" xfId="10060" xr:uid="{00000000-0005-0000-0000-000047270000}"/>
    <cellStyle name="Entrada 4 6 2 2 3" xfId="10061" xr:uid="{00000000-0005-0000-0000-000048270000}"/>
    <cellStyle name="Entrada 4 6 2 2 3 2" xfId="10062" xr:uid="{00000000-0005-0000-0000-000049270000}"/>
    <cellStyle name="Entrada 4 6 2 2 3 3" xfId="10063" xr:uid="{00000000-0005-0000-0000-00004A270000}"/>
    <cellStyle name="Entrada 4 6 2 2 3 4" xfId="10064" xr:uid="{00000000-0005-0000-0000-00004B270000}"/>
    <cellStyle name="Entrada 4 6 2 2 4" xfId="10065" xr:uid="{00000000-0005-0000-0000-00004C270000}"/>
    <cellStyle name="Entrada 4 6 2 2 5" xfId="10066" xr:uid="{00000000-0005-0000-0000-00004D270000}"/>
    <cellStyle name="Entrada 4 6 2 2 6" xfId="10067" xr:uid="{00000000-0005-0000-0000-00004E270000}"/>
    <cellStyle name="Entrada 4 6 2 3" xfId="10068" xr:uid="{00000000-0005-0000-0000-00004F270000}"/>
    <cellStyle name="Entrada 4 6 2 3 2" xfId="10069" xr:uid="{00000000-0005-0000-0000-000050270000}"/>
    <cellStyle name="Entrada 4 6 2 3 2 2" xfId="10070" xr:uid="{00000000-0005-0000-0000-000051270000}"/>
    <cellStyle name="Entrada 4 6 2 3 2 3" xfId="10071" xr:uid="{00000000-0005-0000-0000-000052270000}"/>
    <cellStyle name="Entrada 4 6 2 3 2 4" xfId="10072" xr:uid="{00000000-0005-0000-0000-000053270000}"/>
    <cellStyle name="Entrada 4 6 2 3 3" xfId="10073" xr:uid="{00000000-0005-0000-0000-000054270000}"/>
    <cellStyle name="Entrada 4 6 2 3 3 2" xfId="10074" xr:uid="{00000000-0005-0000-0000-000055270000}"/>
    <cellStyle name="Entrada 4 6 2 3 3 3" xfId="10075" xr:uid="{00000000-0005-0000-0000-000056270000}"/>
    <cellStyle name="Entrada 4 6 2 3 3 4" xfId="10076" xr:uid="{00000000-0005-0000-0000-000057270000}"/>
    <cellStyle name="Entrada 4 6 2 3 4" xfId="10077" xr:uid="{00000000-0005-0000-0000-000058270000}"/>
    <cellStyle name="Entrada 4 6 2 3 5" xfId="10078" xr:uid="{00000000-0005-0000-0000-000059270000}"/>
    <cellStyle name="Entrada 4 6 2 3 6" xfId="10079" xr:uid="{00000000-0005-0000-0000-00005A270000}"/>
    <cellStyle name="Entrada 4 6 2 4" xfId="10080" xr:uid="{00000000-0005-0000-0000-00005B270000}"/>
    <cellStyle name="Entrada 4 6 2 5" xfId="10081" xr:uid="{00000000-0005-0000-0000-00005C270000}"/>
    <cellStyle name="Entrada 4 6 2 6" xfId="10082" xr:uid="{00000000-0005-0000-0000-00005D270000}"/>
    <cellStyle name="Entrada 4 6 3" xfId="10083" xr:uid="{00000000-0005-0000-0000-00005E270000}"/>
    <cellStyle name="Entrada 4 6 4" xfId="10084" xr:uid="{00000000-0005-0000-0000-00005F270000}"/>
    <cellStyle name="Entrada 4 7" xfId="10085" xr:uid="{00000000-0005-0000-0000-000060270000}"/>
    <cellStyle name="Entrada 4 7 2" xfId="10086" xr:uid="{00000000-0005-0000-0000-000061270000}"/>
    <cellStyle name="Entrada 4 7 2 2" xfId="10087" xr:uid="{00000000-0005-0000-0000-000062270000}"/>
    <cellStyle name="Entrada 4 7 2 2 2" xfId="10088" xr:uid="{00000000-0005-0000-0000-000063270000}"/>
    <cellStyle name="Entrada 4 7 2 2 2 2" xfId="10089" xr:uid="{00000000-0005-0000-0000-000064270000}"/>
    <cellStyle name="Entrada 4 7 2 2 2 3" xfId="10090" xr:uid="{00000000-0005-0000-0000-000065270000}"/>
    <cellStyle name="Entrada 4 7 2 2 2 4" xfId="10091" xr:uid="{00000000-0005-0000-0000-000066270000}"/>
    <cellStyle name="Entrada 4 7 2 2 3" xfId="10092" xr:uid="{00000000-0005-0000-0000-000067270000}"/>
    <cellStyle name="Entrada 4 7 2 2 3 2" xfId="10093" xr:uid="{00000000-0005-0000-0000-000068270000}"/>
    <cellStyle name="Entrada 4 7 2 2 3 3" xfId="10094" xr:uid="{00000000-0005-0000-0000-000069270000}"/>
    <cellStyle name="Entrada 4 7 2 2 3 4" xfId="10095" xr:uid="{00000000-0005-0000-0000-00006A270000}"/>
    <cellStyle name="Entrada 4 7 2 2 4" xfId="10096" xr:uid="{00000000-0005-0000-0000-00006B270000}"/>
    <cellStyle name="Entrada 4 7 2 2 5" xfId="10097" xr:uid="{00000000-0005-0000-0000-00006C270000}"/>
    <cellStyle name="Entrada 4 7 2 2 6" xfId="10098" xr:uid="{00000000-0005-0000-0000-00006D270000}"/>
    <cellStyle name="Entrada 4 7 2 3" xfId="10099" xr:uid="{00000000-0005-0000-0000-00006E270000}"/>
    <cellStyle name="Entrada 4 7 2 3 2" xfId="10100" xr:uid="{00000000-0005-0000-0000-00006F270000}"/>
    <cellStyle name="Entrada 4 7 2 3 2 2" xfId="10101" xr:uid="{00000000-0005-0000-0000-000070270000}"/>
    <cellStyle name="Entrada 4 7 2 3 2 3" xfId="10102" xr:uid="{00000000-0005-0000-0000-000071270000}"/>
    <cellStyle name="Entrada 4 7 2 3 2 4" xfId="10103" xr:uid="{00000000-0005-0000-0000-000072270000}"/>
    <cellStyle name="Entrada 4 7 2 3 3" xfId="10104" xr:uid="{00000000-0005-0000-0000-000073270000}"/>
    <cellStyle name="Entrada 4 7 2 3 3 2" xfId="10105" xr:uid="{00000000-0005-0000-0000-000074270000}"/>
    <cellStyle name="Entrada 4 7 2 3 3 3" xfId="10106" xr:uid="{00000000-0005-0000-0000-000075270000}"/>
    <cellStyle name="Entrada 4 7 2 3 3 4" xfId="10107" xr:uid="{00000000-0005-0000-0000-000076270000}"/>
    <cellStyle name="Entrada 4 7 2 3 4" xfId="10108" xr:uid="{00000000-0005-0000-0000-000077270000}"/>
    <cellStyle name="Entrada 4 7 2 3 5" xfId="10109" xr:uid="{00000000-0005-0000-0000-000078270000}"/>
    <cellStyle name="Entrada 4 7 2 3 6" xfId="10110" xr:uid="{00000000-0005-0000-0000-000079270000}"/>
    <cellStyle name="Entrada 4 7 2 4" xfId="10111" xr:uid="{00000000-0005-0000-0000-00007A270000}"/>
    <cellStyle name="Entrada 4 7 2 5" xfId="10112" xr:uid="{00000000-0005-0000-0000-00007B270000}"/>
    <cellStyle name="Entrada 4 7 2 6" xfId="10113" xr:uid="{00000000-0005-0000-0000-00007C270000}"/>
    <cellStyle name="Entrada 4 7 3" xfId="10114" xr:uid="{00000000-0005-0000-0000-00007D270000}"/>
    <cellStyle name="Entrada 4 7 4" xfId="10115" xr:uid="{00000000-0005-0000-0000-00007E270000}"/>
    <cellStyle name="Entrada 4 8" xfId="10116" xr:uid="{00000000-0005-0000-0000-00007F270000}"/>
    <cellStyle name="Entrada 4 8 2" xfId="10117" xr:uid="{00000000-0005-0000-0000-000080270000}"/>
    <cellStyle name="Entrada 4 8 2 2" xfId="10118" xr:uid="{00000000-0005-0000-0000-000081270000}"/>
    <cellStyle name="Entrada 4 8 2 2 2" xfId="10119" xr:uid="{00000000-0005-0000-0000-000082270000}"/>
    <cellStyle name="Entrada 4 8 2 2 3" xfId="10120" xr:uid="{00000000-0005-0000-0000-000083270000}"/>
    <cellStyle name="Entrada 4 8 2 2 4" xfId="10121" xr:uid="{00000000-0005-0000-0000-000084270000}"/>
    <cellStyle name="Entrada 4 8 2 3" xfId="10122" xr:uid="{00000000-0005-0000-0000-000085270000}"/>
    <cellStyle name="Entrada 4 8 2 3 2" xfId="10123" xr:uid="{00000000-0005-0000-0000-000086270000}"/>
    <cellStyle name="Entrada 4 8 2 3 3" xfId="10124" xr:uid="{00000000-0005-0000-0000-000087270000}"/>
    <cellStyle name="Entrada 4 8 2 3 4" xfId="10125" xr:uid="{00000000-0005-0000-0000-000088270000}"/>
    <cellStyle name="Entrada 4 8 2 4" xfId="10126" xr:uid="{00000000-0005-0000-0000-000089270000}"/>
    <cellStyle name="Entrada 4 8 2 5" xfId="10127" xr:uid="{00000000-0005-0000-0000-00008A270000}"/>
    <cellStyle name="Entrada 4 8 2 6" xfId="10128" xr:uid="{00000000-0005-0000-0000-00008B270000}"/>
    <cellStyle name="Entrada 4 8 3" xfId="10129" xr:uid="{00000000-0005-0000-0000-00008C270000}"/>
    <cellStyle name="Entrada 4 8 3 2" xfId="10130" xr:uid="{00000000-0005-0000-0000-00008D270000}"/>
    <cellStyle name="Entrada 4 8 3 2 2" xfId="10131" xr:uid="{00000000-0005-0000-0000-00008E270000}"/>
    <cellStyle name="Entrada 4 8 3 2 3" xfId="10132" xr:uid="{00000000-0005-0000-0000-00008F270000}"/>
    <cellStyle name="Entrada 4 8 3 2 4" xfId="10133" xr:uid="{00000000-0005-0000-0000-000090270000}"/>
    <cellStyle name="Entrada 4 8 3 3" xfId="10134" xr:uid="{00000000-0005-0000-0000-000091270000}"/>
    <cellStyle name="Entrada 4 8 3 3 2" xfId="10135" xr:uid="{00000000-0005-0000-0000-000092270000}"/>
    <cellStyle name="Entrada 4 8 3 3 3" xfId="10136" xr:uid="{00000000-0005-0000-0000-000093270000}"/>
    <cellStyle name="Entrada 4 8 3 3 4" xfId="10137" xr:uid="{00000000-0005-0000-0000-000094270000}"/>
    <cellStyle name="Entrada 4 8 3 4" xfId="10138" xr:uid="{00000000-0005-0000-0000-000095270000}"/>
    <cellStyle name="Entrada 4 8 3 5" xfId="10139" xr:uid="{00000000-0005-0000-0000-000096270000}"/>
    <cellStyle name="Entrada 4 8 3 6" xfId="10140" xr:uid="{00000000-0005-0000-0000-000097270000}"/>
    <cellStyle name="Entrada 4 8 4" xfId="10141" xr:uid="{00000000-0005-0000-0000-000098270000}"/>
    <cellStyle name="Entrada 4 8 4 2" xfId="10142" xr:uid="{00000000-0005-0000-0000-000099270000}"/>
    <cellStyle name="Entrada 4 8 4 3" xfId="10143" xr:uid="{00000000-0005-0000-0000-00009A270000}"/>
    <cellStyle name="Entrada 4 8 4 4" xfId="10144" xr:uid="{00000000-0005-0000-0000-00009B270000}"/>
    <cellStyle name="Entrada 4 8 5" xfId="10145" xr:uid="{00000000-0005-0000-0000-00009C270000}"/>
    <cellStyle name="Entrada 4 8 6" xfId="10146" xr:uid="{00000000-0005-0000-0000-00009D270000}"/>
    <cellStyle name="Entrada 4 9" xfId="10147" xr:uid="{00000000-0005-0000-0000-00009E270000}"/>
    <cellStyle name="Entrada 4 9 2" xfId="10148" xr:uid="{00000000-0005-0000-0000-00009F270000}"/>
    <cellStyle name="Entrada 4 9 2 2" xfId="10149" xr:uid="{00000000-0005-0000-0000-0000A0270000}"/>
    <cellStyle name="Entrada 4 9 2 2 2" xfId="10150" xr:uid="{00000000-0005-0000-0000-0000A1270000}"/>
    <cellStyle name="Entrada 4 9 2 2 3" xfId="10151" xr:uid="{00000000-0005-0000-0000-0000A2270000}"/>
    <cellStyle name="Entrada 4 9 2 2 4" xfId="10152" xr:uid="{00000000-0005-0000-0000-0000A3270000}"/>
    <cellStyle name="Entrada 4 9 2 3" xfId="10153" xr:uid="{00000000-0005-0000-0000-0000A4270000}"/>
    <cellStyle name="Entrada 4 9 2 3 2" xfId="10154" xr:uid="{00000000-0005-0000-0000-0000A5270000}"/>
    <cellStyle name="Entrada 4 9 2 3 3" xfId="10155" xr:uid="{00000000-0005-0000-0000-0000A6270000}"/>
    <cellStyle name="Entrada 4 9 2 3 4" xfId="10156" xr:uid="{00000000-0005-0000-0000-0000A7270000}"/>
    <cellStyle name="Entrada 4 9 2 4" xfId="10157" xr:uid="{00000000-0005-0000-0000-0000A8270000}"/>
    <cellStyle name="Entrada 4 9 2 5" xfId="10158" xr:uid="{00000000-0005-0000-0000-0000A9270000}"/>
    <cellStyle name="Entrada 4 9 2 6" xfId="10159" xr:uid="{00000000-0005-0000-0000-0000AA270000}"/>
    <cellStyle name="Entrada 4 9 3" xfId="10160" xr:uid="{00000000-0005-0000-0000-0000AB270000}"/>
    <cellStyle name="Entrada 4 9 3 2" xfId="10161" xr:uid="{00000000-0005-0000-0000-0000AC270000}"/>
    <cellStyle name="Entrada 4 9 3 2 2" xfId="10162" xr:uid="{00000000-0005-0000-0000-0000AD270000}"/>
    <cellStyle name="Entrada 4 9 3 2 3" xfId="10163" xr:uid="{00000000-0005-0000-0000-0000AE270000}"/>
    <cellStyle name="Entrada 4 9 3 2 4" xfId="10164" xr:uid="{00000000-0005-0000-0000-0000AF270000}"/>
    <cellStyle name="Entrada 4 9 3 3" xfId="10165" xr:uid="{00000000-0005-0000-0000-0000B0270000}"/>
    <cellStyle name="Entrada 4 9 3 3 2" xfId="10166" xr:uid="{00000000-0005-0000-0000-0000B1270000}"/>
    <cellStyle name="Entrada 4 9 3 3 3" xfId="10167" xr:uid="{00000000-0005-0000-0000-0000B2270000}"/>
    <cellStyle name="Entrada 4 9 3 3 4" xfId="10168" xr:uid="{00000000-0005-0000-0000-0000B3270000}"/>
    <cellStyle name="Entrada 4 9 3 4" xfId="10169" xr:uid="{00000000-0005-0000-0000-0000B4270000}"/>
    <cellStyle name="Entrada 4 9 3 5" xfId="10170" xr:uid="{00000000-0005-0000-0000-0000B5270000}"/>
    <cellStyle name="Entrada 4 9 3 6" xfId="10171" xr:uid="{00000000-0005-0000-0000-0000B6270000}"/>
    <cellStyle name="Entrada 4 9 4" xfId="10172" xr:uid="{00000000-0005-0000-0000-0000B7270000}"/>
    <cellStyle name="Entrada 4 9 4 2" xfId="10173" xr:uid="{00000000-0005-0000-0000-0000B8270000}"/>
    <cellStyle name="Entrada 4 9 4 3" xfId="10174" xr:uid="{00000000-0005-0000-0000-0000B9270000}"/>
    <cellStyle name="Entrada 4 9 4 4" xfId="10175" xr:uid="{00000000-0005-0000-0000-0000BA270000}"/>
    <cellStyle name="Entrada 4 9 5" xfId="10176" xr:uid="{00000000-0005-0000-0000-0000BB270000}"/>
    <cellStyle name="Entrada 4 9 6" xfId="10177" xr:uid="{00000000-0005-0000-0000-0000BC270000}"/>
    <cellStyle name="Entrada 5" xfId="10178" xr:uid="{00000000-0005-0000-0000-0000BD270000}"/>
    <cellStyle name="Entrada 5 10" xfId="10179" xr:uid="{00000000-0005-0000-0000-0000BE270000}"/>
    <cellStyle name="Entrada 5 10 2" xfId="10180" xr:uid="{00000000-0005-0000-0000-0000BF270000}"/>
    <cellStyle name="Entrada 5 10 2 2" xfId="10181" xr:uid="{00000000-0005-0000-0000-0000C0270000}"/>
    <cellStyle name="Entrada 5 10 2 2 2" xfId="10182" xr:uid="{00000000-0005-0000-0000-0000C1270000}"/>
    <cellStyle name="Entrada 5 10 2 2 3" xfId="10183" xr:uid="{00000000-0005-0000-0000-0000C2270000}"/>
    <cellStyle name="Entrada 5 10 2 2 4" xfId="10184" xr:uid="{00000000-0005-0000-0000-0000C3270000}"/>
    <cellStyle name="Entrada 5 10 2 3" xfId="10185" xr:uid="{00000000-0005-0000-0000-0000C4270000}"/>
    <cellStyle name="Entrada 5 10 2 3 2" xfId="10186" xr:uid="{00000000-0005-0000-0000-0000C5270000}"/>
    <cellStyle name="Entrada 5 10 2 3 3" xfId="10187" xr:uid="{00000000-0005-0000-0000-0000C6270000}"/>
    <cellStyle name="Entrada 5 10 2 3 4" xfId="10188" xr:uid="{00000000-0005-0000-0000-0000C7270000}"/>
    <cellStyle name="Entrada 5 10 2 4" xfId="10189" xr:uid="{00000000-0005-0000-0000-0000C8270000}"/>
    <cellStyle name="Entrada 5 10 2 5" xfId="10190" xr:uid="{00000000-0005-0000-0000-0000C9270000}"/>
    <cellStyle name="Entrada 5 10 2 6" xfId="10191" xr:uid="{00000000-0005-0000-0000-0000CA270000}"/>
    <cellStyle name="Entrada 5 10 3" xfId="10192" xr:uid="{00000000-0005-0000-0000-0000CB270000}"/>
    <cellStyle name="Entrada 5 10 3 2" xfId="10193" xr:uid="{00000000-0005-0000-0000-0000CC270000}"/>
    <cellStyle name="Entrada 5 10 3 2 2" xfId="10194" xr:uid="{00000000-0005-0000-0000-0000CD270000}"/>
    <cellStyle name="Entrada 5 10 3 2 3" xfId="10195" xr:uid="{00000000-0005-0000-0000-0000CE270000}"/>
    <cellStyle name="Entrada 5 10 3 2 4" xfId="10196" xr:uid="{00000000-0005-0000-0000-0000CF270000}"/>
    <cellStyle name="Entrada 5 10 3 3" xfId="10197" xr:uid="{00000000-0005-0000-0000-0000D0270000}"/>
    <cellStyle name="Entrada 5 10 3 3 2" xfId="10198" xr:uid="{00000000-0005-0000-0000-0000D1270000}"/>
    <cellStyle name="Entrada 5 10 3 3 3" xfId="10199" xr:uid="{00000000-0005-0000-0000-0000D2270000}"/>
    <cellStyle name="Entrada 5 10 3 3 4" xfId="10200" xr:uid="{00000000-0005-0000-0000-0000D3270000}"/>
    <cellStyle name="Entrada 5 10 3 4" xfId="10201" xr:uid="{00000000-0005-0000-0000-0000D4270000}"/>
    <cellStyle name="Entrada 5 10 3 5" xfId="10202" xr:uid="{00000000-0005-0000-0000-0000D5270000}"/>
    <cellStyle name="Entrada 5 10 3 6" xfId="10203" xr:uid="{00000000-0005-0000-0000-0000D6270000}"/>
    <cellStyle name="Entrada 5 10 4" xfId="10204" xr:uid="{00000000-0005-0000-0000-0000D7270000}"/>
    <cellStyle name="Entrada 5 10 4 2" xfId="10205" xr:uid="{00000000-0005-0000-0000-0000D8270000}"/>
    <cellStyle name="Entrada 5 10 4 3" xfId="10206" xr:uid="{00000000-0005-0000-0000-0000D9270000}"/>
    <cellStyle name="Entrada 5 10 4 4" xfId="10207" xr:uid="{00000000-0005-0000-0000-0000DA270000}"/>
    <cellStyle name="Entrada 5 10 5" xfId="10208" xr:uid="{00000000-0005-0000-0000-0000DB270000}"/>
    <cellStyle name="Entrada 5 10 6" xfId="10209" xr:uid="{00000000-0005-0000-0000-0000DC270000}"/>
    <cellStyle name="Entrada 5 11" xfId="10210" xr:uid="{00000000-0005-0000-0000-0000DD270000}"/>
    <cellStyle name="Entrada 5 11 2" xfId="10211" xr:uid="{00000000-0005-0000-0000-0000DE270000}"/>
    <cellStyle name="Entrada 5 11 2 2" xfId="10212" xr:uid="{00000000-0005-0000-0000-0000DF270000}"/>
    <cellStyle name="Entrada 5 11 2 2 2" xfId="10213" xr:uid="{00000000-0005-0000-0000-0000E0270000}"/>
    <cellStyle name="Entrada 5 11 2 2 3" xfId="10214" xr:uid="{00000000-0005-0000-0000-0000E1270000}"/>
    <cellStyle name="Entrada 5 11 2 2 4" xfId="10215" xr:uid="{00000000-0005-0000-0000-0000E2270000}"/>
    <cellStyle name="Entrada 5 11 2 3" xfId="10216" xr:uid="{00000000-0005-0000-0000-0000E3270000}"/>
    <cellStyle name="Entrada 5 11 2 3 2" xfId="10217" xr:uid="{00000000-0005-0000-0000-0000E4270000}"/>
    <cellStyle name="Entrada 5 11 2 3 3" xfId="10218" xr:uid="{00000000-0005-0000-0000-0000E5270000}"/>
    <cellStyle name="Entrada 5 11 2 3 4" xfId="10219" xr:uid="{00000000-0005-0000-0000-0000E6270000}"/>
    <cellStyle name="Entrada 5 11 2 4" xfId="10220" xr:uid="{00000000-0005-0000-0000-0000E7270000}"/>
    <cellStyle name="Entrada 5 11 2 5" xfId="10221" xr:uid="{00000000-0005-0000-0000-0000E8270000}"/>
    <cellStyle name="Entrada 5 11 2 6" xfId="10222" xr:uid="{00000000-0005-0000-0000-0000E9270000}"/>
    <cellStyle name="Entrada 5 11 3" xfId="10223" xr:uid="{00000000-0005-0000-0000-0000EA270000}"/>
    <cellStyle name="Entrada 5 11 3 2" xfId="10224" xr:uid="{00000000-0005-0000-0000-0000EB270000}"/>
    <cellStyle name="Entrada 5 11 3 2 2" xfId="10225" xr:uid="{00000000-0005-0000-0000-0000EC270000}"/>
    <cellStyle name="Entrada 5 11 3 2 3" xfId="10226" xr:uid="{00000000-0005-0000-0000-0000ED270000}"/>
    <cellStyle name="Entrada 5 11 3 2 4" xfId="10227" xr:uid="{00000000-0005-0000-0000-0000EE270000}"/>
    <cellStyle name="Entrada 5 11 3 3" xfId="10228" xr:uid="{00000000-0005-0000-0000-0000EF270000}"/>
    <cellStyle name="Entrada 5 11 3 3 2" xfId="10229" xr:uid="{00000000-0005-0000-0000-0000F0270000}"/>
    <cellStyle name="Entrada 5 11 3 3 3" xfId="10230" xr:uid="{00000000-0005-0000-0000-0000F1270000}"/>
    <cellStyle name="Entrada 5 11 3 3 4" xfId="10231" xr:uid="{00000000-0005-0000-0000-0000F2270000}"/>
    <cellStyle name="Entrada 5 11 3 4" xfId="10232" xr:uid="{00000000-0005-0000-0000-0000F3270000}"/>
    <cellStyle name="Entrada 5 11 3 5" xfId="10233" xr:uid="{00000000-0005-0000-0000-0000F4270000}"/>
    <cellStyle name="Entrada 5 11 3 6" xfId="10234" xr:uid="{00000000-0005-0000-0000-0000F5270000}"/>
    <cellStyle name="Entrada 5 11 4" xfId="10235" xr:uid="{00000000-0005-0000-0000-0000F6270000}"/>
    <cellStyle name="Entrada 5 11 5" xfId="10236" xr:uid="{00000000-0005-0000-0000-0000F7270000}"/>
    <cellStyle name="Entrada 5 11 6" xfId="10237" xr:uid="{00000000-0005-0000-0000-0000F8270000}"/>
    <cellStyle name="Entrada 5 12" xfId="10238" xr:uid="{00000000-0005-0000-0000-0000F9270000}"/>
    <cellStyle name="Entrada 5 13" xfId="10239" xr:uid="{00000000-0005-0000-0000-0000FA270000}"/>
    <cellStyle name="Entrada 5 2" xfId="10240" xr:uid="{00000000-0005-0000-0000-0000FB270000}"/>
    <cellStyle name="Entrada 5 2 10" xfId="10241" xr:uid="{00000000-0005-0000-0000-0000FC270000}"/>
    <cellStyle name="Entrada 5 2 10 2" xfId="10242" xr:uid="{00000000-0005-0000-0000-0000FD270000}"/>
    <cellStyle name="Entrada 5 2 10 2 2" xfId="10243" xr:uid="{00000000-0005-0000-0000-0000FE270000}"/>
    <cellStyle name="Entrada 5 2 10 2 2 2" xfId="10244" xr:uid="{00000000-0005-0000-0000-0000FF270000}"/>
    <cellStyle name="Entrada 5 2 10 2 2 3" xfId="10245" xr:uid="{00000000-0005-0000-0000-000000280000}"/>
    <cellStyle name="Entrada 5 2 10 2 2 4" xfId="10246" xr:uid="{00000000-0005-0000-0000-000001280000}"/>
    <cellStyle name="Entrada 5 2 10 2 3" xfId="10247" xr:uid="{00000000-0005-0000-0000-000002280000}"/>
    <cellStyle name="Entrada 5 2 10 2 3 2" xfId="10248" xr:uid="{00000000-0005-0000-0000-000003280000}"/>
    <cellStyle name="Entrada 5 2 10 2 3 3" xfId="10249" xr:uid="{00000000-0005-0000-0000-000004280000}"/>
    <cellStyle name="Entrada 5 2 10 2 3 4" xfId="10250" xr:uid="{00000000-0005-0000-0000-000005280000}"/>
    <cellStyle name="Entrada 5 2 10 2 4" xfId="10251" xr:uid="{00000000-0005-0000-0000-000006280000}"/>
    <cellStyle name="Entrada 5 2 10 2 5" xfId="10252" xr:uid="{00000000-0005-0000-0000-000007280000}"/>
    <cellStyle name="Entrada 5 2 10 2 6" xfId="10253" xr:uid="{00000000-0005-0000-0000-000008280000}"/>
    <cellStyle name="Entrada 5 2 10 3" xfId="10254" xr:uid="{00000000-0005-0000-0000-000009280000}"/>
    <cellStyle name="Entrada 5 2 10 3 2" xfId="10255" xr:uid="{00000000-0005-0000-0000-00000A280000}"/>
    <cellStyle name="Entrada 5 2 10 3 2 2" xfId="10256" xr:uid="{00000000-0005-0000-0000-00000B280000}"/>
    <cellStyle name="Entrada 5 2 10 3 2 3" xfId="10257" xr:uid="{00000000-0005-0000-0000-00000C280000}"/>
    <cellStyle name="Entrada 5 2 10 3 2 4" xfId="10258" xr:uid="{00000000-0005-0000-0000-00000D280000}"/>
    <cellStyle name="Entrada 5 2 10 3 3" xfId="10259" xr:uid="{00000000-0005-0000-0000-00000E280000}"/>
    <cellStyle name="Entrada 5 2 10 3 3 2" xfId="10260" xr:uid="{00000000-0005-0000-0000-00000F280000}"/>
    <cellStyle name="Entrada 5 2 10 3 3 3" xfId="10261" xr:uid="{00000000-0005-0000-0000-000010280000}"/>
    <cellStyle name="Entrada 5 2 10 3 3 4" xfId="10262" xr:uid="{00000000-0005-0000-0000-000011280000}"/>
    <cellStyle name="Entrada 5 2 10 3 4" xfId="10263" xr:uid="{00000000-0005-0000-0000-000012280000}"/>
    <cellStyle name="Entrada 5 2 10 3 5" xfId="10264" xr:uid="{00000000-0005-0000-0000-000013280000}"/>
    <cellStyle name="Entrada 5 2 10 3 6" xfId="10265" xr:uid="{00000000-0005-0000-0000-000014280000}"/>
    <cellStyle name="Entrada 5 2 10 4" xfId="10266" xr:uid="{00000000-0005-0000-0000-000015280000}"/>
    <cellStyle name="Entrada 5 2 10 5" xfId="10267" xr:uid="{00000000-0005-0000-0000-000016280000}"/>
    <cellStyle name="Entrada 5 2 10 6" xfId="10268" xr:uid="{00000000-0005-0000-0000-000017280000}"/>
    <cellStyle name="Entrada 5 2 11" xfId="10269" xr:uid="{00000000-0005-0000-0000-000018280000}"/>
    <cellStyle name="Entrada 5 2 12" xfId="10270" xr:uid="{00000000-0005-0000-0000-000019280000}"/>
    <cellStyle name="Entrada 5 2 2" xfId="10271" xr:uid="{00000000-0005-0000-0000-00001A280000}"/>
    <cellStyle name="Entrada 5 2 2 2" xfId="10272" xr:uid="{00000000-0005-0000-0000-00001B280000}"/>
    <cellStyle name="Entrada 5 2 2 2 2" xfId="10273" xr:uid="{00000000-0005-0000-0000-00001C280000}"/>
    <cellStyle name="Entrada 5 2 2 2 2 2" xfId="10274" xr:uid="{00000000-0005-0000-0000-00001D280000}"/>
    <cellStyle name="Entrada 5 2 2 2 2 2 2" xfId="10275" xr:uid="{00000000-0005-0000-0000-00001E280000}"/>
    <cellStyle name="Entrada 5 2 2 2 2 2 3" xfId="10276" xr:uid="{00000000-0005-0000-0000-00001F280000}"/>
    <cellStyle name="Entrada 5 2 2 2 2 2 4" xfId="10277" xr:uid="{00000000-0005-0000-0000-000020280000}"/>
    <cellStyle name="Entrada 5 2 2 2 2 3" xfId="10278" xr:uid="{00000000-0005-0000-0000-000021280000}"/>
    <cellStyle name="Entrada 5 2 2 2 2 3 2" xfId="10279" xr:uid="{00000000-0005-0000-0000-000022280000}"/>
    <cellStyle name="Entrada 5 2 2 2 2 3 3" xfId="10280" xr:uid="{00000000-0005-0000-0000-000023280000}"/>
    <cellStyle name="Entrada 5 2 2 2 2 3 4" xfId="10281" xr:uid="{00000000-0005-0000-0000-000024280000}"/>
    <cellStyle name="Entrada 5 2 2 2 2 4" xfId="10282" xr:uid="{00000000-0005-0000-0000-000025280000}"/>
    <cellStyle name="Entrada 5 2 2 2 2 5" xfId="10283" xr:uid="{00000000-0005-0000-0000-000026280000}"/>
    <cellStyle name="Entrada 5 2 2 2 2 6" xfId="10284" xr:uid="{00000000-0005-0000-0000-000027280000}"/>
    <cellStyle name="Entrada 5 2 2 2 3" xfId="10285" xr:uid="{00000000-0005-0000-0000-000028280000}"/>
    <cellStyle name="Entrada 5 2 2 2 3 2" xfId="10286" xr:uid="{00000000-0005-0000-0000-000029280000}"/>
    <cellStyle name="Entrada 5 2 2 2 3 2 2" xfId="10287" xr:uid="{00000000-0005-0000-0000-00002A280000}"/>
    <cellStyle name="Entrada 5 2 2 2 3 2 3" xfId="10288" xr:uid="{00000000-0005-0000-0000-00002B280000}"/>
    <cellStyle name="Entrada 5 2 2 2 3 2 4" xfId="10289" xr:uid="{00000000-0005-0000-0000-00002C280000}"/>
    <cellStyle name="Entrada 5 2 2 2 3 3" xfId="10290" xr:uid="{00000000-0005-0000-0000-00002D280000}"/>
    <cellStyle name="Entrada 5 2 2 2 3 3 2" xfId="10291" xr:uid="{00000000-0005-0000-0000-00002E280000}"/>
    <cellStyle name="Entrada 5 2 2 2 3 3 3" xfId="10292" xr:uid="{00000000-0005-0000-0000-00002F280000}"/>
    <cellStyle name="Entrada 5 2 2 2 3 3 4" xfId="10293" xr:uid="{00000000-0005-0000-0000-000030280000}"/>
    <cellStyle name="Entrada 5 2 2 2 3 4" xfId="10294" xr:uid="{00000000-0005-0000-0000-000031280000}"/>
    <cellStyle name="Entrada 5 2 2 2 3 5" xfId="10295" xr:uid="{00000000-0005-0000-0000-000032280000}"/>
    <cellStyle name="Entrada 5 2 2 2 3 6" xfId="10296" xr:uid="{00000000-0005-0000-0000-000033280000}"/>
    <cellStyle name="Entrada 5 2 2 2 4" xfId="10297" xr:uid="{00000000-0005-0000-0000-000034280000}"/>
    <cellStyle name="Entrada 5 2 2 2 5" xfId="10298" xr:uid="{00000000-0005-0000-0000-000035280000}"/>
    <cellStyle name="Entrada 5 2 2 2 6" xfId="10299" xr:uid="{00000000-0005-0000-0000-000036280000}"/>
    <cellStyle name="Entrada 5 2 2 3" xfId="10300" xr:uid="{00000000-0005-0000-0000-000037280000}"/>
    <cellStyle name="Entrada 5 2 2 4" xfId="10301" xr:uid="{00000000-0005-0000-0000-000038280000}"/>
    <cellStyle name="Entrada 5 2 3" xfId="10302" xr:uid="{00000000-0005-0000-0000-000039280000}"/>
    <cellStyle name="Entrada 5 2 3 2" xfId="10303" xr:uid="{00000000-0005-0000-0000-00003A280000}"/>
    <cellStyle name="Entrada 5 2 3 2 2" xfId="10304" xr:uid="{00000000-0005-0000-0000-00003B280000}"/>
    <cellStyle name="Entrada 5 2 3 2 2 2" xfId="10305" xr:uid="{00000000-0005-0000-0000-00003C280000}"/>
    <cellStyle name="Entrada 5 2 3 2 2 2 2" xfId="10306" xr:uid="{00000000-0005-0000-0000-00003D280000}"/>
    <cellStyle name="Entrada 5 2 3 2 2 2 3" xfId="10307" xr:uid="{00000000-0005-0000-0000-00003E280000}"/>
    <cellStyle name="Entrada 5 2 3 2 2 2 4" xfId="10308" xr:uid="{00000000-0005-0000-0000-00003F280000}"/>
    <cellStyle name="Entrada 5 2 3 2 2 3" xfId="10309" xr:uid="{00000000-0005-0000-0000-000040280000}"/>
    <cellStyle name="Entrada 5 2 3 2 2 3 2" xfId="10310" xr:uid="{00000000-0005-0000-0000-000041280000}"/>
    <cellStyle name="Entrada 5 2 3 2 2 3 3" xfId="10311" xr:uid="{00000000-0005-0000-0000-000042280000}"/>
    <cellStyle name="Entrada 5 2 3 2 2 3 4" xfId="10312" xr:uid="{00000000-0005-0000-0000-000043280000}"/>
    <cellStyle name="Entrada 5 2 3 2 2 4" xfId="10313" xr:uid="{00000000-0005-0000-0000-000044280000}"/>
    <cellStyle name="Entrada 5 2 3 2 2 5" xfId="10314" xr:uid="{00000000-0005-0000-0000-000045280000}"/>
    <cellStyle name="Entrada 5 2 3 2 2 6" xfId="10315" xr:uid="{00000000-0005-0000-0000-000046280000}"/>
    <cellStyle name="Entrada 5 2 3 2 3" xfId="10316" xr:uid="{00000000-0005-0000-0000-000047280000}"/>
    <cellStyle name="Entrada 5 2 3 2 3 2" xfId="10317" xr:uid="{00000000-0005-0000-0000-000048280000}"/>
    <cellStyle name="Entrada 5 2 3 2 3 2 2" xfId="10318" xr:uid="{00000000-0005-0000-0000-000049280000}"/>
    <cellStyle name="Entrada 5 2 3 2 3 2 3" xfId="10319" xr:uid="{00000000-0005-0000-0000-00004A280000}"/>
    <cellStyle name="Entrada 5 2 3 2 3 2 4" xfId="10320" xr:uid="{00000000-0005-0000-0000-00004B280000}"/>
    <cellStyle name="Entrada 5 2 3 2 3 3" xfId="10321" xr:uid="{00000000-0005-0000-0000-00004C280000}"/>
    <cellStyle name="Entrada 5 2 3 2 3 3 2" xfId="10322" xr:uid="{00000000-0005-0000-0000-00004D280000}"/>
    <cellStyle name="Entrada 5 2 3 2 3 3 3" xfId="10323" xr:uid="{00000000-0005-0000-0000-00004E280000}"/>
    <cellStyle name="Entrada 5 2 3 2 3 3 4" xfId="10324" xr:uid="{00000000-0005-0000-0000-00004F280000}"/>
    <cellStyle name="Entrada 5 2 3 2 3 4" xfId="10325" xr:uid="{00000000-0005-0000-0000-000050280000}"/>
    <cellStyle name="Entrada 5 2 3 2 3 5" xfId="10326" xr:uid="{00000000-0005-0000-0000-000051280000}"/>
    <cellStyle name="Entrada 5 2 3 2 3 6" xfId="10327" xr:uid="{00000000-0005-0000-0000-000052280000}"/>
    <cellStyle name="Entrada 5 2 3 2 4" xfId="10328" xr:uid="{00000000-0005-0000-0000-000053280000}"/>
    <cellStyle name="Entrada 5 2 3 2 5" xfId="10329" xr:uid="{00000000-0005-0000-0000-000054280000}"/>
    <cellStyle name="Entrada 5 2 3 2 6" xfId="10330" xr:uid="{00000000-0005-0000-0000-000055280000}"/>
    <cellStyle name="Entrada 5 2 3 3" xfId="10331" xr:uid="{00000000-0005-0000-0000-000056280000}"/>
    <cellStyle name="Entrada 5 2 3 4" xfId="10332" xr:uid="{00000000-0005-0000-0000-000057280000}"/>
    <cellStyle name="Entrada 5 2 4" xfId="10333" xr:uid="{00000000-0005-0000-0000-000058280000}"/>
    <cellStyle name="Entrada 5 2 4 2" xfId="10334" xr:uid="{00000000-0005-0000-0000-000059280000}"/>
    <cellStyle name="Entrada 5 2 4 2 2" xfId="10335" xr:uid="{00000000-0005-0000-0000-00005A280000}"/>
    <cellStyle name="Entrada 5 2 4 2 2 2" xfId="10336" xr:uid="{00000000-0005-0000-0000-00005B280000}"/>
    <cellStyle name="Entrada 5 2 4 2 2 2 2" xfId="10337" xr:uid="{00000000-0005-0000-0000-00005C280000}"/>
    <cellStyle name="Entrada 5 2 4 2 2 2 3" xfId="10338" xr:uid="{00000000-0005-0000-0000-00005D280000}"/>
    <cellStyle name="Entrada 5 2 4 2 2 2 4" xfId="10339" xr:uid="{00000000-0005-0000-0000-00005E280000}"/>
    <cellStyle name="Entrada 5 2 4 2 2 3" xfId="10340" xr:uid="{00000000-0005-0000-0000-00005F280000}"/>
    <cellStyle name="Entrada 5 2 4 2 2 3 2" xfId="10341" xr:uid="{00000000-0005-0000-0000-000060280000}"/>
    <cellStyle name="Entrada 5 2 4 2 2 3 3" xfId="10342" xr:uid="{00000000-0005-0000-0000-000061280000}"/>
    <cellStyle name="Entrada 5 2 4 2 2 3 4" xfId="10343" xr:uid="{00000000-0005-0000-0000-000062280000}"/>
    <cellStyle name="Entrada 5 2 4 2 2 4" xfId="10344" xr:uid="{00000000-0005-0000-0000-000063280000}"/>
    <cellStyle name="Entrada 5 2 4 2 2 5" xfId="10345" xr:uid="{00000000-0005-0000-0000-000064280000}"/>
    <cellStyle name="Entrada 5 2 4 2 2 6" xfId="10346" xr:uid="{00000000-0005-0000-0000-000065280000}"/>
    <cellStyle name="Entrada 5 2 4 2 3" xfId="10347" xr:uid="{00000000-0005-0000-0000-000066280000}"/>
    <cellStyle name="Entrada 5 2 4 2 3 2" xfId="10348" xr:uid="{00000000-0005-0000-0000-000067280000}"/>
    <cellStyle name="Entrada 5 2 4 2 3 2 2" xfId="10349" xr:uid="{00000000-0005-0000-0000-000068280000}"/>
    <cellStyle name="Entrada 5 2 4 2 3 2 3" xfId="10350" xr:uid="{00000000-0005-0000-0000-000069280000}"/>
    <cellStyle name="Entrada 5 2 4 2 3 2 4" xfId="10351" xr:uid="{00000000-0005-0000-0000-00006A280000}"/>
    <cellStyle name="Entrada 5 2 4 2 3 3" xfId="10352" xr:uid="{00000000-0005-0000-0000-00006B280000}"/>
    <cellStyle name="Entrada 5 2 4 2 3 3 2" xfId="10353" xr:uid="{00000000-0005-0000-0000-00006C280000}"/>
    <cellStyle name="Entrada 5 2 4 2 3 3 3" xfId="10354" xr:uid="{00000000-0005-0000-0000-00006D280000}"/>
    <cellStyle name="Entrada 5 2 4 2 3 3 4" xfId="10355" xr:uid="{00000000-0005-0000-0000-00006E280000}"/>
    <cellStyle name="Entrada 5 2 4 2 3 4" xfId="10356" xr:uid="{00000000-0005-0000-0000-00006F280000}"/>
    <cellStyle name="Entrada 5 2 4 2 3 5" xfId="10357" xr:uid="{00000000-0005-0000-0000-000070280000}"/>
    <cellStyle name="Entrada 5 2 4 2 3 6" xfId="10358" xr:uid="{00000000-0005-0000-0000-000071280000}"/>
    <cellStyle name="Entrada 5 2 4 2 4" xfId="10359" xr:uid="{00000000-0005-0000-0000-000072280000}"/>
    <cellStyle name="Entrada 5 2 4 2 5" xfId="10360" xr:uid="{00000000-0005-0000-0000-000073280000}"/>
    <cellStyle name="Entrada 5 2 4 2 6" xfId="10361" xr:uid="{00000000-0005-0000-0000-000074280000}"/>
    <cellStyle name="Entrada 5 2 4 3" xfId="10362" xr:uid="{00000000-0005-0000-0000-000075280000}"/>
    <cellStyle name="Entrada 5 2 4 4" xfId="10363" xr:uid="{00000000-0005-0000-0000-000076280000}"/>
    <cellStyle name="Entrada 5 2 5" xfId="10364" xr:uid="{00000000-0005-0000-0000-000077280000}"/>
    <cellStyle name="Entrada 5 2 5 2" xfId="10365" xr:uid="{00000000-0005-0000-0000-000078280000}"/>
    <cellStyle name="Entrada 5 2 5 2 2" xfId="10366" xr:uid="{00000000-0005-0000-0000-000079280000}"/>
    <cellStyle name="Entrada 5 2 5 2 2 2" xfId="10367" xr:uid="{00000000-0005-0000-0000-00007A280000}"/>
    <cellStyle name="Entrada 5 2 5 2 2 2 2" xfId="10368" xr:uid="{00000000-0005-0000-0000-00007B280000}"/>
    <cellStyle name="Entrada 5 2 5 2 2 2 3" xfId="10369" xr:uid="{00000000-0005-0000-0000-00007C280000}"/>
    <cellStyle name="Entrada 5 2 5 2 2 2 4" xfId="10370" xr:uid="{00000000-0005-0000-0000-00007D280000}"/>
    <cellStyle name="Entrada 5 2 5 2 2 3" xfId="10371" xr:uid="{00000000-0005-0000-0000-00007E280000}"/>
    <cellStyle name="Entrada 5 2 5 2 2 3 2" xfId="10372" xr:uid="{00000000-0005-0000-0000-00007F280000}"/>
    <cellStyle name="Entrada 5 2 5 2 2 3 3" xfId="10373" xr:uid="{00000000-0005-0000-0000-000080280000}"/>
    <cellStyle name="Entrada 5 2 5 2 2 3 4" xfId="10374" xr:uid="{00000000-0005-0000-0000-000081280000}"/>
    <cellStyle name="Entrada 5 2 5 2 2 4" xfId="10375" xr:uid="{00000000-0005-0000-0000-000082280000}"/>
    <cellStyle name="Entrada 5 2 5 2 2 5" xfId="10376" xr:uid="{00000000-0005-0000-0000-000083280000}"/>
    <cellStyle name="Entrada 5 2 5 2 2 6" xfId="10377" xr:uid="{00000000-0005-0000-0000-000084280000}"/>
    <cellStyle name="Entrada 5 2 5 2 3" xfId="10378" xr:uid="{00000000-0005-0000-0000-000085280000}"/>
    <cellStyle name="Entrada 5 2 5 2 3 2" xfId="10379" xr:uid="{00000000-0005-0000-0000-000086280000}"/>
    <cellStyle name="Entrada 5 2 5 2 3 2 2" xfId="10380" xr:uid="{00000000-0005-0000-0000-000087280000}"/>
    <cellStyle name="Entrada 5 2 5 2 3 2 3" xfId="10381" xr:uid="{00000000-0005-0000-0000-000088280000}"/>
    <cellStyle name="Entrada 5 2 5 2 3 2 4" xfId="10382" xr:uid="{00000000-0005-0000-0000-000089280000}"/>
    <cellStyle name="Entrada 5 2 5 2 3 3" xfId="10383" xr:uid="{00000000-0005-0000-0000-00008A280000}"/>
    <cellStyle name="Entrada 5 2 5 2 3 3 2" xfId="10384" xr:uid="{00000000-0005-0000-0000-00008B280000}"/>
    <cellStyle name="Entrada 5 2 5 2 3 3 3" xfId="10385" xr:uid="{00000000-0005-0000-0000-00008C280000}"/>
    <cellStyle name="Entrada 5 2 5 2 3 3 4" xfId="10386" xr:uid="{00000000-0005-0000-0000-00008D280000}"/>
    <cellStyle name="Entrada 5 2 5 2 3 4" xfId="10387" xr:uid="{00000000-0005-0000-0000-00008E280000}"/>
    <cellStyle name="Entrada 5 2 5 2 3 5" xfId="10388" xr:uid="{00000000-0005-0000-0000-00008F280000}"/>
    <cellStyle name="Entrada 5 2 5 2 3 6" xfId="10389" xr:uid="{00000000-0005-0000-0000-000090280000}"/>
    <cellStyle name="Entrada 5 2 5 2 4" xfId="10390" xr:uid="{00000000-0005-0000-0000-000091280000}"/>
    <cellStyle name="Entrada 5 2 5 2 5" xfId="10391" xr:uid="{00000000-0005-0000-0000-000092280000}"/>
    <cellStyle name="Entrada 5 2 5 2 6" xfId="10392" xr:uid="{00000000-0005-0000-0000-000093280000}"/>
    <cellStyle name="Entrada 5 2 5 3" xfId="10393" xr:uid="{00000000-0005-0000-0000-000094280000}"/>
    <cellStyle name="Entrada 5 2 5 4" xfId="10394" xr:uid="{00000000-0005-0000-0000-000095280000}"/>
    <cellStyle name="Entrada 5 2 6" xfId="10395" xr:uid="{00000000-0005-0000-0000-000096280000}"/>
    <cellStyle name="Entrada 5 2 6 2" xfId="10396" xr:uid="{00000000-0005-0000-0000-000097280000}"/>
    <cellStyle name="Entrada 5 2 6 2 2" xfId="10397" xr:uid="{00000000-0005-0000-0000-000098280000}"/>
    <cellStyle name="Entrada 5 2 6 2 2 2" xfId="10398" xr:uid="{00000000-0005-0000-0000-000099280000}"/>
    <cellStyle name="Entrada 5 2 6 2 2 3" xfId="10399" xr:uid="{00000000-0005-0000-0000-00009A280000}"/>
    <cellStyle name="Entrada 5 2 6 2 2 4" xfId="10400" xr:uid="{00000000-0005-0000-0000-00009B280000}"/>
    <cellStyle name="Entrada 5 2 6 2 3" xfId="10401" xr:uid="{00000000-0005-0000-0000-00009C280000}"/>
    <cellStyle name="Entrada 5 2 6 2 3 2" xfId="10402" xr:uid="{00000000-0005-0000-0000-00009D280000}"/>
    <cellStyle name="Entrada 5 2 6 2 3 3" xfId="10403" xr:uid="{00000000-0005-0000-0000-00009E280000}"/>
    <cellStyle name="Entrada 5 2 6 2 3 4" xfId="10404" xr:uid="{00000000-0005-0000-0000-00009F280000}"/>
    <cellStyle name="Entrada 5 2 6 2 4" xfId="10405" xr:uid="{00000000-0005-0000-0000-0000A0280000}"/>
    <cellStyle name="Entrada 5 2 6 2 5" xfId="10406" xr:uid="{00000000-0005-0000-0000-0000A1280000}"/>
    <cellStyle name="Entrada 5 2 6 2 6" xfId="10407" xr:uid="{00000000-0005-0000-0000-0000A2280000}"/>
    <cellStyle name="Entrada 5 2 6 3" xfId="10408" xr:uid="{00000000-0005-0000-0000-0000A3280000}"/>
    <cellStyle name="Entrada 5 2 6 3 2" xfId="10409" xr:uid="{00000000-0005-0000-0000-0000A4280000}"/>
    <cellStyle name="Entrada 5 2 6 3 2 2" xfId="10410" xr:uid="{00000000-0005-0000-0000-0000A5280000}"/>
    <cellStyle name="Entrada 5 2 6 3 2 3" xfId="10411" xr:uid="{00000000-0005-0000-0000-0000A6280000}"/>
    <cellStyle name="Entrada 5 2 6 3 2 4" xfId="10412" xr:uid="{00000000-0005-0000-0000-0000A7280000}"/>
    <cellStyle name="Entrada 5 2 6 3 3" xfId="10413" xr:uid="{00000000-0005-0000-0000-0000A8280000}"/>
    <cellStyle name="Entrada 5 2 6 3 3 2" xfId="10414" xr:uid="{00000000-0005-0000-0000-0000A9280000}"/>
    <cellStyle name="Entrada 5 2 6 3 3 3" xfId="10415" xr:uid="{00000000-0005-0000-0000-0000AA280000}"/>
    <cellStyle name="Entrada 5 2 6 3 3 4" xfId="10416" xr:uid="{00000000-0005-0000-0000-0000AB280000}"/>
    <cellStyle name="Entrada 5 2 6 3 4" xfId="10417" xr:uid="{00000000-0005-0000-0000-0000AC280000}"/>
    <cellStyle name="Entrada 5 2 6 3 5" xfId="10418" xr:uid="{00000000-0005-0000-0000-0000AD280000}"/>
    <cellStyle name="Entrada 5 2 6 3 6" xfId="10419" xr:uid="{00000000-0005-0000-0000-0000AE280000}"/>
    <cellStyle name="Entrada 5 2 6 4" xfId="10420" xr:uid="{00000000-0005-0000-0000-0000AF280000}"/>
    <cellStyle name="Entrada 5 2 6 4 2" xfId="10421" xr:uid="{00000000-0005-0000-0000-0000B0280000}"/>
    <cellStyle name="Entrada 5 2 6 4 3" xfId="10422" xr:uid="{00000000-0005-0000-0000-0000B1280000}"/>
    <cellStyle name="Entrada 5 2 6 4 4" xfId="10423" xr:uid="{00000000-0005-0000-0000-0000B2280000}"/>
    <cellStyle name="Entrada 5 2 6 5" xfId="10424" xr:uid="{00000000-0005-0000-0000-0000B3280000}"/>
    <cellStyle name="Entrada 5 2 6 6" xfId="10425" xr:uid="{00000000-0005-0000-0000-0000B4280000}"/>
    <cellStyle name="Entrada 5 2 7" xfId="10426" xr:uid="{00000000-0005-0000-0000-0000B5280000}"/>
    <cellStyle name="Entrada 5 2 7 2" xfId="10427" xr:uid="{00000000-0005-0000-0000-0000B6280000}"/>
    <cellStyle name="Entrada 5 2 7 2 2" xfId="10428" xr:uid="{00000000-0005-0000-0000-0000B7280000}"/>
    <cellStyle name="Entrada 5 2 7 2 2 2" xfId="10429" xr:uid="{00000000-0005-0000-0000-0000B8280000}"/>
    <cellStyle name="Entrada 5 2 7 2 2 3" xfId="10430" xr:uid="{00000000-0005-0000-0000-0000B9280000}"/>
    <cellStyle name="Entrada 5 2 7 2 2 4" xfId="10431" xr:uid="{00000000-0005-0000-0000-0000BA280000}"/>
    <cellStyle name="Entrada 5 2 7 2 3" xfId="10432" xr:uid="{00000000-0005-0000-0000-0000BB280000}"/>
    <cellStyle name="Entrada 5 2 7 2 3 2" xfId="10433" xr:uid="{00000000-0005-0000-0000-0000BC280000}"/>
    <cellStyle name="Entrada 5 2 7 2 3 3" xfId="10434" xr:uid="{00000000-0005-0000-0000-0000BD280000}"/>
    <cellStyle name="Entrada 5 2 7 2 3 4" xfId="10435" xr:uid="{00000000-0005-0000-0000-0000BE280000}"/>
    <cellStyle name="Entrada 5 2 7 2 4" xfId="10436" xr:uid="{00000000-0005-0000-0000-0000BF280000}"/>
    <cellStyle name="Entrada 5 2 7 2 5" xfId="10437" xr:uid="{00000000-0005-0000-0000-0000C0280000}"/>
    <cellStyle name="Entrada 5 2 7 2 6" xfId="10438" xr:uid="{00000000-0005-0000-0000-0000C1280000}"/>
    <cellStyle name="Entrada 5 2 7 3" xfId="10439" xr:uid="{00000000-0005-0000-0000-0000C2280000}"/>
    <cellStyle name="Entrada 5 2 7 3 2" xfId="10440" xr:uid="{00000000-0005-0000-0000-0000C3280000}"/>
    <cellStyle name="Entrada 5 2 7 3 2 2" xfId="10441" xr:uid="{00000000-0005-0000-0000-0000C4280000}"/>
    <cellStyle name="Entrada 5 2 7 3 2 3" xfId="10442" xr:uid="{00000000-0005-0000-0000-0000C5280000}"/>
    <cellStyle name="Entrada 5 2 7 3 2 4" xfId="10443" xr:uid="{00000000-0005-0000-0000-0000C6280000}"/>
    <cellStyle name="Entrada 5 2 7 3 3" xfId="10444" xr:uid="{00000000-0005-0000-0000-0000C7280000}"/>
    <cellStyle name="Entrada 5 2 7 3 3 2" xfId="10445" xr:uid="{00000000-0005-0000-0000-0000C8280000}"/>
    <cellStyle name="Entrada 5 2 7 3 3 3" xfId="10446" xr:uid="{00000000-0005-0000-0000-0000C9280000}"/>
    <cellStyle name="Entrada 5 2 7 3 3 4" xfId="10447" xr:uid="{00000000-0005-0000-0000-0000CA280000}"/>
    <cellStyle name="Entrada 5 2 7 3 4" xfId="10448" xr:uid="{00000000-0005-0000-0000-0000CB280000}"/>
    <cellStyle name="Entrada 5 2 7 3 5" xfId="10449" xr:uid="{00000000-0005-0000-0000-0000CC280000}"/>
    <cellStyle name="Entrada 5 2 7 3 6" xfId="10450" xr:uid="{00000000-0005-0000-0000-0000CD280000}"/>
    <cellStyle name="Entrada 5 2 7 4" xfId="10451" xr:uid="{00000000-0005-0000-0000-0000CE280000}"/>
    <cellStyle name="Entrada 5 2 7 4 2" xfId="10452" xr:uid="{00000000-0005-0000-0000-0000CF280000}"/>
    <cellStyle name="Entrada 5 2 7 4 3" xfId="10453" xr:uid="{00000000-0005-0000-0000-0000D0280000}"/>
    <cellStyle name="Entrada 5 2 7 4 4" xfId="10454" xr:uid="{00000000-0005-0000-0000-0000D1280000}"/>
    <cellStyle name="Entrada 5 2 7 5" xfId="10455" xr:uid="{00000000-0005-0000-0000-0000D2280000}"/>
    <cellStyle name="Entrada 5 2 7 6" xfId="10456" xr:uid="{00000000-0005-0000-0000-0000D3280000}"/>
    <cellStyle name="Entrada 5 2 8" xfId="10457" xr:uid="{00000000-0005-0000-0000-0000D4280000}"/>
    <cellStyle name="Entrada 5 2 8 2" xfId="10458" xr:uid="{00000000-0005-0000-0000-0000D5280000}"/>
    <cellStyle name="Entrada 5 2 8 2 2" xfId="10459" xr:uid="{00000000-0005-0000-0000-0000D6280000}"/>
    <cellStyle name="Entrada 5 2 8 2 2 2" xfId="10460" xr:uid="{00000000-0005-0000-0000-0000D7280000}"/>
    <cellStyle name="Entrada 5 2 8 2 2 3" xfId="10461" xr:uid="{00000000-0005-0000-0000-0000D8280000}"/>
    <cellStyle name="Entrada 5 2 8 2 2 4" xfId="10462" xr:uid="{00000000-0005-0000-0000-0000D9280000}"/>
    <cellStyle name="Entrada 5 2 8 2 3" xfId="10463" xr:uid="{00000000-0005-0000-0000-0000DA280000}"/>
    <cellStyle name="Entrada 5 2 8 2 3 2" xfId="10464" xr:uid="{00000000-0005-0000-0000-0000DB280000}"/>
    <cellStyle name="Entrada 5 2 8 2 3 3" xfId="10465" xr:uid="{00000000-0005-0000-0000-0000DC280000}"/>
    <cellStyle name="Entrada 5 2 8 2 3 4" xfId="10466" xr:uid="{00000000-0005-0000-0000-0000DD280000}"/>
    <cellStyle name="Entrada 5 2 8 2 4" xfId="10467" xr:uid="{00000000-0005-0000-0000-0000DE280000}"/>
    <cellStyle name="Entrada 5 2 8 2 5" xfId="10468" xr:uid="{00000000-0005-0000-0000-0000DF280000}"/>
    <cellStyle name="Entrada 5 2 8 2 6" xfId="10469" xr:uid="{00000000-0005-0000-0000-0000E0280000}"/>
    <cellStyle name="Entrada 5 2 8 3" xfId="10470" xr:uid="{00000000-0005-0000-0000-0000E1280000}"/>
    <cellStyle name="Entrada 5 2 8 3 2" xfId="10471" xr:uid="{00000000-0005-0000-0000-0000E2280000}"/>
    <cellStyle name="Entrada 5 2 8 3 2 2" xfId="10472" xr:uid="{00000000-0005-0000-0000-0000E3280000}"/>
    <cellStyle name="Entrada 5 2 8 3 2 3" xfId="10473" xr:uid="{00000000-0005-0000-0000-0000E4280000}"/>
    <cellStyle name="Entrada 5 2 8 3 2 4" xfId="10474" xr:uid="{00000000-0005-0000-0000-0000E5280000}"/>
    <cellStyle name="Entrada 5 2 8 3 3" xfId="10475" xr:uid="{00000000-0005-0000-0000-0000E6280000}"/>
    <cellStyle name="Entrada 5 2 8 3 3 2" xfId="10476" xr:uid="{00000000-0005-0000-0000-0000E7280000}"/>
    <cellStyle name="Entrada 5 2 8 3 3 3" xfId="10477" xr:uid="{00000000-0005-0000-0000-0000E8280000}"/>
    <cellStyle name="Entrada 5 2 8 3 3 4" xfId="10478" xr:uid="{00000000-0005-0000-0000-0000E9280000}"/>
    <cellStyle name="Entrada 5 2 8 3 4" xfId="10479" xr:uid="{00000000-0005-0000-0000-0000EA280000}"/>
    <cellStyle name="Entrada 5 2 8 3 5" xfId="10480" xr:uid="{00000000-0005-0000-0000-0000EB280000}"/>
    <cellStyle name="Entrada 5 2 8 3 6" xfId="10481" xr:uid="{00000000-0005-0000-0000-0000EC280000}"/>
    <cellStyle name="Entrada 5 2 8 4" xfId="10482" xr:uid="{00000000-0005-0000-0000-0000ED280000}"/>
    <cellStyle name="Entrada 5 2 8 4 2" xfId="10483" xr:uid="{00000000-0005-0000-0000-0000EE280000}"/>
    <cellStyle name="Entrada 5 2 8 4 3" xfId="10484" xr:uid="{00000000-0005-0000-0000-0000EF280000}"/>
    <cellStyle name="Entrada 5 2 8 4 4" xfId="10485" xr:uid="{00000000-0005-0000-0000-0000F0280000}"/>
    <cellStyle name="Entrada 5 2 8 5" xfId="10486" xr:uid="{00000000-0005-0000-0000-0000F1280000}"/>
    <cellStyle name="Entrada 5 2 8 6" xfId="10487" xr:uid="{00000000-0005-0000-0000-0000F2280000}"/>
    <cellStyle name="Entrada 5 2 9" xfId="10488" xr:uid="{00000000-0005-0000-0000-0000F3280000}"/>
    <cellStyle name="Entrada 5 2 9 2" xfId="10489" xr:uid="{00000000-0005-0000-0000-0000F4280000}"/>
    <cellStyle name="Entrada 5 2 9 2 2" xfId="10490" xr:uid="{00000000-0005-0000-0000-0000F5280000}"/>
    <cellStyle name="Entrada 5 2 9 2 2 2" xfId="10491" xr:uid="{00000000-0005-0000-0000-0000F6280000}"/>
    <cellStyle name="Entrada 5 2 9 2 2 3" xfId="10492" xr:uid="{00000000-0005-0000-0000-0000F7280000}"/>
    <cellStyle name="Entrada 5 2 9 2 2 4" xfId="10493" xr:uid="{00000000-0005-0000-0000-0000F8280000}"/>
    <cellStyle name="Entrada 5 2 9 2 3" xfId="10494" xr:uid="{00000000-0005-0000-0000-0000F9280000}"/>
    <cellStyle name="Entrada 5 2 9 2 3 2" xfId="10495" xr:uid="{00000000-0005-0000-0000-0000FA280000}"/>
    <cellStyle name="Entrada 5 2 9 2 3 3" xfId="10496" xr:uid="{00000000-0005-0000-0000-0000FB280000}"/>
    <cellStyle name="Entrada 5 2 9 2 3 4" xfId="10497" xr:uid="{00000000-0005-0000-0000-0000FC280000}"/>
    <cellStyle name="Entrada 5 2 9 2 4" xfId="10498" xr:uid="{00000000-0005-0000-0000-0000FD280000}"/>
    <cellStyle name="Entrada 5 2 9 2 5" xfId="10499" xr:uid="{00000000-0005-0000-0000-0000FE280000}"/>
    <cellStyle name="Entrada 5 2 9 2 6" xfId="10500" xr:uid="{00000000-0005-0000-0000-0000FF280000}"/>
    <cellStyle name="Entrada 5 2 9 3" xfId="10501" xr:uid="{00000000-0005-0000-0000-000000290000}"/>
    <cellStyle name="Entrada 5 2 9 3 2" xfId="10502" xr:uid="{00000000-0005-0000-0000-000001290000}"/>
    <cellStyle name="Entrada 5 2 9 3 2 2" xfId="10503" xr:uid="{00000000-0005-0000-0000-000002290000}"/>
    <cellStyle name="Entrada 5 2 9 3 2 3" xfId="10504" xr:uid="{00000000-0005-0000-0000-000003290000}"/>
    <cellStyle name="Entrada 5 2 9 3 2 4" xfId="10505" xr:uid="{00000000-0005-0000-0000-000004290000}"/>
    <cellStyle name="Entrada 5 2 9 3 3" xfId="10506" xr:uid="{00000000-0005-0000-0000-000005290000}"/>
    <cellStyle name="Entrada 5 2 9 3 3 2" xfId="10507" xr:uid="{00000000-0005-0000-0000-000006290000}"/>
    <cellStyle name="Entrada 5 2 9 3 3 3" xfId="10508" xr:uid="{00000000-0005-0000-0000-000007290000}"/>
    <cellStyle name="Entrada 5 2 9 3 3 4" xfId="10509" xr:uid="{00000000-0005-0000-0000-000008290000}"/>
    <cellStyle name="Entrada 5 2 9 3 4" xfId="10510" xr:uid="{00000000-0005-0000-0000-000009290000}"/>
    <cellStyle name="Entrada 5 2 9 3 5" xfId="10511" xr:uid="{00000000-0005-0000-0000-00000A290000}"/>
    <cellStyle name="Entrada 5 2 9 3 6" xfId="10512" xr:uid="{00000000-0005-0000-0000-00000B290000}"/>
    <cellStyle name="Entrada 5 2 9 4" xfId="10513" xr:uid="{00000000-0005-0000-0000-00000C290000}"/>
    <cellStyle name="Entrada 5 2 9 4 2" xfId="10514" xr:uid="{00000000-0005-0000-0000-00000D290000}"/>
    <cellStyle name="Entrada 5 2 9 4 3" xfId="10515" xr:uid="{00000000-0005-0000-0000-00000E290000}"/>
    <cellStyle name="Entrada 5 2 9 4 4" xfId="10516" xr:uid="{00000000-0005-0000-0000-00000F290000}"/>
    <cellStyle name="Entrada 5 2 9 5" xfId="10517" xr:uid="{00000000-0005-0000-0000-000010290000}"/>
    <cellStyle name="Entrada 5 2 9 6" xfId="10518" xr:uid="{00000000-0005-0000-0000-000011290000}"/>
    <cellStyle name="Entrada 5 3" xfId="10519" xr:uid="{00000000-0005-0000-0000-000012290000}"/>
    <cellStyle name="Entrada 5 3 10" xfId="10520" xr:uid="{00000000-0005-0000-0000-000013290000}"/>
    <cellStyle name="Entrada 5 3 10 2" xfId="10521" xr:uid="{00000000-0005-0000-0000-000014290000}"/>
    <cellStyle name="Entrada 5 3 10 2 2" xfId="10522" xr:uid="{00000000-0005-0000-0000-000015290000}"/>
    <cellStyle name="Entrada 5 3 10 2 2 2" xfId="10523" xr:uid="{00000000-0005-0000-0000-000016290000}"/>
    <cellStyle name="Entrada 5 3 10 2 2 3" xfId="10524" xr:uid="{00000000-0005-0000-0000-000017290000}"/>
    <cellStyle name="Entrada 5 3 10 2 2 4" xfId="10525" xr:uid="{00000000-0005-0000-0000-000018290000}"/>
    <cellStyle name="Entrada 5 3 10 2 3" xfId="10526" xr:uid="{00000000-0005-0000-0000-000019290000}"/>
    <cellStyle name="Entrada 5 3 10 2 3 2" xfId="10527" xr:uid="{00000000-0005-0000-0000-00001A290000}"/>
    <cellStyle name="Entrada 5 3 10 2 3 3" xfId="10528" xr:uid="{00000000-0005-0000-0000-00001B290000}"/>
    <cellStyle name="Entrada 5 3 10 2 3 4" xfId="10529" xr:uid="{00000000-0005-0000-0000-00001C290000}"/>
    <cellStyle name="Entrada 5 3 10 2 4" xfId="10530" xr:uid="{00000000-0005-0000-0000-00001D290000}"/>
    <cellStyle name="Entrada 5 3 10 2 5" xfId="10531" xr:uid="{00000000-0005-0000-0000-00001E290000}"/>
    <cellStyle name="Entrada 5 3 10 2 6" xfId="10532" xr:uid="{00000000-0005-0000-0000-00001F290000}"/>
    <cellStyle name="Entrada 5 3 10 3" xfId="10533" xr:uid="{00000000-0005-0000-0000-000020290000}"/>
    <cellStyle name="Entrada 5 3 10 3 2" xfId="10534" xr:uid="{00000000-0005-0000-0000-000021290000}"/>
    <cellStyle name="Entrada 5 3 10 3 2 2" xfId="10535" xr:uid="{00000000-0005-0000-0000-000022290000}"/>
    <cellStyle name="Entrada 5 3 10 3 2 3" xfId="10536" xr:uid="{00000000-0005-0000-0000-000023290000}"/>
    <cellStyle name="Entrada 5 3 10 3 2 4" xfId="10537" xr:uid="{00000000-0005-0000-0000-000024290000}"/>
    <cellStyle name="Entrada 5 3 10 3 3" xfId="10538" xr:uid="{00000000-0005-0000-0000-000025290000}"/>
    <cellStyle name="Entrada 5 3 10 3 3 2" xfId="10539" xr:uid="{00000000-0005-0000-0000-000026290000}"/>
    <cellStyle name="Entrada 5 3 10 3 3 3" xfId="10540" xr:uid="{00000000-0005-0000-0000-000027290000}"/>
    <cellStyle name="Entrada 5 3 10 3 3 4" xfId="10541" xr:uid="{00000000-0005-0000-0000-000028290000}"/>
    <cellStyle name="Entrada 5 3 10 3 4" xfId="10542" xr:uid="{00000000-0005-0000-0000-000029290000}"/>
    <cellStyle name="Entrada 5 3 10 3 5" xfId="10543" xr:uid="{00000000-0005-0000-0000-00002A290000}"/>
    <cellStyle name="Entrada 5 3 10 3 6" xfId="10544" xr:uid="{00000000-0005-0000-0000-00002B290000}"/>
    <cellStyle name="Entrada 5 3 10 4" xfId="10545" xr:uid="{00000000-0005-0000-0000-00002C290000}"/>
    <cellStyle name="Entrada 5 3 10 5" xfId="10546" xr:uid="{00000000-0005-0000-0000-00002D290000}"/>
    <cellStyle name="Entrada 5 3 10 6" xfId="10547" xr:uid="{00000000-0005-0000-0000-00002E290000}"/>
    <cellStyle name="Entrada 5 3 11" xfId="10548" xr:uid="{00000000-0005-0000-0000-00002F290000}"/>
    <cellStyle name="Entrada 5 3 12" xfId="10549" xr:uid="{00000000-0005-0000-0000-000030290000}"/>
    <cellStyle name="Entrada 5 3 2" xfId="10550" xr:uid="{00000000-0005-0000-0000-000031290000}"/>
    <cellStyle name="Entrada 5 3 2 2" xfId="10551" xr:uid="{00000000-0005-0000-0000-000032290000}"/>
    <cellStyle name="Entrada 5 3 2 2 2" xfId="10552" xr:uid="{00000000-0005-0000-0000-000033290000}"/>
    <cellStyle name="Entrada 5 3 2 2 2 2" xfId="10553" xr:uid="{00000000-0005-0000-0000-000034290000}"/>
    <cellStyle name="Entrada 5 3 2 2 2 2 2" xfId="10554" xr:uid="{00000000-0005-0000-0000-000035290000}"/>
    <cellStyle name="Entrada 5 3 2 2 2 2 3" xfId="10555" xr:uid="{00000000-0005-0000-0000-000036290000}"/>
    <cellStyle name="Entrada 5 3 2 2 2 2 4" xfId="10556" xr:uid="{00000000-0005-0000-0000-000037290000}"/>
    <cellStyle name="Entrada 5 3 2 2 2 3" xfId="10557" xr:uid="{00000000-0005-0000-0000-000038290000}"/>
    <cellStyle name="Entrada 5 3 2 2 2 3 2" xfId="10558" xr:uid="{00000000-0005-0000-0000-000039290000}"/>
    <cellStyle name="Entrada 5 3 2 2 2 3 3" xfId="10559" xr:uid="{00000000-0005-0000-0000-00003A290000}"/>
    <cellStyle name="Entrada 5 3 2 2 2 3 4" xfId="10560" xr:uid="{00000000-0005-0000-0000-00003B290000}"/>
    <cellStyle name="Entrada 5 3 2 2 2 4" xfId="10561" xr:uid="{00000000-0005-0000-0000-00003C290000}"/>
    <cellStyle name="Entrada 5 3 2 2 2 5" xfId="10562" xr:uid="{00000000-0005-0000-0000-00003D290000}"/>
    <cellStyle name="Entrada 5 3 2 2 2 6" xfId="10563" xr:uid="{00000000-0005-0000-0000-00003E290000}"/>
    <cellStyle name="Entrada 5 3 2 2 3" xfId="10564" xr:uid="{00000000-0005-0000-0000-00003F290000}"/>
    <cellStyle name="Entrada 5 3 2 2 3 2" xfId="10565" xr:uid="{00000000-0005-0000-0000-000040290000}"/>
    <cellStyle name="Entrada 5 3 2 2 3 2 2" xfId="10566" xr:uid="{00000000-0005-0000-0000-000041290000}"/>
    <cellStyle name="Entrada 5 3 2 2 3 2 3" xfId="10567" xr:uid="{00000000-0005-0000-0000-000042290000}"/>
    <cellStyle name="Entrada 5 3 2 2 3 2 4" xfId="10568" xr:uid="{00000000-0005-0000-0000-000043290000}"/>
    <cellStyle name="Entrada 5 3 2 2 3 3" xfId="10569" xr:uid="{00000000-0005-0000-0000-000044290000}"/>
    <cellStyle name="Entrada 5 3 2 2 3 3 2" xfId="10570" xr:uid="{00000000-0005-0000-0000-000045290000}"/>
    <cellStyle name="Entrada 5 3 2 2 3 3 3" xfId="10571" xr:uid="{00000000-0005-0000-0000-000046290000}"/>
    <cellStyle name="Entrada 5 3 2 2 3 3 4" xfId="10572" xr:uid="{00000000-0005-0000-0000-000047290000}"/>
    <cellStyle name="Entrada 5 3 2 2 3 4" xfId="10573" xr:uid="{00000000-0005-0000-0000-000048290000}"/>
    <cellStyle name="Entrada 5 3 2 2 3 5" xfId="10574" xr:uid="{00000000-0005-0000-0000-000049290000}"/>
    <cellStyle name="Entrada 5 3 2 2 3 6" xfId="10575" xr:uid="{00000000-0005-0000-0000-00004A290000}"/>
    <cellStyle name="Entrada 5 3 2 2 4" xfId="10576" xr:uid="{00000000-0005-0000-0000-00004B290000}"/>
    <cellStyle name="Entrada 5 3 2 2 5" xfId="10577" xr:uid="{00000000-0005-0000-0000-00004C290000}"/>
    <cellStyle name="Entrada 5 3 2 2 6" xfId="10578" xr:uid="{00000000-0005-0000-0000-00004D290000}"/>
    <cellStyle name="Entrada 5 3 2 3" xfId="10579" xr:uid="{00000000-0005-0000-0000-00004E290000}"/>
    <cellStyle name="Entrada 5 3 2 4" xfId="10580" xr:uid="{00000000-0005-0000-0000-00004F290000}"/>
    <cellStyle name="Entrada 5 3 3" xfId="10581" xr:uid="{00000000-0005-0000-0000-000050290000}"/>
    <cellStyle name="Entrada 5 3 3 2" xfId="10582" xr:uid="{00000000-0005-0000-0000-000051290000}"/>
    <cellStyle name="Entrada 5 3 3 2 2" xfId="10583" xr:uid="{00000000-0005-0000-0000-000052290000}"/>
    <cellStyle name="Entrada 5 3 3 2 2 2" xfId="10584" xr:uid="{00000000-0005-0000-0000-000053290000}"/>
    <cellStyle name="Entrada 5 3 3 2 2 2 2" xfId="10585" xr:uid="{00000000-0005-0000-0000-000054290000}"/>
    <cellStyle name="Entrada 5 3 3 2 2 2 3" xfId="10586" xr:uid="{00000000-0005-0000-0000-000055290000}"/>
    <cellStyle name="Entrada 5 3 3 2 2 2 4" xfId="10587" xr:uid="{00000000-0005-0000-0000-000056290000}"/>
    <cellStyle name="Entrada 5 3 3 2 2 3" xfId="10588" xr:uid="{00000000-0005-0000-0000-000057290000}"/>
    <cellStyle name="Entrada 5 3 3 2 2 3 2" xfId="10589" xr:uid="{00000000-0005-0000-0000-000058290000}"/>
    <cellStyle name="Entrada 5 3 3 2 2 3 3" xfId="10590" xr:uid="{00000000-0005-0000-0000-000059290000}"/>
    <cellStyle name="Entrada 5 3 3 2 2 3 4" xfId="10591" xr:uid="{00000000-0005-0000-0000-00005A290000}"/>
    <cellStyle name="Entrada 5 3 3 2 2 4" xfId="10592" xr:uid="{00000000-0005-0000-0000-00005B290000}"/>
    <cellStyle name="Entrada 5 3 3 2 2 5" xfId="10593" xr:uid="{00000000-0005-0000-0000-00005C290000}"/>
    <cellStyle name="Entrada 5 3 3 2 2 6" xfId="10594" xr:uid="{00000000-0005-0000-0000-00005D290000}"/>
    <cellStyle name="Entrada 5 3 3 2 3" xfId="10595" xr:uid="{00000000-0005-0000-0000-00005E290000}"/>
    <cellStyle name="Entrada 5 3 3 2 3 2" xfId="10596" xr:uid="{00000000-0005-0000-0000-00005F290000}"/>
    <cellStyle name="Entrada 5 3 3 2 3 2 2" xfId="10597" xr:uid="{00000000-0005-0000-0000-000060290000}"/>
    <cellStyle name="Entrada 5 3 3 2 3 2 3" xfId="10598" xr:uid="{00000000-0005-0000-0000-000061290000}"/>
    <cellStyle name="Entrada 5 3 3 2 3 2 4" xfId="10599" xr:uid="{00000000-0005-0000-0000-000062290000}"/>
    <cellStyle name="Entrada 5 3 3 2 3 3" xfId="10600" xr:uid="{00000000-0005-0000-0000-000063290000}"/>
    <cellStyle name="Entrada 5 3 3 2 3 3 2" xfId="10601" xr:uid="{00000000-0005-0000-0000-000064290000}"/>
    <cellStyle name="Entrada 5 3 3 2 3 3 3" xfId="10602" xr:uid="{00000000-0005-0000-0000-000065290000}"/>
    <cellStyle name="Entrada 5 3 3 2 3 3 4" xfId="10603" xr:uid="{00000000-0005-0000-0000-000066290000}"/>
    <cellStyle name="Entrada 5 3 3 2 3 4" xfId="10604" xr:uid="{00000000-0005-0000-0000-000067290000}"/>
    <cellStyle name="Entrada 5 3 3 2 3 5" xfId="10605" xr:uid="{00000000-0005-0000-0000-000068290000}"/>
    <cellStyle name="Entrada 5 3 3 2 3 6" xfId="10606" xr:uid="{00000000-0005-0000-0000-000069290000}"/>
    <cellStyle name="Entrada 5 3 3 2 4" xfId="10607" xr:uid="{00000000-0005-0000-0000-00006A290000}"/>
    <cellStyle name="Entrada 5 3 3 2 5" xfId="10608" xr:uid="{00000000-0005-0000-0000-00006B290000}"/>
    <cellStyle name="Entrada 5 3 3 2 6" xfId="10609" xr:uid="{00000000-0005-0000-0000-00006C290000}"/>
    <cellStyle name="Entrada 5 3 3 3" xfId="10610" xr:uid="{00000000-0005-0000-0000-00006D290000}"/>
    <cellStyle name="Entrada 5 3 3 4" xfId="10611" xr:uid="{00000000-0005-0000-0000-00006E290000}"/>
    <cellStyle name="Entrada 5 3 4" xfId="10612" xr:uid="{00000000-0005-0000-0000-00006F290000}"/>
    <cellStyle name="Entrada 5 3 4 2" xfId="10613" xr:uid="{00000000-0005-0000-0000-000070290000}"/>
    <cellStyle name="Entrada 5 3 4 2 2" xfId="10614" xr:uid="{00000000-0005-0000-0000-000071290000}"/>
    <cellStyle name="Entrada 5 3 4 2 2 2" xfId="10615" xr:uid="{00000000-0005-0000-0000-000072290000}"/>
    <cellStyle name="Entrada 5 3 4 2 2 2 2" xfId="10616" xr:uid="{00000000-0005-0000-0000-000073290000}"/>
    <cellStyle name="Entrada 5 3 4 2 2 2 3" xfId="10617" xr:uid="{00000000-0005-0000-0000-000074290000}"/>
    <cellStyle name="Entrada 5 3 4 2 2 2 4" xfId="10618" xr:uid="{00000000-0005-0000-0000-000075290000}"/>
    <cellStyle name="Entrada 5 3 4 2 2 3" xfId="10619" xr:uid="{00000000-0005-0000-0000-000076290000}"/>
    <cellStyle name="Entrada 5 3 4 2 2 3 2" xfId="10620" xr:uid="{00000000-0005-0000-0000-000077290000}"/>
    <cellStyle name="Entrada 5 3 4 2 2 3 3" xfId="10621" xr:uid="{00000000-0005-0000-0000-000078290000}"/>
    <cellStyle name="Entrada 5 3 4 2 2 3 4" xfId="10622" xr:uid="{00000000-0005-0000-0000-000079290000}"/>
    <cellStyle name="Entrada 5 3 4 2 2 4" xfId="10623" xr:uid="{00000000-0005-0000-0000-00007A290000}"/>
    <cellStyle name="Entrada 5 3 4 2 2 5" xfId="10624" xr:uid="{00000000-0005-0000-0000-00007B290000}"/>
    <cellStyle name="Entrada 5 3 4 2 2 6" xfId="10625" xr:uid="{00000000-0005-0000-0000-00007C290000}"/>
    <cellStyle name="Entrada 5 3 4 2 3" xfId="10626" xr:uid="{00000000-0005-0000-0000-00007D290000}"/>
    <cellStyle name="Entrada 5 3 4 2 3 2" xfId="10627" xr:uid="{00000000-0005-0000-0000-00007E290000}"/>
    <cellStyle name="Entrada 5 3 4 2 3 2 2" xfId="10628" xr:uid="{00000000-0005-0000-0000-00007F290000}"/>
    <cellStyle name="Entrada 5 3 4 2 3 2 3" xfId="10629" xr:uid="{00000000-0005-0000-0000-000080290000}"/>
    <cellStyle name="Entrada 5 3 4 2 3 2 4" xfId="10630" xr:uid="{00000000-0005-0000-0000-000081290000}"/>
    <cellStyle name="Entrada 5 3 4 2 3 3" xfId="10631" xr:uid="{00000000-0005-0000-0000-000082290000}"/>
    <cellStyle name="Entrada 5 3 4 2 3 3 2" xfId="10632" xr:uid="{00000000-0005-0000-0000-000083290000}"/>
    <cellStyle name="Entrada 5 3 4 2 3 3 3" xfId="10633" xr:uid="{00000000-0005-0000-0000-000084290000}"/>
    <cellStyle name="Entrada 5 3 4 2 3 3 4" xfId="10634" xr:uid="{00000000-0005-0000-0000-000085290000}"/>
    <cellStyle name="Entrada 5 3 4 2 3 4" xfId="10635" xr:uid="{00000000-0005-0000-0000-000086290000}"/>
    <cellStyle name="Entrada 5 3 4 2 3 5" xfId="10636" xr:uid="{00000000-0005-0000-0000-000087290000}"/>
    <cellStyle name="Entrada 5 3 4 2 3 6" xfId="10637" xr:uid="{00000000-0005-0000-0000-000088290000}"/>
    <cellStyle name="Entrada 5 3 4 2 4" xfId="10638" xr:uid="{00000000-0005-0000-0000-000089290000}"/>
    <cellStyle name="Entrada 5 3 4 2 5" xfId="10639" xr:uid="{00000000-0005-0000-0000-00008A290000}"/>
    <cellStyle name="Entrada 5 3 4 2 6" xfId="10640" xr:uid="{00000000-0005-0000-0000-00008B290000}"/>
    <cellStyle name="Entrada 5 3 4 3" xfId="10641" xr:uid="{00000000-0005-0000-0000-00008C290000}"/>
    <cellStyle name="Entrada 5 3 4 4" xfId="10642" xr:uid="{00000000-0005-0000-0000-00008D290000}"/>
    <cellStyle name="Entrada 5 3 5" xfId="10643" xr:uid="{00000000-0005-0000-0000-00008E290000}"/>
    <cellStyle name="Entrada 5 3 5 2" xfId="10644" xr:uid="{00000000-0005-0000-0000-00008F290000}"/>
    <cellStyle name="Entrada 5 3 5 2 2" xfId="10645" xr:uid="{00000000-0005-0000-0000-000090290000}"/>
    <cellStyle name="Entrada 5 3 5 2 2 2" xfId="10646" xr:uid="{00000000-0005-0000-0000-000091290000}"/>
    <cellStyle name="Entrada 5 3 5 2 2 2 2" xfId="10647" xr:uid="{00000000-0005-0000-0000-000092290000}"/>
    <cellStyle name="Entrada 5 3 5 2 2 2 3" xfId="10648" xr:uid="{00000000-0005-0000-0000-000093290000}"/>
    <cellStyle name="Entrada 5 3 5 2 2 2 4" xfId="10649" xr:uid="{00000000-0005-0000-0000-000094290000}"/>
    <cellStyle name="Entrada 5 3 5 2 2 3" xfId="10650" xr:uid="{00000000-0005-0000-0000-000095290000}"/>
    <cellStyle name="Entrada 5 3 5 2 2 3 2" xfId="10651" xr:uid="{00000000-0005-0000-0000-000096290000}"/>
    <cellStyle name="Entrada 5 3 5 2 2 3 3" xfId="10652" xr:uid="{00000000-0005-0000-0000-000097290000}"/>
    <cellStyle name="Entrada 5 3 5 2 2 3 4" xfId="10653" xr:uid="{00000000-0005-0000-0000-000098290000}"/>
    <cellStyle name="Entrada 5 3 5 2 2 4" xfId="10654" xr:uid="{00000000-0005-0000-0000-000099290000}"/>
    <cellStyle name="Entrada 5 3 5 2 2 5" xfId="10655" xr:uid="{00000000-0005-0000-0000-00009A290000}"/>
    <cellStyle name="Entrada 5 3 5 2 2 6" xfId="10656" xr:uid="{00000000-0005-0000-0000-00009B290000}"/>
    <cellStyle name="Entrada 5 3 5 2 3" xfId="10657" xr:uid="{00000000-0005-0000-0000-00009C290000}"/>
    <cellStyle name="Entrada 5 3 5 2 3 2" xfId="10658" xr:uid="{00000000-0005-0000-0000-00009D290000}"/>
    <cellStyle name="Entrada 5 3 5 2 3 2 2" xfId="10659" xr:uid="{00000000-0005-0000-0000-00009E290000}"/>
    <cellStyle name="Entrada 5 3 5 2 3 2 3" xfId="10660" xr:uid="{00000000-0005-0000-0000-00009F290000}"/>
    <cellStyle name="Entrada 5 3 5 2 3 2 4" xfId="10661" xr:uid="{00000000-0005-0000-0000-0000A0290000}"/>
    <cellStyle name="Entrada 5 3 5 2 3 3" xfId="10662" xr:uid="{00000000-0005-0000-0000-0000A1290000}"/>
    <cellStyle name="Entrada 5 3 5 2 3 3 2" xfId="10663" xr:uid="{00000000-0005-0000-0000-0000A2290000}"/>
    <cellStyle name="Entrada 5 3 5 2 3 3 3" xfId="10664" xr:uid="{00000000-0005-0000-0000-0000A3290000}"/>
    <cellStyle name="Entrada 5 3 5 2 3 3 4" xfId="10665" xr:uid="{00000000-0005-0000-0000-0000A4290000}"/>
    <cellStyle name="Entrada 5 3 5 2 3 4" xfId="10666" xr:uid="{00000000-0005-0000-0000-0000A5290000}"/>
    <cellStyle name="Entrada 5 3 5 2 3 5" xfId="10667" xr:uid="{00000000-0005-0000-0000-0000A6290000}"/>
    <cellStyle name="Entrada 5 3 5 2 3 6" xfId="10668" xr:uid="{00000000-0005-0000-0000-0000A7290000}"/>
    <cellStyle name="Entrada 5 3 5 2 4" xfId="10669" xr:uid="{00000000-0005-0000-0000-0000A8290000}"/>
    <cellStyle name="Entrada 5 3 5 2 5" xfId="10670" xr:uid="{00000000-0005-0000-0000-0000A9290000}"/>
    <cellStyle name="Entrada 5 3 5 2 6" xfId="10671" xr:uid="{00000000-0005-0000-0000-0000AA290000}"/>
    <cellStyle name="Entrada 5 3 5 3" xfId="10672" xr:uid="{00000000-0005-0000-0000-0000AB290000}"/>
    <cellStyle name="Entrada 5 3 5 4" xfId="10673" xr:uid="{00000000-0005-0000-0000-0000AC290000}"/>
    <cellStyle name="Entrada 5 3 6" xfId="10674" xr:uid="{00000000-0005-0000-0000-0000AD290000}"/>
    <cellStyle name="Entrada 5 3 6 2" xfId="10675" xr:uid="{00000000-0005-0000-0000-0000AE290000}"/>
    <cellStyle name="Entrada 5 3 6 2 2" xfId="10676" xr:uid="{00000000-0005-0000-0000-0000AF290000}"/>
    <cellStyle name="Entrada 5 3 6 2 2 2" xfId="10677" xr:uid="{00000000-0005-0000-0000-0000B0290000}"/>
    <cellStyle name="Entrada 5 3 6 2 2 3" xfId="10678" xr:uid="{00000000-0005-0000-0000-0000B1290000}"/>
    <cellStyle name="Entrada 5 3 6 2 2 4" xfId="10679" xr:uid="{00000000-0005-0000-0000-0000B2290000}"/>
    <cellStyle name="Entrada 5 3 6 2 3" xfId="10680" xr:uid="{00000000-0005-0000-0000-0000B3290000}"/>
    <cellStyle name="Entrada 5 3 6 2 3 2" xfId="10681" xr:uid="{00000000-0005-0000-0000-0000B4290000}"/>
    <cellStyle name="Entrada 5 3 6 2 3 3" xfId="10682" xr:uid="{00000000-0005-0000-0000-0000B5290000}"/>
    <cellStyle name="Entrada 5 3 6 2 3 4" xfId="10683" xr:uid="{00000000-0005-0000-0000-0000B6290000}"/>
    <cellStyle name="Entrada 5 3 6 2 4" xfId="10684" xr:uid="{00000000-0005-0000-0000-0000B7290000}"/>
    <cellStyle name="Entrada 5 3 6 2 5" xfId="10685" xr:uid="{00000000-0005-0000-0000-0000B8290000}"/>
    <cellStyle name="Entrada 5 3 6 2 6" xfId="10686" xr:uid="{00000000-0005-0000-0000-0000B9290000}"/>
    <cellStyle name="Entrada 5 3 6 3" xfId="10687" xr:uid="{00000000-0005-0000-0000-0000BA290000}"/>
    <cellStyle name="Entrada 5 3 6 3 2" xfId="10688" xr:uid="{00000000-0005-0000-0000-0000BB290000}"/>
    <cellStyle name="Entrada 5 3 6 3 2 2" xfId="10689" xr:uid="{00000000-0005-0000-0000-0000BC290000}"/>
    <cellStyle name="Entrada 5 3 6 3 2 3" xfId="10690" xr:uid="{00000000-0005-0000-0000-0000BD290000}"/>
    <cellStyle name="Entrada 5 3 6 3 2 4" xfId="10691" xr:uid="{00000000-0005-0000-0000-0000BE290000}"/>
    <cellStyle name="Entrada 5 3 6 3 3" xfId="10692" xr:uid="{00000000-0005-0000-0000-0000BF290000}"/>
    <cellStyle name="Entrada 5 3 6 3 3 2" xfId="10693" xr:uid="{00000000-0005-0000-0000-0000C0290000}"/>
    <cellStyle name="Entrada 5 3 6 3 3 3" xfId="10694" xr:uid="{00000000-0005-0000-0000-0000C1290000}"/>
    <cellStyle name="Entrada 5 3 6 3 3 4" xfId="10695" xr:uid="{00000000-0005-0000-0000-0000C2290000}"/>
    <cellStyle name="Entrada 5 3 6 3 4" xfId="10696" xr:uid="{00000000-0005-0000-0000-0000C3290000}"/>
    <cellStyle name="Entrada 5 3 6 3 5" xfId="10697" xr:uid="{00000000-0005-0000-0000-0000C4290000}"/>
    <cellStyle name="Entrada 5 3 6 3 6" xfId="10698" xr:uid="{00000000-0005-0000-0000-0000C5290000}"/>
    <cellStyle name="Entrada 5 3 6 4" xfId="10699" xr:uid="{00000000-0005-0000-0000-0000C6290000}"/>
    <cellStyle name="Entrada 5 3 6 4 2" xfId="10700" xr:uid="{00000000-0005-0000-0000-0000C7290000}"/>
    <cellStyle name="Entrada 5 3 6 4 3" xfId="10701" xr:uid="{00000000-0005-0000-0000-0000C8290000}"/>
    <cellStyle name="Entrada 5 3 6 4 4" xfId="10702" xr:uid="{00000000-0005-0000-0000-0000C9290000}"/>
    <cellStyle name="Entrada 5 3 6 5" xfId="10703" xr:uid="{00000000-0005-0000-0000-0000CA290000}"/>
    <cellStyle name="Entrada 5 3 6 6" xfId="10704" xr:uid="{00000000-0005-0000-0000-0000CB290000}"/>
    <cellStyle name="Entrada 5 3 7" xfId="10705" xr:uid="{00000000-0005-0000-0000-0000CC290000}"/>
    <cellStyle name="Entrada 5 3 7 2" xfId="10706" xr:uid="{00000000-0005-0000-0000-0000CD290000}"/>
    <cellStyle name="Entrada 5 3 7 2 2" xfId="10707" xr:uid="{00000000-0005-0000-0000-0000CE290000}"/>
    <cellStyle name="Entrada 5 3 7 2 2 2" xfId="10708" xr:uid="{00000000-0005-0000-0000-0000CF290000}"/>
    <cellStyle name="Entrada 5 3 7 2 2 3" xfId="10709" xr:uid="{00000000-0005-0000-0000-0000D0290000}"/>
    <cellStyle name="Entrada 5 3 7 2 2 4" xfId="10710" xr:uid="{00000000-0005-0000-0000-0000D1290000}"/>
    <cellStyle name="Entrada 5 3 7 2 3" xfId="10711" xr:uid="{00000000-0005-0000-0000-0000D2290000}"/>
    <cellStyle name="Entrada 5 3 7 2 3 2" xfId="10712" xr:uid="{00000000-0005-0000-0000-0000D3290000}"/>
    <cellStyle name="Entrada 5 3 7 2 3 3" xfId="10713" xr:uid="{00000000-0005-0000-0000-0000D4290000}"/>
    <cellStyle name="Entrada 5 3 7 2 3 4" xfId="10714" xr:uid="{00000000-0005-0000-0000-0000D5290000}"/>
    <cellStyle name="Entrada 5 3 7 2 4" xfId="10715" xr:uid="{00000000-0005-0000-0000-0000D6290000}"/>
    <cellStyle name="Entrada 5 3 7 2 5" xfId="10716" xr:uid="{00000000-0005-0000-0000-0000D7290000}"/>
    <cellStyle name="Entrada 5 3 7 2 6" xfId="10717" xr:uid="{00000000-0005-0000-0000-0000D8290000}"/>
    <cellStyle name="Entrada 5 3 7 3" xfId="10718" xr:uid="{00000000-0005-0000-0000-0000D9290000}"/>
    <cellStyle name="Entrada 5 3 7 3 2" xfId="10719" xr:uid="{00000000-0005-0000-0000-0000DA290000}"/>
    <cellStyle name="Entrada 5 3 7 3 2 2" xfId="10720" xr:uid="{00000000-0005-0000-0000-0000DB290000}"/>
    <cellStyle name="Entrada 5 3 7 3 2 3" xfId="10721" xr:uid="{00000000-0005-0000-0000-0000DC290000}"/>
    <cellStyle name="Entrada 5 3 7 3 2 4" xfId="10722" xr:uid="{00000000-0005-0000-0000-0000DD290000}"/>
    <cellStyle name="Entrada 5 3 7 3 3" xfId="10723" xr:uid="{00000000-0005-0000-0000-0000DE290000}"/>
    <cellStyle name="Entrada 5 3 7 3 3 2" xfId="10724" xr:uid="{00000000-0005-0000-0000-0000DF290000}"/>
    <cellStyle name="Entrada 5 3 7 3 3 3" xfId="10725" xr:uid="{00000000-0005-0000-0000-0000E0290000}"/>
    <cellStyle name="Entrada 5 3 7 3 3 4" xfId="10726" xr:uid="{00000000-0005-0000-0000-0000E1290000}"/>
    <cellStyle name="Entrada 5 3 7 3 4" xfId="10727" xr:uid="{00000000-0005-0000-0000-0000E2290000}"/>
    <cellStyle name="Entrada 5 3 7 3 5" xfId="10728" xr:uid="{00000000-0005-0000-0000-0000E3290000}"/>
    <cellStyle name="Entrada 5 3 7 3 6" xfId="10729" xr:uid="{00000000-0005-0000-0000-0000E4290000}"/>
    <cellStyle name="Entrada 5 3 7 4" xfId="10730" xr:uid="{00000000-0005-0000-0000-0000E5290000}"/>
    <cellStyle name="Entrada 5 3 7 4 2" xfId="10731" xr:uid="{00000000-0005-0000-0000-0000E6290000}"/>
    <cellStyle name="Entrada 5 3 7 4 3" xfId="10732" xr:uid="{00000000-0005-0000-0000-0000E7290000}"/>
    <cellStyle name="Entrada 5 3 7 4 4" xfId="10733" xr:uid="{00000000-0005-0000-0000-0000E8290000}"/>
    <cellStyle name="Entrada 5 3 7 5" xfId="10734" xr:uid="{00000000-0005-0000-0000-0000E9290000}"/>
    <cellStyle name="Entrada 5 3 7 6" xfId="10735" xr:uid="{00000000-0005-0000-0000-0000EA290000}"/>
    <cellStyle name="Entrada 5 3 8" xfId="10736" xr:uid="{00000000-0005-0000-0000-0000EB290000}"/>
    <cellStyle name="Entrada 5 3 8 2" xfId="10737" xr:uid="{00000000-0005-0000-0000-0000EC290000}"/>
    <cellStyle name="Entrada 5 3 8 2 2" xfId="10738" xr:uid="{00000000-0005-0000-0000-0000ED290000}"/>
    <cellStyle name="Entrada 5 3 8 2 2 2" xfId="10739" xr:uid="{00000000-0005-0000-0000-0000EE290000}"/>
    <cellStyle name="Entrada 5 3 8 2 2 3" xfId="10740" xr:uid="{00000000-0005-0000-0000-0000EF290000}"/>
    <cellStyle name="Entrada 5 3 8 2 2 4" xfId="10741" xr:uid="{00000000-0005-0000-0000-0000F0290000}"/>
    <cellStyle name="Entrada 5 3 8 2 3" xfId="10742" xr:uid="{00000000-0005-0000-0000-0000F1290000}"/>
    <cellStyle name="Entrada 5 3 8 2 3 2" xfId="10743" xr:uid="{00000000-0005-0000-0000-0000F2290000}"/>
    <cellStyle name="Entrada 5 3 8 2 3 3" xfId="10744" xr:uid="{00000000-0005-0000-0000-0000F3290000}"/>
    <cellStyle name="Entrada 5 3 8 2 3 4" xfId="10745" xr:uid="{00000000-0005-0000-0000-0000F4290000}"/>
    <cellStyle name="Entrada 5 3 8 2 4" xfId="10746" xr:uid="{00000000-0005-0000-0000-0000F5290000}"/>
    <cellStyle name="Entrada 5 3 8 2 5" xfId="10747" xr:uid="{00000000-0005-0000-0000-0000F6290000}"/>
    <cellStyle name="Entrada 5 3 8 2 6" xfId="10748" xr:uid="{00000000-0005-0000-0000-0000F7290000}"/>
    <cellStyle name="Entrada 5 3 8 3" xfId="10749" xr:uid="{00000000-0005-0000-0000-0000F8290000}"/>
    <cellStyle name="Entrada 5 3 8 3 2" xfId="10750" xr:uid="{00000000-0005-0000-0000-0000F9290000}"/>
    <cellStyle name="Entrada 5 3 8 3 2 2" xfId="10751" xr:uid="{00000000-0005-0000-0000-0000FA290000}"/>
    <cellStyle name="Entrada 5 3 8 3 2 3" xfId="10752" xr:uid="{00000000-0005-0000-0000-0000FB290000}"/>
    <cellStyle name="Entrada 5 3 8 3 2 4" xfId="10753" xr:uid="{00000000-0005-0000-0000-0000FC290000}"/>
    <cellStyle name="Entrada 5 3 8 3 3" xfId="10754" xr:uid="{00000000-0005-0000-0000-0000FD290000}"/>
    <cellStyle name="Entrada 5 3 8 3 3 2" xfId="10755" xr:uid="{00000000-0005-0000-0000-0000FE290000}"/>
    <cellStyle name="Entrada 5 3 8 3 3 3" xfId="10756" xr:uid="{00000000-0005-0000-0000-0000FF290000}"/>
    <cellStyle name="Entrada 5 3 8 3 3 4" xfId="10757" xr:uid="{00000000-0005-0000-0000-0000002A0000}"/>
    <cellStyle name="Entrada 5 3 8 3 4" xfId="10758" xr:uid="{00000000-0005-0000-0000-0000012A0000}"/>
    <cellStyle name="Entrada 5 3 8 3 5" xfId="10759" xr:uid="{00000000-0005-0000-0000-0000022A0000}"/>
    <cellStyle name="Entrada 5 3 8 3 6" xfId="10760" xr:uid="{00000000-0005-0000-0000-0000032A0000}"/>
    <cellStyle name="Entrada 5 3 8 4" xfId="10761" xr:uid="{00000000-0005-0000-0000-0000042A0000}"/>
    <cellStyle name="Entrada 5 3 8 4 2" xfId="10762" xr:uid="{00000000-0005-0000-0000-0000052A0000}"/>
    <cellStyle name="Entrada 5 3 8 4 3" xfId="10763" xr:uid="{00000000-0005-0000-0000-0000062A0000}"/>
    <cellStyle name="Entrada 5 3 8 4 4" xfId="10764" xr:uid="{00000000-0005-0000-0000-0000072A0000}"/>
    <cellStyle name="Entrada 5 3 8 5" xfId="10765" xr:uid="{00000000-0005-0000-0000-0000082A0000}"/>
    <cellStyle name="Entrada 5 3 8 6" xfId="10766" xr:uid="{00000000-0005-0000-0000-0000092A0000}"/>
    <cellStyle name="Entrada 5 3 9" xfId="10767" xr:uid="{00000000-0005-0000-0000-00000A2A0000}"/>
    <cellStyle name="Entrada 5 3 9 2" xfId="10768" xr:uid="{00000000-0005-0000-0000-00000B2A0000}"/>
    <cellStyle name="Entrada 5 3 9 2 2" xfId="10769" xr:uid="{00000000-0005-0000-0000-00000C2A0000}"/>
    <cellStyle name="Entrada 5 3 9 2 2 2" xfId="10770" xr:uid="{00000000-0005-0000-0000-00000D2A0000}"/>
    <cellStyle name="Entrada 5 3 9 2 2 3" xfId="10771" xr:uid="{00000000-0005-0000-0000-00000E2A0000}"/>
    <cellStyle name="Entrada 5 3 9 2 2 4" xfId="10772" xr:uid="{00000000-0005-0000-0000-00000F2A0000}"/>
    <cellStyle name="Entrada 5 3 9 2 3" xfId="10773" xr:uid="{00000000-0005-0000-0000-0000102A0000}"/>
    <cellStyle name="Entrada 5 3 9 2 3 2" xfId="10774" xr:uid="{00000000-0005-0000-0000-0000112A0000}"/>
    <cellStyle name="Entrada 5 3 9 2 3 3" xfId="10775" xr:uid="{00000000-0005-0000-0000-0000122A0000}"/>
    <cellStyle name="Entrada 5 3 9 2 3 4" xfId="10776" xr:uid="{00000000-0005-0000-0000-0000132A0000}"/>
    <cellStyle name="Entrada 5 3 9 2 4" xfId="10777" xr:uid="{00000000-0005-0000-0000-0000142A0000}"/>
    <cellStyle name="Entrada 5 3 9 2 5" xfId="10778" xr:uid="{00000000-0005-0000-0000-0000152A0000}"/>
    <cellStyle name="Entrada 5 3 9 2 6" xfId="10779" xr:uid="{00000000-0005-0000-0000-0000162A0000}"/>
    <cellStyle name="Entrada 5 3 9 3" xfId="10780" xr:uid="{00000000-0005-0000-0000-0000172A0000}"/>
    <cellStyle name="Entrada 5 3 9 3 2" xfId="10781" xr:uid="{00000000-0005-0000-0000-0000182A0000}"/>
    <cellStyle name="Entrada 5 3 9 3 2 2" xfId="10782" xr:uid="{00000000-0005-0000-0000-0000192A0000}"/>
    <cellStyle name="Entrada 5 3 9 3 2 3" xfId="10783" xr:uid="{00000000-0005-0000-0000-00001A2A0000}"/>
    <cellStyle name="Entrada 5 3 9 3 2 4" xfId="10784" xr:uid="{00000000-0005-0000-0000-00001B2A0000}"/>
    <cellStyle name="Entrada 5 3 9 3 3" xfId="10785" xr:uid="{00000000-0005-0000-0000-00001C2A0000}"/>
    <cellStyle name="Entrada 5 3 9 3 3 2" xfId="10786" xr:uid="{00000000-0005-0000-0000-00001D2A0000}"/>
    <cellStyle name="Entrada 5 3 9 3 3 3" xfId="10787" xr:uid="{00000000-0005-0000-0000-00001E2A0000}"/>
    <cellStyle name="Entrada 5 3 9 3 3 4" xfId="10788" xr:uid="{00000000-0005-0000-0000-00001F2A0000}"/>
    <cellStyle name="Entrada 5 3 9 3 4" xfId="10789" xr:uid="{00000000-0005-0000-0000-0000202A0000}"/>
    <cellStyle name="Entrada 5 3 9 3 5" xfId="10790" xr:uid="{00000000-0005-0000-0000-0000212A0000}"/>
    <cellStyle name="Entrada 5 3 9 3 6" xfId="10791" xr:uid="{00000000-0005-0000-0000-0000222A0000}"/>
    <cellStyle name="Entrada 5 3 9 4" xfId="10792" xr:uid="{00000000-0005-0000-0000-0000232A0000}"/>
    <cellStyle name="Entrada 5 3 9 4 2" xfId="10793" xr:uid="{00000000-0005-0000-0000-0000242A0000}"/>
    <cellStyle name="Entrada 5 3 9 4 3" xfId="10794" xr:uid="{00000000-0005-0000-0000-0000252A0000}"/>
    <cellStyle name="Entrada 5 3 9 4 4" xfId="10795" xr:uid="{00000000-0005-0000-0000-0000262A0000}"/>
    <cellStyle name="Entrada 5 3 9 5" xfId="10796" xr:uid="{00000000-0005-0000-0000-0000272A0000}"/>
    <cellStyle name="Entrada 5 3 9 6" xfId="10797" xr:uid="{00000000-0005-0000-0000-0000282A0000}"/>
    <cellStyle name="Entrada 5 4" xfId="10798" xr:uid="{00000000-0005-0000-0000-0000292A0000}"/>
    <cellStyle name="Entrada 5 4 2" xfId="10799" xr:uid="{00000000-0005-0000-0000-00002A2A0000}"/>
    <cellStyle name="Entrada 5 4 2 2" xfId="10800" xr:uid="{00000000-0005-0000-0000-00002B2A0000}"/>
    <cellStyle name="Entrada 5 4 2 2 2" xfId="10801" xr:uid="{00000000-0005-0000-0000-00002C2A0000}"/>
    <cellStyle name="Entrada 5 4 2 2 2 2" xfId="10802" xr:uid="{00000000-0005-0000-0000-00002D2A0000}"/>
    <cellStyle name="Entrada 5 4 2 2 2 3" xfId="10803" xr:uid="{00000000-0005-0000-0000-00002E2A0000}"/>
    <cellStyle name="Entrada 5 4 2 2 2 4" xfId="10804" xr:uid="{00000000-0005-0000-0000-00002F2A0000}"/>
    <cellStyle name="Entrada 5 4 2 2 3" xfId="10805" xr:uid="{00000000-0005-0000-0000-0000302A0000}"/>
    <cellStyle name="Entrada 5 4 2 2 3 2" xfId="10806" xr:uid="{00000000-0005-0000-0000-0000312A0000}"/>
    <cellStyle name="Entrada 5 4 2 2 3 3" xfId="10807" xr:uid="{00000000-0005-0000-0000-0000322A0000}"/>
    <cellStyle name="Entrada 5 4 2 2 3 4" xfId="10808" xr:uid="{00000000-0005-0000-0000-0000332A0000}"/>
    <cellStyle name="Entrada 5 4 2 2 4" xfId="10809" xr:uid="{00000000-0005-0000-0000-0000342A0000}"/>
    <cellStyle name="Entrada 5 4 2 2 5" xfId="10810" xr:uid="{00000000-0005-0000-0000-0000352A0000}"/>
    <cellStyle name="Entrada 5 4 2 2 6" xfId="10811" xr:uid="{00000000-0005-0000-0000-0000362A0000}"/>
    <cellStyle name="Entrada 5 4 2 3" xfId="10812" xr:uid="{00000000-0005-0000-0000-0000372A0000}"/>
    <cellStyle name="Entrada 5 4 2 3 2" xfId="10813" xr:uid="{00000000-0005-0000-0000-0000382A0000}"/>
    <cellStyle name="Entrada 5 4 2 3 2 2" xfId="10814" xr:uid="{00000000-0005-0000-0000-0000392A0000}"/>
    <cellStyle name="Entrada 5 4 2 3 2 3" xfId="10815" xr:uid="{00000000-0005-0000-0000-00003A2A0000}"/>
    <cellStyle name="Entrada 5 4 2 3 2 4" xfId="10816" xr:uid="{00000000-0005-0000-0000-00003B2A0000}"/>
    <cellStyle name="Entrada 5 4 2 3 3" xfId="10817" xr:uid="{00000000-0005-0000-0000-00003C2A0000}"/>
    <cellStyle name="Entrada 5 4 2 3 3 2" xfId="10818" xr:uid="{00000000-0005-0000-0000-00003D2A0000}"/>
    <cellStyle name="Entrada 5 4 2 3 3 3" xfId="10819" xr:uid="{00000000-0005-0000-0000-00003E2A0000}"/>
    <cellStyle name="Entrada 5 4 2 3 3 4" xfId="10820" xr:uid="{00000000-0005-0000-0000-00003F2A0000}"/>
    <cellStyle name="Entrada 5 4 2 3 4" xfId="10821" xr:uid="{00000000-0005-0000-0000-0000402A0000}"/>
    <cellStyle name="Entrada 5 4 2 3 5" xfId="10822" xr:uid="{00000000-0005-0000-0000-0000412A0000}"/>
    <cellStyle name="Entrada 5 4 2 3 6" xfId="10823" xr:uid="{00000000-0005-0000-0000-0000422A0000}"/>
    <cellStyle name="Entrada 5 4 2 4" xfId="10824" xr:uid="{00000000-0005-0000-0000-0000432A0000}"/>
    <cellStyle name="Entrada 5 4 2 5" xfId="10825" xr:uid="{00000000-0005-0000-0000-0000442A0000}"/>
    <cellStyle name="Entrada 5 4 2 6" xfId="10826" xr:uid="{00000000-0005-0000-0000-0000452A0000}"/>
    <cellStyle name="Entrada 5 4 3" xfId="10827" xr:uid="{00000000-0005-0000-0000-0000462A0000}"/>
    <cellStyle name="Entrada 5 4 4" xfId="10828" xr:uid="{00000000-0005-0000-0000-0000472A0000}"/>
    <cellStyle name="Entrada 5 5" xfId="10829" xr:uid="{00000000-0005-0000-0000-0000482A0000}"/>
    <cellStyle name="Entrada 5 5 2" xfId="10830" xr:uid="{00000000-0005-0000-0000-0000492A0000}"/>
    <cellStyle name="Entrada 5 5 2 2" xfId="10831" xr:uid="{00000000-0005-0000-0000-00004A2A0000}"/>
    <cellStyle name="Entrada 5 5 2 2 2" xfId="10832" xr:uid="{00000000-0005-0000-0000-00004B2A0000}"/>
    <cellStyle name="Entrada 5 5 2 2 2 2" xfId="10833" xr:uid="{00000000-0005-0000-0000-00004C2A0000}"/>
    <cellStyle name="Entrada 5 5 2 2 2 3" xfId="10834" xr:uid="{00000000-0005-0000-0000-00004D2A0000}"/>
    <cellStyle name="Entrada 5 5 2 2 2 4" xfId="10835" xr:uid="{00000000-0005-0000-0000-00004E2A0000}"/>
    <cellStyle name="Entrada 5 5 2 2 3" xfId="10836" xr:uid="{00000000-0005-0000-0000-00004F2A0000}"/>
    <cellStyle name="Entrada 5 5 2 2 3 2" xfId="10837" xr:uid="{00000000-0005-0000-0000-0000502A0000}"/>
    <cellStyle name="Entrada 5 5 2 2 3 3" xfId="10838" xr:uid="{00000000-0005-0000-0000-0000512A0000}"/>
    <cellStyle name="Entrada 5 5 2 2 3 4" xfId="10839" xr:uid="{00000000-0005-0000-0000-0000522A0000}"/>
    <cellStyle name="Entrada 5 5 2 2 4" xfId="10840" xr:uid="{00000000-0005-0000-0000-0000532A0000}"/>
    <cellStyle name="Entrada 5 5 2 2 5" xfId="10841" xr:uid="{00000000-0005-0000-0000-0000542A0000}"/>
    <cellStyle name="Entrada 5 5 2 2 6" xfId="10842" xr:uid="{00000000-0005-0000-0000-0000552A0000}"/>
    <cellStyle name="Entrada 5 5 2 3" xfId="10843" xr:uid="{00000000-0005-0000-0000-0000562A0000}"/>
    <cellStyle name="Entrada 5 5 2 3 2" xfId="10844" xr:uid="{00000000-0005-0000-0000-0000572A0000}"/>
    <cellStyle name="Entrada 5 5 2 3 2 2" xfId="10845" xr:uid="{00000000-0005-0000-0000-0000582A0000}"/>
    <cellStyle name="Entrada 5 5 2 3 2 3" xfId="10846" xr:uid="{00000000-0005-0000-0000-0000592A0000}"/>
    <cellStyle name="Entrada 5 5 2 3 2 4" xfId="10847" xr:uid="{00000000-0005-0000-0000-00005A2A0000}"/>
    <cellStyle name="Entrada 5 5 2 3 3" xfId="10848" xr:uid="{00000000-0005-0000-0000-00005B2A0000}"/>
    <cellStyle name="Entrada 5 5 2 3 3 2" xfId="10849" xr:uid="{00000000-0005-0000-0000-00005C2A0000}"/>
    <cellStyle name="Entrada 5 5 2 3 3 3" xfId="10850" xr:uid="{00000000-0005-0000-0000-00005D2A0000}"/>
    <cellStyle name="Entrada 5 5 2 3 3 4" xfId="10851" xr:uid="{00000000-0005-0000-0000-00005E2A0000}"/>
    <cellStyle name="Entrada 5 5 2 3 4" xfId="10852" xr:uid="{00000000-0005-0000-0000-00005F2A0000}"/>
    <cellStyle name="Entrada 5 5 2 3 5" xfId="10853" xr:uid="{00000000-0005-0000-0000-0000602A0000}"/>
    <cellStyle name="Entrada 5 5 2 3 6" xfId="10854" xr:uid="{00000000-0005-0000-0000-0000612A0000}"/>
    <cellStyle name="Entrada 5 5 2 4" xfId="10855" xr:uid="{00000000-0005-0000-0000-0000622A0000}"/>
    <cellStyle name="Entrada 5 5 2 5" xfId="10856" xr:uid="{00000000-0005-0000-0000-0000632A0000}"/>
    <cellStyle name="Entrada 5 5 2 6" xfId="10857" xr:uid="{00000000-0005-0000-0000-0000642A0000}"/>
    <cellStyle name="Entrada 5 5 3" xfId="10858" xr:uid="{00000000-0005-0000-0000-0000652A0000}"/>
    <cellStyle name="Entrada 5 5 4" xfId="10859" xr:uid="{00000000-0005-0000-0000-0000662A0000}"/>
    <cellStyle name="Entrada 5 6" xfId="10860" xr:uid="{00000000-0005-0000-0000-0000672A0000}"/>
    <cellStyle name="Entrada 5 6 2" xfId="10861" xr:uid="{00000000-0005-0000-0000-0000682A0000}"/>
    <cellStyle name="Entrada 5 6 2 2" xfId="10862" xr:uid="{00000000-0005-0000-0000-0000692A0000}"/>
    <cellStyle name="Entrada 5 6 2 2 2" xfId="10863" xr:uid="{00000000-0005-0000-0000-00006A2A0000}"/>
    <cellStyle name="Entrada 5 6 2 2 2 2" xfId="10864" xr:uid="{00000000-0005-0000-0000-00006B2A0000}"/>
    <cellStyle name="Entrada 5 6 2 2 2 3" xfId="10865" xr:uid="{00000000-0005-0000-0000-00006C2A0000}"/>
    <cellStyle name="Entrada 5 6 2 2 2 4" xfId="10866" xr:uid="{00000000-0005-0000-0000-00006D2A0000}"/>
    <cellStyle name="Entrada 5 6 2 2 3" xfId="10867" xr:uid="{00000000-0005-0000-0000-00006E2A0000}"/>
    <cellStyle name="Entrada 5 6 2 2 3 2" xfId="10868" xr:uid="{00000000-0005-0000-0000-00006F2A0000}"/>
    <cellStyle name="Entrada 5 6 2 2 3 3" xfId="10869" xr:uid="{00000000-0005-0000-0000-0000702A0000}"/>
    <cellStyle name="Entrada 5 6 2 2 3 4" xfId="10870" xr:uid="{00000000-0005-0000-0000-0000712A0000}"/>
    <cellStyle name="Entrada 5 6 2 2 4" xfId="10871" xr:uid="{00000000-0005-0000-0000-0000722A0000}"/>
    <cellStyle name="Entrada 5 6 2 2 5" xfId="10872" xr:uid="{00000000-0005-0000-0000-0000732A0000}"/>
    <cellStyle name="Entrada 5 6 2 2 6" xfId="10873" xr:uid="{00000000-0005-0000-0000-0000742A0000}"/>
    <cellStyle name="Entrada 5 6 2 3" xfId="10874" xr:uid="{00000000-0005-0000-0000-0000752A0000}"/>
    <cellStyle name="Entrada 5 6 2 3 2" xfId="10875" xr:uid="{00000000-0005-0000-0000-0000762A0000}"/>
    <cellStyle name="Entrada 5 6 2 3 2 2" xfId="10876" xr:uid="{00000000-0005-0000-0000-0000772A0000}"/>
    <cellStyle name="Entrada 5 6 2 3 2 3" xfId="10877" xr:uid="{00000000-0005-0000-0000-0000782A0000}"/>
    <cellStyle name="Entrada 5 6 2 3 2 4" xfId="10878" xr:uid="{00000000-0005-0000-0000-0000792A0000}"/>
    <cellStyle name="Entrada 5 6 2 3 3" xfId="10879" xr:uid="{00000000-0005-0000-0000-00007A2A0000}"/>
    <cellStyle name="Entrada 5 6 2 3 3 2" xfId="10880" xr:uid="{00000000-0005-0000-0000-00007B2A0000}"/>
    <cellStyle name="Entrada 5 6 2 3 3 3" xfId="10881" xr:uid="{00000000-0005-0000-0000-00007C2A0000}"/>
    <cellStyle name="Entrada 5 6 2 3 3 4" xfId="10882" xr:uid="{00000000-0005-0000-0000-00007D2A0000}"/>
    <cellStyle name="Entrada 5 6 2 3 4" xfId="10883" xr:uid="{00000000-0005-0000-0000-00007E2A0000}"/>
    <cellStyle name="Entrada 5 6 2 3 5" xfId="10884" xr:uid="{00000000-0005-0000-0000-00007F2A0000}"/>
    <cellStyle name="Entrada 5 6 2 3 6" xfId="10885" xr:uid="{00000000-0005-0000-0000-0000802A0000}"/>
    <cellStyle name="Entrada 5 6 2 4" xfId="10886" xr:uid="{00000000-0005-0000-0000-0000812A0000}"/>
    <cellStyle name="Entrada 5 6 2 5" xfId="10887" xr:uid="{00000000-0005-0000-0000-0000822A0000}"/>
    <cellStyle name="Entrada 5 6 2 6" xfId="10888" xr:uid="{00000000-0005-0000-0000-0000832A0000}"/>
    <cellStyle name="Entrada 5 6 3" xfId="10889" xr:uid="{00000000-0005-0000-0000-0000842A0000}"/>
    <cellStyle name="Entrada 5 6 4" xfId="10890" xr:uid="{00000000-0005-0000-0000-0000852A0000}"/>
    <cellStyle name="Entrada 5 7" xfId="10891" xr:uid="{00000000-0005-0000-0000-0000862A0000}"/>
    <cellStyle name="Entrada 5 7 2" xfId="10892" xr:uid="{00000000-0005-0000-0000-0000872A0000}"/>
    <cellStyle name="Entrada 5 7 2 2" xfId="10893" xr:uid="{00000000-0005-0000-0000-0000882A0000}"/>
    <cellStyle name="Entrada 5 7 2 2 2" xfId="10894" xr:uid="{00000000-0005-0000-0000-0000892A0000}"/>
    <cellStyle name="Entrada 5 7 2 2 2 2" xfId="10895" xr:uid="{00000000-0005-0000-0000-00008A2A0000}"/>
    <cellStyle name="Entrada 5 7 2 2 2 3" xfId="10896" xr:uid="{00000000-0005-0000-0000-00008B2A0000}"/>
    <cellStyle name="Entrada 5 7 2 2 2 4" xfId="10897" xr:uid="{00000000-0005-0000-0000-00008C2A0000}"/>
    <cellStyle name="Entrada 5 7 2 2 3" xfId="10898" xr:uid="{00000000-0005-0000-0000-00008D2A0000}"/>
    <cellStyle name="Entrada 5 7 2 2 3 2" xfId="10899" xr:uid="{00000000-0005-0000-0000-00008E2A0000}"/>
    <cellStyle name="Entrada 5 7 2 2 3 3" xfId="10900" xr:uid="{00000000-0005-0000-0000-00008F2A0000}"/>
    <cellStyle name="Entrada 5 7 2 2 3 4" xfId="10901" xr:uid="{00000000-0005-0000-0000-0000902A0000}"/>
    <cellStyle name="Entrada 5 7 2 2 4" xfId="10902" xr:uid="{00000000-0005-0000-0000-0000912A0000}"/>
    <cellStyle name="Entrada 5 7 2 2 5" xfId="10903" xr:uid="{00000000-0005-0000-0000-0000922A0000}"/>
    <cellStyle name="Entrada 5 7 2 2 6" xfId="10904" xr:uid="{00000000-0005-0000-0000-0000932A0000}"/>
    <cellStyle name="Entrada 5 7 2 3" xfId="10905" xr:uid="{00000000-0005-0000-0000-0000942A0000}"/>
    <cellStyle name="Entrada 5 7 2 3 2" xfId="10906" xr:uid="{00000000-0005-0000-0000-0000952A0000}"/>
    <cellStyle name="Entrada 5 7 2 3 2 2" xfId="10907" xr:uid="{00000000-0005-0000-0000-0000962A0000}"/>
    <cellStyle name="Entrada 5 7 2 3 2 3" xfId="10908" xr:uid="{00000000-0005-0000-0000-0000972A0000}"/>
    <cellStyle name="Entrada 5 7 2 3 2 4" xfId="10909" xr:uid="{00000000-0005-0000-0000-0000982A0000}"/>
    <cellStyle name="Entrada 5 7 2 3 3" xfId="10910" xr:uid="{00000000-0005-0000-0000-0000992A0000}"/>
    <cellStyle name="Entrada 5 7 2 3 3 2" xfId="10911" xr:uid="{00000000-0005-0000-0000-00009A2A0000}"/>
    <cellStyle name="Entrada 5 7 2 3 3 3" xfId="10912" xr:uid="{00000000-0005-0000-0000-00009B2A0000}"/>
    <cellStyle name="Entrada 5 7 2 3 3 4" xfId="10913" xr:uid="{00000000-0005-0000-0000-00009C2A0000}"/>
    <cellStyle name="Entrada 5 7 2 3 4" xfId="10914" xr:uid="{00000000-0005-0000-0000-00009D2A0000}"/>
    <cellStyle name="Entrada 5 7 2 3 5" xfId="10915" xr:uid="{00000000-0005-0000-0000-00009E2A0000}"/>
    <cellStyle name="Entrada 5 7 2 3 6" xfId="10916" xr:uid="{00000000-0005-0000-0000-00009F2A0000}"/>
    <cellStyle name="Entrada 5 7 2 4" xfId="10917" xr:uid="{00000000-0005-0000-0000-0000A02A0000}"/>
    <cellStyle name="Entrada 5 7 2 5" xfId="10918" xr:uid="{00000000-0005-0000-0000-0000A12A0000}"/>
    <cellStyle name="Entrada 5 7 2 6" xfId="10919" xr:uid="{00000000-0005-0000-0000-0000A22A0000}"/>
    <cellStyle name="Entrada 5 7 3" xfId="10920" xr:uid="{00000000-0005-0000-0000-0000A32A0000}"/>
    <cellStyle name="Entrada 5 7 4" xfId="10921" xr:uid="{00000000-0005-0000-0000-0000A42A0000}"/>
    <cellStyle name="Entrada 5 8" xfId="10922" xr:uid="{00000000-0005-0000-0000-0000A52A0000}"/>
    <cellStyle name="Entrada 5 8 2" xfId="10923" xr:uid="{00000000-0005-0000-0000-0000A62A0000}"/>
    <cellStyle name="Entrada 5 8 2 2" xfId="10924" xr:uid="{00000000-0005-0000-0000-0000A72A0000}"/>
    <cellStyle name="Entrada 5 8 2 2 2" xfId="10925" xr:uid="{00000000-0005-0000-0000-0000A82A0000}"/>
    <cellStyle name="Entrada 5 8 2 2 3" xfId="10926" xr:uid="{00000000-0005-0000-0000-0000A92A0000}"/>
    <cellStyle name="Entrada 5 8 2 2 4" xfId="10927" xr:uid="{00000000-0005-0000-0000-0000AA2A0000}"/>
    <cellStyle name="Entrada 5 8 2 3" xfId="10928" xr:uid="{00000000-0005-0000-0000-0000AB2A0000}"/>
    <cellStyle name="Entrada 5 8 2 3 2" xfId="10929" xr:uid="{00000000-0005-0000-0000-0000AC2A0000}"/>
    <cellStyle name="Entrada 5 8 2 3 3" xfId="10930" xr:uid="{00000000-0005-0000-0000-0000AD2A0000}"/>
    <cellStyle name="Entrada 5 8 2 3 4" xfId="10931" xr:uid="{00000000-0005-0000-0000-0000AE2A0000}"/>
    <cellStyle name="Entrada 5 8 2 4" xfId="10932" xr:uid="{00000000-0005-0000-0000-0000AF2A0000}"/>
    <cellStyle name="Entrada 5 8 2 5" xfId="10933" xr:uid="{00000000-0005-0000-0000-0000B02A0000}"/>
    <cellStyle name="Entrada 5 8 2 6" xfId="10934" xr:uid="{00000000-0005-0000-0000-0000B12A0000}"/>
    <cellStyle name="Entrada 5 8 3" xfId="10935" xr:uid="{00000000-0005-0000-0000-0000B22A0000}"/>
    <cellStyle name="Entrada 5 8 3 2" xfId="10936" xr:uid="{00000000-0005-0000-0000-0000B32A0000}"/>
    <cellStyle name="Entrada 5 8 3 2 2" xfId="10937" xr:uid="{00000000-0005-0000-0000-0000B42A0000}"/>
    <cellStyle name="Entrada 5 8 3 2 3" xfId="10938" xr:uid="{00000000-0005-0000-0000-0000B52A0000}"/>
    <cellStyle name="Entrada 5 8 3 2 4" xfId="10939" xr:uid="{00000000-0005-0000-0000-0000B62A0000}"/>
    <cellStyle name="Entrada 5 8 3 3" xfId="10940" xr:uid="{00000000-0005-0000-0000-0000B72A0000}"/>
    <cellStyle name="Entrada 5 8 3 3 2" xfId="10941" xr:uid="{00000000-0005-0000-0000-0000B82A0000}"/>
    <cellStyle name="Entrada 5 8 3 3 3" xfId="10942" xr:uid="{00000000-0005-0000-0000-0000B92A0000}"/>
    <cellStyle name="Entrada 5 8 3 3 4" xfId="10943" xr:uid="{00000000-0005-0000-0000-0000BA2A0000}"/>
    <cellStyle name="Entrada 5 8 3 4" xfId="10944" xr:uid="{00000000-0005-0000-0000-0000BB2A0000}"/>
    <cellStyle name="Entrada 5 8 3 5" xfId="10945" xr:uid="{00000000-0005-0000-0000-0000BC2A0000}"/>
    <cellStyle name="Entrada 5 8 3 6" xfId="10946" xr:uid="{00000000-0005-0000-0000-0000BD2A0000}"/>
    <cellStyle name="Entrada 5 8 4" xfId="10947" xr:uid="{00000000-0005-0000-0000-0000BE2A0000}"/>
    <cellStyle name="Entrada 5 8 4 2" xfId="10948" xr:uid="{00000000-0005-0000-0000-0000BF2A0000}"/>
    <cellStyle name="Entrada 5 8 4 3" xfId="10949" xr:uid="{00000000-0005-0000-0000-0000C02A0000}"/>
    <cellStyle name="Entrada 5 8 4 4" xfId="10950" xr:uid="{00000000-0005-0000-0000-0000C12A0000}"/>
    <cellStyle name="Entrada 5 8 5" xfId="10951" xr:uid="{00000000-0005-0000-0000-0000C22A0000}"/>
    <cellStyle name="Entrada 5 8 6" xfId="10952" xr:uid="{00000000-0005-0000-0000-0000C32A0000}"/>
    <cellStyle name="Entrada 5 9" xfId="10953" xr:uid="{00000000-0005-0000-0000-0000C42A0000}"/>
    <cellStyle name="Entrada 5 9 2" xfId="10954" xr:uid="{00000000-0005-0000-0000-0000C52A0000}"/>
    <cellStyle name="Entrada 5 9 2 2" xfId="10955" xr:uid="{00000000-0005-0000-0000-0000C62A0000}"/>
    <cellStyle name="Entrada 5 9 2 2 2" xfId="10956" xr:uid="{00000000-0005-0000-0000-0000C72A0000}"/>
    <cellStyle name="Entrada 5 9 2 2 3" xfId="10957" xr:uid="{00000000-0005-0000-0000-0000C82A0000}"/>
    <cellStyle name="Entrada 5 9 2 2 4" xfId="10958" xr:uid="{00000000-0005-0000-0000-0000C92A0000}"/>
    <cellStyle name="Entrada 5 9 2 3" xfId="10959" xr:uid="{00000000-0005-0000-0000-0000CA2A0000}"/>
    <cellStyle name="Entrada 5 9 2 3 2" xfId="10960" xr:uid="{00000000-0005-0000-0000-0000CB2A0000}"/>
    <cellStyle name="Entrada 5 9 2 3 3" xfId="10961" xr:uid="{00000000-0005-0000-0000-0000CC2A0000}"/>
    <cellStyle name="Entrada 5 9 2 3 4" xfId="10962" xr:uid="{00000000-0005-0000-0000-0000CD2A0000}"/>
    <cellStyle name="Entrada 5 9 2 4" xfId="10963" xr:uid="{00000000-0005-0000-0000-0000CE2A0000}"/>
    <cellStyle name="Entrada 5 9 2 5" xfId="10964" xr:uid="{00000000-0005-0000-0000-0000CF2A0000}"/>
    <cellStyle name="Entrada 5 9 2 6" xfId="10965" xr:uid="{00000000-0005-0000-0000-0000D02A0000}"/>
    <cellStyle name="Entrada 5 9 3" xfId="10966" xr:uid="{00000000-0005-0000-0000-0000D12A0000}"/>
    <cellStyle name="Entrada 5 9 3 2" xfId="10967" xr:uid="{00000000-0005-0000-0000-0000D22A0000}"/>
    <cellStyle name="Entrada 5 9 3 2 2" xfId="10968" xr:uid="{00000000-0005-0000-0000-0000D32A0000}"/>
    <cellStyle name="Entrada 5 9 3 2 3" xfId="10969" xr:uid="{00000000-0005-0000-0000-0000D42A0000}"/>
    <cellStyle name="Entrada 5 9 3 2 4" xfId="10970" xr:uid="{00000000-0005-0000-0000-0000D52A0000}"/>
    <cellStyle name="Entrada 5 9 3 3" xfId="10971" xr:uid="{00000000-0005-0000-0000-0000D62A0000}"/>
    <cellStyle name="Entrada 5 9 3 3 2" xfId="10972" xr:uid="{00000000-0005-0000-0000-0000D72A0000}"/>
    <cellStyle name="Entrada 5 9 3 3 3" xfId="10973" xr:uid="{00000000-0005-0000-0000-0000D82A0000}"/>
    <cellStyle name="Entrada 5 9 3 3 4" xfId="10974" xr:uid="{00000000-0005-0000-0000-0000D92A0000}"/>
    <cellStyle name="Entrada 5 9 3 4" xfId="10975" xr:uid="{00000000-0005-0000-0000-0000DA2A0000}"/>
    <cellStyle name="Entrada 5 9 3 5" xfId="10976" xr:uid="{00000000-0005-0000-0000-0000DB2A0000}"/>
    <cellStyle name="Entrada 5 9 3 6" xfId="10977" xr:uid="{00000000-0005-0000-0000-0000DC2A0000}"/>
    <cellStyle name="Entrada 5 9 4" xfId="10978" xr:uid="{00000000-0005-0000-0000-0000DD2A0000}"/>
    <cellStyle name="Entrada 5 9 4 2" xfId="10979" xr:uid="{00000000-0005-0000-0000-0000DE2A0000}"/>
    <cellStyle name="Entrada 5 9 4 3" xfId="10980" xr:uid="{00000000-0005-0000-0000-0000DF2A0000}"/>
    <cellStyle name="Entrada 5 9 4 4" xfId="10981" xr:uid="{00000000-0005-0000-0000-0000E02A0000}"/>
    <cellStyle name="Entrada 5 9 5" xfId="10982" xr:uid="{00000000-0005-0000-0000-0000E12A0000}"/>
    <cellStyle name="Entrada 5 9 6" xfId="10983" xr:uid="{00000000-0005-0000-0000-0000E22A0000}"/>
    <cellStyle name="Entrada 6" xfId="10984" xr:uid="{00000000-0005-0000-0000-0000E32A0000}"/>
    <cellStyle name="Entrada 6 10" xfId="10985" xr:uid="{00000000-0005-0000-0000-0000E42A0000}"/>
    <cellStyle name="Entrada 6 10 2" xfId="10986" xr:uid="{00000000-0005-0000-0000-0000E52A0000}"/>
    <cellStyle name="Entrada 6 10 2 2" xfId="10987" xr:uid="{00000000-0005-0000-0000-0000E62A0000}"/>
    <cellStyle name="Entrada 6 10 2 2 2" xfId="10988" xr:uid="{00000000-0005-0000-0000-0000E72A0000}"/>
    <cellStyle name="Entrada 6 10 2 2 3" xfId="10989" xr:uid="{00000000-0005-0000-0000-0000E82A0000}"/>
    <cellStyle name="Entrada 6 10 2 2 4" xfId="10990" xr:uid="{00000000-0005-0000-0000-0000E92A0000}"/>
    <cellStyle name="Entrada 6 10 2 3" xfId="10991" xr:uid="{00000000-0005-0000-0000-0000EA2A0000}"/>
    <cellStyle name="Entrada 6 10 2 3 2" xfId="10992" xr:uid="{00000000-0005-0000-0000-0000EB2A0000}"/>
    <cellStyle name="Entrada 6 10 2 3 3" xfId="10993" xr:uid="{00000000-0005-0000-0000-0000EC2A0000}"/>
    <cellStyle name="Entrada 6 10 2 3 4" xfId="10994" xr:uid="{00000000-0005-0000-0000-0000ED2A0000}"/>
    <cellStyle name="Entrada 6 10 2 4" xfId="10995" xr:uid="{00000000-0005-0000-0000-0000EE2A0000}"/>
    <cellStyle name="Entrada 6 10 2 5" xfId="10996" xr:uid="{00000000-0005-0000-0000-0000EF2A0000}"/>
    <cellStyle name="Entrada 6 10 2 6" xfId="10997" xr:uid="{00000000-0005-0000-0000-0000F02A0000}"/>
    <cellStyle name="Entrada 6 10 3" xfId="10998" xr:uid="{00000000-0005-0000-0000-0000F12A0000}"/>
    <cellStyle name="Entrada 6 10 3 2" xfId="10999" xr:uid="{00000000-0005-0000-0000-0000F22A0000}"/>
    <cellStyle name="Entrada 6 10 3 2 2" xfId="11000" xr:uid="{00000000-0005-0000-0000-0000F32A0000}"/>
    <cellStyle name="Entrada 6 10 3 2 3" xfId="11001" xr:uid="{00000000-0005-0000-0000-0000F42A0000}"/>
    <cellStyle name="Entrada 6 10 3 2 4" xfId="11002" xr:uid="{00000000-0005-0000-0000-0000F52A0000}"/>
    <cellStyle name="Entrada 6 10 3 3" xfId="11003" xr:uid="{00000000-0005-0000-0000-0000F62A0000}"/>
    <cellStyle name="Entrada 6 10 3 3 2" xfId="11004" xr:uid="{00000000-0005-0000-0000-0000F72A0000}"/>
    <cellStyle name="Entrada 6 10 3 3 3" xfId="11005" xr:uid="{00000000-0005-0000-0000-0000F82A0000}"/>
    <cellStyle name="Entrada 6 10 3 3 4" xfId="11006" xr:uid="{00000000-0005-0000-0000-0000F92A0000}"/>
    <cellStyle name="Entrada 6 10 3 4" xfId="11007" xr:uid="{00000000-0005-0000-0000-0000FA2A0000}"/>
    <cellStyle name="Entrada 6 10 3 5" xfId="11008" xr:uid="{00000000-0005-0000-0000-0000FB2A0000}"/>
    <cellStyle name="Entrada 6 10 3 6" xfId="11009" xr:uid="{00000000-0005-0000-0000-0000FC2A0000}"/>
    <cellStyle name="Entrada 6 10 4" xfId="11010" xr:uid="{00000000-0005-0000-0000-0000FD2A0000}"/>
    <cellStyle name="Entrada 6 10 4 2" xfId="11011" xr:uid="{00000000-0005-0000-0000-0000FE2A0000}"/>
    <cellStyle name="Entrada 6 10 4 3" xfId="11012" xr:uid="{00000000-0005-0000-0000-0000FF2A0000}"/>
    <cellStyle name="Entrada 6 10 4 4" xfId="11013" xr:uid="{00000000-0005-0000-0000-0000002B0000}"/>
    <cellStyle name="Entrada 6 10 5" xfId="11014" xr:uid="{00000000-0005-0000-0000-0000012B0000}"/>
    <cellStyle name="Entrada 6 10 6" xfId="11015" xr:uid="{00000000-0005-0000-0000-0000022B0000}"/>
    <cellStyle name="Entrada 6 11" xfId="11016" xr:uid="{00000000-0005-0000-0000-0000032B0000}"/>
    <cellStyle name="Entrada 6 11 2" xfId="11017" xr:uid="{00000000-0005-0000-0000-0000042B0000}"/>
    <cellStyle name="Entrada 6 11 2 2" xfId="11018" xr:uid="{00000000-0005-0000-0000-0000052B0000}"/>
    <cellStyle name="Entrada 6 11 2 2 2" xfId="11019" xr:uid="{00000000-0005-0000-0000-0000062B0000}"/>
    <cellStyle name="Entrada 6 11 2 2 3" xfId="11020" xr:uid="{00000000-0005-0000-0000-0000072B0000}"/>
    <cellStyle name="Entrada 6 11 2 2 4" xfId="11021" xr:uid="{00000000-0005-0000-0000-0000082B0000}"/>
    <cellStyle name="Entrada 6 11 2 3" xfId="11022" xr:uid="{00000000-0005-0000-0000-0000092B0000}"/>
    <cellStyle name="Entrada 6 11 2 3 2" xfId="11023" xr:uid="{00000000-0005-0000-0000-00000A2B0000}"/>
    <cellStyle name="Entrada 6 11 2 3 3" xfId="11024" xr:uid="{00000000-0005-0000-0000-00000B2B0000}"/>
    <cellStyle name="Entrada 6 11 2 3 4" xfId="11025" xr:uid="{00000000-0005-0000-0000-00000C2B0000}"/>
    <cellStyle name="Entrada 6 11 2 4" xfId="11026" xr:uid="{00000000-0005-0000-0000-00000D2B0000}"/>
    <cellStyle name="Entrada 6 11 2 5" xfId="11027" xr:uid="{00000000-0005-0000-0000-00000E2B0000}"/>
    <cellStyle name="Entrada 6 11 2 6" xfId="11028" xr:uid="{00000000-0005-0000-0000-00000F2B0000}"/>
    <cellStyle name="Entrada 6 11 3" xfId="11029" xr:uid="{00000000-0005-0000-0000-0000102B0000}"/>
    <cellStyle name="Entrada 6 11 3 2" xfId="11030" xr:uid="{00000000-0005-0000-0000-0000112B0000}"/>
    <cellStyle name="Entrada 6 11 3 2 2" xfId="11031" xr:uid="{00000000-0005-0000-0000-0000122B0000}"/>
    <cellStyle name="Entrada 6 11 3 2 3" xfId="11032" xr:uid="{00000000-0005-0000-0000-0000132B0000}"/>
    <cellStyle name="Entrada 6 11 3 2 4" xfId="11033" xr:uid="{00000000-0005-0000-0000-0000142B0000}"/>
    <cellStyle name="Entrada 6 11 3 3" xfId="11034" xr:uid="{00000000-0005-0000-0000-0000152B0000}"/>
    <cellStyle name="Entrada 6 11 3 3 2" xfId="11035" xr:uid="{00000000-0005-0000-0000-0000162B0000}"/>
    <cellStyle name="Entrada 6 11 3 3 3" xfId="11036" xr:uid="{00000000-0005-0000-0000-0000172B0000}"/>
    <cellStyle name="Entrada 6 11 3 3 4" xfId="11037" xr:uid="{00000000-0005-0000-0000-0000182B0000}"/>
    <cellStyle name="Entrada 6 11 3 4" xfId="11038" xr:uid="{00000000-0005-0000-0000-0000192B0000}"/>
    <cellStyle name="Entrada 6 11 3 5" xfId="11039" xr:uid="{00000000-0005-0000-0000-00001A2B0000}"/>
    <cellStyle name="Entrada 6 11 3 6" xfId="11040" xr:uid="{00000000-0005-0000-0000-00001B2B0000}"/>
    <cellStyle name="Entrada 6 11 4" xfId="11041" xr:uid="{00000000-0005-0000-0000-00001C2B0000}"/>
    <cellStyle name="Entrada 6 11 5" xfId="11042" xr:uid="{00000000-0005-0000-0000-00001D2B0000}"/>
    <cellStyle name="Entrada 6 11 6" xfId="11043" xr:uid="{00000000-0005-0000-0000-00001E2B0000}"/>
    <cellStyle name="Entrada 6 12" xfId="11044" xr:uid="{00000000-0005-0000-0000-00001F2B0000}"/>
    <cellStyle name="Entrada 6 13" xfId="11045" xr:uid="{00000000-0005-0000-0000-0000202B0000}"/>
    <cellStyle name="Entrada 6 2" xfId="11046" xr:uid="{00000000-0005-0000-0000-0000212B0000}"/>
    <cellStyle name="Entrada 6 2 10" xfId="11047" xr:uid="{00000000-0005-0000-0000-0000222B0000}"/>
    <cellStyle name="Entrada 6 2 10 2" xfId="11048" xr:uid="{00000000-0005-0000-0000-0000232B0000}"/>
    <cellStyle name="Entrada 6 2 10 2 2" xfId="11049" xr:uid="{00000000-0005-0000-0000-0000242B0000}"/>
    <cellStyle name="Entrada 6 2 10 2 2 2" xfId="11050" xr:uid="{00000000-0005-0000-0000-0000252B0000}"/>
    <cellStyle name="Entrada 6 2 10 2 2 3" xfId="11051" xr:uid="{00000000-0005-0000-0000-0000262B0000}"/>
    <cellStyle name="Entrada 6 2 10 2 2 4" xfId="11052" xr:uid="{00000000-0005-0000-0000-0000272B0000}"/>
    <cellStyle name="Entrada 6 2 10 2 3" xfId="11053" xr:uid="{00000000-0005-0000-0000-0000282B0000}"/>
    <cellStyle name="Entrada 6 2 10 2 3 2" xfId="11054" xr:uid="{00000000-0005-0000-0000-0000292B0000}"/>
    <cellStyle name="Entrada 6 2 10 2 3 3" xfId="11055" xr:uid="{00000000-0005-0000-0000-00002A2B0000}"/>
    <cellStyle name="Entrada 6 2 10 2 3 4" xfId="11056" xr:uid="{00000000-0005-0000-0000-00002B2B0000}"/>
    <cellStyle name="Entrada 6 2 10 2 4" xfId="11057" xr:uid="{00000000-0005-0000-0000-00002C2B0000}"/>
    <cellStyle name="Entrada 6 2 10 2 5" xfId="11058" xr:uid="{00000000-0005-0000-0000-00002D2B0000}"/>
    <cellStyle name="Entrada 6 2 10 2 6" xfId="11059" xr:uid="{00000000-0005-0000-0000-00002E2B0000}"/>
    <cellStyle name="Entrada 6 2 10 3" xfId="11060" xr:uid="{00000000-0005-0000-0000-00002F2B0000}"/>
    <cellStyle name="Entrada 6 2 10 3 2" xfId="11061" xr:uid="{00000000-0005-0000-0000-0000302B0000}"/>
    <cellStyle name="Entrada 6 2 10 3 2 2" xfId="11062" xr:uid="{00000000-0005-0000-0000-0000312B0000}"/>
    <cellStyle name="Entrada 6 2 10 3 2 3" xfId="11063" xr:uid="{00000000-0005-0000-0000-0000322B0000}"/>
    <cellStyle name="Entrada 6 2 10 3 2 4" xfId="11064" xr:uid="{00000000-0005-0000-0000-0000332B0000}"/>
    <cellStyle name="Entrada 6 2 10 3 3" xfId="11065" xr:uid="{00000000-0005-0000-0000-0000342B0000}"/>
    <cellStyle name="Entrada 6 2 10 3 3 2" xfId="11066" xr:uid="{00000000-0005-0000-0000-0000352B0000}"/>
    <cellStyle name="Entrada 6 2 10 3 3 3" xfId="11067" xr:uid="{00000000-0005-0000-0000-0000362B0000}"/>
    <cellStyle name="Entrada 6 2 10 3 3 4" xfId="11068" xr:uid="{00000000-0005-0000-0000-0000372B0000}"/>
    <cellStyle name="Entrada 6 2 10 3 4" xfId="11069" xr:uid="{00000000-0005-0000-0000-0000382B0000}"/>
    <cellStyle name="Entrada 6 2 10 3 5" xfId="11070" xr:uid="{00000000-0005-0000-0000-0000392B0000}"/>
    <cellStyle name="Entrada 6 2 10 3 6" xfId="11071" xr:uid="{00000000-0005-0000-0000-00003A2B0000}"/>
    <cellStyle name="Entrada 6 2 10 4" xfId="11072" xr:uid="{00000000-0005-0000-0000-00003B2B0000}"/>
    <cellStyle name="Entrada 6 2 10 5" xfId="11073" xr:uid="{00000000-0005-0000-0000-00003C2B0000}"/>
    <cellStyle name="Entrada 6 2 10 6" xfId="11074" xr:uid="{00000000-0005-0000-0000-00003D2B0000}"/>
    <cellStyle name="Entrada 6 2 11" xfId="11075" xr:uid="{00000000-0005-0000-0000-00003E2B0000}"/>
    <cellStyle name="Entrada 6 2 12" xfId="11076" xr:uid="{00000000-0005-0000-0000-00003F2B0000}"/>
    <cellStyle name="Entrada 6 2 2" xfId="11077" xr:uid="{00000000-0005-0000-0000-0000402B0000}"/>
    <cellStyle name="Entrada 6 2 2 2" xfId="11078" xr:uid="{00000000-0005-0000-0000-0000412B0000}"/>
    <cellStyle name="Entrada 6 2 2 2 2" xfId="11079" xr:uid="{00000000-0005-0000-0000-0000422B0000}"/>
    <cellStyle name="Entrada 6 2 2 2 2 2" xfId="11080" xr:uid="{00000000-0005-0000-0000-0000432B0000}"/>
    <cellStyle name="Entrada 6 2 2 2 2 2 2" xfId="11081" xr:uid="{00000000-0005-0000-0000-0000442B0000}"/>
    <cellStyle name="Entrada 6 2 2 2 2 2 3" xfId="11082" xr:uid="{00000000-0005-0000-0000-0000452B0000}"/>
    <cellStyle name="Entrada 6 2 2 2 2 2 4" xfId="11083" xr:uid="{00000000-0005-0000-0000-0000462B0000}"/>
    <cellStyle name="Entrada 6 2 2 2 2 3" xfId="11084" xr:uid="{00000000-0005-0000-0000-0000472B0000}"/>
    <cellStyle name="Entrada 6 2 2 2 2 3 2" xfId="11085" xr:uid="{00000000-0005-0000-0000-0000482B0000}"/>
    <cellStyle name="Entrada 6 2 2 2 2 3 3" xfId="11086" xr:uid="{00000000-0005-0000-0000-0000492B0000}"/>
    <cellStyle name="Entrada 6 2 2 2 2 3 4" xfId="11087" xr:uid="{00000000-0005-0000-0000-00004A2B0000}"/>
    <cellStyle name="Entrada 6 2 2 2 2 4" xfId="11088" xr:uid="{00000000-0005-0000-0000-00004B2B0000}"/>
    <cellStyle name="Entrada 6 2 2 2 2 5" xfId="11089" xr:uid="{00000000-0005-0000-0000-00004C2B0000}"/>
    <cellStyle name="Entrada 6 2 2 2 2 6" xfId="11090" xr:uid="{00000000-0005-0000-0000-00004D2B0000}"/>
    <cellStyle name="Entrada 6 2 2 2 3" xfId="11091" xr:uid="{00000000-0005-0000-0000-00004E2B0000}"/>
    <cellStyle name="Entrada 6 2 2 2 3 2" xfId="11092" xr:uid="{00000000-0005-0000-0000-00004F2B0000}"/>
    <cellStyle name="Entrada 6 2 2 2 3 2 2" xfId="11093" xr:uid="{00000000-0005-0000-0000-0000502B0000}"/>
    <cellStyle name="Entrada 6 2 2 2 3 2 3" xfId="11094" xr:uid="{00000000-0005-0000-0000-0000512B0000}"/>
    <cellStyle name="Entrada 6 2 2 2 3 2 4" xfId="11095" xr:uid="{00000000-0005-0000-0000-0000522B0000}"/>
    <cellStyle name="Entrada 6 2 2 2 3 3" xfId="11096" xr:uid="{00000000-0005-0000-0000-0000532B0000}"/>
    <cellStyle name="Entrada 6 2 2 2 3 3 2" xfId="11097" xr:uid="{00000000-0005-0000-0000-0000542B0000}"/>
    <cellStyle name="Entrada 6 2 2 2 3 3 3" xfId="11098" xr:uid="{00000000-0005-0000-0000-0000552B0000}"/>
    <cellStyle name="Entrada 6 2 2 2 3 3 4" xfId="11099" xr:uid="{00000000-0005-0000-0000-0000562B0000}"/>
    <cellStyle name="Entrada 6 2 2 2 3 4" xfId="11100" xr:uid="{00000000-0005-0000-0000-0000572B0000}"/>
    <cellStyle name="Entrada 6 2 2 2 3 5" xfId="11101" xr:uid="{00000000-0005-0000-0000-0000582B0000}"/>
    <cellStyle name="Entrada 6 2 2 2 3 6" xfId="11102" xr:uid="{00000000-0005-0000-0000-0000592B0000}"/>
    <cellStyle name="Entrada 6 2 2 2 4" xfId="11103" xr:uid="{00000000-0005-0000-0000-00005A2B0000}"/>
    <cellStyle name="Entrada 6 2 2 2 5" xfId="11104" xr:uid="{00000000-0005-0000-0000-00005B2B0000}"/>
    <cellStyle name="Entrada 6 2 2 2 6" xfId="11105" xr:uid="{00000000-0005-0000-0000-00005C2B0000}"/>
    <cellStyle name="Entrada 6 2 2 3" xfId="11106" xr:uid="{00000000-0005-0000-0000-00005D2B0000}"/>
    <cellStyle name="Entrada 6 2 2 4" xfId="11107" xr:uid="{00000000-0005-0000-0000-00005E2B0000}"/>
    <cellStyle name="Entrada 6 2 3" xfId="11108" xr:uid="{00000000-0005-0000-0000-00005F2B0000}"/>
    <cellStyle name="Entrada 6 2 3 2" xfId="11109" xr:uid="{00000000-0005-0000-0000-0000602B0000}"/>
    <cellStyle name="Entrada 6 2 3 2 2" xfId="11110" xr:uid="{00000000-0005-0000-0000-0000612B0000}"/>
    <cellStyle name="Entrada 6 2 3 2 2 2" xfId="11111" xr:uid="{00000000-0005-0000-0000-0000622B0000}"/>
    <cellStyle name="Entrada 6 2 3 2 2 2 2" xfId="11112" xr:uid="{00000000-0005-0000-0000-0000632B0000}"/>
    <cellStyle name="Entrada 6 2 3 2 2 2 3" xfId="11113" xr:uid="{00000000-0005-0000-0000-0000642B0000}"/>
    <cellStyle name="Entrada 6 2 3 2 2 2 4" xfId="11114" xr:uid="{00000000-0005-0000-0000-0000652B0000}"/>
    <cellStyle name="Entrada 6 2 3 2 2 3" xfId="11115" xr:uid="{00000000-0005-0000-0000-0000662B0000}"/>
    <cellStyle name="Entrada 6 2 3 2 2 3 2" xfId="11116" xr:uid="{00000000-0005-0000-0000-0000672B0000}"/>
    <cellStyle name="Entrada 6 2 3 2 2 3 3" xfId="11117" xr:uid="{00000000-0005-0000-0000-0000682B0000}"/>
    <cellStyle name="Entrada 6 2 3 2 2 3 4" xfId="11118" xr:uid="{00000000-0005-0000-0000-0000692B0000}"/>
    <cellStyle name="Entrada 6 2 3 2 2 4" xfId="11119" xr:uid="{00000000-0005-0000-0000-00006A2B0000}"/>
    <cellStyle name="Entrada 6 2 3 2 2 5" xfId="11120" xr:uid="{00000000-0005-0000-0000-00006B2B0000}"/>
    <cellStyle name="Entrada 6 2 3 2 2 6" xfId="11121" xr:uid="{00000000-0005-0000-0000-00006C2B0000}"/>
    <cellStyle name="Entrada 6 2 3 2 3" xfId="11122" xr:uid="{00000000-0005-0000-0000-00006D2B0000}"/>
    <cellStyle name="Entrada 6 2 3 2 3 2" xfId="11123" xr:uid="{00000000-0005-0000-0000-00006E2B0000}"/>
    <cellStyle name="Entrada 6 2 3 2 3 2 2" xfId="11124" xr:uid="{00000000-0005-0000-0000-00006F2B0000}"/>
    <cellStyle name="Entrada 6 2 3 2 3 2 3" xfId="11125" xr:uid="{00000000-0005-0000-0000-0000702B0000}"/>
    <cellStyle name="Entrada 6 2 3 2 3 2 4" xfId="11126" xr:uid="{00000000-0005-0000-0000-0000712B0000}"/>
    <cellStyle name="Entrada 6 2 3 2 3 3" xfId="11127" xr:uid="{00000000-0005-0000-0000-0000722B0000}"/>
    <cellStyle name="Entrada 6 2 3 2 3 3 2" xfId="11128" xr:uid="{00000000-0005-0000-0000-0000732B0000}"/>
    <cellStyle name="Entrada 6 2 3 2 3 3 3" xfId="11129" xr:uid="{00000000-0005-0000-0000-0000742B0000}"/>
    <cellStyle name="Entrada 6 2 3 2 3 3 4" xfId="11130" xr:uid="{00000000-0005-0000-0000-0000752B0000}"/>
    <cellStyle name="Entrada 6 2 3 2 3 4" xfId="11131" xr:uid="{00000000-0005-0000-0000-0000762B0000}"/>
    <cellStyle name="Entrada 6 2 3 2 3 5" xfId="11132" xr:uid="{00000000-0005-0000-0000-0000772B0000}"/>
    <cellStyle name="Entrada 6 2 3 2 3 6" xfId="11133" xr:uid="{00000000-0005-0000-0000-0000782B0000}"/>
    <cellStyle name="Entrada 6 2 3 2 4" xfId="11134" xr:uid="{00000000-0005-0000-0000-0000792B0000}"/>
    <cellStyle name="Entrada 6 2 3 2 5" xfId="11135" xr:uid="{00000000-0005-0000-0000-00007A2B0000}"/>
    <cellStyle name="Entrada 6 2 3 2 6" xfId="11136" xr:uid="{00000000-0005-0000-0000-00007B2B0000}"/>
    <cellStyle name="Entrada 6 2 3 3" xfId="11137" xr:uid="{00000000-0005-0000-0000-00007C2B0000}"/>
    <cellStyle name="Entrada 6 2 3 4" xfId="11138" xr:uid="{00000000-0005-0000-0000-00007D2B0000}"/>
    <cellStyle name="Entrada 6 2 4" xfId="11139" xr:uid="{00000000-0005-0000-0000-00007E2B0000}"/>
    <cellStyle name="Entrada 6 2 4 2" xfId="11140" xr:uid="{00000000-0005-0000-0000-00007F2B0000}"/>
    <cellStyle name="Entrada 6 2 4 2 2" xfId="11141" xr:uid="{00000000-0005-0000-0000-0000802B0000}"/>
    <cellStyle name="Entrada 6 2 4 2 2 2" xfId="11142" xr:uid="{00000000-0005-0000-0000-0000812B0000}"/>
    <cellStyle name="Entrada 6 2 4 2 2 2 2" xfId="11143" xr:uid="{00000000-0005-0000-0000-0000822B0000}"/>
    <cellStyle name="Entrada 6 2 4 2 2 2 3" xfId="11144" xr:uid="{00000000-0005-0000-0000-0000832B0000}"/>
    <cellStyle name="Entrada 6 2 4 2 2 2 4" xfId="11145" xr:uid="{00000000-0005-0000-0000-0000842B0000}"/>
    <cellStyle name="Entrada 6 2 4 2 2 3" xfId="11146" xr:uid="{00000000-0005-0000-0000-0000852B0000}"/>
    <cellStyle name="Entrada 6 2 4 2 2 3 2" xfId="11147" xr:uid="{00000000-0005-0000-0000-0000862B0000}"/>
    <cellStyle name="Entrada 6 2 4 2 2 3 3" xfId="11148" xr:uid="{00000000-0005-0000-0000-0000872B0000}"/>
    <cellStyle name="Entrada 6 2 4 2 2 3 4" xfId="11149" xr:uid="{00000000-0005-0000-0000-0000882B0000}"/>
    <cellStyle name="Entrada 6 2 4 2 2 4" xfId="11150" xr:uid="{00000000-0005-0000-0000-0000892B0000}"/>
    <cellStyle name="Entrada 6 2 4 2 2 5" xfId="11151" xr:uid="{00000000-0005-0000-0000-00008A2B0000}"/>
    <cellStyle name="Entrada 6 2 4 2 2 6" xfId="11152" xr:uid="{00000000-0005-0000-0000-00008B2B0000}"/>
    <cellStyle name="Entrada 6 2 4 2 3" xfId="11153" xr:uid="{00000000-0005-0000-0000-00008C2B0000}"/>
    <cellStyle name="Entrada 6 2 4 2 3 2" xfId="11154" xr:uid="{00000000-0005-0000-0000-00008D2B0000}"/>
    <cellStyle name="Entrada 6 2 4 2 3 2 2" xfId="11155" xr:uid="{00000000-0005-0000-0000-00008E2B0000}"/>
    <cellStyle name="Entrada 6 2 4 2 3 2 3" xfId="11156" xr:uid="{00000000-0005-0000-0000-00008F2B0000}"/>
    <cellStyle name="Entrada 6 2 4 2 3 2 4" xfId="11157" xr:uid="{00000000-0005-0000-0000-0000902B0000}"/>
    <cellStyle name="Entrada 6 2 4 2 3 3" xfId="11158" xr:uid="{00000000-0005-0000-0000-0000912B0000}"/>
    <cellStyle name="Entrada 6 2 4 2 3 3 2" xfId="11159" xr:uid="{00000000-0005-0000-0000-0000922B0000}"/>
    <cellStyle name="Entrada 6 2 4 2 3 3 3" xfId="11160" xr:uid="{00000000-0005-0000-0000-0000932B0000}"/>
    <cellStyle name="Entrada 6 2 4 2 3 3 4" xfId="11161" xr:uid="{00000000-0005-0000-0000-0000942B0000}"/>
    <cellStyle name="Entrada 6 2 4 2 3 4" xfId="11162" xr:uid="{00000000-0005-0000-0000-0000952B0000}"/>
    <cellStyle name="Entrada 6 2 4 2 3 5" xfId="11163" xr:uid="{00000000-0005-0000-0000-0000962B0000}"/>
    <cellStyle name="Entrada 6 2 4 2 3 6" xfId="11164" xr:uid="{00000000-0005-0000-0000-0000972B0000}"/>
    <cellStyle name="Entrada 6 2 4 2 4" xfId="11165" xr:uid="{00000000-0005-0000-0000-0000982B0000}"/>
    <cellStyle name="Entrada 6 2 4 2 5" xfId="11166" xr:uid="{00000000-0005-0000-0000-0000992B0000}"/>
    <cellStyle name="Entrada 6 2 4 2 6" xfId="11167" xr:uid="{00000000-0005-0000-0000-00009A2B0000}"/>
    <cellStyle name="Entrada 6 2 4 3" xfId="11168" xr:uid="{00000000-0005-0000-0000-00009B2B0000}"/>
    <cellStyle name="Entrada 6 2 4 4" xfId="11169" xr:uid="{00000000-0005-0000-0000-00009C2B0000}"/>
    <cellStyle name="Entrada 6 2 5" xfId="11170" xr:uid="{00000000-0005-0000-0000-00009D2B0000}"/>
    <cellStyle name="Entrada 6 2 5 2" xfId="11171" xr:uid="{00000000-0005-0000-0000-00009E2B0000}"/>
    <cellStyle name="Entrada 6 2 5 2 2" xfId="11172" xr:uid="{00000000-0005-0000-0000-00009F2B0000}"/>
    <cellStyle name="Entrada 6 2 5 2 2 2" xfId="11173" xr:uid="{00000000-0005-0000-0000-0000A02B0000}"/>
    <cellStyle name="Entrada 6 2 5 2 2 2 2" xfId="11174" xr:uid="{00000000-0005-0000-0000-0000A12B0000}"/>
    <cellStyle name="Entrada 6 2 5 2 2 2 3" xfId="11175" xr:uid="{00000000-0005-0000-0000-0000A22B0000}"/>
    <cellStyle name="Entrada 6 2 5 2 2 2 4" xfId="11176" xr:uid="{00000000-0005-0000-0000-0000A32B0000}"/>
    <cellStyle name="Entrada 6 2 5 2 2 3" xfId="11177" xr:uid="{00000000-0005-0000-0000-0000A42B0000}"/>
    <cellStyle name="Entrada 6 2 5 2 2 3 2" xfId="11178" xr:uid="{00000000-0005-0000-0000-0000A52B0000}"/>
    <cellStyle name="Entrada 6 2 5 2 2 3 3" xfId="11179" xr:uid="{00000000-0005-0000-0000-0000A62B0000}"/>
    <cellStyle name="Entrada 6 2 5 2 2 3 4" xfId="11180" xr:uid="{00000000-0005-0000-0000-0000A72B0000}"/>
    <cellStyle name="Entrada 6 2 5 2 2 4" xfId="11181" xr:uid="{00000000-0005-0000-0000-0000A82B0000}"/>
    <cellStyle name="Entrada 6 2 5 2 2 5" xfId="11182" xr:uid="{00000000-0005-0000-0000-0000A92B0000}"/>
    <cellStyle name="Entrada 6 2 5 2 2 6" xfId="11183" xr:uid="{00000000-0005-0000-0000-0000AA2B0000}"/>
    <cellStyle name="Entrada 6 2 5 2 3" xfId="11184" xr:uid="{00000000-0005-0000-0000-0000AB2B0000}"/>
    <cellStyle name="Entrada 6 2 5 2 3 2" xfId="11185" xr:uid="{00000000-0005-0000-0000-0000AC2B0000}"/>
    <cellStyle name="Entrada 6 2 5 2 3 2 2" xfId="11186" xr:uid="{00000000-0005-0000-0000-0000AD2B0000}"/>
    <cellStyle name="Entrada 6 2 5 2 3 2 3" xfId="11187" xr:uid="{00000000-0005-0000-0000-0000AE2B0000}"/>
    <cellStyle name="Entrada 6 2 5 2 3 2 4" xfId="11188" xr:uid="{00000000-0005-0000-0000-0000AF2B0000}"/>
    <cellStyle name="Entrada 6 2 5 2 3 3" xfId="11189" xr:uid="{00000000-0005-0000-0000-0000B02B0000}"/>
    <cellStyle name="Entrada 6 2 5 2 3 3 2" xfId="11190" xr:uid="{00000000-0005-0000-0000-0000B12B0000}"/>
    <cellStyle name="Entrada 6 2 5 2 3 3 3" xfId="11191" xr:uid="{00000000-0005-0000-0000-0000B22B0000}"/>
    <cellStyle name="Entrada 6 2 5 2 3 3 4" xfId="11192" xr:uid="{00000000-0005-0000-0000-0000B32B0000}"/>
    <cellStyle name="Entrada 6 2 5 2 3 4" xfId="11193" xr:uid="{00000000-0005-0000-0000-0000B42B0000}"/>
    <cellStyle name="Entrada 6 2 5 2 3 5" xfId="11194" xr:uid="{00000000-0005-0000-0000-0000B52B0000}"/>
    <cellStyle name="Entrada 6 2 5 2 3 6" xfId="11195" xr:uid="{00000000-0005-0000-0000-0000B62B0000}"/>
    <cellStyle name="Entrada 6 2 5 2 4" xfId="11196" xr:uid="{00000000-0005-0000-0000-0000B72B0000}"/>
    <cellStyle name="Entrada 6 2 5 2 5" xfId="11197" xr:uid="{00000000-0005-0000-0000-0000B82B0000}"/>
    <cellStyle name="Entrada 6 2 5 2 6" xfId="11198" xr:uid="{00000000-0005-0000-0000-0000B92B0000}"/>
    <cellStyle name="Entrada 6 2 5 3" xfId="11199" xr:uid="{00000000-0005-0000-0000-0000BA2B0000}"/>
    <cellStyle name="Entrada 6 2 5 4" xfId="11200" xr:uid="{00000000-0005-0000-0000-0000BB2B0000}"/>
    <cellStyle name="Entrada 6 2 6" xfId="11201" xr:uid="{00000000-0005-0000-0000-0000BC2B0000}"/>
    <cellStyle name="Entrada 6 2 6 2" xfId="11202" xr:uid="{00000000-0005-0000-0000-0000BD2B0000}"/>
    <cellStyle name="Entrada 6 2 6 2 2" xfId="11203" xr:uid="{00000000-0005-0000-0000-0000BE2B0000}"/>
    <cellStyle name="Entrada 6 2 6 2 2 2" xfId="11204" xr:uid="{00000000-0005-0000-0000-0000BF2B0000}"/>
    <cellStyle name="Entrada 6 2 6 2 2 3" xfId="11205" xr:uid="{00000000-0005-0000-0000-0000C02B0000}"/>
    <cellStyle name="Entrada 6 2 6 2 2 4" xfId="11206" xr:uid="{00000000-0005-0000-0000-0000C12B0000}"/>
    <cellStyle name="Entrada 6 2 6 2 3" xfId="11207" xr:uid="{00000000-0005-0000-0000-0000C22B0000}"/>
    <cellStyle name="Entrada 6 2 6 2 3 2" xfId="11208" xr:uid="{00000000-0005-0000-0000-0000C32B0000}"/>
    <cellStyle name="Entrada 6 2 6 2 3 3" xfId="11209" xr:uid="{00000000-0005-0000-0000-0000C42B0000}"/>
    <cellStyle name="Entrada 6 2 6 2 3 4" xfId="11210" xr:uid="{00000000-0005-0000-0000-0000C52B0000}"/>
    <cellStyle name="Entrada 6 2 6 2 4" xfId="11211" xr:uid="{00000000-0005-0000-0000-0000C62B0000}"/>
    <cellStyle name="Entrada 6 2 6 2 5" xfId="11212" xr:uid="{00000000-0005-0000-0000-0000C72B0000}"/>
    <cellStyle name="Entrada 6 2 6 2 6" xfId="11213" xr:uid="{00000000-0005-0000-0000-0000C82B0000}"/>
    <cellStyle name="Entrada 6 2 6 3" xfId="11214" xr:uid="{00000000-0005-0000-0000-0000C92B0000}"/>
    <cellStyle name="Entrada 6 2 6 3 2" xfId="11215" xr:uid="{00000000-0005-0000-0000-0000CA2B0000}"/>
    <cellStyle name="Entrada 6 2 6 3 2 2" xfId="11216" xr:uid="{00000000-0005-0000-0000-0000CB2B0000}"/>
    <cellStyle name="Entrada 6 2 6 3 2 3" xfId="11217" xr:uid="{00000000-0005-0000-0000-0000CC2B0000}"/>
    <cellStyle name="Entrada 6 2 6 3 2 4" xfId="11218" xr:uid="{00000000-0005-0000-0000-0000CD2B0000}"/>
    <cellStyle name="Entrada 6 2 6 3 3" xfId="11219" xr:uid="{00000000-0005-0000-0000-0000CE2B0000}"/>
    <cellStyle name="Entrada 6 2 6 3 3 2" xfId="11220" xr:uid="{00000000-0005-0000-0000-0000CF2B0000}"/>
    <cellStyle name="Entrada 6 2 6 3 3 3" xfId="11221" xr:uid="{00000000-0005-0000-0000-0000D02B0000}"/>
    <cellStyle name="Entrada 6 2 6 3 3 4" xfId="11222" xr:uid="{00000000-0005-0000-0000-0000D12B0000}"/>
    <cellStyle name="Entrada 6 2 6 3 4" xfId="11223" xr:uid="{00000000-0005-0000-0000-0000D22B0000}"/>
    <cellStyle name="Entrada 6 2 6 3 5" xfId="11224" xr:uid="{00000000-0005-0000-0000-0000D32B0000}"/>
    <cellStyle name="Entrada 6 2 6 3 6" xfId="11225" xr:uid="{00000000-0005-0000-0000-0000D42B0000}"/>
    <cellStyle name="Entrada 6 2 6 4" xfId="11226" xr:uid="{00000000-0005-0000-0000-0000D52B0000}"/>
    <cellStyle name="Entrada 6 2 6 4 2" xfId="11227" xr:uid="{00000000-0005-0000-0000-0000D62B0000}"/>
    <cellStyle name="Entrada 6 2 6 4 3" xfId="11228" xr:uid="{00000000-0005-0000-0000-0000D72B0000}"/>
    <cellStyle name="Entrada 6 2 6 4 4" xfId="11229" xr:uid="{00000000-0005-0000-0000-0000D82B0000}"/>
    <cellStyle name="Entrada 6 2 6 5" xfId="11230" xr:uid="{00000000-0005-0000-0000-0000D92B0000}"/>
    <cellStyle name="Entrada 6 2 6 6" xfId="11231" xr:uid="{00000000-0005-0000-0000-0000DA2B0000}"/>
    <cellStyle name="Entrada 6 2 7" xfId="11232" xr:uid="{00000000-0005-0000-0000-0000DB2B0000}"/>
    <cellStyle name="Entrada 6 2 7 2" xfId="11233" xr:uid="{00000000-0005-0000-0000-0000DC2B0000}"/>
    <cellStyle name="Entrada 6 2 7 2 2" xfId="11234" xr:uid="{00000000-0005-0000-0000-0000DD2B0000}"/>
    <cellStyle name="Entrada 6 2 7 2 2 2" xfId="11235" xr:uid="{00000000-0005-0000-0000-0000DE2B0000}"/>
    <cellStyle name="Entrada 6 2 7 2 2 3" xfId="11236" xr:uid="{00000000-0005-0000-0000-0000DF2B0000}"/>
    <cellStyle name="Entrada 6 2 7 2 2 4" xfId="11237" xr:uid="{00000000-0005-0000-0000-0000E02B0000}"/>
    <cellStyle name="Entrada 6 2 7 2 3" xfId="11238" xr:uid="{00000000-0005-0000-0000-0000E12B0000}"/>
    <cellStyle name="Entrada 6 2 7 2 3 2" xfId="11239" xr:uid="{00000000-0005-0000-0000-0000E22B0000}"/>
    <cellStyle name="Entrada 6 2 7 2 3 3" xfId="11240" xr:uid="{00000000-0005-0000-0000-0000E32B0000}"/>
    <cellStyle name="Entrada 6 2 7 2 3 4" xfId="11241" xr:uid="{00000000-0005-0000-0000-0000E42B0000}"/>
    <cellStyle name="Entrada 6 2 7 2 4" xfId="11242" xr:uid="{00000000-0005-0000-0000-0000E52B0000}"/>
    <cellStyle name="Entrada 6 2 7 2 5" xfId="11243" xr:uid="{00000000-0005-0000-0000-0000E62B0000}"/>
    <cellStyle name="Entrada 6 2 7 2 6" xfId="11244" xr:uid="{00000000-0005-0000-0000-0000E72B0000}"/>
    <cellStyle name="Entrada 6 2 7 3" xfId="11245" xr:uid="{00000000-0005-0000-0000-0000E82B0000}"/>
    <cellStyle name="Entrada 6 2 7 3 2" xfId="11246" xr:uid="{00000000-0005-0000-0000-0000E92B0000}"/>
    <cellStyle name="Entrada 6 2 7 3 2 2" xfId="11247" xr:uid="{00000000-0005-0000-0000-0000EA2B0000}"/>
    <cellStyle name="Entrada 6 2 7 3 2 3" xfId="11248" xr:uid="{00000000-0005-0000-0000-0000EB2B0000}"/>
    <cellStyle name="Entrada 6 2 7 3 2 4" xfId="11249" xr:uid="{00000000-0005-0000-0000-0000EC2B0000}"/>
    <cellStyle name="Entrada 6 2 7 3 3" xfId="11250" xr:uid="{00000000-0005-0000-0000-0000ED2B0000}"/>
    <cellStyle name="Entrada 6 2 7 3 3 2" xfId="11251" xr:uid="{00000000-0005-0000-0000-0000EE2B0000}"/>
    <cellStyle name="Entrada 6 2 7 3 3 3" xfId="11252" xr:uid="{00000000-0005-0000-0000-0000EF2B0000}"/>
    <cellStyle name="Entrada 6 2 7 3 3 4" xfId="11253" xr:uid="{00000000-0005-0000-0000-0000F02B0000}"/>
    <cellStyle name="Entrada 6 2 7 3 4" xfId="11254" xr:uid="{00000000-0005-0000-0000-0000F12B0000}"/>
    <cellStyle name="Entrada 6 2 7 3 5" xfId="11255" xr:uid="{00000000-0005-0000-0000-0000F22B0000}"/>
    <cellStyle name="Entrada 6 2 7 3 6" xfId="11256" xr:uid="{00000000-0005-0000-0000-0000F32B0000}"/>
    <cellStyle name="Entrada 6 2 7 4" xfId="11257" xr:uid="{00000000-0005-0000-0000-0000F42B0000}"/>
    <cellStyle name="Entrada 6 2 7 4 2" xfId="11258" xr:uid="{00000000-0005-0000-0000-0000F52B0000}"/>
    <cellStyle name="Entrada 6 2 7 4 3" xfId="11259" xr:uid="{00000000-0005-0000-0000-0000F62B0000}"/>
    <cellStyle name="Entrada 6 2 7 4 4" xfId="11260" xr:uid="{00000000-0005-0000-0000-0000F72B0000}"/>
    <cellStyle name="Entrada 6 2 7 5" xfId="11261" xr:uid="{00000000-0005-0000-0000-0000F82B0000}"/>
    <cellStyle name="Entrada 6 2 7 6" xfId="11262" xr:uid="{00000000-0005-0000-0000-0000F92B0000}"/>
    <cellStyle name="Entrada 6 2 8" xfId="11263" xr:uid="{00000000-0005-0000-0000-0000FA2B0000}"/>
    <cellStyle name="Entrada 6 2 8 2" xfId="11264" xr:uid="{00000000-0005-0000-0000-0000FB2B0000}"/>
    <cellStyle name="Entrada 6 2 8 2 2" xfId="11265" xr:uid="{00000000-0005-0000-0000-0000FC2B0000}"/>
    <cellStyle name="Entrada 6 2 8 2 2 2" xfId="11266" xr:uid="{00000000-0005-0000-0000-0000FD2B0000}"/>
    <cellStyle name="Entrada 6 2 8 2 2 3" xfId="11267" xr:uid="{00000000-0005-0000-0000-0000FE2B0000}"/>
    <cellStyle name="Entrada 6 2 8 2 2 4" xfId="11268" xr:uid="{00000000-0005-0000-0000-0000FF2B0000}"/>
    <cellStyle name="Entrada 6 2 8 2 3" xfId="11269" xr:uid="{00000000-0005-0000-0000-0000002C0000}"/>
    <cellStyle name="Entrada 6 2 8 2 3 2" xfId="11270" xr:uid="{00000000-0005-0000-0000-0000012C0000}"/>
    <cellStyle name="Entrada 6 2 8 2 3 3" xfId="11271" xr:uid="{00000000-0005-0000-0000-0000022C0000}"/>
    <cellStyle name="Entrada 6 2 8 2 3 4" xfId="11272" xr:uid="{00000000-0005-0000-0000-0000032C0000}"/>
    <cellStyle name="Entrada 6 2 8 2 4" xfId="11273" xr:uid="{00000000-0005-0000-0000-0000042C0000}"/>
    <cellStyle name="Entrada 6 2 8 2 5" xfId="11274" xr:uid="{00000000-0005-0000-0000-0000052C0000}"/>
    <cellStyle name="Entrada 6 2 8 2 6" xfId="11275" xr:uid="{00000000-0005-0000-0000-0000062C0000}"/>
    <cellStyle name="Entrada 6 2 8 3" xfId="11276" xr:uid="{00000000-0005-0000-0000-0000072C0000}"/>
    <cellStyle name="Entrada 6 2 8 3 2" xfId="11277" xr:uid="{00000000-0005-0000-0000-0000082C0000}"/>
    <cellStyle name="Entrada 6 2 8 3 2 2" xfId="11278" xr:uid="{00000000-0005-0000-0000-0000092C0000}"/>
    <cellStyle name="Entrada 6 2 8 3 2 3" xfId="11279" xr:uid="{00000000-0005-0000-0000-00000A2C0000}"/>
    <cellStyle name="Entrada 6 2 8 3 2 4" xfId="11280" xr:uid="{00000000-0005-0000-0000-00000B2C0000}"/>
    <cellStyle name="Entrada 6 2 8 3 3" xfId="11281" xr:uid="{00000000-0005-0000-0000-00000C2C0000}"/>
    <cellStyle name="Entrada 6 2 8 3 3 2" xfId="11282" xr:uid="{00000000-0005-0000-0000-00000D2C0000}"/>
    <cellStyle name="Entrada 6 2 8 3 3 3" xfId="11283" xr:uid="{00000000-0005-0000-0000-00000E2C0000}"/>
    <cellStyle name="Entrada 6 2 8 3 3 4" xfId="11284" xr:uid="{00000000-0005-0000-0000-00000F2C0000}"/>
    <cellStyle name="Entrada 6 2 8 3 4" xfId="11285" xr:uid="{00000000-0005-0000-0000-0000102C0000}"/>
    <cellStyle name="Entrada 6 2 8 3 5" xfId="11286" xr:uid="{00000000-0005-0000-0000-0000112C0000}"/>
    <cellStyle name="Entrada 6 2 8 3 6" xfId="11287" xr:uid="{00000000-0005-0000-0000-0000122C0000}"/>
    <cellStyle name="Entrada 6 2 8 4" xfId="11288" xr:uid="{00000000-0005-0000-0000-0000132C0000}"/>
    <cellStyle name="Entrada 6 2 8 4 2" xfId="11289" xr:uid="{00000000-0005-0000-0000-0000142C0000}"/>
    <cellStyle name="Entrada 6 2 8 4 3" xfId="11290" xr:uid="{00000000-0005-0000-0000-0000152C0000}"/>
    <cellStyle name="Entrada 6 2 8 4 4" xfId="11291" xr:uid="{00000000-0005-0000-0000-0000162C0000}"/>
    <cellStyle name="Entrada 6 2 8 5" xfId="11292" xr:uid="{00000000-0005-0000-0000-0000172C0000}"/>
    <cellStyle name="Entrada 6 2 8 6" xfId="11293" xr:uid="{00000000-0005-0000-0000-0000182C0000}"/>
    <cellStyle name="Entrada 6 2 9" xfId="11294" xr:uid="{00000000-0005-0000-0000-0000192C0000}"/>
    <cellStyle name="Entrada 6 2 9 2" xfId="11295" xr:uid="{00000000-0005-0000-0000-00001A2C0000}"/>
    <cellStyle name="Entrada 6 2 9 2 2" xfId="11296" xr:uid="{00000000-0005-0000-0000-00001B2C0000}"/>
    <cellStyle name="Entrada 6 2 9 2 2 2" xfId="11297" xr:uid="{00000000-0005-0000-0000-00001C2C0000}"/>
    <cellStyle name="Entrada 6 2 9 2 2 3" xfId="11298" xr:uid="{00000000-0005-0000-0000-00001D2C0000}"/>
    <cellStyle name="Entrada 6 2 9 2 2 4" xfId="11299" xr:uid="{00000000-0005-0000-0000-00001E2C0000}"/>
    <cellStyle name="Entrada 6 2 9 2 3" xfId="11300" xr:uid="{00000000-0005-0000-0000-00001F2C0000}"/>
    <cellStyle name="Entrada 6 2 9 2 3 2" xfId="11301" xr:uid="{00000000-0005-0000-0000-0000202C0000}"/>
    <cellStyle name="Entrada 6 2 9 2 3 3" xfId="11302" xr:uid="{00000000-0005-0000-0000-0000212C0000}"/>
    <cellStyle name="Entrada 6 2 9 2 3 4" xfId="11303" xr:uid="{00000000-0005-0000-0000-0000222C0000}"/>
    <cellStyle name="Entrada 6 2 9 2 4" xfId="11304" xr:uid="{00000000-0005-0000-0000-0000232C0000}"/>
    <cellStyle name="Entrada 6 2 9 2 5" xfId="11305" xr:uid="{00000000-0005-0000-0000-0000242C0000}"/>
    <cellStyle name="Entrada 6 2 9 2 6" xfId="11306" xr:uid="{00000000-0005-0000-0000-0000252C0000}"/>
    <cellStyle name="Entrada 6 2 9 3" xfId="11307" xr:uid="{00000000-0005-0000-0000-0000262C0000}"/>
    <cellStyle name="Entrada 6 2 9 3 2" xfId="11308" xr:uid="{00000000-0005-0000-0000-0000272C0000}"/>
    <cellStyle name="Entrada 6 2 9 3 2 2" xfId="11309" xr:uid="{00000000-0005-0000-0000-0000282C0000}"/>
    <cellStyle name="Entrada 6 2 9 3 2 3" xfId="11310" xr:uid="{00000000-0005-0000-0000-0000292C0000}"/>
    <cellStyle name="Entrada 6 2 9 3 2 4" xfId="11311" xr:uid="{00000000-0005-0000-0000-00002A2C0000}"/>
    <cellStyle name="Entrada 6 2 9 3 3" xfId="11312" xr:uid="{00000000-0005-0000-0000-00002B2C0000}"/>
    <cellStyle name="Entrada 6 2 9 3 3 2" xfId="11313" xr:uid="{00000000-0005-0000-0000-00002C2C0000}"/>
    <cellStyle name="Entrada 6 2 9 3 3 3" xfId="11314" xr:uid="{00000000-0005-0000-0000-00002D2C0000}"/>
    <cellStyle name="Entrada 6 2 9 3 3 4" xfId="11315" xr:uid="{00000000-0005-0000-0000-00002E2C0000}"/>
    <cellStyle name="Entrada 6 2 9 3 4" xfId="11316" xr:uid="{00000000-0005-0000-0000-00002F2C0000}"/>
    <cellStyle name="Entrada 6 2 9 3 5" xfId="11317" xr:uid="{00000000-0005-0000-0000-0000302C0000}"/>
    <cellStyle name="Entrada 6 2 9 3 6" xfId="11318" xr:uid="{00000000-0005-0000-0000-0000312C0000}"/>
    <cellStyle name="Entrada 6 2 9 4" xfId="11319" xr:uid="{00000000-0005-0000-0000-0000322C0000}"/>
    <cellStyle name="Entrada 6 2 9 4 2" xfId="11320" xr:uid="{00000000-0005-0000-0000-0000332C0000}"/>
    <cellStyle name="Entrada 6 2 9 4 3" xfId="11321" xr:uid="{00000000-0005-0000-0000-0000342C0000}"/>
    <cellStyle name="Entrada 6 2 9 4 4" xfId="11322" xr:uid="{00000000-0005-0000-0000-0000352C0000}"/>
    <cellStyle name="Entrada 6 2 9 5" xfId="11323" xr:uid="{00000000-0005-0000-0000-0000362C0000}"/>
    <cellStyle name="Entrada 6 2 9 6" xfId="11324" xr:uid="{00000000-0005-0000-0000-0000372C0000}"/>
    <cellStyle name="Entrada 6 3" xfId="11325" xr:uid="{00000000-0005-0000-0000-0000382C0000}"/>
    <cellStyle name="Entrada 6 3 10" xfId="11326" xr:uid="{00000000-0005-0000-0000-0000392C0000}"/>
    <cellStyle name="Entrada 6 3 10 2" xfId="11327" xr:uid="{00000000-0005-0000-0000-00003A2C0000}"/>
    <cellStyle name="Entrada 6 3 10 2 2" xfId="11328" xr:uid="{00000000-0005-0000-0000-00003B2C0000}"/>
    <cellStyle name="Entrada 6 3 10 2 2 2" xfId="11329" xr:uid="{00000000-0005-0000-0000-00003C2C0000}"/>
    <cellStyle name="Entrada 6 3 10 2 2 3" xfId="11330" xr:uid="{00000000-0005-0000-0000-00003D2C0000}"/>
    <cellStyle name="Entrada 6 3 10 2 2 4" xfId="11331" xr:uid="{00000000-0005-0000-0000-00003E2C0000}"/>
    <cellStyle name="Entrada 6 3 10 2 3" xfId="11332" xr:uid="{00000000-0005-0000-0000-00003F2C0000}"/>
    <cellStyle name="Entrada 6 3 10 2 3 2" xfId="11333" xr:uid="{00000000-0005-0000-0000-0000402C0000}"/>
    <cellStyle name="Entrada 6 3 10 2 3 3" xfId="11334" xr:uid="{00000000-0005-0000-0000-0000412C0000}"/>
    <cellStyle name="Entrada 6 3 10 2 3 4" xfId="11335" xr:uid="{00000000-0005-0000-0000-0000422C0000}"/>
    <cellStyle name="Entrada 6 3 10 2 4" xfId="11336" xr:uid="{00000000-0005-0000-0000-0000432C0000}"/>
    <cellStyle name="Entrada 6 3 10 2 5" xfId="11337" xr:uid="{00000000-0005-0000-0000-0000442C0000}"/>
    <cellStyle name="Entrada 6 3 10 2 6" xfId="11338" xr:uid="{00000000-0005-0000-0000-0000452C0000}"/>
    <cellStyle name="Entrada 6 3 10 3" xfId="11339" xr:uid="{00000000-0005-0000-0000-0000462C0000}"/>
    <cellStyle name="Entrada 6 3 10 3 2" xfId="11340" xr:uid="{00000000-0005-0000-0000-0000472C0000}"/>
    <cellStyle name="Entrada 6 3 10 3 2 2" xfId="11341" xr:uid="{00000000-0005-0000-0000-0000482C0000}"/>
    <cellStyle name="Entrada 6 3 10 3 2 3" xfId="11342" xr:uid="{00000000-0005-0000-0000-0000492C0000}"/>
    <cellStyle name="Entrada 6 3 10 3 2 4" xfId="11343" xr:uid="{00000000-0005-0000-0000-00004A2C0000}"/>
    <cellStyle name="Entrada 6 3 10 3 3" xfId="11344" xr:uid="{00000000-0005-0000-0000-00004B2C0000}"/>
    <cellStyle name="Entrada 6 3 10 3 3 2" xfId="11345" xr:uid="{00000000-0005-0000-0000-00004C2C0000}"/>
    <cellStyle name="Entrada 6 3 10 3 3 3" xfId="11346" xr:uid="{00000000-0005-0000-0000-00004D2C0000}"/>
    <cellStyle name="Entrada 6 3 10 3 3 4" xfId="11347" xr:uid="{00000000-0005-0000-0000-00004E2C0000}"/>
    <cellStyle name="Entrada 6 3 10 3 4" xfId="11348" xr:uid="{00000000-0005-0000-0000-00004F2C0000}"/>
    <cellStyle name="Entrada 6 3 10 3 5" xfId="11349" xr:uid="{00000000-0005-0000-0000-0000502C0000}"/>
    <cellStyle name="Entrada 6 3 10 3 6" xfId="11350" xr:uid="{00000000-0005-0000-0000-0000512C0000}"/>
    <cellStyle name="Entrada 6 3 10 4" xfId="11351" xr:uid="{00000000-0005-0000-0000-0000522C0000}"/>
    <cellStyle name="Entrada 6 3 10 5" xfId="11352" xr:uid="{00000000-0005-0000-0000-0000532C0000}"/>
    <cellStyle name="Entrada 6 3 10 6" xfId="11353" xr:uid="{00000000-0005-0000-0000-0000542C0000}"/>
    <cellStyle name="Entrada 6 3 11" xfId="11354" xr:uid="{00000000-0005-0000-0000-0000552C0000}"/>
    <cellStyle name="Entrada 6 3 12" xfId="11355" xr:uid="{00000000-0005-0000-0000-0000562C0000}"/>
    <cellStyle name="Entrada 6 3 2" xfId="11356" xr:uid="{00000000-0005-0000-0000-0000572C0000}"/>
    <cellStyle name="Entrada 6 3 2 2" xfId="11357" xr:uid="{00000000-0005-0000-0000-0000582C0000}"/>
    <cellStyle name="Entrada 6 3 2 2 2" xfId="11358" xr:uid="{00000000-0005-0000-0000-0000592C0000}"/>
    <cellStyle name="Entrada 6 3 2 2 2 2" xfId="11359" xr:uid="{00000000-0005-0000-0000-00005A2C0000}"/>
    <cellStyle name="Entrada 6 3 2 2 2 2 2" xfId="11360" xr:uid="{00000000-0005-0000-0000-00005B2C0000}"/>
    <cellStyle name="Entrada 6 3 2 2 2 2 3" xfId="11361" xr:uid="{00000000-0005-0000-0000-00005C2C0000}"/>
    <cellStyle name="Entrada 6 3 2 2 2 2 4" xfId="11362" xr:uid="{00000000-0005-0000-0000-00005D2C0000}"/>
    <cellStyle name="Entrada 6 3 2 2 2 3" xfId="11363" xr:uid="{00000000-0005-0000-0000-00005E2C0000}"/>
    <cellStyle name="Entrada 6 3 2 2 2 3 2" xfId="11364" xr:uid="{00000000-0005-0000-0000-00005F2C0000}"/>
    <cellStyle name="Entrada 6 3 2 2 2 3 3" xfId="11365" xr:uid="{00000000-0005-0000-0000-0000602C0000}"/>
    <cellStyle name="Entrada 6 3 2 2 2 3 4" xfId="11366" xr:uid="{00000000-0005-0000-0000-0000612C0000}"/>
    <cellStyle name="Entrada 6 3 2 2 2 4" xfId="11367" xr:uid="{00000000-0005-0000-0000-0000622C0000}"/>
    <cellStyle name="Entrada 6 3 2 2 2 5" xfId="11368" xr:uid="{00000000-0005-0000-0000-0000632C0000}"/>
    <cellStyle name="Entrada 6 3 2 2 2 6" xfId="11369" xr:uid="{00000000-0005-0000-0000-0000642C0000}"/>
    <cellStyle name="Entrada 6 3 2 2 3" xfId="11370" xr:uid="{00000000-0005-0000-0000-0000652C0000}"/>
    <cellStyle name="Entrada 6 3 2 2 3 2" xfId="11371" xr:uid="{00000000-0005-0000-0000-0000662C0000}"/>
    <cellStyle name="Entrada 6 3 2 2 3 2 2" xfId="11372" xr:uid="{00000000-0005-0000-0000-0000672C0000}"/>
    <cellStyle name="Entrada 6 3 2 2 3 2 3" xfId="11373" xr:uid="{00000000-0005-0000-0000-0000682C0000}"/>
    <cellStyle name="Entrada 6 3 2 2 3 2 4" xfId="11374" xr:uid="{00000000-0005-0000-0000-0000692C0000}"/>
    <cellStyle name="Entrada 6 3 2 2 3 3" xfId="11375" xr:uid="{00000000-0005-0000-0000-00006A2C0000}"/>
    <cellStyle name="Entrada 6 3 2 2 3 3 2" xfId="11376" xr:uid="{00000000-0005-0000-0000-00006B2C0000}"/>
    <cellStyle name="Entrada 6 3 2 2 3 3 3" xfId="11377" xr:uid="{00000000-0005-0000-0000-00006C2C0000}"/>
    <cellStyle name="Entrada 6 3 2 2 3 3 4" xfId="11378" xr:uid="{00000000-0005-0000-0000-00006D2C0000}"/>
    <cellStyle name="Entrada 6 3 2 2 3 4" xfId="11379" xr:uid="{00000000-0005-0000-0000-00006E2C0000}"/>
    <cellStyle name="Entrada 6 3 2 2 3 5" xfId="11380" xr:uid="{00000000-0005-0000-0000-00006F2C0000}"/>
    <cellStyle name="Entrada 6 3 2 2 3 6" xfId="11381" xr:uid="{00000000-0005-0000-0000-0000702C0000}"/>
    <cellStyle name="Entrada 6 3 2 2 4" xfId="11382" xr:uid="{00000000-0005-0000-0000-0000712C0000}"/>
    <cellStyle name="Entrada 6 3 2 2 5" xfId="11383" xr:uid="{00000000-0005-0000-0000-0000722C0000}"/>
    <cellStyle name="Entrada 6 3 2 2 6" xfId="11384" xr:uid="{00000000-0005-0000-0000-0000732C0000}"/>
    <cellStyle name="Entrada 6 3 2 3" xfId="11385" xr:uid="{00000000-0005-0000-0000-0000742C0000}"/>
    <cellStyle name="Entrada 6 3 2 4" xfId="11386" xr:uid="{00000000-0005-0000-0000-0000752C0000}"/>
    <cellStyle name="Entrada 6 3 3" xfId="11387" xr:uid="{00000000-0005-0000-0000-0000762C0000}"/>
    <cellStyle name="Entrada 6 3 3 2" xfId="11388" xr:uid="{00000000-0005-0000-0000-0000772C0000}"/>
    <cellStyle name="Entrada 6 3 3 2 2" xfId="11389" xr:uid="{00000000-0005-0000-0000-0000782C0000}"/>
    <cellStyle name="Entrada 6 3 3 2 2 2" xfId="11390" xr:uid="{00000000-0005-0000-0000-0000792C0000}"/>
    <cellStyle name="Entrada 6 3 3 2 2 2 2" xfId="11391" xr:uid="{00000000-0005-0000-0000-00007A2C0000}"/>
    <cellStyle name="Entrada 6 3 3 2 2 2 3" xfId="11392" xr:uid="{00000000-0005-0000-0000-00007B2C0000}"/>
    <cellStyle name="Entrada 6 3 3 2 2 2 4" xfId="11393" xr:uid="{00000000-0005-0000-0000-00007C2C0000}"/>
    <cellStyle name="Entrada 6 3 3 2 2 3" xfId="11394" xr:uid="{00000000-0005-0000-0000-00007D2C0000}"/>
    <cellStyle name="Entrada 6 3 3 2 2 3 2" xfId="11395" xr:uid="{00000000-0005-0000-0000-00007E2C0000}"/>
    <cellStyle name="Entrada 6 3 3 2 2 3 3" xfId="11396" xr:uid="{00000000-0005-0000-0000-00007F2C0000}"/>
    <cellStyle name="Entrada 6 3 3 2 2 3 4" xfId="11397" xr:uid="{00000000-0005-0000-0000-0000802C0000}"/>
    <cellStyle name="Entrada 6 3 3 2 2 4" xfId="11398" xr:uid="{00000000-0005-0000-0000-0000812C0000}"/>
    <cellStyle name="Entrada 6 3 3 2 2 5" xfId="11399" xr:uid="{00000000-0005-0000-0000-0000822C0000}"/>
    <cellStyle name="Entrada 6 3 3 2 2 6" xfId="11400" xr:uid="{00000000-0005-0000-0000-0000832C0000}"/>
    <cellStyle name="Entrada 6 3 3 2 3" xfId="11401" xr:uid="{00000000-0005-0000-0000-0000842C0000}"/>
    <cellStyle name="Entrada 6 3 3 2 3 2" xfId="11402" xr:uid="{00000000-0005-0000-0000-0000852C0000}"/>
    <cellStyle name="Entrada 6 3 3 2 3 2 2" xfId="11403" xr:uid="{00000000-0005-0000-0000-0000862C0000}"/>
    <cellStyle name="Entrada 6 3 3 2 3 2 3" xfId="11404" xr:uid="{00000000-0005-0000-0000-0000872C0000}"/>
    <cellStyle name="Entrada 6 3 3 2 3 2 4" xfId="11405" xr:uid="{00000000-0005-0000-0000-0000882C0000}"/>
    <cellStyle name="Entrada 6 3 3 2 3 3" xfId="11406" xr:uid="{00000000-0005-0000-0000-0000892C0000}"/>
    <cellStyle name="Entrada 6 3 3 2 3 3 2" xfId="11407" xr:uid="{00000000-0005-0000-0000-00008A2C0000}"/>
    <cellStyle name="Entrada 6 3 3 2 3 3 3" xfId="11408" xr:uid="{00000000-0005-0000-0000-00008B2C0000}"/>
    <cellStyle name="Entrada 6 3 3 2 3 3 4" xfId="11409" xr:uid="{00000000-0005-0000-0000-00008C2C0000}"/>
    <cellStyle name="Entrada 6 3 3 2 3 4" xfId="11410" xr:uid="{00000000-0005-0000-0000-00008D2C0000}"/>
    <cellStyle name="Entrada 6 3 3 2 3 5" xfId="11411" xr:uid="{00000000-0005-0000-0000-00008E2C0000}"/>
    <cellStyle name="Entrada 6 3 3 2 3 6" xfId="11412" xr:uid="{00000000-0005-0000-0000-00008F2C0000}"/>
    <cellStyle name="Entrada 6 3 3 2 4" xfId="11413" xr:uid="{00000000-0005-0000-0000-0000902C0000}"/>
    <cellStyle name="Entrada 6 3 3 2 5" xfId="11414" xr:uid="{00000000-0005-0000-0000-0000912C0000}"/>
    <cellStyle name="Entrada 6 3 3 2 6" xfId="11415" xr:uid="{00000000-0005-0000-0000-0000922C0000}"/>
    <cellStyle name="Entrada 6 3 3 3" xfId="11416" xr:uid="{00000000-0005-0000-0000-0000932C0000}"/>
    <cellStyle name="Entrada 6 3 3 4" xfId="11417" xr:uid="{00000000-0005-0000-0000-0000942C0000}"/>
    <cellStyle name="Entrada 6 3 4" xfId="11418" xr:uid="{00000000-0005-0000-0000-0000952C0000}"/>
    <cellStyle name="Entrada 6 3 4 2" xfId="11419" xr:uid="{00000000-0005-0000-0000-0000962C0000}"/>
    <cellStyle name="Entrada 6 3 4 2 2" xfId="11420" xr:uid="{00000000-0005-0000-0000-0000972C0000}"/>
    <cellStyle name="Entrada 6 3 4 2 2 2" xfId="11421" xr:uid="{00000000-0005-0000-0000-0000982C0000}"/>
    <cellStyle name="Entrada 6 3 4 2 2 2 2" xfId="11422" xr:uid="{00000000-0005-0000-0000-0000992C0000}"/>
    <cellStyle name="Entrada 6 3 4 2 2 2 3" xfId="11423" xr:uid="{00000000-0005-0000-0000-00009A2C0000}"/>
    <cellStyle name="Entrada 6 3 4 2 2 2 4" xfId="11424" xr:uid="{00000000-0005-0000-0000-00009B2C0000}"/>
    <cellStyle name="Entrada 6 3 4 2 2 3" xfId="11425" xr:uid="{00000000-0005-0000-0000-00009C2C0000}"/>
    <cellStyle name="Entrada 6 3 4 2 2 3 2" xfId="11426" xr:uid="{00000000-0005-0000-0000-00009D2C0000}"/>
    <cellStyle name="Entrada 6 3 4 2 2 3 3" xfId="11427" xr:uid="{00000000-0005-0000-0000-00009E2C0000}"/>
    <cellStyle name="Entrada 6 3 4 2 2 3 4" xfId="11428" xr:uid="{00000000-0005-0000-0000-00009F2C0000}"/>
    <cellStyle name="Entrada 6 3 4 2 2 4" xfId="11429" xr:uid="{00000000-0005-0000-0000-0000A02C0000}"/>
    <cellStyle name="Entrada 6 3 4 2 2 5" xfId="11430" xr:uid="{00000000-0005-0000-0000-0000A12C0000}"/>
    <cellStyle name="Entrada 6 3 4 2 2 6" xfId="11431" xr:uid="{00000000-0005-0000-0000-0000A22C0000}"/>
    <cellStyle name="Entrada 6 3 4 2 3" xfId="11432" xr:uid="{00000000-0005-0000-0000-0000A32C0000}"/>
    <cellStyle name="Entrada 6 3 4 2 3 2" xfId="11433" xr:uid="{00000000-0005-0000-0000-0000A42C0000}"/>
    <cellStyle name="Entrada 6 3 4 2 3 2 2" xfId="11434" xr:uid="{00000000-0005-0000-0000-0000A52C0000}"/>
    <cellStyle name="Entrada 6 3 4 2 3 2 3" xfId="11435" xr:uid="{00000000-0005-0000-0000-0000A62C0000}"/>
    <cellStyle name="Entrada 6 3 4 2 3 2 4" xfId="11436" xr:uid="{00000000-0005-0000-0000-0000A72C0000}"/>
    <cellStyle name="Entrada 6 3 4 2 3 3" xfId="11437" xr:uid="{00000000-0005-0000-0000-0000A82C0000}"/>
    <cellStyle name="Entrada 6 3 4 2 3 3 2" xfId="11438" xr:uid="{00000000-0005-0000-0000-0000A92C0000}"/>
    <cellStyle name="Entrada 6 3 4 2 3 3 3" xfId="11439" xr:uid="{00000000-0005-0000-0000-0000AA2C0000}"/>
    <cellStyle name="Entrada 6 3 4 2 3 3 4" xfId="11440" xr:uid="{00000000-0005-0000-0000-0000AB2C0000}"/>
    <cellStyle name="Entrada 6 3 4 2 3 4" xfId="11441" xr:uid="{00000000-0005-0000-0000-0000AC2C0000}"/>
    <cellStyle name="Entrada 6 3 4 2 3 5" xfId="11442" xr:uid="{00000000-0005-0000-0000-0000AD2C0000}"/>
    <cellStyle name="Entrada 6 3 4 2 3 6" xfId="11443" xr:uid="{00000000-0005-0000-0000-0000AE2C0000}"/>
    <cellStyle name="Entrada 6 3 4 2 4" xfId="11444" xr:uid="{00000000-0005-0000-0000-0000AF2C0000}"/>
    <cellStyle name="Entrada 6 3 4 2 5" xfId="11445" xr:uid="{00000000-0005-0000-0000-0000B02C0000}"/>
    <cellStyle name="Entrada 6 3 4 2 6" xfId="11446" xr:uid="{00000000-0005-0000-0000-0000B12C0000}"/>
    <cellStyle name="Entrada 6 3 4 3" xfId="11447" xr:uid="{00000000-0005-0000-0000-0000B22C0000}"/>
    <cellStyle name="Entrada 6 3 4 4" xfId="11448" xr:uid="{00000000-0005-0000-0000-0000B32C0000}"/>
    <cellStyle name="Entrada 6 3 5" xfId="11449" xr:uid="{00000000-0005-0000-0000-0000B42C0000}"/>
    <cellStyle name="Entrada 6 3 5 2" xfId="11450" xr:uid="{00000000-0005-0000-0000-0000B52C0000}"/>
    <cellStyle name="Entrada 6 3 5 2 2" xfId="11451" xr:uid="{00000000-0005-0000-0000-0000B62C0000}"/>
    <cellStyle name="Entrada 6 3 5 2 2 2" xfId="11452" xr:uid="{00000000-0005-0000-0000-0000B72C0000}"/>
    <cellStyle name="Entrada 6 3 5 2 2 2 2" xfId="11453" xr:uid="{00000000-0005-0000-0000-0000B82C0000}"/>
    <cellStyle name="Entrada 6 3 5 2 2 2 3" xfId="11454" xr:uid="{00000000-0005-0000-0000-0000B92C0000}"/>
    <cellStyle name="Entrada 6 3 5 2 2 2 4" xfId="11455" xr:uid="{00000000-0005-0000-0000-0000BA2C0000}"/>
    <cellStyle name="Entrada 6 3 5 2 2 3" xfId="11456" xr:uid="{00000000-0005-0000-0000-0000BB2C0000}"/>
    <cellStyle name="Entrada 6 3 5 2 2 3 2" xfId="11457" xr:uid="{00000000-0005-0000-0000-0000BC2C0000}"/>
    <cellStyle name="Entrada 6 3 5 2 2 3 3" xfId="11458" xr:uid="{00000000-0005-0000-0000-0000BD2C0000}"/>
    <cellStyle name="Entrada 6 3 5 2 2 3 4" xfId="11459" xr:uid="{00000000-0005-0000-0000-0000BE2C0000}"/>
    <cellStyle name="Entrada 6 3 5 2 2 4" xfId="11460" xr:uid="{00000000-0005-0000-0000-0000BF2C0000}"/>
    <cellStyle name="Entrada 6 3 5 2 2 5" xfId="11461" xr:uid="{00000000-0005-0000-0000-0000C02C0000}"/>
    <cellStyle name="Entrada 6 3 5 2 2 6" xfId="11462" xr:uid="{00000000-0005-0000-0000-0000C12C0000}"/>
    <cellStyle name="Entrada 6 3 5 2 3" xfId="11463" xr:uid="{00000000-0005-0000-0000-0000C22C0000}"/>
    <cellStyle name="Entrada 6 3 5 2 3 2" xfId="11464" xr:uid="{00000000-0005-0000-0000-0000C32C0000}"/>
    <cellStyle name="Entrada 6 3 5 2 3 2 2" xfId="11465" xr:uid="{00000000-0005-0000-0000-0000C42C0000}"/>
    <cellStyle name="Entrada 6 3 5 2 3 2 3" xfId="11466" xr:uid="{00000000-0005-0000-0000-0000C52C0000}"/>
    <cellStyle name="Entrada 6 3 5 2 3 2 4" xfId="11467" xr:uid="{00000000-0005-0000-0000-0000C62C0000}"/>
    <cellStyle name="Entrada 6 3 5 2 3 3" xfId="11468" xr:uid="{00000000-0005-0000-0000-0000C72C0000}"/>
    <cellStyle name="Entrada 6 3 5 2 3 3 2" xfId="11469" xr:uid="{00000000-0005-0000-0000-0000C82C0000}"/>
    <cellStyle name="Entrada 6 3 5 2 3 3 3" xfId="11470" xr:uid="{00000000-0005-0000-0000-0000C92C0000}"/>
    <cellStyle name="Entrada 6 3 5 2 3 3 4" xfId="11471" xr:uid="{00000000-0005-0000-0000-0000CA2C0000}"/>
    <cellStyle name="Entrada 6 3 5 2 3 4" xfId="11472" xr:uid="{00000000-0005-0000-0000-0000CB2C0000}"/>
    <cellStyle name="Entrada 6 3 5 2 3 5" xfId="11473" xr:uid="{00000000-0005-0000-0000-0000CC2C0000}"/>
    <cellStyle name="Entrada 6 3 5 2 3 6" xfId="11474" xr:uid="{00000000-0005-0000-0000-0000CD2C0000}"/>
    <cellStyle name="Entrada 6 3 5 2 4" xfId="11475" xr:uid="{00000000-0005-0000-0000-0000CE2C0000}"/>
    <cellStyle name="Entrada 6 3 5 2 5" xfId="11476" xr:uid="{00000000-0005-0000-0000-0000CF2C0000}"/>
    <cellStyle name="Entrada 6 3 5 2 6" xfId="11477" xr:uid="{00000000-0005-0000-0000-0000D02C0000}"/>
    <cellStyle name="Entrada 6 3 5 3" xfId="11478" xr:uid="{00000000-0005-0000-0000-0000D12C0000}"/>
    <cellStyle name="Entrada 6 3 5 4" xfId="11479" xr:uid="{00000000-0005-0000-0000-0000D22C0000}"/>
    <cellStyle name="Entrada 6 3 6" xfId="11480" xr:uid="{00000000-0005-0000-0000-0000D32C0000}"/>
    <cellStyle name="Entrada 6 3 6 2" xfId="11481" xr:uid="{00000000-0005-0000-0000-0000D42C0000}"/>
    <cellStyle name="Entrada 6 3 6 2 2" xfId="11482" xr:uid="{00000000-0005-0000-0000-0000D52C0000}"/>
    <cellStyle name="Entrada 6 3 6 2 2 2" xfId="11483" xr:uid="{00000000-0005-0000-0000-0000D62C0000}"/>
    <cellStyle name="Entrada 6 3 6 2 2 3" xfId="11484" xr:uid="{00000000-0005-0000-0000-0000D72C0000}"/>
    <cellStyle name="Entrada 6 3 6 2 2 4" xfId="11485" xr:uid="{00000000-0005-0000-0000-0000D82C0000}"/>
    <cellStyle name="Entrada 6 3 6 2 3" xfId="11486" xr:uid="{00000000-0005-0000-0000-0000D92C0000}"/>
    <cellStyle name="Entrada 6 3 6 2 3 2" xfId="11487" xr:uid="{00000000-0005-0000-0000-0000DA2C0000}"/>
    <cellStyle name="Entrada 6 3 6 2 3 3" xfId="11488" xr:uid="{00000000-0005-0000-0000-0000DB2C0000}"/>
    <cellStyle name="Entrada 6 3 6 2 3 4" xfId="11489" xr:uid="{00000000-0005-0000-0000-0000DC2C0000}"/>
    <cellStyle name="Entrada 6 3 6 2 4" xfId="11490" xr:uid="{00000000-0005-0000-0000-0000DD2C0000}"/>
    <cellStyle name="Entrada 6 3 6 2 5" xfId="11491" xr:uid="{00000000-0005-0000-0000-0000DE2C0000}"/>
    <cellStyle name="Entrada 6 3 6 2 6" xfId="11492" xr:uid="{00000000-0005-0000-0000-0000DF2C0000}"/>
    <cellStyle name="Entrada 6 3 6 3" xfId="11493" xr:uid="{00000000-0005-0000-0000-0000E02C0000}"/>
    <cellStyle name="Entrada 6 3 6 3 2" xfId="11494" xr:uid="{00000000-0005-0000-0000-0000E12C0000}"/>
    <cellStyle name="Entrada 6 3 6 3 2 2" xfId="11495" xr:uid="{00000000-0005-0000-0000-0000E22C0000}"/>
    <cellStyle name="Entrada 6 3 6 3 2 3" xfId="11496" xr:uid="{00000000-0005-0000-0000-0000E32C0000}"/>
    <cellStyle name="Entrada 6 3 6 3 2 4" xfId="11497" xr:uid="{00000000-0005-0000-0000-0000E42C0000}"/>
    <cellStyle name="Entrada 6 3 6 3 3" xfId="11498" xr:uid="{00000000-0005-0000-0000-0000E52C0000}"/>
    <cellStyle name="Entrada 6 3 6 3 3 2" xfId="11499" xr:uid="{00000000-0005-0000-0000-0000E62C0000}"/>
    <cellStyle name="Entrada 6 3 6 3 3 3" xfId="11500" xr:uid="{00000000-0005-0000-0000-0000E72C0000}"/>
    <cellStyle name="Entrada 6 3 6 3 3 4" xfId="11501" xr:uid="{00000000-0005-0000-0000-0000E82C0000}"/>
    <cellStyle name="Entrada 6 3 6 3 4" xfId="11502" xr:uid="{00000000-0005-0000-0000-0000E92C0000}"/>
    <cellStyle name="Entrada 6 3 6 3 5" xfId="11503" xr:uid="{00000000-0005-0000-0000-0000EA2C0000}"/>
    <cellStyle name="Entrada 6 3 6 3 6" xfId="11504" xr:uid="{00000000-0005-0000-0000-0000EB2C0000}"/>
    <cellStyle name="Entrada 6 3 6 4" xfId="11505" xr:uid="{00000000-0005-0000-0000-0000EC2C0000}"/>
    <cellStyle name="Entrada 6 3 6 4 2" xfId="11506" xr:uid="{00000000-0005-0000-0000-0000ED2C0000}"/>
    <cellStyle name="Entrada 6 3 6 4 3" xfId="11507" xr:uid="{00000000-0005-0000-0000-0000EE2C0000}"/>
    <cellStyle name="Entrada 6 3 6 4 4" xfId="11508" xr:uid="{00000000-0005-0000-0000-0000EF2C0000}"/>
    <cellStyle name="Entrada 6 3 6 5" xfId="11509" xr:uid="{00000000-0005-0000-0000-0000F02C0000}"/>
    <cellStyle name="Entrada 6 3 6 6" xfId="11510" xr:uid="{00000000-0005-0000-0000-0000F12C0000}"/>
    <cellStyle name="Entrada 6 3 7" xfId="11511" xr:uid="{00000000-0005-0000-0000-0000F22C0000}"/>
    <cellStyle name="Entrada 6 3 7 2" xfId="11512" xr:uid="{00000000-0005-0000-0000-0000F32C0000}"/>
    <cellStyle name="Entrada 6 3 7 2 2" xfId="11513" xr:uid="{00000000-0005-0000-0000-0000F42C0000}"/>
    <cellStyle name="Entrada 6 3 7 2 2 2" xfId="11514" xr:uid="{00000000-0005-0000-0000-0000F52C0000}"/>
    <cellStyle name="Entrada 6 3 7 2 2 3" xfId="11515" xr:uid="{00000000-0005-0000-0000-0000F62C0000}"/>
    <cellStyle name="Entrada 6 3 7 2 2 4" xfId="11516" xr:uid="{00000000-0005-0000-0000-0000F72C0000}"/>
    <cellStyle name="Entrada 6 3 7 2 3" xfId="11517" xr:uid="{00000000-0005-0000-0000-0000F82C0000}"/>
    <cellStyle name="Entrada 6 3 7 2 3 2" xfId="11518" xr:uid="{00000000-0005-0000-0000-0000F92C0000}"/>
    <cellStyle name="Entrada 6 3 7 2 3 3" xfId="11519" xr:uid="{00000000-0005-0000-0000-0000FA2C0000}"/>
    <cellStyle name="Entrada 6 3 7 2 3 4" xfId="11520" xr:uid="{00000000-0005-0000-0000-0000FB2C0000}"/>
    <cellStyle name="Entrada 6 3 7 2 4" xfId="11521" xr:uid="{00000000-0005-0000-0000-0000FC2C0000}"/>
    <cellStyle name="Entrada 6 3 7 2 5" xfId="11522" xr:uid="{00000000-0005-0000-0000-0000FD2C0000}"/>
    <cellStyle name="Entrada 6 3 7 2 6" xfId="11523" xr:uid="{00000000-0005-0000-0000-0000FE2C0000}"/>
    <cellStyle name="Entrada 6 3 7 3" xfId="11524" xr:uid="{00000000-0005-0000-0000-0000FF2C0000}"/>
    <cellStyle name="Entrada 6 3 7 3 2" xfId="11525" xr:uid="{00000000-0005-0000-0000-0000002D0000}"/>
    <cellStyle name="Entrada 6 3 7 3 2 2" xfId="11526" xr:uid="{00000000-0005-0000-0000-0000012D0000}"/>
    <cellStyle name="Entrada 6 3 7 3 2 3" xfId="11527" xr:uid="{00000000-0005-0000-0000-0000022D0000}"/>
    <cellStyle name="Entrada 6 3 7 3 2 4" xfId="11528" xr:uid="{00000000-0005-0000-0000-0000032D0000}"/>
    <cellStyle name="Entrada 6 3 7 3 3" xfId="11529" xr:uid="{00000000-0005-0000-0000-0000042D0000}"/>
    <cellStyle name="Entrada 6 3 7 3 3 2" xfId="11530" xr:uid="{00000000-0005-0000-0000-0000052D0000}"/>
    <cellStyle name="Entrada 6 3 7 3 3 3" xfId="11531" xr:uid="{00000000-0005-0000-0000-0000062D0000}"/>
    <cellStyle name="Entrada 6 3 7 3 3 4" xfId="11532" xr:uid="{00000000-0005-0000-0000-0000072D0000}"/>
    <cellStyle name="Entrada 6 3 7 3 4" xfId="11533" xr:uid="{00000000-0005-0000-0000-0000082D0000}"/>
    <cellStyle name="Entrada 6 3 7 3 5" xfId="11534" xr:uid="{00000000-0005-0000-0000-0000092D0000}"/>
    <cellStyle name="Entrada 6 3 7 3 6" xfId="11535" xr:uid="{00000000-0005-0000-0000-00000A2D0000}"/>
    <cellStyle name="Entrada 6 3 7 4" xfId="11536" xr:uid="{00000000-0005-0000-0000-00000B2D0000}"/>
    <cellStyle name="Entrada 6 3 7 4 2" xfId="11537" xr:uid="{00000000-0005-0000-0000-00000C2D0000}"/>
    <cellStyle name="Entrada 6 3 7 4 3" xfId="11538" xr:uid="{00000000-0005-0000-0000-00000D2D0000}"/>
    <cellStyle name="Entrada 6 3 7 4 4" xfId="11539" xr:uid="{00000000-0005-0000-0000-00000E2D0000}"/>
    <cellStyle name="Entrada 6 3 7 5" xfId="11540" xr:uid="{00000000-0005-0000-0000-00000F2D0000}"/>
    <cellStyle name="Entrada 6 3 7 6" xfId="11541" xr:uid="{00000000-0005-0000-0000-0000102D0000}"/>
    <cellStyle name="Entrada 6 3 8" xfId="11542" xr:uid="{00000000-0005-0000-0000-0000112D0000}"/>
    <cellStyle name="Entrada 6 3 8 2" xfId="11543" xr:uid="{00000000-0005-0000-0000-0000122D0000}"/>
    <cellStyle name="Entrada 6 3 8 2 2" xfId="11544" xr:uid="{00000000-0005-0000-0000-0000132D0000}"/>
    <cellStyle name="Entrada 6 3 8 2 2 2" xfId="11545" xr:uid="{00000000-0005-0000-0000-0000142D0000}"/>
    <cellStyle name="Entrada 6 3 8 2 2 3" xfId="11546" xr:uid="{00000000-0005-0000-0000-0000152D0000}"/>
    <cellStyle name="Entrada 6 3 8 2 2 4" xfId="11547" xr:uid="{00000000-0005-0000-0000-0000162D0000}"/>
    <cellStyle name="Entrada 6 3 8 2 3" xfId="11548" xr:uid="{00000000-0005-0000-0000-0000172D0000}"/>
    <cellStyle name="Entrada 6 3 8 2 3 2" xfId="11549" xr:uid="{00000000-0005-0000-0000-0000182D0000}"/>
    <cellStyle name="Entrada 6 3 8 2 3 3" xfId="11550" xr:uid="{00000000-0005-0000-0000-0000192D0000}"/>
    <cellStyle name="Entrada 6 3 8 2 3 4" xfId="11551" xr:uid="{00000000-0005-0000-0000-00001A2D0000}"/>
    <cellStyle name="Entrada 6 3 8 2 4" xfId="11552" xr:uid="{00000000-0005-0000-0000-00001B2D0000}"/>
    <cellStyle name="Entrada 6 3 8 2 5" xfId="11553" xr:uid="{00000000-0005-0000-0000-00001C2D0000}"/>
    <cellStyle name="Entrada 6 3 8 2 6" xfId="11554" xr:uid="{00000000-0005-0000-0000-00001D2D0000}"/>
    <cellStyle name="Entrada 6 3 8 3" xfId="11555" xr:uid="{00000000-0005-0000-0000-00001E2D0000}"/>
    <cellStyle name="Entrada 6 3 8 3 2" xfId="11556" xr:uid="{00000000-0005-0000-0000-00001F2D0000}"/>
    <cellStyle name="Entrada 6 3 8 3 2 2" xfId="11557" xr:uid="{00000000-0005-0000-0000-0000202D0000}"/>
    <cellStyle name="Entrada 6 3 8 3 2 3" xfId="11558" xr:uid="{00000000-0005-0000-0000-0000212D0000}"/>
    <cellStyle name="Entrada 6 3 8 3 2 4" xfId="11559" xr:uid="{00000000-0005-0000-0000-0000222D0000}"/>
    <cellStyle name="Entrada 6 3 8 3 3" xfId="11560" xr:uid="{00000000-0005-0000-0000-0000232D0000}"/>
    <cellStyle name="Entrada 6 3 8 3 3 2" xfId="11561" xr:uid="{00000000-0005-0000-0000-0000242D0000}"/>
    <cellStyle name="Entrada 6 3 8 3 3 3" xfId="11562" xr:uid="{00000000-0005-0000-0000-0000252D0000}"/>
    <cellStyle name="Entrada 6 3 8 3 3 4" xfId="11563" xr:uid="{00000000-0005-0000-0000-0000262D0000}"/>
    <cellStyle name="Entrada 6 3 8 3 4" xfId="11564" xr:uid="{00000000-0005-0000-0000-0000272D0000}"/>
    <cellStyle name="Entrada 6 3 8 3 5" xfId="11565" xr:uid="{00000000-0005-0000-0000-0000282D0000}"/>
    <cellStyle name="Entrada 6 3 8 3 6" xfId="11566" xr:uid="{00000000-0005-0000-0000-0000292D0000}"/>
    <cellStyle name="Entrada 6 3 8 4" xfId="11567" xr:uid="{00000000-0005-0000-0000-00002A2D0000}"/>
    <cellStyle name="Entrada 6 3 8 4 2" xfId="11568" xr:uid="{00000000-0005-0000-0000-00002B2D0000}"/>
    <cellStyle name="Entrada 6 3 8 4 3" xfId="11569" xr:uid="{00000000-0005-0000-0000-00002C2D0000}"/>
    <cellStyle name="Entrada 6 3 8 4 4" xfId="11570" xr:uid="{00000000-0005-0000-0000-00002D2D0000}"/>
    <cellStyle name="Entrada 6 3 8 5" xfId="11571" xr:uid="{00000000-0005-0000-0000-00002E2D0000}"/>
    <cellStyle name="Entrada 6 3 8 6" xfId="11572" xr:uid="{00000000-0005-0000-0000-00002F2D0000}"/>
    <cellStyle name="Entrada 6 3 9" xfId="11573" xr:uid="{00000000-0005-0000-0000-0000302D0000}"/>
    <cellStyle name="Entrada 6 3 9 2" xfId="11574" xr:uid="{00000000-0005-0000-0000-0000312D0000}"/>
    <cellStyle name="Entrada 6 3 9 2 2" xfId="11575" xr:uid="{00000000-0005-0000-0000-0000322D0000}"/>
    <cellStyle name="Entrada 6 3 9 2 2 2" xfId="11576" xr:uid="{00000000-0005-0000-0000-0000332D0000}"/>
    <cellStyle name="Entrada 6 3 9 2 2 3" xfId="11577" xr:uid="{00000000-0005-0000-0000-0000342D0000}"/>
    <cellStyle name="Entrada 6 3 9 2 2 4" xfId="11578" xr:uid="{00000000-0005-0000-0000-0000352D0000}"/>
    <cellStyle name="Entrada 6 3 9 2 3" xfId="11579" xr:uid="{00000000-0005-0000-0000-0000362D0000}"/>
    <cellStyle name="Entrada 6 3 9 2 3 2" xfId="11580" xr:uid="{00000000-0005-0000-0000-0000372D0000}"/>
    <cellStyle name="Entrada 6 3 9 2 3 3" xfId="11581" xr:uid="{00000000-0005-0000-0000-0000382D0000}"/>
    <cellStyle name="Entrada 6 3 9 2 3 4" xfId="11582" xr:uid="{00000000-0005-0000-0000-0000392D0000}"/>
    <cellStyle name="Entrada 6 3 9 2 4" xfId="11583" xr:uid="{00000000-0005-0000-0000-00003A2D0000}"/>
    <cellStyle name="Entrada 6 3 9 2 5" xfId="11584" xr:uid="{00000000-0005-0000-0000-00003B2D0000}"/>
    <cellStyle name="Entrada 6 3 9 2 6" xfId="11585" xr:uid="{00000000-0005-0000-0000-00003C2D0000}"/>
    <cellStyle name="Entrada 6 3 9 3" xfId="11586" xr:uid="{00000000-0005-0000-0000-00003D2D0000}"/>
    <cellStyle name="Entrada 6 3 9 3 2" xfId="11587" xr:uid="{00000000-0005-0000-0000-00003E2D0000}"/>
    <cellStyle name="Entrada 6 3 9 3 2 2" xfId="11588" xr:uid="{00000000-0005-0000-0000-00003F2D0000}"/>
    <cellStyle name="Entrada 6 3 9 3 2 3" xfId="11589" xr:uid="{00000000-0005-0000-0000-0000402D0000}"/>
    <cellStyle name="Entrada 6 3 9 3 2 4" xfId="11590" xr:uid="{00000000-0005-0000-0000-0000412D0000}"/>
    <cellStyle name="Entrada 6 3 9 3 3" xfId="11591" xr:uid="{00000000-0005-0000-0000-0000422D0000}"/>
    <cellStyle name="Entrada 6 3 9 3 3 2" xfId="11592" xr:uid="{00000000-0005-0000-0000-0000432D0000}"/>
    <cellStyle name="Entrada 6 3 9 3 3 3" xfId="11593" xr:uid="{00000000-0005-0000-0000-0000442D0000}"/>
    <cellStyle name="Entrada 6 3 9 3 3 4" xfId="11594" xr:uid="{00000000-0005-0000-0000-0000452D0000}"/>
    <cellStyle name="Entrada 6 3 9 3 4" xfId="11595" xr:uid="{00000000-0005-0000-0000-0000462D0000}"/>
    <cellStyle name="Entrada 6 3 9 3 5" xfId="11596" xr:uid="{00000000-0005-0000-0000-0000472D0000}"/>
    <cellStyle name="Entrada 6 3 9 3 6" xfId="11597" xr:uid="{00000000-0005-0000-0000-0000482D0000}"/>
    <cellStyle name="Entrada 6 3 9 4" xfId="11598" xr:uid="{00000000-0005-0000-0000-0000492D0000}"/>
    <cellStyle name="Entrada 6 3 9 4 2" xfId="11599" xr:uid="{00000000-0005-0000-0000-00004A2D0000}"/>
    <cellStyle name="Entrada 6 3 9 4 3" xfId="11600" xr:uid="{00000000-0005-0000-0000-00004B2D0000}"/>
    <cellStyle name="Entrada 6 3 9 4 4" xfId="11601" xr:uid="{00000000-0005-0000-0000-00004C2D0000}"/>
    <cellStyle name="Entrada 6 3 9 5" xfId="11602" xr:uid="{00000000-0005-0000-0000-00004D2D0000}"/>
    <cellStyle name="Entrada 6 3 9 6" xfId="11603" xr:uid="{00000000-0005-0000-0000-00004E2D0000}"/>
    <cellStyle name="Entrada 6 4" xfId="11604" xr:uid="{00000000-0005-0000-0000-00004F2D0000}"/>
    <cellStyle name="Entrada 6 4 2" xfId="11605" xr:uid="{00000000-0005-0000-0000-0000502D0000}"/>
    <cellStyle name="Entrada 6 4 2 2" xfId="11606" xr:uid="{00000000-0005-0000-0000-0000512D0000}"/>
    <cellStyle name="Entrada 6 4 2 2 2" xfId="11607" xr:uid="{00000000-0005-0000-0000-0000522D0000}"/>
    <cellStyle name="Entrada 6 4 2 2 2 2" xfId="11608" xr:uid="{00000000-0005-0000-0000-0000532D0000}"/>
    <cellStyle name="Entrada 6 4 2 2 2 3" xfId="11609" xr:uid="{00000000-0005-0000-0000-0000542D0000}"/>
    <cellStyle name="Entrada 6 4 2 2 2 4" xfId="11610" xr:uid="{00000000-0005-0000-0000-0000552D0000}"/>
    <cellStyle name="Entrada 6 4 2 2 3" xfId="11611" xr:uid="{00000000-0005-0000-0000-0000562D0000}"/>
    <cellStyle name="Entrada 6 4 2 2 3 2" xfId="11612" xr:uid="{00000000-0005-0000-0000-0000572D0000}"/>
    <cellStyle name="Entrada 6 4 2 2 3 3" xfId="11613" xr:uid="{00000000-0005-0000-0000-0000582D0000}"/>
    <cellStyle name="Entrada 6 4 2 2 3 4" xfId="11614" xr:uid="{00000000-0005-0000-0000-0000592D0000}"/>
    <cellStyle name="Entrada 6 4 2 2 4" xfId="11615" xr:uid="{00000000-0005-0000-0000-00005A2D0000}"/>
    <cellStyle name="Entrada 6 4 2 2 5" xfId="11616" xr:uid="{00000000-0005-0000-0000-00005B2D0000}"/>
    <cellStyle name="Entrada 6 4 2 2 6" xfId="11617" xr:uid="{00000000-0005-0000-0000-00005C2D0000}"/>
    <cellStyle name="Entrada 6 4 2 3" xfId="11618" xr:uid="{00000000-0005-0000-0000-00005D2D0000}"/>
    <cellStyle name="Entrada 6 4 2 3 2" xfId="11619" xr:uid="{00000000-0005-0000-0000-00005E2D0000}"/>
    <cellStyle name="Entrada 6 4 2 3 2 2" xfId="11620" xr:uid="{00000000-0005-0000-0000-00005F2D0000}"/>
    <cellStyle name="Entrada 6 4 2 3 2 3" xfId="11621" xr:uid="{00000000-0005-0000-0000-0000602D0000}"/>
    <cellStyle name="Entrada 6 4 2 3 2 4" xfId="11622" xr:uid="{00000000-0005-0000-0000-0000612D0000}"/>
    <cellStyle name="Entrada 6 4 2 3 3" xfId="11623" xr:uid="{00000000-0005-0000-0000-0000622D0000}"/>
    <cellStyle name="Entrada 6 4 2 3 3 2" xfId="11624" xr:uid="{00000000-0005-0000-0000-0000632D0000}"/>
    <cellStyle name="Entrada 6 4 2 3 3 3" xfId="11625" xr:uid="{00000000-0005-0000-0000-0000642D0000}"/>
    <cellStyle name="Entrada 6 4 2 3 3 4" xfId="11626" xr:uid="{00000000-0005-0000-0000-0000652D0000}"/>
    <cellStyle name="Entrada 6 4 2 3 4" xfId="11627" xr:uid="{00000000-0005-0000-0000-0000662D0000}"/>
    <cellStyle name="Entrada 6 4 2 3 5" xfId="11628" xr:uid="{00000000-0005-0000-0000-0000672D0000}"/>
    <cellStyle name="Entrada 6 4 2 3 6" xfId="11629" xr:uid="{00000000-0005-0000-0000-0000682D0000}"/>
    <cellStyle name="Entrada 6 4 2 4" xfId="11630" xr:uid="{00000000-0005-0000-0000-0000692D0000}"/>
    <cellStyle name="Entrada 6 4 2 5" xfId="11631" xr:uid="{00000000-0005-0000-0000-00006A2D0000}"/>
    <cellStyle name="Entrada 6 4 2 6" xfId="11632" xr:uid="{00000000-0005-0000-0000-00006B2D0000}"/>
    <cellStyle name="Entrada 6 4 3" xfId="11633" xr:uid="{00000000-0005-0000-0000-00006C2D0000}"/>
    <cellStyle name="Entrada 6 4 4" xfId="11634" xr:uid="{00000000-0005-0000-0000-00006D2D0000}"/>
    <cellStyle name="Entrada 6 5" xfId="11635" xr:uid="{00000000-0005-0000-0000-00006E2D0000}"/>
    <cellStyle name="Entrada 6 5 2" xfId="11636" xr:uid="{00000000-0005-0000-0000-00006F2D0000}"/>
    <cellStyle name="Entrada 6 5 2 2" xfId="11637" xr:uid="{00000000-0005-0000-0000-0000702D0000}"/>
    <cellStyle name="Entrada 6 5 2 2 2" xfId="11638" xr:uid="{00000000-0005-0000-0000-0000712D0000}"/>
    <cellStyle name="Entrada 6 5 2 2 2 2" xfId="11639" xr:uid="{00000000-0005-0000-0000-0000722D0000}"/>
    <cellStyle name="Entrada 6 5 2 2 2 3" xfId="11640" xr:uid="{00000000-0005-0000-0000-0000732D0000}"/>
    <cellStyle name="Entrada 6 5 2 2 2 4" xfId="11641" xr:uid="{00000000-0005-0000-0000-0000742D0000}"/>
    <cellStyle name="Entrada 6 5 2 2 3" xfId="11642" xr:uid="{00000000-0005-0000-0000-0000752D0000}"/>
    <cellStyle name="Entrada 6 5 2 2 3 2" xfId="11643" xr:uid="{00000000-0005-0000-0000-0000762D0000}"/>
    <cellStyle name="Entrada 6 5 2 2 3 3" xfId="11644" xr:uid="{00000000-0005-0000-0000-0000772D0000}"/>
    <cellStyle name="Entrada 6 5 2 2 3 4" xfId="11645" xr:uid="{00000000-0005-0000-0000-0000782D0000}"/>
    <cellStyle name="Entrada 6 5 2 2 4" xfId="11646" xr:uid="{00000000-0005-0000-0000-0000792D0000}"/>
    <cellStyle name="Entrada 6 5 2 2 5" xfId="11647" xr:uid="{00000000-0005-0000-0000-00007A2D0000}"/>
    <cellStyle name="Entrada 6 5 2 2 6" xfId="11648" xr:uid="{00000000-0005-0000-0000-00007B2D0000}"/>
    <cellStyle name="Entrada 6 5 2 3" xfId="11649" xr:uid="{00000000-0005-0000-0000-00007C2D0000}"/>
    <cellStyle name="Entrada 6 5 2 3 2" xfId="11650" xr:uid="{00000000-0005-0000-0000-00007D2D0000}"/>
    <cellStyle name="Entrada 6 5 2 3 2 2" xfId="11651" xr:uid="{00000000-0005-0000-0000-00007E2D0000}"/>
    <cellStyle name="Entrada 6 5 2 3 2 3" xfId="11652" xr:uid="{00000000-0005-0000-0000-00007F2D0000}"/>
    <cellStyle name="Entrada 6 5 2 3 2 4" xfId="11653" xr:uid="{00000000-0005-0000-0000-0000802D0000}"/>
    <cellStyle name="Entrada 6 5 2 3 3" xfId="11654" xr:uid="{00000000-0005-0000-0000-0000812D0000}"/>
    <cellStyle name="Entrada 6 5 2 3 3 2" xfId="11655" xr:uid="{00000000-0005-0000-0000-0000822D0000}"/>
    <cellStyle name="Entrada 6 5 2 3 3 3" xfId="11656" xr:uid="{00000000-0005-0000-0000-0000832D0000}"/>
    <cellStyle name="Entrada 6 5 2 3 3 4" xfId="11657" xr:uid="{00000000-0005-0000-0000-0000842D0000}"/>
    <cellStyle name="Entrada 6 5 2 3 4" xfId="11658" xr:uid="{00000000-0005-0000-0000-0000852D0000}"/>
    <cellStyle name="Entrada 6 5 2 3 5" xfId="11659" xr:uid="{00000000-0005-0000-0000-0000862D0000}"/>
    <cellStyle name="Entrada 6 5 2 3 6" xfId="11660" xr:uid="{00000000-0005-0000-0000-0000872D0000}"/>
    <cellStyle name="Entrada 6 5 2 4" xfId="11661" xr:uid="{00000000-0005-0000-0000-0000882D0000}"/>
    <cellStyle name="Entrada 6 5 2 5" xfId="11662" xr:uid="{00000000-0005-0000-0000-0000892D0000}"/>
    <cellStyle name="Entrada 6 5 2 6" xfId="11663" xr:uid="{00000000-0005-0000-0000-00008A2D0000}"/>
    <cellStyle name="Entrada 6 5 3" xfId="11664" xr:uid="{00000000-0005-0000-0000-00008B2D0000}"/>
    <cellStyle name="Entrada 6 5 4" xfId="11665" xr:uid="{00000000-0005-0000-0000-00008C2D0000}"/>
    <cellStyle name="Entrada 6 6" xfId="11666" xr:uid="{00000000-0005-0000-0000-00008D2D0000}"/>
    <cellStyle name="Entrada 6 6 2" xfId="11667" xr:uid="{00000000-0005-0000-0000-00008E2D0000}"/>
    <cellStyle name="Entrada 6 6 2 2" xfId="11668" xr:uid="{00000000-0005-0000-0000-00008F2D0000}"/>
    <cellStyle name="Entrada 6 6 2 2 2" xfId="11669" xr:uid="{00000000-0005-0000-0000-0000902D0000}"/>
    <cellStyle name="Entrada 6 6 2 2 2 2" xfId="11670" xr:uid="{00000000-0005-0000-0000-0000912D0000}"/>
    <cellStyle name="Entrada 6 6 2 2 2 3" xfId="11671" xr:uid="{00000000-0005-0000-0000-0000922D0000}"/>
    <cellStyle name="Entrada 6 6 2 2 2 4" xfId="11672" xr:uid="{00000000-0005-0000-0000-0000932D0000}"/>
    <cellStyle name="Entrada 6 6 2 2 3" xfId="11673" xr:uid="{00000000-0005-0000-0000-0000942D0000}"/>
    <cellStyle name="Entrada 6 6 2 2 3 2" xfId="11674" xr:uid="{00000000-0005-0000-0000-0000952D0000}"/>
    <cellStyle name="Entrada 6 6 2 2 3 3" xfId="11675" xr:uid="{00000000-0005-0000-0000-0000962D0000}"/>
    <cellStyle name="Entrada 6 6 2 2 3 4" xfId="11676" xr:uid="{00000000-0005-0000-0000-0000972D0000}"/>
    <cellStyle name="Entrada 6 6 2 2 4" xfId="11677" xr:uid="{00000000-0005-0000-0000-0000982D0000}"/>
    <cellStyle name="Entrada 6 6 2 2 5" xfId="11678" xr:uid="{00000000-0005-0000-0000-0000992D0000}"/>
    <cellStyle name="Entrada 6 6 2 2 6" xfId="11679" xr:uid="{00000000-0005-0000-0000-00009A2D0000}"/>
    <cellStyle name="Entrada 6 6 2 3" xfId="11680" xr:uid="{00000000-0005-0000-0000-00009B2D0000}"/>
    <cellStyle name="Entrada 6 6 2 3 2" xfId="11681" xr:uid="{00000000-0005-0000-0000-00009C2D0000}"/>
    <cellStyle name="Entrada 6 6 2 3 2 2" xfId="11682" xr:uid="{00000000-0005-0000-0000-00009D2D0000}"/>
    <cellStyle name="Entrada 6 6 2 3 2 3" xfId="11683" xr:uid="{00000000-0005-0000-0000-00009E2D0000}"/>
    <cellStyle name="Entrada 6 6 2 3 2 4" xfId="11684" xr:uid="{00000000-0005-0000-0000-00009F2D0000}"/>
    <cellStyle name="Entrada 6 6 2 3 3" xfId="11685" xr:uid="{00000000-0005-0000-0000-0000A02D0000}"/>
    <cellStyle name="Entrada 6 6 2 3 3 2" xfId="11686" xr:uid="{00000000-0005-0000-0000-0000A12D0000}"/>
    <cellStyle name="Entrada 6 6 2 3 3 3" xfId="11687" xr:uid="{00000000-0005-0000-0000-0000A22D0000}"/>
    <cellStyle name="Entrada 6 6 2 3 3 4" xfId="11688" xr:uid="{00000000-0005-0000-0000-0000A32D0000}"/>
    <cellStyle name="Entrada 6 6 2 3 4" xfId="11689" xr:uid="{00000000-0005-0000-0000-0000A42D0000}"/>
    <cellStyle name="Entrada 6 6 2 3 5" xfId="11690" xr:uid="{00000000-0005-0000-0000-0000A52D0000}"/>
    <cellStyle name="Entrada 6 6 2 3 6" xfId="11691" xr:uid="{00000000-0005-0000-0000-0000A62D0000}"/>
    <cellStyle name="Entrada 6 6 2 4" xfId="11692" xr:uid="{00000000-0005-0000-0000-0000A72D0000}"/>
    <cellStyle name="Entrada 6 6 2 5" xfId="11693" xr:uid="{00000000-0005-0000-0000-0000A82D0000}"/>
    <cellStyle name="Entrada 6 6 2 6" xfId="11694" xr:uid="{00000000-0005-0000-0000-0000A92D0000}"/>
    <cellStyle name="Entrada 6 6 3" xfId="11695" xr:uid="{00000000-0005-0000-0000-0000AA2D0000}"/>
    <cellStyle name="Entrada 6 6 4" xfId="11696" xr:uid="{00000000-0005-0000-0000-0000AB2D0000}"/>
    <cellStyle name="Entrada 6 7" xfId="11697" xr:uid="{00000000-0005-0000-0000-0000AC2D0000}"/>
    <cellStyle name="Entrada 6 7 2" xfId="11698" xr:uid="{00000000-0005-0000-0000-0000AD2D0000}"/>
    <cellStyle name="Entrada 6 7 2 2" xfId="11699" xr:uid="{00000000-0005-0000-0000-0000AE2D0000}"/>
    <cellStyle name="Entrada 6 7 2 2 2" xfId="11700" xr:uid="{00000000-0005-0000-0000-0000AF2D0000}"/>
    <cellStyle name="Entrada 6 7 2 2 2 2" xfId="11701" xr:uid="{00000000-0005-0000-0000-0000B02D0000}"/>
    <cellStyle name="Entrada 6 7 2 2 2 3" xfId="11702" xr:uid="{00000000-0005-0000-0000-0000B12D0000}"/>
    <cellStyle name="Entrada 6 7 2 2 2 4" xfId="11703" xr:uid="{00000000-0005-0000-0000-0000B22D0000}"/>
    <cellStyle name="Entrada 6 7 2 2 3" xfId="11704" xr:uid="{00000000-0005-0000-0000-0000B32D0000}"/>
    <cellStyle name="Entrada 6 7 2 2 3 2" xfId="11705" xr:uid="{00000000-0005-0000-0000-0000B42D0000}"/>
    <cellStyle name="Entrada 6 7 2 2 3 3" xfId="11706" xr:uid="{00000000-0005-0000-0000-0000B52D0000}"/>
    <cellStyle name="Entrada 6 7 2 2 3 4" xfId="11707" xr:uid="{00000000-0005-0000-0000-0000B62D0000}"/>
    <cellStyle name="Entrada 6 7 2 2 4" xfId="11708" xr:uid="{00000000-0005-0000-0000-0000B72D0000}"/>
    <cellStyle name="Entrada 6 7 2 2 5" xfId="11709" xr:uid="{00000000-0005-0000-0000-0000B82D0000}"/>
    <cellStyle name="Entrada 6 7 2 2 6" xfId="11710" xr:uid="{00000000-0005-0000-0000-0000B92D0000}"/>
    <cellStyle name="Entrada 6 7 2 3" xfId="11711" xr:uid="{00000000-0005-0000-0000-0000BA2D0000}"/>
    <cellStyle name="Entrada 6 7 2 3 2" xfId="11712" xr:uid="{00000000-0005-0000-0000-0000BB2D0000}"/>
    <cellStyle name="Entrada 6 7 2 3 2 2" xfId="11713" xr:uid="{00000000-0005-0000-0000-0000BC2D0000}"/>
    <cellStyle name="Entrada 6 7 2 3 2 3" xfId="11714" xr:uid="{00000000-0005-0000-0000-0000BD2D0000}"/>
    <cellStyle name="Entrada 6 7 2 3 2 4" xfId="11715" xr:uid="{00000000-0005-0000-0000-0000BE2D0000}"/>
    <cellStyle name="Entrada 6 7 2 3 3" xfId="11716" xr:uid="{00000000-0005-0000-0000-0000BF2D0000}"/>
    <cellStyle name="Entrada 6 7 2 3 3 2" xfId="11717" xr:uid="{00000000-0005-0000-0000-0000C02D0000}"/>
    <cellStyle name="Entrada 6 7 2 3 3 3" xfId="11718" xr:uid="{00000000-0005-0000-0000-0000C12D0000}"/>
    <cellStyle name="Entrada 6 7 2 3 3 4" xfId="11719" xr:uid="{00000000-0005-0000-0000-0000C22D0000}"/>
    <cellStyle name="Entrada 6 7 2 3 4" xfId="11720" xr:uid="{00000000-0005-0000-0000-0000C32D0000}"/>
    <cellStyle name="Entrada 6 7 2 3 5" xfId="11721" xr:uid="{00000000-0005-0000-0000-0000C42D0000}"/>
    <cellStyle name="Entrada 6 7 2 3 6" xfId="11722" xr:uid="{00000000-0005-0000-0000-0000C52D0000}"/>
    <cellStyle name="Entrada 6 7 2 4" xfId="11723" xr:uid="{00000000-0005-0000-0000-0000C62D0000}"/>
    <cellStyle name="Entrada 6 7 2 5" xfId="11724" xr:uid="{00000000-0005-0000-0000-0000C72D0000}"/>
    <cellStyle name="Entrada 6 7 2 6" xfId="11725" xr:uid="{00000000-0005-0000-0000-0000C82D0000}"/>
    <cellStyle name="Entrada 6 7 3" xfId="11726" xr:uid="{00000000-0005-0000-0000-0000C92D0000}"/>
    <cellStyle name="Entrada 6 7 4" xfId="11727" xr:uid="{00000000-0005-0000-0000-0000CA2D0000}"/>
    <cellStyle name="Entrada 6 8" xfId="11728" xr:uid="{00000000-0005-0000-0000-0000CB2D0000}"/>
    <cellStyle name="Entrada 6 8 2" xfId="11729" xr:uid="{00000000-0005-0000-0000-0000CC2D0000}"/>
    <cellStyle name="Entrada 6 8 2 2" xfId="11730" xr:uid="{00000000-0005-0000-0000-0000CD2D0000}"/>
    <cellStyle name="Entrada 6 8 2 2 2" xfId="11731" xr:uid="{00000000-0005-0000-0000-0000CE2D0000}"/>
    <cellStyle name="Entrada 6 8 2 2 3" xfId="11732" xr:uid="{00000000-0005-0000-0000-0000CF2D0000}"/>
    <cellStyle name="Entrada 6 8 2 2 4" xfId="11733" xr:uid="{00000000-0005-0000-0000-0000D02D0000}"/>
    <cellStyle name="Entrada 6 8 2 3" xfId="11734" xr:uid="{00000000-0005-0000-0000-0000D12D0000}"/>
    <cellStyle name="Entrada 6 8 2 3 2" xfId="11735" xr:uid="{00000000-0005-0000-0000-0000D22D0000}"/>
    <cellStyle name="Entrada 6 8 2 3 3" xfId="11736" xr:uid="{00000000-0005-0000-0000-0000D32D0000}"/>
    <cellStyle name="Entrada 6 8 2 3 4" xfId="11737" xr:uid="{00000000-0005-0000-0000-0000D42D0000}"/>
    <cellStyle name="Entrada 6 8 2 4" xfId="11738" xr:uid="{00000000-0005-0000-0000-0000D52D0000}"/>
    <cellStyle name="Entrada 6 8 2 5" xfId="11739" xr:uid="{00000000-0005-0000-0000-0000D62D0000}"/>
    <cellStyle name="Entrada 6 8 2 6" xfId="11740" xr:uid="{00000000-0005-0000-0000-0000D72D0000}"/>
    <cellStyle name="Entrada 6 8 3" xfId="11741" xr:uid="{00000000-0005-0000-0000-0000D82D0000}"/>
    <cellStyle name="Entrada 6 8 3 2" xfId="11742" xr:uid="{00000000-0005-0000-0000-0000D92D0000}"/>
    <cellStyle name="Entrada 6 8 3 2 2" xfId="11743" xr:uid="{00000000-0005-0000-0000-0000DA2D0000}"/>
    <cellStyle name="Entrada 6 8 3 2 3" xfId="11744" xr:uid="{00000000-0005-0000-0000-0000DB2D0000}"/>
    <cellStyle name="Entrada 6 8 3 2 4" xfId="11745" xr:uid="{00000000-0005-0000-0000-0000DC2D0000}"/>
    <cellStyle name="Entrada 6 8 3 3" xfId="11746" xr:uid="{00000000-0005-0000-0000-0000DD2D0000}"/>
    <cellStyle name="Entrada 6 8 3 3 2" xfId="11747" xr:uid="{00000000-0005-0000-0000-0000DE2D0000}"/>
    <cellStyle name="Entrada 6 8 3 3 3" xfId="11748" xr:uid="{00000000-0005-0000-0000-0000DF2D0000}"/>
    <cellStyle name="Entrada 6 8 3 3 4" xfId="11749" xr:uid="{00000000-0005-0000-0000-0000E02D0000}"/>
    <cellStyle name="Entrada 6 8 3 4" xfId="11750" xr:uid="{00000000-0005-0000-0000-0000E12D0000}"/>
    <cellStyle name="Entrada 6 8 3 5" xfId="11751" xr:uid="{00000000-0005-0000-0000-0000E22D0000}"/>
    <cellStyle name="Entrada 6 8 3 6" xfId="11752" xr:uid="{00000000-0005-0000-0000-0000E32D0000}"/>
    <cellStyle name="Entrada 6 8 4" xfId="11753" xr:uid="{00000000-0005-0000-0000-0000E42D0000}"/>
    <cellStyle name="Entrada 6 8 4 2" xfId="11754" xr:uid="{00000000-0005-0000-0000-0000E52D0000}"/>
    <cellStyle name="Entrada 6 8 4 3" xfId="11755" xr:uid="{00000000-0005-0000-0000-0000E62D0000}"/>
    <cellStyle name="Entrada 6 8 4 4" xfId="11756" xr:uid="{00000000-0005-0000-0000-0000E72D0000}"/>
    <cellStyle name="Entrada 6 8 5" xfId="11757" xr:uid="{00000000-0005-0000-0000-0000E82D0000}"/>
    <cellStyle name="Entrada 6 8 6" xfId="11758" xr:uid="{00000000-0005-0000-0000-0000E92D0000}"/>
    <cellStyle name="Entrada 6 9" xfId="11759" xr:uid="{00000000-0005-0000-0000-0000EA2D0000}"/>
    <cellStyle name="Entrada 6 9 2" xfId="11760" xr:uid="{00000000-0005-0000-0000-0000EB2D0000}"/>
    <cellStyle name="Entrada 6 9 2 2" xfId="11761" xr:uid="{00000000-0005-0000-0000-0000EC2D0000}"/>
    <cellStyle name="Entrada 6 9 2 2 2" xfId="11762" xr:uid="{00000000-0005-0000-0000-0000ED2D0000}"/>
    <cellStyle name="Entrada 6 9 2 2 3" xfId="11763" xr:uid="{00000000-0005-0000-0000-0000EE2D0000}"/>
    <cellStyle name="Entrada 6 9 2 2 4" xfId="11764" xr:uid="{00000000-0005-0000-0000-0000EF2D0000}"/>
    <cellStyle name="Entrada 6 9 2 3" xfId="11765" xr:uid="{00000000-0005-0000-0000-0000F02D0000}"/>
    <cellStyle name="Entrada 6 9 2 3 2" xfId="11766" xr:uid="{00000000-0005-0000-0000-0000F12D0000}"/>
    <cellStyle name="Entrada 6 9 2 3 3" xfId="11767" xr:uid="{00000000-0005-0000-0000-0000F22D0000}"/>
    <cellStyle name="Entrada 6 9 2 3 4" xfId="11768" xr:uid="{00000000-0005-0000-0000-0000F32D0000}"/>
    <cellStyle name="Entrada 6 9 2 4" xfId="11769" xr:uid="{00000000-0005-0000-0000-0000F42D0000}"/>
    <cellStyle name="Entrada 6 9 2 5" xfId="11770" xr:uid="{00000000-0005-0000-0000-0000F52D0000}"/>
    <cellStyle name="Entrada 6 9 2 6" xfId="11771" xr:uid="{00000000-0005-0000-0000-0000F62D0000}"/>
    <cellStyle name="Entrada 6 9 3" xfId="11772" xr:uid="{00000000-0005-0000-0000-0000F72D0000}"/>
    <cellStyle name="Entrada 6 9 3 2" xfId="11773" xr:uid="{00000000-0005-0000-0000-0000F82D0000}"/>
    <cellStyle name="Entrada 6 9 3 2 2" xfId="11774" xr:uid="{00000000-0005-0000-0000-0000F92D0000}"/>
    <cellStyle name="Entrada 6 9 3 2 3" xfId="11775" xr:uid="{00000000-0005-0000-0000-0000FA2D0000}"/>
    <cellStyle name="Entrada 6 9 3 2 4" xfId="11776" xr:uid="{00000000-0005-0000-0000-0000FB2D0000}"/>
    <cellStyle name="Entrada 6 9 3 3" xfId="11777" xr:uid="{00000000-0005-0000-0000-0000FC2D0000}"/>
    <cellStyle name="Entrada 6 9 3 3 2" xfId="11778" xr:uid="{00000000-0005-0000-0000-0000FD2D0000}"/>
    <cellStyle name="Entrada 6 9 3 3 3" xfId="11779" xr:uid="{00000000-0005-0000-0000-0000FE2D0000}"/>
    <cellStyle name="Entrada 6 9 3 3 4" xfId="11780" xr:uid="{00000000-0005-0000-0000-0000FF2D0000}"/>
    <cellStyle name="Entrada 6 9 3 4" xfId="11781" xr:uid="{00000000-0005-0000-0000-0000002E0000}"/>
    <cellStyle name="Entrada 6 9 3 5" xfId="11782" xr:uid="{00000000-0005-0000-0000-0000012E0000}"/>
    <cellStyle name="Entrada 6 9 3 6" xfId="11783" xr:uid="{00000000-0005-0000-0000-0000022E0000}"/>
    <cellStyle name="Entrada 6 9 4" xfId="11784" xr:uid="{00000000-0005-0000-0000-0000032E0000}"/>
    <cellStyle name="Entrada 6 9 4 2" xfId="11785" xr:uid="{00000000-0005-0000-0000-0000042E0000}"/>
    <cellStyle name="Entrada 6 9 4 3" xfId="11786" xr:uid="{00000000-0005-0000-0000-0000052E0000}"/>
    <cellStyle name="Entrada 6 9 4 4" xfId="11787" xr:uid="{00000000-0005-0000-0000-0000062E0000}"/>
    <cellStyle name="Entrada 6 9 5" xfId="11788" xr:uid="{00000000-0005-0000-0000-0000072E0000}"/>
    <cellStyle name="Entrada 6 9 6" xfId="11789" xr:uid="{00000000-0005-0000-0000-0000082E0000}"/>
    <cellStyle name="Entrada 7" xfId="11790" xr:uid="{00000000-0005-0000-0000-0000092E0000}"/>
    <cellStyle name="Entrada 7 10" xfId="11791" xr:uid="{00000000-0005-0000-0000-00000A2E0000}"/>
    <cellStyle name="Entrada 7 10 2" xfId="11792" xr:uid="{00000000-0005-0000-0000-00000B2E0000}"/>
    <cellStyle name="Entrada 7 10 2 2" xfId="11793" xr:uid="{00000000-0005-0000-0000-00000C2E0000}"/>
    <cellStyle name="Entrada 7 10 2 2 2" xfId="11794" xr:uid="{00000000-0005-0000-0000-00000D2E0000}"/>
    <cellStyle name="Entrada 7 10 2 2 3" xfId="11795" xr:uid="{00000000-0005-0000-0000-00000E2E0000}"/>
    <cellStyle name="Entrada 7 10 2 2 4" xfId="11796" xr:uid="{00000000-0005-0000-0000-00000F2E0000}"/>
    <cellStyle name="Entrada 7 10 2 3" xfId="11797" xr:uid="{00000000-0005-0000-0000-0000102E0000}"/>
    <cellStyle name="Entrada 7 10 2 3 2" xfId="11798" xr:uid="{00000000-0005-0000-0000-0000112E0000}"/>
    <cellStyle name="Entrada 7 10 2 3 3" xfId="11799" xr:uid="{00000000-0005-0000-0000-0000122E0000}"/>
    <cellStyle name="Entrada 7 10 2 3 4" xfId="11800" xr:uid="{00000000-0005-0000-0000-0000132E0000}"/>
    <cellStyle name="Entrada 7 10 2 4" xfId="11801" xr:uid="{00000000-0005-0000-0000-0000142E0000}"/>
    <cellStyle name="Entrada 7 10 2 5" xfId="11802" xr:uid="{00000000-0005-0000-0000-0000152E0000}"/>
    <cellStyle name="Entrada 7 10 2 6" xfId="11803" xr:uid="{00000000-0005-0000-0000-0000162E0000}"/>
    <cellStyle name="Entrada 7 10 3" xfId="11804" xr:uid="{00000000-0005-0000-0000-0000172E0000}"/>
    <cellStyle name="Entrada 7 10 3 2" xfId="11805" xr:uid="{00000000-0005-0000-0000-0000182E0000}"/>
    <cellStyle name="Entrada 7 10 3 2 2" xfId="11806" xr:uid="{00000000-0005-0000-0000-0000192E0000}"/>
    <cellStyle name="Entrada 7 10 3 2 3" xfId="11807" xr:uid="{00000000-0005-0000-0000-00001A2E0000}"/>
    <cellStyle name="Entrada 7 10 3 2 4" xfId="11808" xr:uid="{00000000-0005-0000-0000-00001B2E0000}"/>
    <cellStyle name="Entrada 7 10 3 3" xfId="11809" xr:uid="{00000000-0005-0000-0000-00001C2E0000}"/>
    <cellStyle name="Entrada 7 10 3 3 2" xfId="11810" xr:uid="{00000000-0005-0000-0000-00001D2E0000}"/>
    <cellStyle name="Entrada 7 10 3 3 3" xfId="11811" xr:uid="{00000000-0005-0000-0000-00001E2E0000}"/>
    <cellStyle name="Entrada 7 10 3 3 4" xfId="11812" xr:uid="{00000000-0005-0000-0000-00001F2E0000}"/>
    <cellStyle name="Entrada 7 10 3 4" xfId="11813" xr:uid="{00000000-0005-0000-0000-0000202E0000}"/>
    <cellStyle name="Entrada 7 10 3 5" xfId="11814" xr:uid="{00000000-0005-0000-0000-0000212E0000}"/>
    <cellStyle name="Entrada 7 10 3 6" xfId="11815" xr:uid="{00000000-0005-0000-0000-0000222E0000}"/>
    <cellStyle name="Entrada 7 10 4" xfId="11816" xr:uid="{00000000-0005-0000-0000-0000232E0000}"/>
    <cellStyle name="Entrada 7 10 4 2" xfId="11817" xr:uid="{00000000-0005-0000-0000-0000242E0000}"/>
    <cellStyle name="Entrada 7 10 4 3" xfId="11818" xr:uid="{00000000-0005-0000-0000-0000252E0000}"/>
    <cellStyle name="Entrada 7 10 4 4" xfId="11819" xr:uid="{00000000-0005-0000-0000-0000262E0000}"/>
    <cellStyle name="Entrada 7 10 5" xfId="11820" xr:uid="{00000000-0005-0000-0000-0000272E0000}"/>
    <cellStyle name="Entrada 7 10 6" xfId="11821" xr:uid="{00000000-0005-0000-0000-0000282E0000}"/>
    <cellStyle name="Entrada 7 11" xfId="11822" xr:uid="{00000000-0005-0000-0000-0000292E0000}"/>
    <cellStyle name="Entrada 7 11 2" xfId="11823" xr:uid="{00000000-0005-0000-0000-00002A2E0000}"/>
    <cellStyle name="Entrada 7 11 2 2" xfId="11824" xr:uid="{00000000-0005-0000-0000-00002B2E0000}"/>
    <cellStyle name="Entrada 7 11 2 2 2" xfId="11825" xr:uid="{00000000-0005-0000-0000-00002C2E0000}"/>
    <cellStyle name="Entrada 7 11 2 2 3" xfId="11826" xr:uid="{00000000-0005-0000-0000-00002D2E0000}"/>
    <cellStyle name="Entrada 7 11 2 2 4" xfId="11827" xr:uid="{00000000-0005-0000-0000-00002E2E0000}"/>
    <cellStyle name="Entrada 7 11 2 3" xfId="11828" xr:uid="{00000000-0005-0000-0000-00002F2E0000}"/>
    <cellStyle name="Entrada 7 11 2 3 2" xfId="11829" xr:uid="{00000000-0005-0000-0000-0000302E0000}"/>
    <cellStyle name="Entrada 7 11 2 3 3" xfId="11830" xr:uid="{00000000-0005-0000-0000-0000312E0000}"/>
    <cellStyle name="Entrada 7 11 2 3 4" xfId="11831" xr:uid="{00000000-0005-0000-0000-0000322E0000}"/>
    <cellStyle name="Entrada 7 11 2 4" xfId="11832" xr:uid="{00000000-0005-0000-0000-0000332E0000}"/>
    <cellStyle name="Entrada 7 11 2 5" xfId="11833" xr:uid="{00000000-0005-0000-0000-0000342E0000}"/>
    <cellStyle name="Entrada 7 11 2 6" xfId="11834" xr:uid="{00000000-0005-0000-0000-0000352E0000}"/>
    <cellStyle name="Entrada 7 11 3" xfId="11835" xr:uid="{00000000-0005-0000-0000-0000362E0000}"/>
    <cellStyle name="Entrada 7 11 3 2" xfId="11836" xr:uid="{00000000-0005-0000-0000-0000372E0000}"/>
    <cellStyle name="Entrada 7 11 3 2 2" xfId="11837" xr:uid="{00000000-0005-0000-0000-0000382E0000}"/>
    <cellStyle name="Entrada 7 11 3 2 3" xfId="11838" xr:uid="{00000000-0005-0000-0000-0000392E0000}"/>
    <cellStyle name="Entrada 7 11 3 2 4" xfId="11839" xr:uid="{00000000-0005-0000-0000-00003A2E0000}"/>
    <cellStyle name="Entrada 7 11 3 3" xfId="11840" xr:uid="{00000000-0005-0000-0000-00003B2E0000}"/>
    <cellStyle name="Entrada 7 11 3 3 2" xfId="11841" xr:uid="{00000000-0005-0000-0000-00003C2E0000}"/>
    <cellStyle name="Entrada 7 11 3 3 3" xfId="11842" xr:uid="{00000000-0005-0000-0000-00003D2E0000}"/>
    <cellStyle name="Entrada 7 11 3 3 4" xfId="11843" xr:uid="{00000000-0005-0000-0000-00003E2E0000}"/>
    <cellStyle name="Entrada 7 11 3 4" xfId="11844" xr:uid="{00000000-0005-0000-0000-00003F2E0000}"/>
    <cellStyle name="Entrada 7 11 3 5" xfId="11845" xr:uid="{00000000-0005-0000-0000-0000402E0000}"/>
    <cellStyle name="Entrada 7 11 3 6" xfId="11846" xr:uid="{00000000-0005-0000-0000-0000412E0000}"/>
    <cellStyle name="Entrada 7 11 4" xfId="11847" xr:uid="{00000000-0005-0000-0000-0000422E0000}"/>
    <cellStyle name="Entrada 7 11 5" xfId="11848" xr:uid="{00000000-0005-0000-0000-0000432E0000}"/>
    <cellStyle name="Entrada 7 11 6" xfId="11849" xr:uid="{00000000-0005-0000-0000-0000442E0000}"/>
    <cellStyle name="Entrada 7 12" xfId="11850" xr:uid="{00000000-0005-0000-0000-0000452E0000}"/>
    <cellStyle name="Entrada 7 13" xfId="11851" xr:uid="{00000000-0005-0000-0000-0000462E0000}"/>
    <cellStyle name="Entrada 7 2" xfId="11852" xr:uid="{00000000-0005-0000-0000-0000472E0000}"/>
    <cellStyle name="Entrada 7 2 10" xfId="11853" xr:uid="{00000000-0005-0000-0000-0000482E0000}"/>
    <cellStyle name="Entrada 7 2 10 2" xfId="11854" xr:uid="{00000000-0005-0000-0000-0000492E0000}"/>
    <cellStyle name="Entrada 7 2 10 2 2" xfId="11855" xr:uid="{00000000-0005-0000-0000-00004A2E0000}"/>
    <cellStyle name="Entrada 7 2 10 2 2 2" xfId="11856" xr:uid="{00000000-0005-0000-0000-00004B2E0000}"/>
    <cellStyle name="Entrada 7 2 10 2 2 3" xfId="11857" xr:uid="{00000000-0005-0000-0000-00004C2E0000}"/>
    <cellStyle name="Entrada 7 2 10 2 2 4" xfId="11858" xr:uid="{00000000-0005-0000-0000-00004D2E0000}"/>
    <cellStyle name="Entrada 7 2 10 2 3" xfId="11859" xr:uid="{00000000-0005-0000-0000-00004E2E0000}"/>
    <cellStyle name="Entrada 7 2 10 2 3 2" xfId="11860" xr:uid="{00000000-0005-0000-0000-00004F2E0000}"/>
    <cellStyle name="Entrada 7 2 10 2 3 3" xfId="11861" xr:uid="{00000000-0005-0000-0000-0000502E0000}"/>
    <cellStyle name="Entrada 7 2 10 2 3 4" xfId="11862" xr:uid="{00000000-0005-0000-0000-0000512E0000}"/>
    <cellStyle name="Entrada 7 2 10 2 4" xfId="11863" xr:uid="{00000000-0005-0000-0000-0000522E0000}"/>
    <cellStyle name="Entrada 7 2 10 2 5" xfId="11864" xr:uid="{00000000-0005-0000-0000-0000532E0000}"/>
    <cellStyle name="Entrada 7 2 10 2 6" xfId="11865" xr:uid="{00000000-0005-0000-0000-0000542E0000}"/>
    <cellStyle name="Entrada 7 2 10 3" xfId="11866" xr:uid="{00000000-0005-0000-0000-0000552E0000}"/>
    <cellStyle name="Entrada 7 2 10 3 2" xfId="11867" xr:uid="{00000000-0005-0000-0000-0000562E0000}"/>
    <cellStyle name="Entrada 7 2 10 3 2 2" xfId="11868" xr:uid="{00000000-0005-0000-0000-0000572E0000}"/>
    <cellStyle name="Entrada 7 2 10 3 2 3" xfId="11869" xr:uid="{00000000-0005-0000-0000-0000582E0000}"/>
    <cellStyle name="Entrada 7 2 10 3 2 4" xfId="11870" xr:uid="{00000000-0005-0000-0000-0000592E0000}"/>
    <cellStyle name="Entrada 7 2 10 3 3" xfId="11871" xr:uid="{00000000-0005-0000-0000-00005A2E0000}"/>
    <cellStyle name="Entrada 7 2 10 3 3 2" xfId="11872" xr:uid="{00000000-0005-0000-0000-00005B2E0000}"/>
    <cellStyle name="Entrada 7 2 10 3 3 3" xfId="11873" xr:uid="{00000000-0005-0000-0000-00005C2E0000}"/>
    <cellStyle name="Entrada 7 2 10 3 3 4" xfId="11874" xr:uid="{00000000-0005-0000-0000-00005D2E0000}"/>
    <cellStyle name="Entrada 7 2 10 3 4" xfId="11875" xr:uid="{00000000-0005-0000-0000-00005E2E0000}"/>
    <cellStyle name="Entrada 7 2 10 3 5" xfId="11876" xr:uid="{00000000-0005-0000-0000-00005F2E0000}"/>
    <cellStyle name="Entrada 7 2 10 3 6" xfId="11877" xr:uid="{00000000-0005-0000-0000-0000602E0000}"/>
    <cellStyle name="Entrada 7 2 10 4" xfId="11878" xr:uid="{00000000-0005-0000-0000-0000612E0000}"/>
    <cellStyle name="Entrada 7 2 10 5" xfId="11879" xr:uid="{00000000-0005-0000-0000-0000622E0000}"/>
    <cellStyle name="Entrada 7 2 10 6" xfId="11880" xr:uid="{00000000-0005-0000-0000-0000632E0000}"/>
    <cellStyle name="Entrada 7 2 11" xfId="11881" xr:uid="{00000000-0005-0000-0000-0000642E0000}"/>
    <cellStyle name="Entrada 7 2 12" xfId="11882" xr:uid="{00000000-0005-0000-0000-0000652E0000}"/>
    <cellStyle name="Entrada 7 2 2" xfId="11883" xr:uid="{00000000-0005-0000-0000-0000662E0000}"/>
    <cellStyle name="Entrada 7 2 2 2" xfId="11884" xr:uid="{00000000-0005-0000-0000-0000672E0000}"/>
    <cellStyle name="Entrada 7 2 2 2 2" xfId="11885" xr:uid="{00000000-0005-0000-0000-0000682E0000}"/>
    <cellStyle name="Entrada 7 2 2 2 2 2" xfId="11886" xr:uid="{00000000-0005-0000-0000-0000692E0000}"/>
    <cellStyle name="Entrada 7 2 2 2 2 2 2" xfId="11887" xr:uid="{00000000-0005-0000-0000-00006A2E0000}"/>
    <cellStyle name="Entrada 7 2 2 2 2 2 3" xfId="11888" xr:uid="{00000000-0005-0000-0000-00006B2E0000}"/>
    <cellStyle name="Entrada 7 2 2 2 2 2 4" xfId="11889" xr:uid="{00000000-0005-0000-0000-00006C2E0000}"/>
    <cellStyle name="Entrada 7 2 2 2 2 3" xfId="11890" xr:uid="{00000000-0005-0000-0000-00006D2E0000}"/>
    <cellStyle name="Entrada 7 2 2 2 2 3 2" xfId="11891" xr:uid="{00000000-0005-0000-0000-00006E2E0000}"/>
    <cellStyle name="Entrada 7 2 2 2 2 3 3" xfId="11892" xr:uid="{00000000-0005-0000-0000-00006F2E0000}"/>
    <cellStyle name="Entrada 7 2 2 2 2 3 4" xfId="11893" xr:uid="{00000000-0005-0000-0000-0000702E0000}"/>
    <cellStyle name="Entrada 7 2 2 2 2 4" xfId="11894" xr:uid="{00000000-0005-0000-0000-0000712E0000}"/>
    <cellStyle name="Entrada 7 2 2 2 2 5" xfId="11895" xr:uid="{00000000-0005-0000-0000-0000722E0000}"/>
    <cellStyle name="Entrada 7 2 2 2 2 6" xfId="11896" xr:uid="{00000000-0005-0000-0000-0000732E0000}"/>
    <cellStyle name="Entrada 7 2 2 2 3" xfId="11897" xr:uid="{00000000-0005-0000-0000-0000742E0000}"/>
    <cellStyle name="Entrada 7 2 2 2 3 2" xfId="11898" xr:uid="{00000000-0005-0000-0000-0000752E0000}"/>
    <cellStyle name="Entrada 7 2 2 2 3 2 2" xfId="11899" xr:uid="{00000000-0005-0000-0000-0000762E0000}"/>
    <cellStyle name="Entrada 7 2 2 2 3 2 3" xfId="11900" xr:uid="{00000000-0005-0000-0000-0000772E0000}"/>
    <cellStyle name="Entrada 7 2 2 2 3 2 4" xfId="11901" xr:uid="{00000000-0005-0000-0000-0000782E0000}"/>
    <cellStyle name="Entrada 7 2 2 2 3 3" xfId="11902" xr:uid="{00000000-0005-0000-0000-0000792E0000}"/>
    <cellStyle name="Entrada 7 2 2 2 3 3 2" xfId="11903" xr:uid="{00000000-0005-0000-0000-00007A2E0000}"/>
    <cellStyle name="Entrada 7 2 2 2 3 3 3" xfId="11904" xr:uid="{00000000-0005-0000-0000-00007B2E0000}"/>
    <cellStyle name="Entrada 7 2 2 2 3 3 4" xfId="11905" xr:uid="{00000000-0005-0000-0000-00007C2E0000}"/>
    <cellStyle name="Entrada 7 2 2 2 3 4" xfId="11906" xr:uid="{00000000-0005-0000-0000-00007D2E0000}"/>
    <cellStyle name="Entrada 7 2 2 2 3 5" xfId="11907" xr:uid="{00000000-0005-0000-0000-00007E2E0000}"/>
    <cellStyle name="Entrada 7 2 2 2 3 6" xfId="11908" xr:uid="{00000000-0005-0000-0000-00007F2E0000}"/>
    <cellStyle name="Entrada 7 2 2 2 4" xfId="11909" xr:uid="{00000000-0005-0000-0000-0000802E0000}"/>
    <cellStyle name="Entrada 7 2 2 2 5" xfId="11910" xr:uid="{00000000-0005-0000-0000-0000812E0000}"/>
    <cellStyle name="Entrada 7 2 2 2 6" xfId="11911" xr:uid="{00000000-0005-0000-0000-0000822E0000}"/>
    <cellStyle name="Entrada 7 2 2 3" xfId="11912" xr:uid="{00000000-0005-0000-0000-0000832E0000}"/>
    <cellStyle name="Entrada 7 2 2 4" xfId="11913" xr:uid="{00000000-0005-0000-0000-0000842E0000}"/>
    <cellStyle name="Entrada 7 2 3" xfId="11914" xr:uid="{00000000-0005-0000-0000-0000852E0000}"/>
    <cellStyle name="Entrada 7 2 3 2" xfId="11915" xr:uid="{00000000-0005-0000-0000-0000862E0000}"/>
    <cellStyle name="Entrada 7 2 3 2 2" xfId="11916" xr:uid="{00000000-0005-0000-0000-0000872E0000}"/>
    <cellStyle name="Entrada 7 2 3 2 2 2" xfId="11917" xr:uid="{00000000-0005-0000-0000-0000882E0000}"/>
    <cellStyle name="Entrada 7 2 3 2 2 2 2" xfId="11918" xr:uid="{00000000-0005-0000-0000-0000892E0000}"/>
    <cellStyle name="Entrada 7 2 3 2 2 2 3" xfId="11919" xr:uid="{00000000-0005-0000-0000-00008A2E0000}"/>
    <cellStyle name="Entrada 7 2 3 2 2 2 4" xfId="11920" xr:uid="{00000000-0005-0000-0000-00008B2E0000}"/>
    <cellStyle name="Entrada 7 2 3 2 2 3" xfId="11921" xr:uid="{00000000-0005-0000-0000-00008C2E0000}"/>
    <cellStyle name="Entrada 7 2 3 2 2 3 2" xfId="11922" xr:uid="{00000000-0005-0000-0000-00008D2E0000}"/>
    <cellStyle name="Entrada 7 2 3 2 2 3 3" xfId="11923" xr:uid="{00000000-0005-0000-0000-00008E2E0000}"/>
    <cellStyle name="Entrada 7 2 3 2 2 3 4" xfId="11924" xr:uid="{00000000-0005-0000-0000-00008F2E0000}"/>
    <cellStyle name="Entrada 7 2 3 2 2 4" xfId="11925" xr:uid="{00000000-0005-0000-0000-0000902E0000}"/>
    <cellStyle name="Entrada 7 2 3 2 2 5" xfId="11926" xr:uid="{00000000-0005-0000-0000-0000912E0000}"/>
    <cellStyle name="Entrada 7 2 3 2 2 6" xfId="11927" xr:uid="{00000000-0005-0000-0000-0000922E0000}"/>
    <cellStyle name="Entrada 7 2 3 2 3" xfId="11928" xr:uid="{00000000-0005-0000-0000-0000932E0000}"/>
    <cellStyle name="Entrada 7 2 3 2 3 2" xfId="11929" xr:uid="{00000000-0005-0000-0000-0000942E0000}"/>
    <cellStyle name="Entrada 7 2 3 2 3 2 2" xfId="11930" xr:uid="{00000000-0005-0000-0000-0000952E0000}"/>
    <cellStyle name="Entrada 7 2 3 2 3 2 3" xfId="11931" xr:uid="{00000000-0005-0000-0000-0000962E0000}"/>
    <cellStyle name="Entrada 7 2 3 2 3 2 4" xfId="11932" xr:uid="{00000000-0005-0000-0000-0000972E0000}"/>
    <cellStyle name="Entrada 7 2 3 2 3 3" xfId="11933" xr:uid="{00000000-0005-0000-0000-0000982E0000}"/>
    <cellStyle name="Entrada 7 2 3 2 3 3 2" xfId="11934" xr:uid="{00000000-0005-0000-0000-0000992E0000}"/>
    <cellStyle name="Entrada 7 2 3 2 3 3 3" xfId="11935" xr:uid="{00000000-0005-0000-0000-00009A2E0000}"/>
    <cellStyle name="Entrada 7 2 3 2 3 3 4" xfId="11936" xr:uid="{00000000-0005-0000-0000-00009B2E0000}"/>
    <cellStyle name="Entrada 7 2 3 2 3 4" xfId="11937" xr:uid="{00000000-0005-0000-0000-00009C2E0000}"/>
    <cellStyle name="Entrada 7 2 3 2 3 5" xfId="11938" xr:uid="{00000000-0005-0000-0000-00009D2E0000}"/>
    <cellStyle name="Entrada 7 2 3 2 3 6" xfId="11939" xr:uid="{00000000-0005-0000-0000-00009E2E0000}"/>
    <cellStyle name="Entrada 7 2 3 2 4" xfId="11940" xr:uid="{00000000-0005-0000-0000-00009F2E0000}"/>
    <cellStyle name="Entrada 7 2 3 2 5" xfId="11941" xr:uid="{00000000-0005-0000-0000-0000A02E0000}"/>
    <cellStyle name="Entrada 7 2 3 2 6" xfId="11942" xr:uid="{00000000-0005-0000-0000-0000A12E0000}"/>
    <cellStyle name="Entrada 7 2 3 3" xfId="11943" xr:uid="{00000000-0005-0000-0000-0000A22E0000}"/>
    <cellStyle name="Entrada 7 2 3 4" xfId="11944" xr:uid="{00000000-0005-0000-0000-0000A32E0000}"/>
    <cellStyle name="Entrada 7 2 4" xfId="11945" xr:uid="{00000000-0005-0000-0000-0000A42E0000}"/>
    <cellStyle name="Entrada 7 2 4 2" xfId="11946" xr:uid="{00000000-0005-0000-0000-0000A52E0000}"/>
    <cellStyle name="Entrada 7 2 4 2 2" xfId="11947" xr:uid="{00000000-0005-0000-0000-0000A62E0000}"/>
    <cellStyle name="Entrada 7 2 4 2 2 2" xfId="11948" xr:uid="{00000000-0005-0000-0000-0000A72E0000}"/>
    <cellStyle name="Entrada 7 2 4 2 2 2 2" xfId="11949" xr:uid="{00000000-0005-0000-0000-0000A82E0000}"/>
    <cellStyle name="Entrada 7 2 4 2 2 2 3" xfId="11950" xr:uid="{00000000-0005-0000-0000-0000A92E0000}"/>
    <cellStyle name="Entrada 7 2 4 2 2 2 4" xfId="11951" xr:uid="{00000000-0005-0000-0000-0000AA2E0000}"/>
    <cellStyle name="Entrada 7 2 4 2 2 3" xfId="11952" xr:uid="{00000000-0005-0000-0000-0000AB2E0000}"/>
    <cellStyle name="Entrada 7 2 4 2 2 3 2" xfId="11953" xr:uid="{00000000-0005-0000-0000-0000AC2E0000}"/>
    <cellStyle name="Entrada 7 2 4 2 2 3 3" xfId="11954" xr:uid="{00000000-0005-0000-0000-0000AD2E0000}"/>
    <cellStyle name="Entrada 7 2 4 2 2 3 4" xfId="11955" xr:uid="{00000000-0005-0000-0000-0000AE2E0000}"/>
    <cellStyle name="Entrada 7 2 4 2 2 4" xfId="11956" xr:uid="{00000000-0005-0000-0000-0000AF2E0000}"/>
    <cellStyle name="Entrada 7 2 4 2 2 5" xfId="11957" xr:uid="{00000000-0005-0000-0000-0000B02E0000}"/>
    <cellStyle name="Entrada 7 2 4 2 2 6" xfId="11958" xr:uid="{00000000-0005-0000-0000-0000B12E0000}"/>
    <cellStyle name="Entrada 7 2 4 2 3" xfId="11959" xr:uid="{00000000-0005-0000-0000-0000B22E0000}"/>
    <cellStyle name="Entrada 7 2 4 2 3 2" xfId="11960" xr:uid="{00000000-0005-0000-0000-0000B32E0000}"/>
    <cellStyle name="Entrada 7 2 4 2 3 2 2" xfId="11961" xr:uid="{00000000-0005-0000-0000-0000B42E0000}"/>
    <cellStyle name="Entrada 7 2 4 2 3 2 3" xfId="11962" xr:uid="{00000000-0005-0000-0000-0000B52E0000}"/>
    <cellStyle name="Entrada 7 2 4 2 3 2 4" xfId="11963" xr:uid="{00000000-0005-0000-0000-0000B62E0000}"/>
    <cellStyle name="Entrada 7 2 4 2 3 3" xfId="11964" xr:uid="{00000000-0005-0000-0000-0000B72E0000}"/>
    <cellStyle name="Entrada 7 2 4 2 3 3 2" xfId="11965" xr:uid="{00000000-0005-0000-0000-0000B82E0000}"/>
    <cellStyle name="Entrada 7 2 4 2 3 3 3" xfId="11966" xr:uid="{00000000-0005-0000-0000-0000B92E0000}"/>
    <cellStyle name="Entrada 7 2 4 2 3 3 4" xfId="11967" xr:uid="{00000000-0005-0000-0000-0000BA2E0000}"/>
    <cellStyle name="Entrada 7 2 4 2 3 4" xfId="11968" xr:uid="{00000000-0005-0000-0000-0000BB2E0000}"/>
    <cellStyle name="Entrada 7 2 4 2 3 5" xfId="11969" xr:uid="{00000000-0005-0000-0000-0000BC2E0000}"/>
    <cellStyle name="Entrada 7 2 4 2 3 6" xfId="11970" xr:uid="{00000000-0005-0000-0000-0000BD2E0000}"/>
    <cellStyle name="Entrada 7 2 4 2 4" xfId="11971" xr:uid="{00000000-0005-0000-0000-0000BE2E0000}"/>
    <cellStyle name="Entrada 7 2 4 2 5" xfId="11972" xr:uid="{00000000-0005-0000-0000-0000BF2E0000}"/>
    <cellStyle name="Entrada 7 2 4 2 6" xfId="11973" xr:uid="{00000000-0005-0000-0000-0000C02E0000}"/>
    <cellStyle name="Entrada 7 2 4 3" xfId="11974" xr:uid="{00000000-0005-0000-0000-0000C12E0000}"/>
    <cellStyle name="Entrada 7 2 4 4" xfId="11975" xr:uid="{00000000-0005-0000-0000-0000C22E0000}"/>
    <cellStyle name="Entrada 7 2 5" xfId="11976" xr:uid="{00000000-0005-0000-0000-0000C32E0000}"/>
    <cellStyle name="Entrada 7 2 5 2" xfId="11977" xr:uid="{00000000-0005-0000-0000-0000C42E0000}"/>
    <cellStyle name="Entrada 7 2 5 2 2" xfId="11978" xr:uid="{00000000-0005-0000-0000-0000C52E0000}"/>
    <cellStyle name="Entrada 7 2 5 2 2 2" xfId="11979" xr:uid="{00000000-0005-0000-0000-0000C62E0000}"/>
    <cellStyle name="Entrada 7 2 5 2 2 2 2" xfId="11980" xr:uid="{00000000-0005-0000-0000-0000C72E0000}"/>
    <cellStyle name="Entrada 7 2 5 2 2 2 3" xfId="11981" xr:uid="{00000000-0005-0000-0000-0000C82E0000}"/>
    <cellStyle name="Entrada 7 2 5 2 2 2 4" xfId="11982" xr:uid="{00000000-0005-0000-0000-0000C92E0000}"/>
    <cellStyle name="Entrada 7 2 5 2 2 3" xfId="11983" xr:uid="{00000000-0005-0000-0000-0000CA2E0000}"/>
    <cellStyle name="Entrada 7 2 5 2 2 3 2" xfId="11984" xr:uid="{00000000-0005-0000-0000-0000CB2E0000}"/>
    <cellStyle name="Entrada 7 2 5 2 2 3 3" xfId="11985" xr:uid="{00000000-0005-0000-0000-0000CC2E0000}"/>
    <cellStyle name="Entrada 7 2 5 2 2 3 4" xfId="11986" xr:uid="{00000000-0005-0000-0000-0000CD2E0000}"/>
    <cellStyle name="Entrada 7 2 5 2 2 4" xfId="11987" xr:uid="{00000000-0005-0000-0000-0000CE2E0000}"/>
    <cellStyle name="Entrada 7 2 5 2 2 5" xfId="11988" xr:uid="{00000000-0005-0000-0000-0000CF2E0000}"/>
    <cellStyle name="Entrada 7 2 5 2 2 6" xfId="11989" xr:uid="{00000000-0005-0000-0000-0000D02E0000}"/>
    <cellStyle name="Entrada 7 2 5 2 3" xfId="11990" xr:uid="{00000000-0005-0000-0000-0000D12E0000}"/>
    <cellStyle name="Entrada 7 2 5 2 3 2" xfId="11991" xr:uid="{00000000-0005-0000-0000-0000D22E0000}"/>
    <cellStyle name="Entrada 7 2 5 2 3 2 2" xfId="11992" xr:uid="{00000000-0005-0000-0000-0000D32E0000}"/>
    <cellStyle name="Entrada 7 2 5 2 3 2 3" xfId="11993" xr:uid="{00000000-0005-0000-0000-0000D42E0000}"/>
    <cellStyle name="Entrada 7 2 5 2 3 2 4" xfId="11994" xr:uid="{00000000-0005-0000-0000-0000D52E0000}"/>
    <cellStyle name="Entrada 7 2 5 2 3 3" xfId="11995" xr:uid="{00000000-0005-0000-0000-0000D62E0000}"/>
    <cellStyle name="Entrada 7 2 5 2 3 3 2" xfId="11996" xr:uid="{00000000-0005-0000-0000-0000D72E0000}"/>
    <cellStyle name="Entrada 7 2 5 2 3 3 3" xfId="11997" xr:uid="{00000000-0005-0000-0000-0000D82E0000}"/>
    <cellStyle name="Entrada 7 2 5 2 3 3 4" xfId="11998" xr:uid="{00000000-0005-0000-0000-0000D92E0000}"/>
    <cellStyle name="Entrada 7 2 5 2 3 4" xfId="11999" xr:uid="{00000000-0005-0000-0000-0000DA2E0000}"/>
    <cellStyle name="Entrada 7 2 5 2 3 5" xfId="12000" xr:uid="{00000000-0005-0000-0000-0000DB2E0000}"/>
    <cellStyle name="Entrada 7 2 5 2 3 6" xfId="12001" xr:uid="{00000000-0005-0000-0000-0000DC2E0000}"/>
    <cellStyle name="Entrada 7 2 5 2 4" xfId="12002" xr:uid="{00000000-0005-0000-0000-0000DD2E0000}"/>
    <cellStyle name="Entrada 7 2 5 2 5" xfId="12003" xr:uid="{00000000-0005-0000-0000-0000DE2E0000}"/>
    <cellStyle name="Entrada 7 2 5 2 6" xfId="12004" xr:uid="{00000000-0005-0000-0000-0000DF2E0000}"/>
    <cellStyle name="Entrada 7 2 5 3" xfId="12005" xr:uid="{00000000-0005-0000-0000-0000E02E0000}"/>
    <cellStyle name="Entrada 7 2 5 4" xfId="12006" xr:uid="{00000000-0005-0000-0000-0000E12E0000}"/>
    <cellStyle name="Entrada 7 2 6" xfId="12007" xr:uid="{00000000-0005-0000-0000-0000E22E0000}"/>
    <cellStyle name="Entrada 7 2 6 2" xfId="12008" xr:uid="{00000000-0005-0000-0000-0000E32E0000}"/>
    <cellStyle name="Entrada 7 2 6 2 2" xfId="12009" xr:uid="{00000000-0005-0000-0000-0000E42E0000}"/>
    <cellStyle name="Entrada 7 2 6 2 2 2" xfId="12010" xr:uid="{00000000-0005-0000-0000-0000E52E0000}"/>
    <cellStyle name="Entrada 7 2 6 2 2 3" xfId="12011" xr:uid="{00000000-0005-0000-0000-0000E62E0000}"/>
    <cellStyle name="Entrada 7 2 6 2 2 4" xfId="12012" xr:uid="{00000000-0005-0000-0000-0000E72E0000}"/>
    <cellStyle name="Entrada 7 2 6 2 3" xfId="12013" xr:uid="{00000000-0005-0000-0000-0000E82E0000}"/>
    <cellStyle name="Entrada 7 2 6 2 3 2" xfId="12014" xr:uid="{00000000-0005-0000-0000-0000E92E0000}"/>
    <cellStyle name="Entrada 7 2 6 2 3 3" xfId="12015" xr:uid="{00000000-0005-0000-0000-0000EA2E0000}"/>
    <cellStyle name="Entrada 7 2 6 2 3 4" xfId="12016" xr:uid="{00000000-0005-0000-0000-0000EB2E0000}"/>
    <cellStyle name="Entrada 7 2 6 2 4" xfId="12017" xr:uid="{00000000-0005-0000-0000-0000EC2E0000}"/>
    <cellStyle name="Entrada 7 2 6 2 5" xfId="12018" xr:uid="{00000000-0005-0000-0000-0000ED2E0000}"/>
    <cellStyle name="Entrada 7 2 6 2 6" xfId="12019" xr:uid="{00000000-0005-0000-0000-0000EE2E0000}"/>
    <cellStyle name="Entrada 7 2 6 3" xfId="12020" xr:uid="{00000000-0005-0000-0000-0000EF2E0000}"/>
    <cellStyle name="Entrada 7 2 6 3 2" xfId="12021" xr:uid="{00000000-0005-0000-0000-0000F02E0000}"/>
    <cellStyle name="Entrada 7 2 6 3 2 2" xfId="12022" xr:uid="{00000000-0005-0000-0000-0000F12E0000}"/>
    <cellStyle name="Entrada 7 2 6 3 2 3" xfId="12023" xr:uid="{00000000-0005-0000-0000-0000F22E0000}"/>
    <cellStyle name="Entrada 7 2 6 3 2 4" xfId="12024" xr:uid="{00000000-0005-0000-0000-0000F32E0000}"/>
    <cellStyle name="Entrada 7 2 6 3 3" xfId="12025" xr:uid="{00000000-0005-0000-0000-0000F42E0000}"/>
    <cellStyle name="Entrada 7 2 6 3 3 2" xfId="12026" xr:uid="{00000000-0005-0000-0000-0000F52E0000}"/>
    <cellStyle name="Entrada 7 2 6 3 3 3" xfId="12027" xr:uid="{00000000-0005-0000-0000-0000F62E0000}"/>
    <cellStyle name="Entrada 7 2 6 3 3 4" xfId="12028" xr:uid="{00000000-0005-0000-0000-0000F72E0000}"/>
    <cellStyle name="Entrada 7 2 6 3 4" xfId="12029" xr:uid="{00000000-0005-0000-0000-0000F82E0000}"/>
    <cellStyle name="Entrada 7 2 6 3 5" xfId="12030" xr:uid="{00000000-0005-0000-0000-0000F92E0000}"/>
    <cellStyle name="Entrada 7 2 6 3 6" xfId="12031" xr:uid="{00000000-0005-0000-0000-0000FA2E0000}"/>
    <cellStyle name="Entrada 7 2 6 4" xfId="12032" xr:uid="{00000000-0005-0000-0000-0000FB2E0000}"/>
    <cellStyle name="Entrada 7 2 6 4 2" xfId="12033" xr:uid="{00000000-0005-0000-0000-0000FC2E0000}"/>
    <cellStyle name="Entrada 7 2 6 4 3" xfId="12034" xr:uid="{00000000-0005-0000-0000-0000FD2E0000}"/>
    <cellStyle name="Entrada 7 2 6 4 4" xfId="12035" xr:uid="{00000000-0005-0000-0000-0000FE2E0000}"/>
    <cellStyle name="Entrada 7 2 6 5" xfId="12036" xr:uid="{00000000-0005-0000-0000-0000FF2E0000}"/>
    <cellStyle name="Entrada 7 2 6 6" xfId="12037" xr:uid="{00000000-0005-0000-0000-0000002F0000}"/>
    <cellStyle name="Entrada 7 2 7" xfId="12038" xr:uid="{00000000-0005-0000-0000-0000012F0000}"/>
    <cellStyle name="Entrada 7 2 7 2" xfId="12039" xr:uid="{00000000-0005-0000-0000-0000022F0000}"/>
    <cellStyle name="Entrada 7 2 7 2 2" xfId="12040" xr:uid="{00000000-0005-0000-0000-0000032F0000}"/>
    <cellStyle name="Entrada 7 2 7 2 2 2" xfId="12041" xr:uid="{00000000-0005-0000-0000-0000042F0000}"/>
    <cellStyle name="Entrada 7 2 7 2 2 3" xfId="12042" xr:uid="{00000000-0005-0000-0000-0000052F0000}"/>
    <cellStyle name="Entrada 7 2 7 2 2 4" xfId="12043" xr:uid="{00000000-0005-0000-0000-0000062F0000}"/>
    <cellStyle name="Entrada 7 2 7 2 3" xfId="12044" xr:uid="{00000000-0005-0000-0000-0000072F0000}"/>
    <cellStyle name="Entrada 7 2 7 2 3 2" xfId="12045" xr:uid="{00000000-0005-0000-0000-0000082F0000}"/>
    <cellStyle name="Entrada 7 2 7 2 3 3" xfId="12046" xr:uid="{00000000-0005-0000-0000-0000092F0000}"/>
    <cellStyle name="Entrada 7 2 7 2 3 4" xfId="12047" xr:uid="{00000000-0005-0000-0000-00000A2F0000}"/>
    <cellStyle name="Entrada 7 2 7 2 4" xfId="12048" xr:uid="{00000000-0005-0000-0000-00000B2F0000}"/>
    <cellStyle name="Entrada 7 2 7 2 5" xfId="12049" xr:uid="{00000000-0005-0000-0000-00000C2F0000}"/>
    <cellStyle name="Entrada 7 2 7 2 6" xfId="12050" xr:uid="{00000000-0005-0000-0000-00000D2F0000}"/>
    <cellStyle name="Entrada 7 2 7 3" xfId="12051" xr:uid="{00000000-0005-0000-0000-00000E2F0000}"/>
    <cellStyle name="Entrada 7 2 7 3 2" xfId="12052" xr:uid="{00000000-0005-0000-0000-00000F2F0000}"/>
    <cellStyle name="Entrada 7 2 7 3 2 2" xfId="12053" xr:uid="{00000000-0005-0000-0000-0000102F0000}"/>
    <cellStyle name="Entrada 7 2 7 3 2 3" xfId="12054" xr:uid="{00000000-0005-0000-0000-0000112F0000}"/>
    <cellStyle name="Entrada 7 2 7 3 2 4" xfId="12055" xr:uid="{00000000-0005-0000-0000-0000122F0000}"/>
    <cellStyle name="Entrada 7 2 7 3 3" xfId="12056" xr:uid="{00000000-0005-0000-0000-0000132F0000}"/>
    <cellStyle name="Entrada 7 2 7 3 3 2" xfId="12057" xr:uid="{00000000-0005-0000-0000-0000142F0000}"/>
    <cellStyle name="Entrada 7 2 7 3 3 3" xfId="12058" xr:uid="{00000000-0005-0000-0000-0000152F0000}"/>
    <cellStyle name="Entrada 7 2 7 3 3 4" xfId="12059" xr:uid="{00000000-0005-0000-0000-0000162F0000}"/>
    <cellStyle name="Entrada 7 2 7 3 4" xfId="12060" xr:uid="{00000000-0005-0000-0000-0000172F0000}"/>
    <cellStyle name="Entrada 7 2 7 3 5" xfId="12061" xr:uid="{00000000-0005-0000-0000-0000182F0000}"/>
    <cellStyle name="Entrada 7 2 7 3 6" xfId="12062" xr:uid="{00000000-0005-0000-0000-0000192F0000}"/>
    <cellStyle name="Entrada 7 2 7 4" xfId="12063" xr:uid="{00000000-0005-0000-0000-00001A2F0000}"/>
    <cellStyle name="Entrada 7 2 7 4 2" xfId="12064" xr:uid="{00000000-0005-0000-0000-00001B2F0000}"/>
    <cellStyle name="Entrada 7 2 7 4 3" xfId="12065" xr:uid="{00000000-0005-0000-0000-00001C2F0000}"/>
    <cellStyle name="Entrada 7 2 7 4 4" xfId="12066" xr:uid="{00000000-0005-0000-0000-00001D2F0000}"/>
    <cellStyle name="Entrada 7 2 7 5" xfId="12067" xr:uid="{00000000-0005-0000-0000-00001E2F0000}"/>
    <cellStyle name="Entrada 7 2 7 6" xfId="12068" xr:uid="{00000000-0005-0000-0000-00001F2F0000}"/>
    <cellStyle name="Entrada 7 2 8" xfId="12069" xr:uid="{00000000-0005-0000-0000-0000202F0000}"/>
    <cellStyle name="Entrada 7 2 8 2" xfId="12070" xr:uid="{00000000-0005-0000-0000-0000212F0000}"/>
    <cellStyle name="Entrada 7 2 8 2 2" xfId="12071" xr:uid="{00000000-0005-0000-0000-0000222F0000}"/>
    <cellStyle name="Entrada 7 2 8 2 2 2" xfId="12072" xr:uid="{00000000-0005-0000-0000-0000232F0000}"/>
    <cellStyle name="Entrada 7 2 8 2 2 3" xfId="12073" xr:uid="{00000000-0005-0000-0000-0000242F0000}"/>
    <cellStyle name="Entrada 7 2 8 2 2 4" xfId="12074" xr:uid="{00000000-0005-0000-0000-0000252F0000}"/>
    <cellStyle name="Entrada 7 2 8 2 3" xfId="12075" xr:uid="{00000000-0005-0000-0000-0000262F0000}"/>
    <cellStyle name="Entrada 7 2 8 2 3 2" xfId="12076" xr:uid="{00000000-0005-0000-0000-0000272F0000}"/>
    <cellStyle name="Entrada 7 2 8 2 3 3" xfId="12077" xr:uid="{00000000-0005-0000-0000-0000282F0000}"/>
    <cellStyle name="Entrada 7 2 8 2 3 4" xfId="12078" xr:uid="{00000000-0005-0000-0000-0000292F0000}"/>
    <cellStyle name="Entrada 7 2 8 2 4" xfId="12079" xr:uid="{00000000-0005-0000-0000-00002A2F0000}"/>
    <cellStyle name="Entrada 7 2 8 2 5" xfId="12080" xr:uid="{00000000-0005-0000-0000-00002B2F0000}"/>
    <cellStyle name="Entrada 7 2 8 2 6" xfId="12081" xr:uid="{00000000-0005-0000-0000-00002C2F0000}"/>
    <cellStyle name="Entrada 7 2 8 3" xfId="12082" xr:uid="{00000000-0005-0000-0000-00002D2F0000}"/>
    <cellStyle name="Entrada 7 2 8 3 2" xfId="12083" xr:uid="{00000000-0005-0000-0000-00002E2F0000}"/>
    <cellStyle name="Entrada 7 2 8 3 2 2" xfId="12084" xr:uid="{00000000-0005-0000-0000-00002F2F0000}"/>
    <cellStyle name="Entrada 7 2 8 3 2 3" xfId="12085" xr:uid="{00000000-0005-0000-0000-0000302F0000}"/>
    <cellStyle name="Entrada 7 2 8 3 2 4" xfId="12086" xr:uid="{00000000-0005-0000-0000-0000312F0000}"/>
    <cellStyle name="Entrada 7 2 8 3 3" xfId="12087" xr:uid="{00000000-0005-0000-0000-0000322F0000}"/>
    <cellStyle name="Entrada 7 2 8 3 3 2" xfId="12088" xr:uid="{00000000-0005-0000-0000-0000332F0000}"/>
    <cellStyle name="Entrada 7 2 8 3 3 3" xfId="12089" xr:uid="{00000000-0005-0000-0000-0000342F0000}"/>
    <cellStyle name="Entrada 7 2 8 3 3 4" xfId="12090" xr:uid="{00000000-0005-0000-0000-0000352F0000}"/>
    <cellStyle name="Entrada 7 2 8 3 4" xfId="12091" xr:uid="{00000000-0005-0000-0000-0000362F0000}"/>
    <cellStyle name="Entrada 7 2 8 3 5" xfId="12092" xr:uid="{00000000-0005-0000-0000-0000372F0000}"/>
    <cellStyle name="Entrada 7 2 8 3 6" xfId="12093" xr:uid="{00000000-0005-0000-0000-0000382F0000}"/>
    <cellStyle name="Entrada 7 2 8 4" xfId="12094" xr:uid="{00000000-0005-0000-0000-0000392F0000}"/>
    <cellStyle name="Entrada 7 2 8 4 2" xfId="12095" xr:uid="{00000000-0005-0000-0000-00003A2F0000}"/>
    <cellStyle name="Entrada 7 2 8 4 3" xfId="12096" xr:uid="{00000000-0005-0000-0000-00003B2F0000}"/>
    <cellStyle name="Entrada 7 2 8 4 4" xfId="12097" xr:uid="{00000000-0005-0000-0000-00003C2F0000}"/>
    <cellStyle name="Entrada 7 2 8 5" xfId="12098" xr:uid="{00000000-0005-0000-0000-00003D2F0000}"/>
    <cellStyle name="Entrada 7 2 8 6" xfId="12099" xr:uid="{00000000-0005-0000-0000-00003E2F0000}"/>
    <cellStyle name="Entrada 7 2 9" xfId="12100" xr:uid="{00000000-0005-0000-0000-00003F2F0000}"/>
    <cellStyle name="Entrada 7 2 9 2" xfId="12101" xr:uid="{00000000-0005-0000-0000-0000402F0000}"/>
    <cellStyle name="Entrada 7 2 9 2 2" xfId="12102" xr:uid="{00000000-0005-0000-0000-0000412F0000}"/>
    <cellStyle name="Entrada 7 2 9 2 2 2" xfId="12103" xr:uid="{00000000-0005-0000-0000-0000422F0000}"/>
    <cellStyle name="Entrada 7 2 9 2 2 3" xfId="12104" xr:uid="{00000000-0005-0000-0000-0000432F0000}"/>
    <cellStyle name="Entrada 7 2 9 2 2 4" xfId="12105" xr:uid="{00000000-0005-0000-0000-0000442F0000}"/>
    <cellStyle name="Entrada 7 2 9 2 3" xfId="12106" xr:uid="{00000000-0005-0000-0000-0000452F0000}"/>
    <cellStyle name="Entrada 7 2 9 2 3 2" xfId="12107" xr:uid="{00000000-0005-0000-0000-0000462F0000}"/>
    <cellStyle name="Entrada 7 2 9 2 3 3" xfId="12108" xr:uid="{00000000-0005-0000-0000-0000472F0000}"/>
    <cellStyle name="Entrada 7 2 9 2 3 4" xfId="12109" xr:uid="{00000000-0005-0000-0000-0000482F0000}"/>
    <cellStyle name="Entrada 7 2 9 2 4" xfId="12110" xr:uid="{00000000-0005-0000-0000-0000492F0000}"/>
    <cellStyle name="Entrada 7 2 9 2 5" xfId="12111" xr:uid="{00000000-0005-0000-0000-00004A2F0000}"/>
    <cellStyle name="Entrada 7 2 9 2 6" xfId="12112" xr:uid="{00000000-0005-0000-0000-00004B2F0000}"/>
    <cellStyle name="Entrada 7 2 9 3" xfId="12113" xr:uid="{00000000-0005-0000-0000-00004C2F0000}"/>
    <cellStyle name="Entrada 7 2 9 3 2" xfId="12114" xr:uid="{00000000-0005-0000-0000-00004D2F0000}"/>
    <cellStyle name="Entrada 7 2 9 3 2 2" xfId="12115" xr:uid="{00000000-0005-0000-0000-00004E2F0000}"/>
    <cellStyle name="Entrada 7 2 9 3 2 3" xfId="12116" xr:uid="{00000000-0005-0000-0000-00004F2F0000}"/>
    <cellStyle name="Entrada 7 2 9 3 2 4" xfId="12117" xr:uid="{00000000-0005-0000-0000-0000502F0000}"/>
    <cellStyle name="Entrada 7 2 9 3 3" xfId="12118" xr:uid="{00000000-0005-0000-0000-0000512F0000}"/>
    <cellStyle name="Entrada 7 2 9 3 3 2" xfId="12119" xr:uid="{00000000-0005-0000-0000-0000522F0000}"/>
    <cellStyle name="Entrada 7 2 9 3 3 3" xfId="12120" xr:uid="{00000000-0005-0000-0000-0000532F0000}"/>
    <cellStyle name="Entrada 7 2 9 3 3 4" xfId="12121" xr:uid="{00000000-0005-0000-0000-0000542F0000}"/>
    <cellStyle name="Entrada 7 2 9 3 4" xfId="12122" xr:uid="{00000000-0005-0000-0000-0000552F0000}"/>
    <cellStyle name="Entrada 7 2 9 3 5" xfId="12123" xr:uid="{00000000-0005-0000-0000-0000562F0000}"/>
    <cellStyle name="Entrada 7 2 9 3 6" xfId="12124" xr:uid="{00000000-0005-0000-0000-0000572F0000}"/>
    <cellStyle name="Entrada 7 2 9 4" xfId="12125" xr:uid="{00000000-0005-0000-0000-0000582F0000}"/>
    <cellStyle name="Entrada 7 2 9 4 2" xfId="12126" xr:uid="{00000000-0005-0000-0000-0000592F0000}"/>
    <cellStyle name="Entrada 7 2 9 4 3" xfId="12127" xr:uid="{00000000-0005-0000-0000-00005A2F0000}"/>
    <cellStyle name="Entrada 7 2 9 4 4" xfId="12128" xr:uid="{00000000-0005-0000-0000-00005B2F0000}"/>
    <cellStyle name="Entrada 7 2 9 5" xfId="12129" xr:uid="{00000000-0005-0000-0000-00005C2F0000}"/>
    <cellStyle name="Entrada 7 2 9 6" xfId="12130" xr:uid="{00000000-0005-0000-0000-00005D2F0000}"/>
    <cellStyle name="Entrada 7 3" xfId="12131" xr:uid="{00000000-0005-0000-0000-00005E2F0000}"/>
    <cellStyle name="Entrada 7 3 10" xfId="12132" xr:uid="{00000000-0005-0000-0000-00005F2F0000}"/>
    <cellStyle name="Entrada 7 3 10 2" xfId="12133" xr:uid="{00000000-0005-0000-0000-0000602F0000}"/>
    <cellStyle name="Entrada 7 3 10 2 2" xfId="12134" xr:uid="{00000000-0005-0000-0000-0000612F0000}"/>
    <cellStyle name="Entrada 7 3 10 2 2 2" xfId="12135" xr:uid="{00000000-0005-0000-0000-0000622F0000}"/>
    <cellStyle name="Entrada 7 3 10 2 2 3" xfId="12136" xr:uid="{00000000-0005-0000-0000-0000632F0000}"/>
    <cellStyle name="Entrada 7 3 10 2 2 4" xfId="12137" xr:uid="{00000000-0005-0000-0000-0000642F0000}"/>
    <cellStyle name="Entrada 7 3 10 2 3" xfId="12138" xr:uid="{00000000-0005-0000-0000-0000652F0000}"/>
    <cellStyle name="Entrada 7 3 10 2 3 2" xfId="12139" xr:uid="{00000000-0005-0000-0000-0000662F0000}"/>
    <cellStyle name="Entrada 7 3 10 2 3 3" xfId="12140" xr:uid="{00000000-0005-0000-0000-0000672F0000}"/>
    <cellStyle name="Entrada 7 3 10 2 3 4" xfId="12141" xr:uid="{00000000-0005-0000-0000-0000682F0000}"/>
    <cellStyle name="Entrada 7 3 10 2 4" xfId="12142" xr:uid="{00000000-0005-0000-0000-0000692F0000}"/>
    <cellStyle name="Entrada 7 3 10 2 5" xfId="12143" xr:uid="{00000000-0005-0000-0000-00006A2F0000}"/>
    <cellStyle name="Entrada 7 3 10 2 6" xfId="12144" xr:uid="{00000000-0005-0000-0000-00006B2F0000}"/>
    <cellStyle name="Entrada 7 3 10 3" xfId="12145" xr:uid="{00000000-0005-0000-0000-00006C2F0000}"/>
    <cellStyle name="Entrada 7 3 10 3 2" xfId="12146" xr:uid="{00000000-0005-0000-0000-00006D2F0000}"/>
    <cellStyle name="Entrada 7 3 10 3 2 2" xfId="12147" xr:uid="{00000000-0005-0000-0000-00006E2F0000}"/>
    <cellStyle name="Entrada 7 3 10 3 2 3" xfId="12148" xr:uid="{00000000-0005-0000-0000-00006F2F0000}"/>
    <cellStyle name="Entrada 7 3 10 3 2 4" xfId="12149" xr:uid="{00000000-0005-0000-0000-0000702F0000}"/>
    <cellStyle name="Entrada 7 3 10 3 3" xfId="12150" xr:uid="{00000000-0005-0000-0000-0000712F0000}"/>
    <cellStyle name="Entrada 7 3 10 3 3 2" xfId="12151" xr:uid="{00000000-0005-0000-0000-0000722F0000}"/>
    <cellStyle name="Entrada 7 3 10 3 3 3" xfId="12152" xr:uid="{00000000-0005-0000-0000-0000732F0000}"/>
    <cellStyle name="Entrada 7 3 10 3 3 4" xfId="12153" xr:uid="{00000000-0005-0000-0000-0000742F0000}"/>
    <cellStyle name="Entrada 7 3 10 3 4" xfId="12154" xr:uid="{00000000-0005-0000-0000-0000752F0000}"/>
    <cellStyle name="Entrada 7 3 10 3 5" xfId="12155" xr:uid="{00000000-0005-0000-0000-0000762F0000}"/>
    <cellStyle name="Entrada 7 3 10 3 6" xfId="12156" xr:uid="{00000000-0005-0000-0000-0000772F0000}"/>
    <cellStyle name="Entrada 7 3 10 4" xfId="12157" xr:uid="{00000000-0005-0000-0000-0000782F0000}"/>
    <cellStyle name="Entrada 7 3 10 5" xfId="12158" xr:uid="{00000000-0005-0000-0000-0000792F0000}"/>
    <cellStyle name="Entrada 7 3 10 6" xfId="12159" xr:uid="{00000000-0005-0000-0000-00007A2F0000}"/>
    <cellStyle name="Entrada 7 3 11" xfId="12160" xr:uid="{00000000-0005-0000-0000-00007B2F0000}"/>
    <cellStyle name="Entrada 7 3 12" xfId="12161" xr:uid="{00000000-0005-0000-0000-00007C2F0000}"/>
    <cellStyle name="Entrada 7 3 2" xfId="12162" xr:uid="{00000000-0005-0000-0000-00007D2F0000}"/>
    <cellStyle name="Entrada 7 3 2 2" xfId="12163" xr:uid="{00000000-0005-0000-0000-00007E2F0000}"/>
    <cellStyle name="Entrada 7 3 2 2 2" xfId="12164" xr:uid="{00000000-0005-0000-0000-00007F2F0000}"/>
    <cellStyle name="Entrada 7 3 2 2 2 2" xfId="12165" xr:uid="{00000000-0005-0000-0000-0000802F0000}"/>
    <cellStyle name="Entrada 7 3 2 2 2 2 2" xfId="12166" xr:uid="{00000000-0005-0000-0000-0000812F0000}"/>
    <cellStyle name="Entrada 7 3 2 2 2 2 3" xfId="12167" xr:uid="{00000000-0005-0000-0000-0000822F0000}"/>
    <cellStyle name="Entrada 7 3 2 2 2 2 4" xfId="12168" xr:uid="{00000000-0005-0000-0000-0000832F0000}"/>
    <cellStyle name="Entrada 7 3 2 2 2 3" xfId="12169" xr:uid="{00000000-0005-0000-0000-0000842F0000}"/>
    <cellStyle name="Entrada 7 3 2 2 2 3 2" xfId="12170" xr:uid="{00000000-0005-0000-0000-0000852F0000}"/>
    <cellStyle name="Entrada 7 3 2 2 2 3 3" xfId="12171" xr:uid="{00000000-0005-0000-0000-0000862F0000}"/>
    <cellStyle name="Entrada 7 3 2 2 2 3 4" xfId="12172" xr:uid="{00000000-0005-0000-0000-0000872F0000}"/>
    <cellStyle name="Entrada 7 3 2 2 2 4" xfId="12173" xr:uid="{00000000-0005-0000-0000-0000882F0000}"/>
    <cellStyle name="Entrada 7 3 2 2 2 5" xfId="12174" xr:uid="{00000000-0005-0000-0000-0000892F0000}"/>
    <cellStyle name="Entrada 7 3 2 2 2 6" xfId="12175" xr:uid="{00000000-0005-0000-0000-00008A2F0000}"/>
    <cellStyle name="Entrada 7 3 2 2 3" xfId="12176" xr:uid="{00000000-0005-0000-0000-00008B2F0000}"/>
    <cellStyle name="Entrada 7 3 2 2 3 2" xfId="12177" xr:uid="{00000000-0005-0000-0000-00008C2F0000}"/>
    <cellStyle name="Entrada 7 3 2 2 3 2 2" xfId="12178" xr:uid="{00000000-0005-0000-0000-00008D2F0000}"/>
    <cellStyle name="Entrada 7 3 2 2 3 2 3" xfId="12179" xr:uid="{00000000-0005-0000-0000-00008E2F0000}"/>
    <cellStyle name="Entrada 7 3 2 2 3 2 4" xfId="12180" xr:uid="{00000000-0005-0000-0000-00008F2F0000}"/>
    <cellStyle name="Entrada 7 3 2 2 3 3" xfId="12181" xr:uid="{00000000-0005-0000-0000-0000902F0000}"/>
    <cellStyle name="Entrada 7 3 2 2 3 3 2" xfId="12182" xr:uid="{00000000-0005-0000-0000-0000912F0000}"/>
    <cellStyle name="Entrada 7 3 2 2 3 3 3" xfId="12183" xr:uid="{00000000-0005-0000-0000-0000922F0000}"/>
    <cellStyle name="Entrada 7 3 2 2 3 3 4" xfId="12184" xr:uid="{00000000-0005-0000-0000-0000932F0000}"/>
    <cellStyle name="Entrada 7 3 2 2 3 4" xfId="12185" xr:uid="{00000000-0005-0000-0000-0000942F0000}"/>
    <cellStyle name="Entrada 7 3 2 2 3 5" xfId="12186" xr:uid="{00000000-0005-0000-0000-0000952F0000}"/>
    <cellStyle name="Entrada 7 3 2 2 3 6" xfId="12187" xr:uid="{00000000-0005-0000-0000-0000962F0000}"/>
    <cellStyle name="Entrada 7 3 2 2 4" xfId="12188" xr:uid="{00000000-0005-0000-0000-0000972F0000}"/>
    <cellStyle name="Entrada 7 3 2 2 5" xfId="12189" xr:uid="{00000000-0005-0000-0000-0000982F0000}"/>
    <cellStyle name="Entrada 7 3 2 2 6" xfId="12190" xr:uid="{00000000-0005-0000-0000-0000992F0000}"/>
    <cellStyle name="Entrada 7 3 2 3" xfId="12191" xr:uid="{00000000-0005-0000-0000-00009A2F0000}"/>
    <cellStyle name="Entrada 7 3 2 4" xfId="12192" xr:uid="{00000000-0005-0000-0000-00009B2F0000}"/>
    <cellStyle name="Entrada 7 3 3" xfId="12193" xr:uid="{00000000-0005-0000-0000-00009C2F0000}"/>
    <cellStyle name="Entrada 7 3 3 2" xfId="12194" xr:uid="{00000000-0005-0000-0000-00009D2F0000}"/>
    <cellStyle name="Entrada 7 3 3 2 2" xfId="12195" xr:uid="{00000000-0005-0000-0000-00009E2F0000}"/>
    <cellStyle name="Entrada 7 3 3 2 2 2" xfId="12196" xr:uid="{00000000-0005-0000-0000-00009F2F0000}"/>
    <cellStyle name="Entrada 7 3 3 2 2 2 2" xfId="12197" xr:uid="{00000000-0005-0000-0000-0000A02F0000}"/>
    <cellStyle name="Entrada 7 3 3 2 2 2 3" xfId="12198" xr:uid="{00000000-0005-0000-0000-0000A12F0000}"/>
    <cellStyle name="Entrada 7 3 3 2 2 2 4" xfId="12199" xr:uid="{00000000-0005-0000-0000-0000A22F0000}"/>
    <cellStyle name="Entrada 7 3 3 2 2 3" xfId="12200" xr:uid="{00000000-0005-0000-0000-0000A32F0000}"/>
    <cellStyle name="Entrada 7 3 3 2 2 3 2" xfId="12201" xr:uid="{00000000-0005-0000-0000-0000A42F0000}"/>
    <cellStyle name="Entrada 7 3 3 2 2 3 3" xfId="12202" xr:uid="{00000000-0005-0000-0000-0000A52F0000}"/>
    <cellStyle name="Entrada 7 3 3 2 2 3 4" xfId="12203" xr:uid="{00000000-0005-0000-0000-0000A62F0000}"/>
    <cellStyle name="Entrada 7 3 3 2 2 4" xfId="12204" xr:uid="{00000000-0005-0000-0000-0000A72F0000}"/>
    <cellStyle name="Entrada 7 3 3 2 2 5" xfId="12205" xr:uid="{00000000-0005-0000-0000-0000A82F0000}"/>
    <cellStyle name="Entrada 7 3 3 2 2 6" xfId="12206" xr:uid="{00000000-0005-0000-0000-0000A92F0000}"/>
    <cellStyle name="Entrada 7 3 3 2 3" xfId="12207" xr:uid="{00000000-0005-0000-0000-0000AA2F0000}"/>
    <cellStyle name="Entrada 7 3 3 2 3 2" xfId="12208" xr:uid="{00000000-0005-0000-0000-0000AB2F0000}"/>
    <cellStyle name="Entrada 7 3 3 2 3 2 2" xfId="12209" xr:uid="{00000000-0005-0000-0000-0000AC2F0000}"/>
    <cellStyle name="Entrada 7 3 3 2 3 2 3" xfId="12210" xr:uid="{00000000-0005-0000-0000-0000AD2F0000}"/>
    <cellStyle name="Entrada 7 3 3 2 3 2 4" xfId="12211" xr:uid="{00000000-0005-0000-0000-0000AE2F0000}"/>
    <cellStyle name="Entrada 7 3 3 2 3 3" xfId="12212" xr:uid="{00000000-0005-0000-0000-0000AF2F0000}"/>
    <cellStyle name="Entrada 7 3 3 2 3 3 2" xfId="12213" xr:uid="{00000000-0005-0000-0000-0000B02F0000}"/>
    <cellStyle name="Entrada 7 3 3 2 3 3 3" xfId="12214" xr:uid="{00000000-0005-0000-0000-0000B12F0000}"/>
    <cellStyle name="Entrada 7 3 3 2 3 3 4" xfId="12215" xr:uid="{00000000-0005-0000-0000-0000B22F0000}"/>
    <cellStyle name="Entrada 7 3 3 2 3 4" xfId="12216" xr:uid="{00000000-0005-0000-0000-0000B32F0000}"/>
    <cellStyle name="Entrada 7 3 3 2 3 5" xfId="12217" xr:uid="{00000000-0005-0000-0000-0000B42F0000}"/>
    <cellStyle name="Entrada 7 3 3 2 3 6" xfId="12218" xr:uid="{00000000-0005-0000-0000-0000B52F0000}"/>
    <cellStyle name="Entrada 7 3 3 2 4" xfId="12219" xr:uid="{00000000-0005-0000-0000-0000B62F0000}"/>
    <cellStyle name="Entrada 7 3 3 2 5" xfId="12220" xr:uid="{00000000-0005-0000-0000-0000B72F0000}"/>
    <cellStyle name="Entrada 7 3 3 2 6" xfId="12221" xr:uid="{00000000-0005-0000-0000-0000B82F0000}"/>
    <cellStyle name="Entrada 7 3 3 3" xfId="12222" xr:uid="{00000000-0005-0000-0000-0000B92F0000}"/>
    <cellStyle name="Entrada 7 3 3 4" xfId="12223" xr:uid="{00000000-0005-0000-0000-0000BA2F0000}"/>
    <cellStyle name="Entrada 7 3 4" xfId="12224" xr:uid="{00000000-0005-0000-0000-0000BB2F0000}"/>
    <cellStyle name="Entrada 7 3 4 2" xfId="12225" xr:uid="{00000000-0005-0000-0000-0000BC2F0000}"/>
    <cellStyle name="Entrada 7 3 4 2 2" xfId="12226" xr:uid="{00000000-0005-0000-0000-0000BD2F0000}"/>
    <cellStyle name="Entrada 7 3 4 2 2 2" xfId="12227" xr:uid="{00000000-0005-0000-0000-0000BE2F0000}"/>
    <cellStyle name="Entrada 7 3 4 2 2 2 2" xfId="12228" xr:uid="{00000000-0005-0000-0000-0000BF2F0000}"/>
    <cellStyle name="Entrada 7 3 4 2 2 2 3" xfId="12229" xr:uid="{00000000-0005-0000-0000-0000C02F0000}"/>
    <cellStyle name="Entrada 7 3 4 2 2 2 4" xfId="12230" xr:uid="{00000000-0005-0000-0000-0000C12F0000}"/>
    <cellStyle name="Entrada 7 3 4 2 2 3" xfId="12231" xr:uid="{00000000-0005-0000-0000-0000C22F0000}"/>
    <cellStyle name="Entrada 7 3 4 2 2 3 2" xfId="12232" xr:uid="{00000000-0005-0000-0000-0000C32F0000}"/>
    <cellStyle name="Entrada 7 3 4 2 2 3 3" xfId="12233" xr:uid="{00000000-0005-0000-0000-0000C42F0000}"/>
    <cellStyle name="Entrada 7 3 4 2 2 3 4" xfId="12234" xr:uid="{00000000-0005-0000-0000-0000C52F0000}"/>
    <cellStyle name="Entrada 7 3 4 2 2 4" xfId="12235" xr:uid="{00000000-0005-0000-0000-0000C62F0000}"/>
    <cellStyle name="Entrada 7 3 4 2 2 5" xfId="12236" xr:uid="{00000000-0005-0000-0000-0000C72F0000}"/>
    <cellStyle name="Entrada 7 3 4 2 2 6" xfId="12237" xr:uid="{00000000-0005-0000-0000-0000C82F0000}"/>
    <cellStyle name="Entrada 7 3 4 2 3" xfId="12238" xr:uid="{00000000-0005-0000-0000-0000C92F0000}"/>
    <cellStyle name="Entrada 7 3 4 2 3 2" xfId="12239" xr:uid="{00000000-0005-0000-0000-0000CA2F0000}"/>
    <cellStyle name="Entrada 7 3 4 2 3 2 2" xfId="12240" xr:uid="{00000000-0005-0000-0000-0000CB2F0000}"/>
    <cellStyle name="Entrada 7 3 4 2 3 2 3" xfId="12241" xr:uid="{00000000-0005-0000-0000-0000CC2F0000}"/>
    <cellStyle name="Entrada 7 3 4 2 3 2 4" xfId="12242" xr:uid="{00000000-0005-0000-0000-0000CD2F0000}"/>
    <cellStyle name="Entrada 7 3 4 2 3 3" xfId="12243" xr:uid="{00000000-0005-0000-0000-0000CE2F0000}"/>
    <cellStyle name="Entrada 7 3 4 2 3 3 2" xfId="12244" xr:uid="{00000000-0005-0000-0000-0000CF2F0000}"/>
    <cellStyle name="Entrada 7 3 4 2 3 3 3" xfId="12245" xr:uid="{00000000-0005-0000-0000-0000D02F0000}"/>
    <cellStyle name="Entrada 7 3 4 2 3 3 4" xfId="12246" xr:uid="{00000000-0005-0000-0000-0000D12F0000}"/>
    <cellStyle name="Entrada 7 3 4 2 3 4" xfId="12247" xr:uid="{00000000-0005-0000-0000-0000D22F0000}"/>
    <cellStyle name="Entrada 7 3 4 2 3 5" xfId="12248" xr:uid="{00000000-0005-0000-0000-0000D32F0000}"/>
    <cellStyle name="Entrada 7 3 4 2 3 6" xfId="12249" xr:uid="{00000000-0005-0000-0000-0000D42F0000}"/>
    <cellStyle name="Entrada 7 3 4 2 4" xfId="12250" xr:uid="{00000000-0005-0000-0000-0000D52F0000}"/>
    <cellStyle name="Entrada 7 3 4 2 5" xfId="12251" xr:uid="{00000000-0005-0000-0000-0000D62F0000}"/>
    <cellStyle name="Entrada 7 3 4 2 6" xfId="12252" xr:uid="{00000000-0005-0000-0000-0000D72F0000}"/>
    <cellStyle name="Entrada 7 3 4 3" xfId="12253" xr:uid="{00000000-0005-0000-0000-0000D82F0000}"/>
    <cellStyle name="Entrada 7 3 4 4" xfId="12254" xr:uid="{00000000-0005-0000-0000-0000D92F0000}"/>
    <cellStyle name="Entrada 7 3 5" xfId="12255" xr:uid="{00000000-0005-0000-0000-0000DA2F0000}"/>
    <cellStyle name="Entrada 7 3 5 2" xfId="12256" xr:uid="{00000000-0005-0000-0000-0000DB2F0000}"/>
    <cellStyle name="Entrada 7 3 5 2 2" xfId="12257" xr:uid="{00000000-0005-0000-0000-0000DC2F0000}"/>
    <cellStyle name="Entrada 7 3 5 2 2 2" xfId="12258" xr:uid="{00000000-0005-0000-0000-0000DD2F0000}"/>
    <cellStyle name="Entrada 7 3 5 2 2 2 2" xfId="12259" xr:uid="{00000000-0005-0000-0000-0000DE2F0000}"/>
    <cellStyle name="Entrada 7 3 5 2 2 2 3" xfId="12260" xr:uid="{00000000-0005-0000-0000-0000DF2F0000}"/>
    <cellStyle name="Entrada 7 3 5 2 2 2 4" xfId="12261" xr:uid="{00000000-0005-0000-0000-0000E02F0000}"/>
    <cellStyle name="Entrada 7 3 5 2 2 3" xfId="12262" xr:uid="{00000000-0005-0000-0000-0000E12F0000}"/>
    <cellStyle name="Entrada 7 3 5 2 2 3 2" xfId="12263" xr:uid="{00000000-0005-0000-0000-0000E22F0000}"/>
    <cellStyle name="Entrada 7 3 5 2 2 3 3" xfId="12264" xr:uid="{00000000-0005-0000-0000-0000E32F0000}"/>
    <cellStyle name="Entrada 7 3 5 2 2 3 4" xfId="12265" xr:uid="{00000000-0005-0000-0000-0000E42F0000}"/>
    <cellStyle name="Entrada 7 3 5 2 2 4" xfId="12266" xr:uid="{00000000-0005-0000-0000-0000E52F0000}"/>
    <cellStyle name="Entrada 7 3 5 2 2 5" xfId="12267" xr:uid="{00000000-0005-0000-0000-0000E62F0000}"/>
    <cellStyle name="Entrada 7 3 5 2 2 6" xfId="12268" xr:uid="{00000000-0005-0000-0000-0000E72F0000}"/>
    <cellStyle name="Entrada 7 3 5 2 3" xfId="12269" xr:uid="{00000000-0005-0000-0000-0000E82F0000}"/>
    <cellStyle name="Entrada 7 3 5 2 3 2" xfId="12270" xr:uid="{00000000-0005-0000-0000-0000E92F0000}"/>
    <cellStyle name="Entrada 7 3 5 2 3 2 2" xfId="12271" xr:uid="{00000000-0005-0000-0000-0000EA2F0000}"/>
    <cellStyle name="Entrada 7 3 5 2 3 2 3" xfId="12272" xr:uid="{00000000-0005-0000-0000-0000EB2F0000}"/>
    <cellStyle name="Entrada 7 3 5 2 3 2 4" xfId="12273" xr:uid="{00000000-0005-0000-0000-0000EC2F0000}"/>
    <cellStyle name="Entrada 7 3 5 2 3 3" xfId="12274" xr:uid="{00000000-0005-0000-0000-0000ED2F0000}"/>
    <cellStyle name="Entrada 7 3 5 2 3 3 2" xfId="12275" xr:uid="{00000000-0005-0000-0000-0000EE2F0000}"/>
    <cellStyle name="Entrada 7 3 5 2 3 3 3" xfId="12276" xr:uid="{00000000-0005-0000-0000-0000EF2F0000}"/>
    <cellStyle name="Entrada 7 3 5 2 3 3 4" xfId="12277" xr:uid="{00000000-0005-0000-0000-0000F02F0000}"/>
    <cellStyle name="Entrada 7 3 5 2 3 4" xfId="12278" xr:uid="{00000000-0005-0000-0000-0000F12F0000}"/>
    <cellStyle name="Entrada 7 3 5 2 3 5" xfId="12279" xr:uid="{00000000-0005-0000-0000-0000F22F0000}"/>
    <cellStyle name="Entrada 7 3 5 2 3 6" xfId="12280" xr:uid="{00000000-0005-0000-0000-0000F32F0000}"/>
    <cellStyle name="Entrada 7 3 5 2 4" xfId="12281" xr:uid="{00000000-0005-0000-0000-0000F42F0000}"/>
    <cellStyle name="Entrada 7 3 5 2 5" xfId="12282" xr:uid="{00000000-0005-0000-0000-0000F52F0000}"/>
    <cellStyle name="Entrada 7 3 5 2 6" xfId="12283" xr:uid="{00000000-0005-0000-0000-0000F62F0000}"/>
    <cellStyle name="Entrada 7 3 5 3" xfId="12284" xr:uid="{00000000-0005-0000-0000-0000F72F0000}"/>
    <cellStyle name="Entrada 7 3 5 4" xfId="12285" xr:uid="{00000000-0005-0000-0000-0000F82F0000}"/>
    <cellStyle name="Entrada 7 3 6" xfId="12286" xr:uid="{00000000-0005-0000-0000-0000F92F0000}"/>
    <cellStyle name="Entrada 7 3 6 2" xfId="12287" xr:uid="{00000000-0005-0000-0000-0000FA2F0000}"/>
    <cellStyle name="Entrada 7 3 6 2 2" xfId="12288" xr:uid="{00000000-0005-0000-0000-0000FB2F0000}"/>
    <cellStyle name="Entrada 7 3 6 2 2 2" xfId="12289" xr:uid="{00000000-0005-0000-0000-0000FC2F0000}"/>
    <cellStyle name="Entrada 7 3 6 2 2 3" xfId="12290" xr:uid="{00000000-0005-0000-0000-0000FD2F0000}"/>
    <cellStyle name="Entrada 7 3 6 2 2 4" xfId="12291" xr:uid="{00000000-0005-0000-0000-0000FE2F0000}"/>
    <cellStyle name="Entrada 7 3 6 2 3" xfId="12292" xr:uid="{00000000-0005-0000-0000-0000FF2F0000}"/>
    <cellStyle name="Entrada 7 3 6 2 3 2" xfId="12293" xr:uid="{00000000-0005-0000-0000-000000300000}"/>
    <cellStyle name="Entrada 7 3 6 2 3 3" xfId="12294" xr:uid="{00000000-0005-0000-0000-000001300000}"/>
    <cellStyle name="Entrada 7 3 6 2 3 4" xfId="12295" xr:uid="{00000000-0005-0000-0000-000002300000}"/>
    <cellStyle name="Entrada 7 3 6 2 4" xfId="12296" xr:uid="{00000000-0005-0000-0000-000003300000}"/>
    <cellStyle name="Entrada 7 3 6 2 5" xfId="12297" xr:uid="{00000000-0005-0000-0000-000004300000}"/>
    <cellStyle name="Entrada 7 3 6 2 6" xfId="12298" xr:uid="{00000000-0005-0000-0000-000005300000}"/>
    <cellStyle name="Entrada 7 3 6 3" xfId="12299" xr:uid="{00000000-0005-0000-0000-000006300000}"/>
    <cellStyle name="Entrada 7 3 6 3 2" xfId="12300" xr:uid="{00000000-0005-0000-0000-000007300000}"/>
    <cellStyle name="Entrada 7 3 6 3 2 2" xfId="12301" xr:uid="{00000000-0005-0000-0000-000008300000}"/>
    <cellStyle name="Entrada 7 3 6 3 2 3" xfId="12302" xr:uid="{00000000-0005-0000-0000-000009300000}"/>
    <cellStyle name="Entrada 7 3 6 3 2 4" xfId="12303" xr:uid="{00000000-0005-0000-0000-00000A300000}"/>
    <cellStyle name="Entrada 7 3 6 3 3" xfId="12304" xr:uid="{00000000-0005-0000-0000-00000B300000}"/>
    <cellStyle name="Entrada 7 3 6 3 3 2" xfId="12305" xr:uid="{00000000-0005-0000-0000-00000C300000}"/>
    <cellStyle name="Entrada 7 3 6 3 3 3" xfId="12306" xr:uid="{00000000-0005-0000-0000-00000D300000}"/>
    <cellStyle name="Entrada 7 3 6 3 3 4" xfId="12307" xr:uid="{00000000-0005-0000-0000-00000E300000}"/>
    <cellStyle name="Entrada 7 3 6 3 4" xfId="12308" xr:uid="{00000000-0005-0000-0000-00000F300000}"/>
    <cellStyle name="Entrada 7 3 6 3 5" xfId="12309" xr:uid="{00000000-0005-0000-0000-000010300000}"/>
    <cellStyle name="Entrada 7 3 6 3 6" xfId="12310" xr:uid="{00000000-0005-0000-0000-000011300000}"/>
    <cellStyle name="Entrada 7 3 6 4" xfId="12311" xr:uid="{00000000-0005-0000-0000-000012300000}"/>
    <cellStyle name="Entrada 7 3 6 4 2" xfId="12312" xr:uid="{00000000-0005-0000-0000-000013300000}"/>
    <cellStyle name="Entrada 7 3 6 4 3" xfId="12313" xr:uid="{00000000-0005-0000-0000-000014300000}"/>
    <cellStyle name="Entrada 7 3 6 4 4" xfId="12314" xr:uid="{00000000-0005-0000-0000-000015300000}"/>
    <cellStyle name="Entrada 7 3 6 5" xfId="12315" xr:uid="{00000000-0005-0000-0000-000016300000}"/>
    <cellStyle name="Entrada 7 3 6 6" xfId="12316" xr:uid="{00000000-0005-0000-0000-000017300000}"/>
    <cellStyle name="Entrada 7 3 7" xfId="12317" xr:uid="{00000000-0005-0000-0000-000018300000}"/>
    <cellStyle name="Entrada 7 3 7 2" xfId="12318" xr:uid="{00000000-0005-0000-0000-000019300000}"/>
    <cellStyle name="Entrada 7 3 7 2 2" xfId="12319" xr:uid="{00000000-0005-0000-0000-00001A300000}"/>
    <cellStyle name="Entrada 7 3 7 2 2 2" xfId="12320" xr:uid="{00000000-0005-0000-0000-00001B300000}"/>
    <cellStyle name="Entrada 7 3 7 2 2 3" xfId="12321" xr:uid="{00000000-0005-0000-0000-00001C300000}"/>
    <cellStyle name="Entrada 7 3 7 2 2 4" xfId="12322" xr:uid="{00000000-0005-0000-0000-00001D300000}"/>
    <cellStyle name="Entrada 7 3 7 2 3" xfId="12323" xr:uid="{00000000-0005-0000-0000-00001E300000}"/>
    <cellStyle name="Entrada 7 3 7 2 3 2" xfId="12324" xr:uid="{00000000-0005-0000-0000-00001F300000}"/>
    <cellStyle name="Entrada 7 3 7 2 3 3" xfId="12325" xr:uid="{00000000-0005-0000-0000-000020300000}"/>
    <cellStyle name="Entrada 7 3 7 2 3 4" xfId="12326" xr:uid="{00000000-0005-0000-0000-000021300000}"/>
    <cellStyle name="Entrada 7 3 7 2 4" xfId="12327" xr:uid="{00000000-0005-0000-0000-000022300000}"/>
    <cellStyle name="Entrada 7 3 7 2 5" xfId="12328" xr:uid="{00000000-0005-0000-0000-000023300000}"/>
    <cellStyle name="Entrada 7 3 7 2 6" xfId="12329" xr:uid="{00000000-0005-0000-0000-000024300000}"/>
    <cellStyle name="Entrada 7 3 7 3" xfId="12330" xr:uid="{00000000-0005-0000-0000-000025300000}"/>
    <cellStyle name="Entrada 7 3 7 3 2" xfId="12331" xr:uid="{00000000-0005-0000-0000-000026300000}"/>
    <cellStyle name="Entrada 7 3 7 3 2 2" xfId="12332" xr:uid="{00000000-0005-0000-0000-000027300000}"/>
    <cellStyle name="Entrada 7 3 7 3 2 3" xfId="12333" xr:uid="{00000000-0005-0000-0000-000028300000}"/>
    <cellStyle name="Entrada 7 3 7 3 2 4" xfId="12334" xr:uid="{00000000-0005-0000-0000-000029300000}"/>
    <cellStyle name="Entrada 7 3 7 3 3" xfId="12335" xr:uid="{00000000-0005-0000-0000-00002A300000}"/>
    <cellStyle name="Entrada 7 3 7 3 3 2" xfId="12336" xr:uid="{00000000-0005-0000-0000-00002B300000}"/>
    <cellStyle name="Entrada 7 3 7 3 3 3" xfId="12337" xr:uid="{00000000-0005-0000-0000-00002C300000}"/>
    <cellStyle name="Entrada 7 3 7 3 3 4" xfId="12338" xr:uid="{00000000-0005-0000-0000-00002D300000}"/>
    <cellStyle name="Entrada 7 3 7 3 4" xfId="12339" xr:uid="{00000000-0005-0000-0000-00002E300000}"/>
    <cellStyle name="Entrada 7 3 7 3 5" xfId="12340" xr:uid="{00000000-0005-0000-0000-00002F300000}"/>
    <cellStyle name="Entrada 7 3 7 3 6" xfId="12341" xr:uid="{00000000-0005-0000-0000-000030300000}"/>
    <cellStyle name="Entrada 7 3 7 4" xfId="12342" xr:uid="{00000000-0005-0000-0000-000031300000}"/>
    <cellStyle name="Entrada 7 3 7 4 2" xfId="12343" xr:uid="{00000000-0005-0000-0000-000032300000}"/>
    <cellStyle name="Entrada 7 3 7 4 3" xfId="12344" xr:uid="{00000000-0005-0000-0000-000033300000}"/>
    <cellStyle name="Entrada 7 3 7 4 4" xfId="12345" xr:uid="{00000000-0005-0000-0000-000034300000}"/>
    <cellStyle name="Entrada 7 3 7 5" xfId="12346" xr:uid="{00000000-0005-0000-0000-000035300000}"/>
    <cellStyle name="Entrada 7 3 7 6" xfId="12347" xr:uid="{00000000-0005-0000-0000-000036300000}"/>
    <cellStyle name="Entrada 7 3 8" xfId="12348" xr:uid="{00000000-0005-0000-0000-000037300000}"/>
    <cellStyle name="Entrada 7 3 8 2" xfId="12349" xr:uid="{00000000-0005-0000-0000-000038300000}"/>
    <cellStyle name="Entrada 7 3 8 2 2" xfId="12350" xr:uid="{00000000-0005-0000-0000-000039300000}"/>
    <cellStyle name="Entrada 7 3 8 2 2 2" xfId="12351" xr:uid="{00000000-0005-0000-0000-00003A300000}"/>
    <cellStyle name="Entrada 7 3 8 2 2 3" xfId="12352" xr:uid="{00000000-0005-0000-0000-00003B300000}"/>
    <cellStyle name="Entrada 7 3 8 2 2 4" xfId="12353" xr:uid="{00000000-0005-0000-0000-00003C300000}"/>
    <cellStyle name="Entrada 7 3 8 2 3" xfId="12354" xr:uid="{00000000-0005-0000-0000-00003D300000}"/>
    <cellStyle name="Entrada 7 3 8 2 3 2" xfId="12355" xr:uid="{00000000-0005-0000-0000-00003E300000}"/>
    <cellStyle name="Entrada 7 3 8 2 3 3" xfId="12356" xr:uid="{00000000-0005-0000-0000-00003F300000}"/>
    <cellStyle name="Entrada 7 3 8 2 3 4" xfId="12357" xr:uid="{00000000-0005-0000-0000-000040300000}"/>
    <cellStyle name="Entrada 7 3 8 2 4" xfId="12358" xr:uid="{00000000-0005-0000-0000-000041300000}"/>
    <cellStyle name="Entrada 7 3 8 2 5" xfId="12359" xr:uid="{00000000-0005-0000-0000-000042300000}"/>
    <cellStyle name="Entrada 7 3 8 2 6" xfId="12360" xr:uid="{00000000-0005-0000-0000-000043300000}"/>
    <cellStyle name="Entrada 7 3 8 3" xfId="12361" xr:uid="{00000000-0005-0000-0000-000044300000}"/>
    <cellStyle name="Entrada 7 3 8 3 2" xfId="12362" xr:uid="{00000000-0005-0000-0000-000045300000}"/>
    <cellStyle name="Entrada 7 3 8 3 2 2" xfId="12363" xr:uid="{00000000-0005-0000-0000-000046300000}"/>
    <cellStyle name="Entrada 7 3 8 3 2 3" xfId="12364" xr:uid="{00000000-0005-0000-0000-000047300000}"/>
    <cellStyle name="Entrada 7 3 8 3 2 4" xfId="12365" xr:uid="{00000000-0005-0000-0000-000048300000}"/>
    <cellStyle name="Entrada 7 3 8 3 3" xfId="12366" xr:uid="{00000000-0005-0000-0000-000049300000}"/>
    <cellStyle name="Entrada 7 3 8 3 3 2" xfId="12367" xr:uid="{00000000-0005-0000-0000-00004A300000}"/>
    <cellStyle name="Entrada 7 3 8 3 3 3" xfId="12368" xr:uid="{00000000-0005-0000-0000-00004B300000}"/>
    <cellStyle name="Entrada 7 3 8 3 3 4" xfId="12369" xr:uid="{00000000-0005-0000-0000-00004C300000}"/>
    <cellStyle name="Entrada 7 3 8 3 4" xfId="12370" xr:uid="{00000000-0005-0000-0000-00004D300000}"/>
    <cellStyle name="Entrada 7 3 8 3 5" xfId="12371" xr:uid="{00000000-0005-0000-0000-00004E300000}"/>
    <cellStyle name="Entrada 7 3 8 3 6" xfId="12372" xr:uid="{00000000-0005-0000-0000-00004F300000}"/>
    <cellStyle name="Entrada 7 3 8 4" xfId="12373" xr:uid="{00000000-0005-0000-0000-000050300000}"/>
    <cellStyle name="Entrada 7 3 8 4 2" xfId="12374" xr:uid="{00000000-0005-0000-0000-000051300000}"/>
    <cellStyle name="Entrada 7 3 8 4 3" xfId="12375" xr:uid="{00000000-0005-0000-0000-000052300000}"/>
    <cellStyle name="Entrada 7 3 8 4 4" xfId="12376" xr:uid="{00000000-0005-0000-0000-000053300000}"/>
    <cellStyle name="Entrada 7 3 8 5" xfId="12377" xr:uid="{00000000-0005-0000-0000-000054300000}"/>
    <cellStyle name="Entrada 7 3 8 6" xfId="12378" xr:uid="{00000000-0005-0000-0000-000055300000}"/>
    <cellStyle name="Entrada 7 3 9" xfId="12379" xr:uid="{00000000-0005-0000-0000-000056300000}"/>
    <cellStyle name="Entrada 7 3 9 2" xfId="12380" xr:uid="{00000000-0005-0000-0000-000057300000}"/>
    <cellStyle name="Entrada 7 3 9 2 2" xfId="12381" xr:uid="{00000000-0005-0000-0000-000058300000}"/>
    <cellStyle name="Entrada 7 3 9 2 2 2" xfId="12382" xr:uid="{00000000-0005-0000-0000-000059300000}"/>
    <cellStyle name="Entrada 7 3 9 2 2 3" xfId="12383" xr:uid="{00000000-0005-0000-0000-00005A300000}"/>
    <cellStyle name="Entrada 7 3 9 2 2 4" xfId="12384" xr:uid="{00000000-0005-0000-0000-00005B300000}"/>
    <cellStyle name="Entrada 7 3 9 2 3" xfId="12385" xr:uid="{00000000-0005-0000-0000-00005C300000}"/>
    <cellStyle name="Entrada 7 3 9 2 3 2" xfId="12386" xr:uid="{00000000-0005-0000-0000-00005D300000}"/>
    <cellStyle name="Entrada 7 3 9 2 3 3" xfId="12387" xr:uid="{00000000-0005-0000-0000-00005E300000}"/>
    <cellStyle name="Entrada 7 3 9 2 3 4" xfId="12388" xr:uid="{00000000-0005-0000-0000-00005F300000}"/>
    <cellStyle name="Entrada 7 3 9 2 4" xfId="12389" xr:uid="{00000000-0005-0000-0000-000060300000}"/>
    <cellStyle name="Entrada 7 3 9 2 5" xfId="12390" xr:uid="{00000000-0005-0000-0000-000061300000}"/>
    <cellStyle name="Entrada 7 3 9 2 6" xfId="12391" xr:uid="{00000000-0005-0000-0000-000062300000}"/>
    <cellStyle name="Entrada 7 3 9 3" xfId="12392" xr:uid="{00000000-0005-0000-0000-000063300000}"/>
    <cellStyle name="Entrada 7 3 9 3 2" xfId="12393" xr:uid="{00000000-0005-0000-0000-000064300000}"/>
    <cellStyle name="Entrada 7 3 9 3 2 2" xfId="12394" xr:uid="{00000000-0005-0000-0000-000065300000}"/>
    <cellStyle name="Entrada 7 3 9 3 2 3" xfId="12395" xr:uid="{00000000-0005-0000-0000-000066300000}"/>
    <cellStyle name="Entrada 7 3 9 3 2 4" xfId="12396" xr:uid="{00000000-0005-0000-0000-000067300000}"/>
    <cellStyle name="Entrada 7 3 9 3 3" xfId="12397" xr:uid="{00000000-0005-0000-0000-000068300000}"/>
    <cellStyle name="Entrada 7 3 9 3 3 2" xfId="12398" xr:uid="{00000000-0005-0000-0000-000069300000}"/>
    <cellStyle name="Entrada 7 3 9 3 3 3" xfId="12399" xr:uid="{00000000-0005-0000-0000-00006A300000}"/>
    <cellStyle name="Entrada 7 3 9 3 3 4" xfId="12400" xr:uid="{00000000-0005-0000-0000-00006B300000}"/>
    <cellStyle name="Entrada 7 3 9 3 4" xfId="12401" xr:uid="{00000000-0005-0000-0000-00006C300000}"/>
    <cellStyle name="Entrada 7 3 9 3 5" xfId="12402" xr:uid="{00000000-0005-0000-0000-00006D300000}"/>
    <cellStyle name="Entrada 7 3 9 3 6" xfId="12403" xr:uid="{00000000-0005-0000-0000-00006E300000}"/>
    <cellStyle name="Entrada 7 3 9 4" xfId="12404" xr:uid="{00000000-0005-0000-0000-00006F300000}"/>
    <cellStyle name="Entrada 7 3 9 4 2" xfId="12405" xr:uid="{00000000-0005-0000-0000-000070300000}"/>
    <cellStyle name="Entrada 7 3 9 4 3" xfId="12406" xr:uid="{00000000-0005-0000-0000-000071300000}"/>
    <cellStyle name="Entrada 7 3 9 4 4" xfId="12407" xr:uid="{00000000-0005-0000-0000-000072300000}"/>
    <cellStyle name="Entrada 7 3 9 5" xfId="12408" xr:uid="{00000000-0005-0000-0000-000073300000}"/>
    <cellStyle name="Entrada 7 3 9 6" xfId="12409" xr:uid="{00000000-0005-0000-0000-000074300000}"/>
    <cellStyle name="Entrada 7 4" xfId="12410" xr:uid="{00000000-0005-0000-0000-000075300000}"/>
    <cellStyle name="Entrada 7 4 2" xfId="12411" xr:uid="{00000000-0005-0000-0000-000076300000}"/>
    <cellStyle name="Entrada 7 4 2 2" xfId="12412" xr:uid="{00000000-0005-0000-0000-000077300000}"/>
    <cellStyle name="Entrada 7 4 2 2 2" xfId="12413" xr:uid="{00000000-0005-0000-0000-000078300000}"/>
    <cellStyle name="Entrada 7 4 2 2 2 2" xfId="12414" xr:uid="{00000000-0005-0000-0000-000079300000}"/>
    <cellStyle name="Entrada 7 4 2 2 2 3" xfId="12415" xr:uid="{00000000-0005-0000-0000-00007A300000}"/>
    <cellStyle name="Entrada 7 4 2 2 2 4" xfId="12416" xr:uid="{00000000-0005-0000-0000-00007B300000}"/>
    <cellStyle name="Entrada 7 4 2 2 3" xfId="12417" xr:uid="{00000000-0005-0000-0000-00007C300000}"/>
    <cellStyle name="Entrada 7 4 2 2 3 2" xfId="12418" xr:uid="{00000000-0005-0000-0000-00007D300000}"/>
    <cellStyle name="Entrada 7 4 2 2 3 3" xfId="12419" xr:uid="{00000000-0005-0000-0000-00007E300000}"/>
    <cellStyle name="Entrada 7 4 2 2 3 4" xfId="12420" xr:uid="{00000000-0005-0000-0000-00007F300000}"/>
    <cellStyle name="Entrada 7 4 2 2 4" xfId="12421" xr:uid="{00000000-0005-0000-0000-000080300000}"/>
    <cellStyle name="Entrada 7 4 2 2 5" xfId="12422" xr:uid="{00000000-0005-0000-0000-000081300000}"/>
    <cellStyle name="Entrada 7 4 2 2 6" xfId="12423" xr:uid="{00000000-0005-0000-0000-000082300000}"/>
    <cellStyle name="Entrada 7 4 2 3" xfId="12424" xr:uid="{00000000-0005-0000-0000-000083300000}"/>
    <cellStyle name="Entrada 7 4 2 3 2" xfId="12425" xr:uid="{00000000-0005-0000-0000-000084300000}"/>
    <cellStyle name="Entrada 7 4 2 3 2 2" xfId="12426" xr:uid="{00000000-0005-0000-0000-000085300000}"/>
    <cellStyle name="Entrada 7 4 2 3 2 3" xfId="12427" xr:uid="{00000000-0005-0000-0000-000086300000}"/>
    <cellStyle name="Entrada 7 4 2 3 2 4" xfId="12428" xr:uid="{00000000-0005-0000-0000-000087300000}"/>
    <cellStyle name="Entrada 7 4 2 3 3" xfId="12429" xr:uid="{00000000-0005-0000-0000-000088300000}"/>
    <cellStyle name="Entrada 7 4 2 3 3 2" xfId="12430" xr:uid="{00000000-0005-0000-0000-000089300000}"/>
    <cellStyle name="Entrada 7 4 2 3 3 3" xfId="12431" xr:uid="{00000000-0005-0000-0000-00008A300000}"/>
    <cellStyle name="Entrada 7 4 2 3 3 4" xfId="12432" xr:uid="{00000000-0005-0000-0000-00008B300000}"/>
    <cellStyle name="Entrada 7 4 2 3 4" xfId="12433" xr:uid="{00000000-0005-0000-0000-00008C300000}"/>
    <cellStyle name="Entrada 7 4 2 3 5" xfId="12434" xr:uid="{00000000-0005-0000-0000-00008D300000}"/>
    <cellStyle name="Entrada 7 4 2 3 6" xfId="12435" xr:uid="{00000000-0005-0000-0000-00008E300000}"/>
    <cellStyle name="Entrada 7 4 2 4" xfId="12436" xr:uid="{00000000-0005-0000-0000-00008F300000}"/>
    <cellStyle name="Entrada 7 4 2 5" xfId="12437" xr:uid="{00000000-0005-0000-0000-000090300000}"/>
    <cellStyle name="Entrada 7 4 2 6" xfId="12438" xr:uid="{00000000-0005-0000-0000-000091300000}"/>
    <cellStyle name="Entrada 7 4 3" xfId="12439" xr:uid="{00000000-0005-0000-0000-000092300000}"/>
    <cellStyle name="Entrada 7 4 4" xfId="12440" xr:uid="{00000000-0005-0000-0000-000093300000}"/>
    <cellStyle name="Entrada 7 5" xfId="12441" xr:uid="{00000000-0005-0000-0000-000094300000}"/>
    <cellStyle name="Entrada 7 5 2" xfId="12442" xr:uid="{00000000-0005-0000-0000-000095300000}"/>
    <cellStyle name="Entrada 7 5 2 2" xfId="12443" xr:uid="{00000000-0005-0000-0000-000096300000}"/>
    <cellStyle name="Entrada 7 5 2 2 2" xfId="12444" xr:uid="{00000000-0005-0000-0000-000097300000}"/>
    <cellStyle name="Entrada 7 5 2 2 2 2" xfId="12445" xr:uid="{00000000-0005-0000-0000-000098300000}"/>
    <cellStyle name="Entrada 7 5 2 2 2 3" xfId="12446" xr:uid="{00000000-0005-0000-0000-000099300000}"/>
    <cellStyle name="Entrada 7 5 2 2 2 4" xfId="12447" xr:uid="{00000000-0005-0000-0000-00009A300000}"/>
    <cellStyle name="Entrada 7 5 2 2 3" xfId="12448" xr:uid="{00000000-0005-0000-0000-00009B300000}"/>
    <cellStyle name="Entrada 7 5 2 2 3 2" xfId="12449" xr:uid="{00000000-0005-0000-0000-00009C300000}"/>
    <cellStyle name="Entrada 7 5 2 2 3 3" xfId="12450" xr:uid="{00000000-0005-0000-0000-00009D300000}"/>
    <cellStyle name="Entrada 7 5 2 2 3 4" xfId="12451" xr:uid="{00000000-0005-0000-0000-00009E300000}"/>
    <cellStyle name="Entrada 7 5 2 2 4" xfId="12452" xr:uid="{00000000-0005-0000-0000-00009F300000}"/>
    <cellStyle name="Entrada 7 5 2 2 5" xfId="12453" xr:uid="{00000000-0005-0000-0000-0000A0300000}"/>
    <cellStyle name="Entrada 7 5 2 2 6" xfId="12454" xr:uid="{00000000-0005-0000-0000-0000A1300000}"/>
    <cellStyle name="Entrada 7 5 2 3" xfId="12455" xr:uid="{00000000-0005-0000-0000-0000A2300000}"/>
    <cellStyle name="Entrada 7 5 2 3 2" xfId="12456" xr:uid="{00000000-0005-0000-0000-0000A3300000}"/>
    <cellStyle name="Entrada 7 5 2 3 2 2" xfId="12457" xr:uid="{00000000-0005-0000-0000-0000A4300000}"/>
    <cellStyle name="Entrada 7 5 2 3 2 3" xfId="12458" xr:uid="{00000000-0005-0000-0000-0000A5300000}"/>
    <cellStyle name="Entrada 7 5 2 3 2 4" xfId="12459" xr:uid="{00000000-0005-0000-0000-0000A6300000}"/>
    <cellStyle name="Entrada 7 5 2 3 3" xfId="12460" xr:uid="{00000000-0005-0000-0000-0000A7300000}"/>
    <cellStyle name="Entrada 7 5 2 3 3 2" xfId="12461" xr:uid="{00000000-0005-0000-0000-0000A8300000}"/>
    <cellStyle name="Entrada 7 5 2 3 3 3" xfId="12462" xr:uid="{00000000-0005-0000-0000-0000A9300000}"/>
    <cellStyle name="Entrada 7 5 2 3 3 4" xfId="12463" xr:uid="{00000000-0005-0000-0000-0000AA300000}"/>
    <cellStyle name="Entrada 7 5 2 3 4" xfId="12464" xr:uid="{00000000-0005-0000-0000-0000AB300000}"/>
    <cellStyle name="Entrada 7 5 2 3 5" xfId="12465" xr:uid="{00000000-0005-0000-0000-0000AC300000}"/>
    <cellStyle name="Entrada 7 5 2 3 6" xfId="12466" xr:uid="{00000000-0005-0000-0000-0000AD300000}"/>
    <cellStyle name="Entrada 7 5 2 4" xfId="12467" xr:uid="{00000000-0005-0000-0000-0000AE300000}"/>
    <cellStyle name="Entrada 7 5 2 5" xfId="12468" xr:uid="{00000000-0005-0000-0000-0000AF300000}"/>
    <cellStyle name="Entrada 7 5 2 6" xfId="12469" xr:uid="{00000000-0005-0000-0000-0000B0300000}"/>
    <cellStyle name="Entrada 7 5 3" xfId="12470" xr:uid="{00000000-0005-0000-0000-0000B1300000}"/>
    <cellStyle name="Entrada 7 5 4" xfId="12471" xr:uid="{00000000-0005-0000-0000-0000B2300000}"/>
    <cellStyle name="Entrada 7 6" xfId="12472" xr:uid="{00000000-0005-0000-0000-0000B3300000}"/>
    <cellStyle name="Entrada 7 6 2" xfId="12473" xr:uid="{00000000-0005-0000-0000-0000B4300000}"/>
    <cellStyle name="Entrada 7 6 2 2" xfId="12474" xr:uid="{00000000-0005-0000-0000-0000B5300000}"/>
    <cellStyle name="Entrada 7 6 2 2 2" xfId="12475" xr:uid="{00000000-0005-0000-0000-0000B6300000}"/>
    <cellStyle name="Entrada 7 6 2 2 2 2" xfId="12476" xr:uid="{00000000-0005-0000-0000-0000B7300000}"/>
    <cellStyle name="Entrada 7 6 2 2 2 3" xfId="12477" xr:uid="{00000000-0005-0000-0000-0000B8300000}"/>
    <cellStyle name="Entrada 7 6 2 2 2 4" xfId="12478" xr:uid="{00000000-0005-0000-0000-0000B9300000}"/>
    <cellStyle name="Entrada 7 6 2 2 3" xfId="12479" xr:uid="{00000000-0005-0000-0000-0000BA300000}"/>
    <cellStyle name="Entrada 7 6 2 2 3 2" xfId="12480" xr:uid="{00000000-0005-0000-0000-0000BB300000}"/>
    <cellStyle name="Entrada 7 6 2 2 3 3" xfId="12481" xr:uid="{00000000-0005-0000-0000-0000BC300000}"/>
    <cellStyle name="Entrada 7 6 2 2 3 4" xfId="12482" xr:uid="{00000000-0005-0000-0000-0000BD300000}"/>
    <cellStyle name="Entrada 7 6 2 2 4" xfId="12483" xr:uid="{00000000-0005-0000-0000-0000BE300000}"/>
    <cellStyle name="Entrada 7 6 2 2 5" xfId="12484" xr:uid="{00000000-0005-0000-0000-0000BF300000}"/>
    <cellStyle name="Entrada 7 6 2 2 6" xfId="12485" xr:uid="{00000000-0005-0000-0000-0000C0300000}"/>
    <cellStyle name="Entrada 7 6 2 3" xfId="12486" xr:uid="{00000000-0005-0000-0000-0000C1300000}"/>
    <cellStyle name="Entrada 7 6 2 3 2" xfId="12487" xr:uid="{00000000-0005-0000-0000-0000C2300000}"/>
    <cellStyle name="Entrada 7 6 2 3 2 2" xfId="12488" xr:uid="{00000000-0005-0000-0000-0000C3300000}"/>
    <cellStyle name="Entrada 7 6 2 3 2 3" xfId="12489" xr:uid="{00000000-0005-0000-0000-0000C4300000}"/>
    <cellStyle name="Entrada 7 6 2 3 2 4" xfId="12490" xr:uid="{00000000-0005-0000-0000-0000C5300000}"/>
    <cellStyle name="Entrada 7 6 2 3 3" xfId="12491" xr:uid="{00000000-0005-0000-0000-0000C6300000}"/>
    <cellStyle name="Entrada 7 6 2 3 3 2" xfId="12492" xr:uid="{00000000-0005-0000-0000-0000C7300000}"/>
    <cellStyle name="Entrada 7 6 2 3 3 3" xfId="12493" xr:uid="{00000000-0005-0000-0000-0000C8300000}"/>
    <cellStyle name="Entrada 7 6 2 3 3 4" xfId="12494" xr:uid="{00000000-0005-0000-0000-0000C9300000}"/>
    <cellStyle name="Entrada 7 6 2 3 4" xfId="12495" xr:uid="{00000000-0005-0000-0000-0000CA300000}"/>
    <cellStyle name="Entrada 7 6 2 3 5" xfId="12496" xr:uid="{00000000-0005-0000-0000-0000CB300000}"/>
    <cellStyle name="Entrada 7 6 2 3 6" xfId="12497" xr:uid="{00000000-0005-0000-0000-0000CC300000}"/>
    <cellStyle name="Entrada 7 6 2 4" xfId="12498" xr:uid="{00000000-0005-0000-0000-0000CD300000}"/>
    <cellStyle name="Entrada 7 6 2 5" xfId="12499" xr:uid="{00000000-0005-0000-0000-0000CE300000}"/>
    <cellStyle name="Entrada 7 6 2 6" xfId="12500" xr:uid="{00000000-0005-0000-0000-0000CF300000}"/>
    <cellStyle name="Entrada 7 6 3" xfId="12501" xr:uid="{00000000-0005-0000-0000-0000D0300000}"/>
    <cellStyle name="Entrada 7 6 4" xfId="12502" xr:uid="{00000000-0005-0000-0000-0000D1300000}"/>
    <cellStyle name="Entrada 7 7" xfId="12503" xr:uid="{00000000-0005-0000-0000-0000D2300000}"/>
    <cellStyle name="Entrada 7 7 2" xfId="12504" xr:uid="{00000000-0005-0000-0000-0000D3300000}"/>
    <cellStyle name="Entrada 7 7 2 2" xfId="12505" xr:uid="{00000000-0005-0000-0000-0000D4300000}"/>
    <cellStyle name="Entrada 7 7 2 2 2" xfId="12506" xr:uid="{00000000-0005-0000-0000-0000D5300000}"/>
    <cellStyle name="Entrada 7 7 2 2 2 2" xfId="12507" xr:uid="{00000000-0005-0000-0000-0000D6300000}"/>
    <cellStyle name="Entrada 7 7 2 2 2 3" xfId="12508" xr:uid="{00000000-0005-0000-0000-0000D7300000}"/>
    <cellStyle name="Entrada 7 7 2 2 2 4" xfId="12509" xr:uid="{00000000-0005-0000-0000-0000D8300000}"/>
    <cellStyle name="Entrada 7 7 2 2 3" xfId="12510" xr:uid="{00000000-0005-0000-0000-0000D9300000}"/>
    <cellStyle name="Entrada 7 7 2 2 3 2" xfId="12511" xr:uid="{00000000-0005-0000-0000-0000DA300000}"/>
    <cellStyle name="Entrada 7 7 2 2 3 3" xfId="12512" xr:uid="{00000000-0005-0000-0000-0000DB300000}"/>
    <cellStyle name="Entrada 7 7 2 2 3 4" xfId="12513" xr:uid="{00000000-0005-0000-0000-0000DC300000}"/>
    <cellStyle name="Entrada 7 7 2 2 4" xfId="12514" xr:uid="{00000000-0005-0000-0000-0000DD300000}"/>
    <cellStyle name="Entrada 7 7 2 2 5" xfId="12515" xr:uid="{00000000-0005-0000-0000-0000DE300000}"/>
    <cellStyle name="Entrada 7 7 2 2 6" xfId="12516" xr:uid="{00000000-0005-0000-0000-0000DF300000}"/>
    <cellStyle name="Entrada 7 7 2 3" xfId="12517" xr:uid="{00000000-0005-0000-0000-0000E0300000}"/>
    <cellStyle name="Entrada 7 7 2 3 2" xfId="12518" xr:uid="{00000000-0005-0000-0000-0000E1300000}"/>
    <cellStyle name="Entrada 7 7 2 3 2 2" xfId="12519" xr:uid="{00000000-0005-0000-0000-0000E2300000}"/>
    <cellStyle name="Entrada 7 7 2 3 2 3" xfId="12520" xr:uid="{00000000-0005-0000-0000-0000E3300000}"/>
    <cellStyle name="Entrada 7 7 2 3 2 4" xfId="12521" xr:uid="{00000000-0005-0000-0000-0000E4300000}"/>
    <cellStyle name="Entrada 7 7 2 3 3" xfId="12522" xr:uid="{00000000-0005-0000-0000-0000E5300000}"/>
    <cellStyle name="Entrada 7 7 2 3 3 2" xfId="12523" xr:uid="{00000000-0005-0000-0000-0000E6300000}"/>
    <cellStyle name="Entrada 7 7 2 3 3 3" xfId="12524" xr:uid="{00000000-0005-0000-0000-0000E7300000}"/>
    <cellStyle name="Entrada 7 7 2 3 3 4" xfId="12525" xr:uid="{00000000-0005-0000-0000-0000E8300000}"/>
    <cellStyle name="Entrada 7 7 2 3 4" xfId="12526" xr:uid="{00000000-0005-0000-0000-0000E9300000}"/>
    <cellStyle name="Entrada 7 7 2 3 5" xfId="12527" xr:uid="{00000000-0005-0000-0000-0000EA300000}"/>
    <cellStyle name="Entrada 7 7 2 3 6" xfId="12528" xr:uid="{00000000-0005-0000-0000-0000EB300000}"/>
    <cellStyle name="Entrada 7 7 2 4" xfId="12529" xr:uid="{00000000-0005-0000-0000-0000EC300000}"/>
    <cellStyle name="Entrada 7 7 2 5" xfId="12530" xr:uid="{00000000-0005-0000-0000-0000ED300000}"/>
    <cellStyle name="Entrada 7 7 2 6" xfId="12531" xr:uid="{00000000-0005-0000-0000-0000EE300000}"/>
    <cellStyle name="Entrada 7 7 3" xfId="12532" xr:uid="{00000000-0005-0000-0000-0000EF300000}"/>
    <cellStyle name="Entrada 7 7 4" xfId="12533" xr:uid="{00000000-0005-0000-0000-0000F0300000}"/>
    <cellStyle name="Entrada 7 8" xfId="12534" xr:uid="{00000000-0005-0000-0000-0000F1300000}"/>
    <cellStyle name="Entrada 7 8 2" xfId="12535" xr:uid="{00000000-0005-0000-0000-0000F2300000}"/>
    <cellStyle name="Entrada 7 8 2 2" xfId="12536" xr:uid="{00000000-0005-0000-0000-0000F3300000}"/>
    <cellStyle name="Entrada 7 8 2 2 2" xfId="12537" xr:uid="{00000000-0005-0000-0000-0000F4300000}"/>
    <cellStyle name="Entrada 7 8 2 2 3" xfId="12538" xr:uid="{00000000-0005-0000-0000-0000F5300000}"/>
    <cellStyle name="Entrada 7 8 2 2 4" xfId="12539" xr:uid="{00000000-0005-0000-0000-0000F6300000}"/>
    <cellStyle name="Entrada 7 8 2 3" xfId="12540" xr:uid="{00000000-0005-0000-0000-0000F7300000}"/>
    <cellStyle name="Entrada 7 8 2 3 2" xfId="12541" xr:uid="{00000000-0005-0000-0000-0000F8300000}"/>
    <cellStyle name="Entrada 7 8 2 3 3" xfId="12542" xr:uid="{00000000-0005-0000-0000-0000F9300000}"/>
    <cellStyle name="Entrada 7 8 2 3 4" xfId="12543" xr:uid="{00000000-0005-0000-0000-0000FA300000}"/>
    <cellStyle name="Entrada 7 8 2 4" xfId="12544" xr:uid="{00000000-0005-0000-0000-0000FB300000}"/>
    <cellStyle name="Entrada 7 8 2 5" xfId="12545" xr:uid="{00000000-0005-0000-0000-0000FC300000}"/>
    <cellStyle name="Entrada 7 8 2 6" xfId="12546" xr:uid="{00000000-0005-0000-0000-0000FD300000}"/>
    <cellStyle name="Entrada 7 8 3" xfId="12547" xr:uid="{00000000-0005-0000-0000-0000FE300000}"/>
    <cellStyle name="Entrada 7 8 3 2" xfId="12548" xr:uid="{00000000-0005-0000-0000-0000FF300000}"/>
    <cellStyle name="Entrada 7 8 3 2 2" xfId="12549" xr:uid="{00000000-0005-0000-0000-000000310000}"/>
    <cellStyle name="Entrada 7 8 3 2 3" xfId="12550" xr:uid="{00000000-0005-0000-0000-000001310000}"/>
    <cellStyle name="Entrada 7 8 3 2 4" xfId="12551" xr:uid="{00000000-0005-0000-0000-000002310000}"/>
    <cellStyle name="Entrada 7 8 3 3" xfId="12552" xr:uid="{00000000-0005-0000-0000-000003310000}"/>
    <cellStyle name="Entrada 7 8 3 3 2" xfId="12553" xr:uid="{00000000-0005-0000-0000-000004310000}"/>
    <cellStyle name="Entrada 7 8 3 3 3" xfId="12554" xr:uid="{00000000-0005-0000-0000-000005310000}"/>
    <cellStyle name="Entrada 7 8 3 3 4" xfId="12555" xr:uid="{00000000-0005-0000-0000-000006310000}"/>
    <cellStyle name="Entrada 7 8 3 4" xfId="12556" xr:uid="{00000000-0005-0000-0000-000007310000}"/>
    <cellStyle name="Entrada 7 8 3 5" xfId="12557" xr:uid="{00000000-0005-0000-0000-000008310000}"/>
    <cellStyle name="Entrada 7 8 3 6" xfId="12558" xr:uid="{00000000-0005-0000-0000-000009310000}"/>
    <cellStyle name="Entrada 7 8 4" xfId="12559" xr:uid="{00000000-0005-0000-0000-00000A310000}"/>
    <cellStyle name="Entrada 7 8 4 2" xfId="12560" xr:uid="{00000000-0005-0000-0000-00000B310000}"/>
    <cellStyle name="Entrada 7 8 4 3" xfId="12561" xr:uid="{00000000-0005-0000-0000-00000C310000}"/>
    <cellStyle name="Entrada 7 8 4 4" xfId="12562" xr:uid="{00000000-0005-0000-0000-00000D310000}"/>
    <cellStyle name="Entrada 7 8 5" xfId="12563" xr:uid="{00000000-0005-0000-0000-00000E310000}"/>
    <cellStyle name="Entrada 7 8 6" xfId="12564" xr:uid="{00000000-0005-0000-0000-00000F310000}"/>
    <cellStyle name="Entrada 7 9" xfId="12565" xr:uid="{00000000-0005-0000-0000-000010310000}"/>
    <cellStyle name="Entrada 7 9 2" xfId="12566" xr:uid="{00000000-0005-0000-0000-000011310000}"/>
    <cellStyle name="Entrada 7 9 2 2" xfId="12567" xr:uid="{00000000-0005-0000-0000-000012310000}"/>
    <cellStyle name="Entrada 7 9 2 2 2" xfId="12568" xr:uid="{00000000-0005-0000-0000-000013310000}"/>
    <cellStyle name="Entrada 7 9 2 2 3" xfId="12569" xr:uid="{00000000-0005-0000-0000-000014310000}"/>
    <cellStyle name="Entrada 7 9 2 2 4" xfId="12570" xr:uid="{00000000-0005-0000-0000-000015310000}"/>
    <cellStyle name="Entrada 7 9 2 3" xfId="12571" xr:uid="{00000000-0005-0000-0000-000016310000}"/>
    <cellStyle name="Entrada 7 9 2 3 2" xfId="12572" xr:uid="{00000000-0005-0000-0000-000017310000}"/>
    <cellStyle name="Entrada 7 9 2 3 3" xfId="12573" xr:uid="{00000000-0005-0000-0000-000018310000}"/>
    <cellStyle name="Entrada 7 9 2 3 4" xfId="12574" xr:uid="{00000000-0005-0000-0000-000019310000}"/>
    <cellStyle name="Entrada 7 9 2 4" xfId="12575" xr:uid="{00000000-0005-0000-0000-00001A310000}"/>
    <cellStyle name="Entrada 7 9 2 5" xfId="12576" xr:uid="{00000000-0005-0000-0000-00001B310000}"/>
    <cellStyle name="Entrada 7 9 2 6" xfId="12577" xr:uid="{00000000-0005-0000-0000-00001C310000}"/>
    <cellStyle name="Entrada 7 9 3" xfId="12578" xr:uid="{00000000-0005-0000-0000-00001D310000}"/>
    <cellStyle name="Entrada 7 9 3 2" xfId="12579" xr:uid="{00000000-0005-0000-0000-00001E310000}"/>
    <cellStyle name="Entrada 7 9 3 2 2" xfId="12580" xr:uid="{00000000-0005-0000-0000-00001F310000}"/>
    <cellStyle name="Entrada 7 9 3 2 3" xfId="12581" xr:uid="{00000000-0005-0000-0000-000020310000}"/>
    <cellStyle name="Entrada 7 9 3 2 4" xfId="12582" xr:uid="{00000000-0005-0000-0000-000021310000}"/>
    <cellStyle name="Entrada 7 9 3 3" xfId="12583" xr:uid="{00000000-0005-0000-0000-000022310000}"/>
    <cellStyle name="Entrada 7 9 3 3 2" xfId="12584" xr:uid="{00000000-0005-0000-0000-000023310000}"/>
    <cellStyle name="Entrada 7 9 3 3 3" xfId="12585" xr:uid="{00000000-0005-0000-0000-000024310000}"/>
    <cellStyle name="Entrada 7 9 3 3 4" xfId="12586" xr:uid="{00000000-0005-0000-0000-000025310000}"/>
    <cellStyle name="Entrada 7 9 3 4" xfId="12587" xr:uid="{00000000-0005-0000-0000-000026310000}"/>
    <cellStyle name="Entrada 7 9 3 5" xfId="12588" xr:uid="{00000000-0005-0000-0000-000027310000}"/>
    <cellStyle name="Entrada 7 9 3 6" xfId="12589" xr:uid="{00000000-0005-0000-0000-000028310000}"/>
    <cellStyle name="Entrada 7 9 4" xfId="12590" xr:uid="{00000000-0005-0000-0000-000029310000}"/>
    <cellStyle name="Entrada 7 9 4 2" xfId="12591" xr:uid="{00000000-0005-0000-0000-00002A310000}"/>
    <cellStyle name="Entrada 7 9 4 3" xfId="12592" xr:uid="{00000000-0005-0000-0000-00002B310000}"/>
    <cellStyle name="Entrada 7 9 4 4" xfId="12593" xr:uid="{00000000-0005-0000-0000-00002C310000}"/>
    <cellStyle name="Entrada 7 9 5" xfId="12594" xr:uid="{00000000-0005-0000-0000-00002D310000}"/>
    <cellStyle name="Entrada 7 9 6" xfId="12595" xr:uid="{00000000-0005-0000-0000-00002E310000}"/>
    <cellStyle name="Espacio" xfId="58828" xr:uid="{00000000-0005-0000-0000-00002F310000}"/>
    <cellStyle name="Estilo 1" xfId="12596" xr:uid="{00000000-0005-0000-0000-000030310000}"/>
    <cellStyle name="Euro" xfId="12597" xr:uid="{00000000-0005-0000-0000-000031310000}"/>
    <cellStyle name="Euro 2" xfId="12598" xr:uid="{00000000-0005-0000-0000-000032310000}"/>
    <cellStyle name="Euro 3" xfId="12599" xr:uid="{00000000-0005-0000-0000-000033310000}"/>
    <cellStyle name="Euro 4" xfId="12600" xr:uid="{00000000-0005-0000-0000-000034310000}"/>
    <cellStyle name="Evaluación" xfId="58829" xr:uid="{00000000-0005-0000-0000-000035310000}"/>
    <cellStyle name="Explanatory Text" xfId="34" xr:uid="{00000000-0005-0000-0000-000036310000}"/>
    <cellStyle name="Explanatory Text 2" xfId="12601" xr:uid="{00000000-0005-0000-0000-000037310000}"/>
    <cellStyle name="F2" xfId="12602" xr:uid="{00000000-0005-0000-0000-000038310000}"/>
    <cellStyle name="F3" xfId="12603" xr:uid="{00000000-0005-0000-0000-000039310000}"/>
    <cellStyle name="F4" xfId="12604" xr:uid="{00000000-0005-0000-0000-00003A310000}"/>
    <cellStyle name="F5" xfId="12605" xr:uid="{00000000-0005-0000-0000-00003B310000}"/>
    <cellStyle name="F6" xfId="12606" xr:uid="{00000000-0005-0000-0000-00003C310000}"/>
    <cellStyle name="F7" xfId="12607" xr:uid="{00000000-0005-0000-0000-00003D310000}"/>
    <cellStyle name="F8" xfId="12608" xr:uid="{00000000-0005-0000-0000-00003E310000}"/>
    <cellStyle name="Fecha" xfId="58830" xr:uid="{00000000-0005-0000-0000-00003F310000}"/>
    <cellStyle name="Fechas" xfId="12609" xr:uid="{00000000-0005-0000-0000-000040310000}"/>
    <cellStyle name="Fechas 2" xfId="12610" xr:uid="{00000000-0005-0000-0000-000041310000}"/>
    <cellStyle name="Fechas 3" xfId="12611" xr:uid="{00000000-0005-0000-0000-000042310000}"/>
    <cellStyle name="Fechas 4" xfId="12612" xr:uid="{00000000-0005-0000-0000-000043310000}"/>
    <cellStyle name="Fechas 5" xfId="12613" xr:uid="{00000000-0005-0000-0000-000044310000}"/>
    <cellStyle name="Fechas 6" xfId="12614" xr:uid="{00000000-0005-0000-0000-000045310000}"/>
    <cellStyle name="Fechas 7" xfId="12615" xr:uid="{00000000-0005-0000-0000-000046310000}"/>
    <cellStyle name="Fixed" xfId="12616" xr:uid="{00000000-0005-0000-0000-000047310000}"/>
    <cellStyle name="Fixed 2" xfId="12617" xr:uid="{00000000-0005-0000-0000-000048310000}"/>
    <cellStyle name="Fixed 3" xfId="12618" xr:uid="{00000000-0005-0000-0000-000049310000}"/>
    <cellStyle name="Fixo" xfId="12619" xr:uid="{00000000-0005-0000-0000-00004A310000}"/>
    <cellStyle name="Footnote" xfId="12620" xr:uid="{00000000-0005-0000-0000-00004B310000}"/>
    <cellStyle name="Good 2" xfId="12622" xr:uid="{00000000-0005-0000-0000-00004C310000}"/>
    <cellStyle name="Grey" xfId="12623" xr:uid="{00000000-0005-0000-0000-00004D310000}"/>
    <cellStyle name="Grey 10" xfId="12624" xr:uid="{00000000-0005-0000-0000-00004E310000}"/>
    <cellStyle name="Grey 11" xfId="12625" xr:uid="{00000000-0005-0000-0000-00004F310000}"/>
    <cellStyle name="Grey 12" xfId="12626" xr:uid="{00000000-0005-0000-0000-000050310000}"/>
    <cellStyle name="Grey 13" xfId="12627" xr:uid="{00000000-0005-0000-0000-000051310000}"/>
    <cellStyle name="Grey 14" xfId="12628" xr:uid="{00000000-0005-0000-0000-000052310000}"/>
    <cellStyle name="Grey 15" xfId="12629" xr:uid="{00000000-0005-0000-0000-000053310000}"/>
    <cellStyle name="Grey 16" xfId="12630" xr:uid="{00000000-0005-0000-0000-000054310000}"/>
    <cellStyle name="Grey 17" xfId="12631" xr:uid="{00000000-0005-0000-0000-000055310000}"/>
    <cellStyle name="Grey 18" xfId="12632" xr:uid="{00000000-0005-0000-0000-000056310000}"/>
    <cellStyle name="Grey 19" xfId="12633" xr:uid="{00000000-0005-0000-0000-000057310000}"/>
    <cellStyle name="Grey 2" xfId="12634" xr:uid="{00000000-0005-0000-0000-000058310000}"/>
    <cellStyle name="Grey 20" xfId="12635" xr:uid="{00000000-0005-0000-0000-000059310000}"/>
    <cellStyle name="Grey 21" xfId="12636" xr:uid="{00000000-0005-0000-0000-00005A310000}"/>
    <cellStyle name="Grey 3" xfId="12637" xr:uid="{00000000-0005-0000-0000-00005B310000}"/>
    <cellStyle name="Grey 4" xfId="12638" xr:uid="{00000000-0005-0000-0000-00005C310000}"/>
    <cellStyle name="Grey 5" xfId="12639" xr:uid="{00000000-0005-0000-0000-00005D310000}"/>
    <cellStyle name="Grey 6" xfId="12640" xr:uid="{00000000-0005-0000-0000-00005E310000}"/>
    <cellStyle name="Grey 7" xfId="12641" xr:uid="{00000000-0005-0000-0000-00005F310000}"/>
    <cellStyle name="Grey 8" xfId="12642" xr:uid="{00000000-0005-0000-0000-000060310000}"/>
    <cellStyle name="Grey 9" xfId="12643" xr:uid="{00000000-0005-0000-0000-000061310000}"/>
    <cellStyle name="Header1" xfId="12644" xr:uid="{00000000-0005-0000-0000-000062310000}"/>
    <cellStyle name="Header1 10" xfId="12645" xr:uid="{00000000-0005-0000-0000-000063310000}"/>
    <cellStyle name="Header1 11" xfId="12646" xr:uid="{00000000-0005-0000-0000-000064310000}"/>
    <cellStyle name="Header1 12" xfId="12647" xr:uid="{00000000-0005-0000-0000-000065310000}"/>
    <cellStyle name="Header1 13" xfId="12648" xr:uid="{00000000-0005-0000-0000-000066310000}"/>
    <cellStyle name="Header1 14" xfId="12649" xr:uid="{00000000-0005-0000-0000-000067310000}"/>
    <cellStyle name="Header1 15" xfId="12650" xr:uid="{00000000-0005-0000-0000-000068310000}"/>
    <cellStyle name="Header1 16" xfId="12651" xr:uid="{00000000-0005-0000-0000-000069310000}"/>
    <cellStyle name="Header1 17" xfId="12652" xr:uid="{00000000-0005-0000-0000-00006A310000}"/>
    <cellStyle name="Header1 18" xfId="12653" xr:uid="{00000000-0005-0000-0000-00006B310000}"/>
    <cellStyle name="Header1 19" xfId="12654" xr:uid="{00000000-0005-0000-0000-00006C310000}"/>
    <cellStyle name="Header1 2" xfId="12655" xr:uid="{00000000-0005-0000-0000-00006D310000}"/>
    <cellStyle name="Header1 20" xfId="12656" xr:uid="{00000000-0005-0000-0000-00006E310000}"/>
    <cellStyle name="Header1 21" xfId="12657" xr:uid="{00000000-0005-0000-0000-00006F310000}"/>
    <cellStyle name="Header1 22" xfId="12658" xr:uid="{00000000-0005-0000-0000-000070310000}"/>
    <cellStyle name="Header1 23" xfId="12659" xr:uid="{00000000-0005-0000-0000-000071310000}"/>
    <cellStyle name="Header1 24" xfId="12660" xr:uid="{00000000-0005-0000-0000-000072310000}"/>
    <cellStyle name="Header1 25" xfId="12661" xr:uid="{00000000-0005-0000-0000-000073310000}"/>
    <cellStyle name="Header1 26" xfId="12662" xr:uid="{00000000-0005-0000-0000-000074310000}"/>
    <cellStyle name="Header1 27" xfId="12663" xr:uid="{00000000-0005-0000-0000-000075310000}"/>
    <cellStyle name="Header1 28" xfId="12664" xr:uid="{00000000-0005-0000-0000-000076310000}"/>
    <cellStyle name="Header1 29" xfId="12665" xr:uid="{00000000-0005-0000-0000-000077310000}"/>
    <cellStyle name="Header1 3" xfId="12666" xr:uid="{00000000-0005-0000-0000-000078310000}"/>
    <cellStyle name="Header1 4" xfId="12667" xr:uid="{00000000-0005-0000-0000-000079310000}"/>
    <cellStyle name="Header1 5" xfId="12668" xr:uid="{00000000-0005-0000-0000-00007A310000}"/>
    <cellStyle name="Header1 6" xfId="12669" xr:uid="{00000000-0005-0000-0000-00007B310000}"/>
    <cellStyle name="Header1 7" xfId="12670" xr:uid="{00000000-0005-0000-0000-00007C310000}"/>
    <cellStyle name="Header1 8" xfId="12671" xr:uid="{00000000-0005-0000-0000-00007D310000}"/>
    <cellStyle name="Header1 9" xfId="12672" xr:uid="{00000000-0005-0000-0000-00007E310000}"/>
    <cellStyle name="Header2" xfId="12673" xr:uid="{00000000-0005-0000-0000-00007F310000}"/>
    <cellStyle name="Header2 10" xfId="12674" xr:uid="{00000000-0005-0000-0000-000080310000}"/>
    <cellStyle name="Header2 10 2" xfId="12675" xr:uid="{00000000-0005-0000-0000-000081310000}"/>
    <cellStyle name="Header2 10 2 10" xfId="12676" xr:uid="{00000000-0005-0000-0000-000082310000}"/>
    <cellStyle name="Header2 10 2 10 2" xfId="12677" xr:uid="{00000000-0005-0000-0000-000083310000}"/>
    <cellStyle name="Header2 10 2 10 2 2" xfId="12678" xr:uid="{00000000-0005-0000-0000-000084310000}"/>
    <cellStyle name="Header2 10 2 10 2 2 2" xfId="12679" xr:uid="{00000000-0005-0000-0000-000085310000}"/>
    <cellStyle name="Header2 10 2 10 2 2 3" xfId="12680" xr:uid="{00000000-0005-0000-0000-000086310000}"/>
    <cellStyle name="Header2 10 2 10 2 2 4" xfId="12681" xr:uid="{00000000-0005-0000-0000-000087310000}"/>
    <cellStyle name="Header2 10 2 10 2 2 5" xfId="12682" xr:uid="{00000000-0005-0000-0000-000088310000}"/>
    <cellStyle name="Header2 10 2 10 2 3" xfId="12683" xr:uid="{00000000-0005-0000-0000-000089310000}"/>
    <cellStyle name="Header2 10 2 10 2 3 2" xfId="12684" xr:uid="{00000000-0005-0000-0000-00008A310000}"/>
    <cellStyle name="Header2 10 2 10 2 3 3" xfId="12685" xr:uid="{00000000-0005-0000-0000-00008B310000}"/>
    <cellStyle name="Header2 10 2 10 2 3 4" xfId="12686" xr:uid="{00000000-0005-0000-0000-00008C310000}"/>
    <cellStyle name="Header2 10 2 10 2 4" xfId="12687" xr:uid="{00000000-0005-0000-0000-00008D310000}"/>
    <cellStyle name="Header2 10 2 10 2 5" xfId="12688" xr:uid="{00000000-0005-0000-0000-00008E310000}"/>
    <cellStyle name="Header2 10 2 10 2 6" xfId="12689" xr:uid="{00000000-0005-0000-0000-00008F310000}"/>
    <cellStyle name="Header2 10 2 10 3" xfId="12690" xr:uid="{00000000-0005-0000-0000-000090310000}"/>
    <cellStyle name="Header2 10 2 10 3 2" xfId="12691" xr:uid="{00000000-0005-0000-0000-000091310000}"/>
    <cellStyle name="Header2 10 2 10 3 2 2" xfId="12692" xr:uid="{00000000-0005-0000-0000-000092310000}"/>
    <cellStyle name="Header2 10 2 10 3 2 3" xfId="12693" xr:uid="{00000000-0005-0000-0000-000093310000}"/>
    <cellStyle name="Header2 10 2 10 3 2 4" xfId="12694" xr:uid="{00000000-0005-0000-0000-000094310000}"/>
    <cellStyle name="Header2 10 2 10 3 3" xfId="12695" xr:uid="{00000000-0005-0000-0000-000095310000}"/>
    <cellStyle name="Header2 10 2 10 3 3 2" xfId="12696" xr:uid="{00000000-0005-0000-0000-000096310000}"/>
    <cellStyle name="Header2 10 2 10 3 3 3" xfId="12697" xr:uid="{00000000-0005-0000-0000-000097310000}"/>
    <cellStyle name="Header2 10 2 10 3 3 4" xfId="12698" xr:uid="{00000000-0005-0000-0000-000098310000}"/>
    <cellStyle name="Header2 10 2 10 3 4" xfId="12699" xr:uid="{00000000-0005-0000-0000-000099310000}"/>
    <cellStyle name="Header2 10 2 10 3 5" xfId="12700" xr:uid="{00000000-0005-0000-0000-00009A310000}"/>
    <cellStyle name="Header2 10 2 10 3 6" xfId="12701" xr:uid="{00000000-0005-0000-0000-00009B310000}"/>
    <cellStyle name="Header2 10 2 10 4" xfId="12702" xr:uid="{00000000-0005-0000-0000-00009C310000}"/>
    <cellStyle name="Header2 10 2 10 5" xfId="12703" xr:uid="{00000000-0005-0000-0000-00009D310000}"/>
    <cellStyle name="Header2 10 2 11" xfId="12704" xr:uid="{00000000-0005-0000-0000-00009E310000}"/>
    <cellStyle name="Header2 10 2 11 2" xfId="12705" xr:uid="{00000000-0005-0000-0000-00009F310000}"/>
    <cellStyle name="Header2 10 2 11 2 2" xfId="12706" xr:uid="{00000000-0005-0000-0000-0000A0310000}"/>
    <cellStyle name="Header2 10 2 11 2 2 2" xfId="12707" xr:uid="{00000000-0005-0000-0000-0000A1310000}"/>
    <cellStyle name="Header2 10 2 11 2 2 3" xfId="12708" xr:uid="{00000000-0005-0000-0000-0000A2310000}"/>
    <cellStyle name="Header2 10 2 11 2 2 4" xfId="12709" xr:uid="{00000000-0005-0000-0000-0000A3310000}"/>
    <cellStyle name="Header2 10 2 11 2 2 5" xfId="12710" xr:uid="{00000000-0005-0000-0000-0000A4310000}"/>
    <cellStyle name="Header2 10 2 11 2 3" xfId="12711" xr:uid="{00000000-0005-0000-0000-0000A5310000}"/>
    <cellStyle name="Header2 10 2 11 2 3 2" xfId="12712" xr:uid="{00000000-0005-0000-0000-0000A6310000}"/>
    <cellStyle name="Header2 10 2 11 2 3 3" xfId="12713" xr:uid="{00000000-0005-0000-0000-0000A7310000}"/>
    <cellStyle name="Header2 10 2 11 2 3 4" xfId="12714" xr:uid="{00000000-0005-0000-0000-0000A8310000}"/>
    <cellStyle name="Header2 10 2 11 2 4" xfId="12715" xr:uid="{00000000-0005-0000-0000-0000A9310000}"/>
    <cellStyle name="Header2 10 2 11 2 5" xfId="12716" xr:uid="{00000000-0005-0000-0000-0000AA310000}"/>
    <cellStyle name="Header2 10 2 11 2 6" xfId="12717" xr:uid="{00000000-0005-0000-0000-0000AB310000}"/>
    <cellStyle name="Header2 10 2 11 3" xfId="12718" xr:uid="{00000000-0005-0000-0000-0000AC310000}"/>
    <cellStyle name="Header2 10 2 11 3 2" xfId="12719" xr:uid="{00000000-0005-0000-0000-0000AD310000}"/>
    <cellStyle name="Header2 10 2 11 3 2 2" xfId="12720" xr:uid="{00000000-0005-0000-0000-0000AE310000}"/>
    <cellStyle name="Header2 10 2 11 3 2 3" xfId="12721" xr:uid="{00000000-0005-0000-0000-0000AF310000}"/>
    <cellStyle name="Header2 10 2 11 3 2 4" xfId="12722" xr:uid="{00000000-0005-0000-0000-0000B0310000}"/>
    <cellStyle name="Header2 10 2 11 3 3" xfId="12723" xr:uid="{00000000-0005-0000-0000-0000B1310000}"/>
    <cellStyle name="Header2 10 2 11 3 3 2" xfId="12724" xr:uid="{00000000-0005-0000-0000-0000B2310000}"/>
    <cellStyle name="Header2 10 2 11 3 3 3" xfId="12725" xr:uid="{00000000-0005-0000-0000-0000B3310000}"/>
    <cellStyle name="Header2 10 2 11 3 3 4" xfId="12726" xr:uid="{00000000-0005-0000-0000-0000B4310000}"/>
    <cellStyle name="Header2 10 2 11 3 4" xfId="12727" xr:uid="{00000000-0005-0000-0000-0000B5310000}"/>
    <cellStyle name="Header2 10 2 11 3 5" xfId="12728" xr:uid="{00000000-0005-0000-0000-0000B6310000}"/>
    <cellStyle name="Header2 10 2 11 3 6" xfId="12729" xr:uid="{00000000-0005-0000-0000-0000B7310000}"/>
    <cellStyle name="Header2 10 2 11 4" xfId="12730" xr:uid="{00000000-0005-0000-0000-0000B8310000}"/>
    <cellStyle name="Header2 10 2 11 5" xfId="12731" xr:uid="{00000000-0005-0000-0000-0000B9310000}"/>
    <cellStyle name="Header2 10 2 12" xfId="12732" xr:uid="{00000000-0005-0000-0000-0000BA310000}"/>
    <cellStyle name="Header2 10 2 12 2" xfId="12733" xr:uid="{00000000-0005-0000-0000-0000BB310000}"/>
    <cellStyle name="Header2 10 2 12 2 2" xfId="12734" xr:uid="{00000000-0005-0000-0000-0000BC310000}"/>
    <cellStyle name="Header2 10 2 12 2 2 2" xfId="12735" xr:uid="{00000000-0005-0000-0000-0000BD310000}"/>
    <cellStyle name="Header2 10 2 12 2 2 3" xfId="12736" xr:uid="{00000000-0005-0000-0000-0000BE310000}"/>
    <cellStyle name="Header2 10 2 12 2 2 4" xfId="12737" xr:uid="{00000000-0005-0000-0000-0000BF310000}"/>
    <cellStyle name="Header2 10 2 12 2 2 5" xfId="12738" xr:uid="{00000000-0005-0000-0000-0000C0310000}"/>
    <cellStyle name="Header2 10 2 12 2 3" xfId="12739" xr:uid="{00000000-0005-0000-0000-0000C1310000}"/>
    <cellStyle name="Header2 10 2 12 2 3 2" xfId="12740" xr:uid="{00000000-0005-0000-0000-0000C2310000}"/>
    <cellStyle name="Header2 10 2 12 2 3 3" xfId="12741" xr:uid="{00000000-0005-0000-0000-0000C3310000}"/>
    <cellStyle name="Header2 10 2 12 2 3 4" xfId="12742" xr:uid="{00000000-0005-0000-0000-0000C4310000}"/>
    <cellStyle name="Header2 10 2 12 2 4" xfId="12743" xr:uid="{00000000-0005-0000-0000-0000C5310000}"/>
    <cellStyle name="Header2 10 2 12 2 5" xfId="12744" xr:uid="{00000000-0005-0000-0000-0000C6310000}"/>
    <cellStyle name="Header2 10 2 12 2 6" xfId="12745" xr:uid="{00000000-0005-0000-0000-0000C7310000}"/>
    <cellStyle name="Header2 10 2 12 3" xfId="12746" xr:uid="{00000000-0005-0000-0000-0000C8310000}"/>
    <cellStyle name="Header2 10 2 12 3 2" xfId="12747" xr:uid="{00000000-0005-0000-0000-0000C9310000}"/>
    <cellStyle name="Header2 10 2 12 3 2 2" xfId="12748" xr:uid="{00000000-0005-0000-0000-0000CA310000}"/>
    <cellStyle name="Header2 10 2 12 3 2 3" xfId="12749" xr:uid="{00000000-0005-0000-0000-0000CB310000}"/>
    <cellStyle name="Header2 10 2 12 3 2 4" xfId="12750" xr:uid="{00000000-0005-0000-0000-0000CC310000}"/>
    <cellStyle name="Header2 10 2 12 3 3" xfId="12751" xr:uid="{00000000-0005-0000-0000-0000CD310000}"/>
    <cellStyle name="Header2 10 2 12 3 3 2" xfId="12752" xr:uid="{00000000-0005-0000-0000-0000CE310000}"/>
    <cellStyle name="Header2 10 2 12 3 3 3" xfId="12753" xr:uid="{00000000-0005-0000-0000-0000CF310000}"/>
    <cellStyle name="Header2 10 2 12 3 3 4" xfId="12754" xr:uid="{00000000-0005-0000-0000-0000D0310000}"/>
    <cellStyle name="Header2 10 2 12 3 4" xfId="12755" xr:uid="{00000000-0005-0000-0000-0000D1310000}"/>
    <cellStyle name="Header2 10 2 12 3 5" xfId="12756" xr:uid="{00000000-0005-0000-0000-0000D2310000}"/>
    <cellStyle name="Header2 10 2 12 3 6" xfId="12757" xr:uid="{00000000-0005-0000-0000-0000D3310000}"/>
    <cellStyle name="Header2 10 2 12 4" xfId="12758" xr:uid="{00000000-0005-0000-0000-0000D4310000}"/>
    <cellStyle name="Header2 10 2 12 5" xfId="12759" xr:uid="{00000000-0005-0000-0000-0000D5310000}"/>
    <cellStyle name="Header2 10 2 13" xfId="12760" xr:uid="{00000000-0005-0000-0000-0000D6310000}"/>
    <cellStyle name="Header2 10 2 13 2" xfId="12761" xr:uid="{00000000-0005-0000-0000-0000D7310000}"/>
    <cellStyle name="Header2 10 2 13 2 2" xfId="12762" xr:uid="{00000000-0005-0000-0000-0000D8310000}"/>
    <cellStyle name="Header2 10 2 13 2 2 2" xfId="12763" xr:uid="{00000000-0005-0000-0000-0000D9310000}"/>
    <cellStyle name="Header2 10 2 13 2 2 3" xfId="12764" xr:uid="{00000000-0005-0000-0000-0000DA310000}"/>
    <cellStyle name="Header2 10 2 13 2 2 4" xfId="12765" xr:uid="{00000000-0005-0000-0000-0000DB310000}"/>
    <cellStyle name="Header2 10 2 13 2 2 5" xfId="12766" xr:uid="{00000000-0005-0000-0000-0000DC310000}"/>
    <cellStyle name="Header2 10 2 13 2 3" xfId="12767" xr:uid="{00000000-0005-0000-0000-0000DD310000}"/>
    <cellStyle name="Header2 10 2 13 2 3 2" xfId="12768" xr:uid="{00000000-0005-0000-0000-0000DE310000}"/>
    <cellStyle name="Header2 10 2 13 2 3 3" xfId="12769" xr:uid="{00000000-0005-0000-0000-0000DF310000}"/>
    <cellStyle name="Header2 10 2 13 2 3 4" xfId="12770" xr:uid="{00000000-0005-0000-0000-0000E0310000}"/>
    <cellStyle name="Header2 10 2 13 2 4" xfId="12771" xr:uid="{00000000-0005-0000-0000-0000E1310000}"/>
    <cellStyle name="Header2 10 2 13 2 5" xfId="12772" xr:uid="{00000000-0005-0000-0000-0000E2310000}"/>
    <cellStyle name="Header2 10 2 13 2 6" xfId="12773" xr:uid="{00000000-0005-0000-0000-0000E3310000}"/>
    <cellStyle name="Header2 10 2 13 3" xfId="12774" xr:uid="{00000000-0005-0000-0000-0000E4310000}"/>
    <cellStyle name="Header2 10 2 13 3 2" xfId="12775" xr:uid="{00000000-0005-0000-0000-0000E5310000}"/>
    <cellStyle name="Header2 10 2 13 3 2 2" xfId="12776" xr:uid="{00000000-0005-0000-0000-0000E6310000}"/>
    <cellStyle name="Header2 10 2 13 3 2 3" xfId="12777" xr:uid="{00000000-0005-0000-0000-0000E7310000}"/>
    <cellStyle name="Header2 10 2 13 3 2 4" xfId="12778" xr:uid="{00000000-0005-0000-0000-0000E8310000}"/>
    <cellStyle name="Header2 10 2 13 3 3" xfId="12779" xr:uid="{00000000-0005-0000-0000-0000E9310000}"/>
    <cellStyle name="Header2 10 2 13 3 3 2" xfId="12780" xr:uid="{00000000-0005-0000-0000-0000EA310000}"/>
    <cellStyle name="Header2 10 2 13 3 3 3" xfId="12781" xr:uid="{00000000-0005-0000-0000-0000EB310000}"/>
    <cellStyle name="Header2 10 2 13 3 3 4" xfId="12782" xr:uid="{00000000-0005-0000-0000-0000EC310000}"/>
    <cellStyle name="Header2 10 2 13 3 4" xfId="12783" xr:uid="{00000000-0005-0000-0000-0000ED310000}"/>
    <cellStyle name="Header2 10 2 13 3 5" xfId="12784" xr:uid="{00000000-0005-0000-0000-0000EE310000}"/>
    <cellStyle name="Header2 10 2 13 3 6" xfId="12785" xr:uid="{00000000-0005-0000-0000-0000EF310000}"/>
    <cellStyle name="Header2 10 2 13 4" xfId="12786" xr:uid="{00000000-0005-0000-0000-0000F0310000}"/>
    <cellStyle name="Header2 10 2 13 5" xfId="12787" xr:uid="{00000000-0005-0000-0000-0000F1310000}"/>
    <cellStyle name="Header2 10 2 14" xfId="58716" xr:uid="{00000000-0005-0000-0000-0000F2310000}"/>
    <cellStyle name="Header2 10 2 2" xfId="12788" xr:uid="{00000000-0005-0000-0000-0000F3310000}"/>
    <cellStyle name="Header2 10 2 2 2" xfId="12789" xr:uid="{00000000-0005-0000-0000-0000F4310000}"/>
    <cellStyle name="Header2 10 2 2 2 2" xfId="12790" xr:uid="{00000000-0005-0000-0000-0000F5310000}"/>
    <cellStyle name="Header2 10 2 2 2 2 2" xfId="12791" xr:uid="{00000000-0005-0000-0000-0000F6310000}"/>
    <cellStyle name="Header2 10 2 2 2 2 2 2" xfId="12792" xr:uid="{00000000-0005-0000-0000-0000F7310000}"/>
    <cellStyle name="Header2 10 2 2 2 2 2 3" xfId="12793" xr:uid="{00000000-0005-0000-0000-0000F8310000}"/>
    <cellStyle name="Header2 10 2 2 2 2 2 4" xfId="12794" xr:uid="{00000000-0005-0000-0000-0000F9310000}"/>
    <cellStyle name="Header2 10 2 2 2 2 2 5" xfId="12795" xr:uid="{00000000-0005-0000-0000-0000FA310000}"/>
    <cellStyle name="Header2 10 2 2 2 2 3" xfId="12796" xr:uid="{00000000-0005-0000-0000-0000FB310000}"/>
    <cellStyle name="Header2 10 2 2 2 2 3 2" xfId="12797" xr:uid="{00000000-0005-0000-0000-0000FC310000}"/>
    <cellStyle name="Header2 10 2 2 2 2 3 3" xfId="12798" xr:uid="{00000000-0005-0000-0000-0000FD310000}"/>
    <cellStyle name="Header2 10 2 2 2 2 3 4" xfId="12799" xr:uid="{00000000-0005-0000-0000-0000FE310000}"/>
    <cellStyle name="Header2 10 2 2 2 2 4" xfId="12800" xr:uid="{00000000-0005-0000-0000-0000FF310000}"/>
    <cellStyle name="Header2 10 2 2 2 2 5" xfId="12801" xr:uid="{00000000-0005-0000-0000-000000320000}"/>
    <cellStyle name="Header2 10 2 2 2 2 6" xfId="12802" xr:uid="{00000000-0005-0000-0000-000001320000}"/>
    <cellStyle name="Header2 10 2 2 2 3" xfId="12803" xr:uid="{00000000-0005-0000-0000-000002320000}"/>
    <cellStyle name="Header2 10 2 2 2 3 2" xfId="12804" xr:uid="{00000000-0005-0000-0000-000003320000}"/>
    <cellStyle name="Header2 10 2 2 2 3 2 2" xfId="12805" xr:uid="{00000000-0005-0000-0000-000004320000}"/>
    <cellStyle name="Header2 10 2 2 2 3 2 3" xfId="12806" xr:uid="{00000000-0005-0000-0000-000005320000}"/>
    <cellStyle name="Header2 10 2 2 2 3 2 4" xfId="12807" xr:uid="{00000000-0005-0000-0000-000006320000}"/>
    <cellStyle name="Header2 10 2 2 2 3 3" xfId="12808" xr:uid="{00000000-0005-0000-0000-000007320000}"/>
    <cellStyle name="Header2 10 2 2 2 3 3 2" xfId="12809" xr:uid="{00000000-0005-0000-0000-000008320000}"/>
    <cellStyle name="Header2 10 2 2 2 3 3 3" xfId="12810" xr:uid="{00000000-0005-0000-0000-000009320000}"/>
    <cellStyle name="Header2 10 2 2 2 3 3 4" xfId="12811" xr:uid="{00000000-0005-0000-0000-00000A320000}"/>
    <cellStyle name="Header2 10 2 2 2 3 4" xfId="12812" xr:uid="{00000000-0005-0000-0000-00000B320000}"/>
    <cellStyle name="Header2 10 2 2 2 3 5" xfId="12813" xr:uid="{00000000-0005-0000-0000-00000C320000}"/>
    <cellStyle name="Header2 10 2 2 2 3 6" xfId="12814" xr:uid="{00000000-0005-0000-0000-00000D320000}"/>
    <cellStyle name="Header2 10 2 2 2 4" xfId="12815" xr:uid="{00000000-0005-0000-0000-00000E320000}"/>
    <cellStyle name="Header2 10 2 2 2 5" xfId="12816" xr:uid="{00000000-0005-0000-0000-00000F320000}"/>
    <cellStyle name="Header2 10 2 2 3" xfId="12817" xr:uid="{00000000-0005-0000-0000-000010320000}"/>
    <cellStyle name="Header2 10 2 2 3 2" xfId="12818" xr:uid="{00000000-0005-0000-0000-000011320000}"/>
    <cellStyle name="Header2 10 2 2 3 2 2" xfId="12819" xr:uid="{00000000-0005-0000-0000-000012320000}"/>
    <cellStyle name="Header2 10 2 2 3 2 2 2" xfId="12820" xr:uid="{00000000-0005-0000-0000-000013320000}"/>
    <cellStyle name="Header2 10 2 2 3 2 2 3" xfId="12821" xr:uid="{00000000-0005-0000-0000-000014320000}"/>
    <cellStyle name="Header2 10 2 2 3 2 2 4" xfId="12822" xr:uid="{00000000-0005-0000-0000-000015320000}"/>
    <cellStyle name="Header2 10 2 2 3 2 2 5" xfId="12823" xr:uid="{00000000-0005-0000-0000-000016320000}"/>
    <cellStyle name="Header2 10 2 2 3 2 3" xfId="12824" xr:uid="{00000000-0005-0000-0000-000017320000}"/>
    <cellStyle name="Header2 10 2 2 3 2 3 2" xfId="12825" xr:uid="{00000000-0005-0000-0000-000018320000}"/>
    <cellStyle name="Header2 10 2 2 3 2 3 3" xfId="12826" xr:uid="{00000000-0005-0000-0000-000019320000}"/>
    <cellStyle name="Header2 10 2 2 3 2 3 4" xfId="12827" xr:uid="{00000000-0005-0000-0000-00001A320000}"/>
    <cellStyle name="Header2 10 2 2 3 2 4" xfId="12828" xr:uid="{00000000-0005-0000-0000-00001B320000}"/>
    <cellStyle name="Header2 10 2 2 3 2 5" xfId="12829" xr:uid="{00000000-0005-0000-0000-00001C320000}"/>
    <cellStyle name="Header2 10 2 2 3 2 6" xfId="12830" xr:uid="{00000000-0005-0000-0000-00001D320000}"/>
    <cellStyle name="Header2 10 2 2 3 3" xfId="12831" xr:uid="{00000000-0005-0000-0000-00001E320000}"/>
    <cellStyle name="Header2 10 2 2 3 3 2" xfId="12832" xr:uid="{00000000-0005-0000-0000-00001F320000}"/>
    <cellStyle name="Header2 10 2 2 3 3 2 2" xfId="12833" xr:uid="{00000000-0005-0000-0000-000020320000}"/>
    <cellStyle name="Header2 10 2 2 3 3 2 3" xfId="12834" xr:uid="{00000000-0005-0000-0000-000021320000}"/>
    <cellStyle name="Header2 10 2 2 3 3 2 4" xfId="12835" xr:uid="{00000000-0005-0000-0000-000022320000}"/>
    <cellStyle name="Header2 10 2 2 3 3 3" xfId="12836" xr:uid="{00000000-0005-0000-0000-000023320000}"/>
    <cellStyle name="Header2 10 2 2 3 3 3 2" xfId="12837" xr:uid="{00000000-0005-0000-0000-000024320000}"/>
    <cellStyle name="Header2 10 2 2 3 3 3 3" xfId="12838" xr:uid="{00000000-0005-0000-0000-000025320000}"/>
    <cellStyle name="Header2 10 2 2 3 3 3 4" xfId="12839" xr:uid="{00000000-0005-0000-0000-000026320000}"/>
    <cellStyle name="Header2 10 2 2 3 3 4" xfId="12840" xr:uid="{00000000-0005-0000-0000-000027320000}"/>
    <cellStyle name="Header2 10 2 2 3 3 5" xfId="12841" xr:uid="{00000000-0005-0000-0000-000028320000}"/>
    <cellStyle name="Header2 10 2 2 3 3 6" xfId="12842" xr:uid="{00000000-0005-0000-0000-000029320000}"/>
    <cellStyle name="Header2 10 2 2 3 4" xfId="12843" xr:uid="{00000000-0005-0000-0000-00002A320000}"/>
    <cellStyle name="Header2 10 2 2 3 5" xfId="12844" xr:uid="{00000000-0005-0000-0000-00002B320000}"/>
    <cellStyle name="Header2 10 2 3" xfId="12845" xr:uid="{00000000-0005-0000-0000-00002C320000}"/>
    <cellStyle name="Header2 10 2 3 2" xfId="12846" xr:uid="{00000000-0005-0000-0000-00002D320000}"/>
    <cellStyle name="Header2 10 2 3 2 2" xfId="12847" xr:uid="{00000000-0005-0000-0000-00002E320000}"/>
    <cellStyle name="Header2 10 2 3 2 3" xfId="12848" xr:uid="{00000000-0005-0000-0000-00002F320000}"/>
    <cellStyle name="Header2 10 2 3 3" xfId="12849" xr:uid="{00000000-0005-0000-0000-000030320000}"/>
    <cellStyle name="Header2 10 2 4" xfId="12850" xr:uid="{00000000-0005-0000-0000-000031320000}"/>
    <cellStyle name="Header2 10 2 4 2" xfId="12851" xr:uid="{00000000-0005-0000-0000-000032320000}"/>
    <cellStyle name="Header2 10 2 4 2 2" xfId="12852" xr:uid="{00000000-0005-0000-0000-000033320000}"/>
    <cellStyle name="Header2 10 2 4 2 3" xfId="12853" xr:uid="{00000000-0005-0000-0000-000034320000}"/>
    <cellStyle name="Header2 10 2 4 3" xfId="12854" xr:uid="{00000000-0005-0000-0000-000035320000}"/>
    <cellStyle name="Header2 10 2 5" xfId="12855" xr:uid="{00000000-0005-0000-0000-000036320000}"/>
    <cellStyle name="Header2 10 2 5 2" xfId="12856" xr:uid="{00000000-0005-0000-0000-000037320000}"/>
    <cellStyle name="Header2 10 2 5 2 2" xfId="12857" xr:uid="{00000000-0005-0000-0000-000038320000}"/>
    <cellStyle name="Header2 10 2 5 2 3" xfId="12858" xr:uid="{00000000-0005-0000-0000-000039320000}"/>
    <cellStyle name="Header2 10 2 5 3" xfId="12859" xr:uid="{00000000-0005-0000-0000-00003A320000}"/>
    <cellStyle name="Header2 10 2 6" xfId="12860" xr:uid="{00000000-0005-0000-0000-00003B320000}"/>
    <cellStyle name="Header2 10 2 6 2" xfId="12861" xr:uid="{00000000-0005-0000-0000-00003C320000}"/>
    <cellStyle name="Header2 10 2 6 2 2" xfId="12862" xr:uid="{00000000-0005-0000-0000-00003D320000}"/>
    <cellStyle name="Header2 10 2 6 2 2 2" xfId="12863" xr:uid="{00000000-0005-0000-0000-00003E320000}"/>
    <cellStyle name="Header2 10 2 6 2 2 3" xfId="12864" xr:uid="{00000000-0005-0000-0000-00003F320000}"/>
    <cellStyle name="Header2 10 2 6 2 2 4" xfId="12865" xr:uid="{00000000-0005-0000-0000-000040320000}"/>
    <cellStyle name="Header2 10 2 6 2 2 5" xfId="12866" xr:uid="{00000000-0005-0000-0000-000041320000}"/>
    <cellStyle name="Header2 10 2 6 2 3" xfId="12867" xr:uid="{00000000-0005-0000-0000-000042320000}"/>
    <cellStyle name="Header2 10 2 6 2 3 2" xfId="12868" xr:uid="{00000000-0005-0000-0000-000043320000}"/>
    <cellStyle name="Header2 10 2 6 2 3 3" xfId="12869" xr:uid="{00000000-0005-0000-0000-000044320000}"/>
    <cellStyle name="Header2 10 2 6 2 3 4" xfId="12870" xr:uid="{00000000-0005-0000-0000-000045320000}"/>
    <cellStyle name="Header2 10 2 6 2 4" xfId="12871" xr:uid="{00000000-0005-0000-0000-000046320000}"/>
    <cellStyle name="Header2 10 2 6 2 5" xfId="12872" xr:uid="{00000000-0005-0000-0000-000047320000}"/>
    <cellStyle name="Header2 10 2 6 2 6" xfId="12873" xr:uid="{00000000-0005-0000-0000-000048320000}"/>
    <cellStyle name="Header2 10 2 6 3" xfId="12874" xr:uid="{00000000-0005-0000-0000-000049320000}"/>
    <cellStyle name="Header2 10 2 6 3 2" xfId="12875" xr:uid="{00000000-0005-0000-0000-00004A320000}"/>
    <cellStyle name="Header2 10 2 6 3 2 2" xfId="12876" xr:uid="{00000000-0005-0000-0000-00004B320000}"/>
    <cellStyle name="Header2 10 2 6 3 2 3" xfId="12877" xr:uid="{00000000-0005-0000-0000-00004C320000}"/>
    <cellStyle name="Header2 10 2 6 3 2 4" xfId="12878" xr:uid="{00000000-0005-0000-0000-00004D320000}"/>
    <cellStyle name="Header2 10 2 6 3 3" xfId="12879" xr:uid="{00000000-0005-0000-0000-00004E320000}"/>
    <cellStyle name="Header2 10 2 6 3 3 2" xfId="12880" xr:uid="{00000000-0005-0000-0000-00004F320000}"/>
    <cellStyle name="Header2 10 2 6 3 3 3" xfId="12881" xr:uid="{00000000-0005-0000-0000-000050320000}"/>
    <cellStyle name="Header2 10 2 6 3 3 4" xfId="12882" xr:uid="{00000000-0005-0000-0000-000051320000}"/>
    <cellStyle name="Header2 10 2 6 3 4" xfId="12883" xr:uid="{00000000-0005-0000-0000-000052320000}"/>
    <cellStyle name="Header2 10 2 6 3 5" xfId="12884" xr:uid="{00000000-0005-0000-0000-000053320000}"/>
    <cellStyle name="Header2 10 2 6 3 6" xfId="12885" xr:uid="{00000000-0005-0000-0000-000054320000}"/>
    <cellStyle name="Header2 10 2 6 4" xfId="12886" xr:uid="{00000000-0005-0000-0000-000055320000}"/>
    <cellStyle name="Header2 10 2 6 5" xfId="12887" xr:uid="{00000000-0005-0000-0000-000056320000}"/>
    <cellStyle name="Header2 10 2 7" xfId="12888" xr:uid="{00000000-0005-0000-0000-000057320000}"/>
    <cellStyle name="Header2 10 2 7 2" xfId="12889" xr:uid="{00000000-0005-0000-0000-000058320000}"/>
    <cellStyle name="Header2 10 2 7 2 2" xfId="12890" xr:uid="{00000000-0005-0000-0000-000059320000}"/>
    <cellStyle name="Header2 10 2 7 2 2 2" xfId="12891" xr:uid="{00000000-0005-0000-0000-00005A320000}"/>
    <cellStyle name="Header2 10 2 7 2 2 3" xfId="12892" xr:uid="{00000000-0005-0000-0000-00005B320000}"/>
    <cellStyle name="Header2 10 2 7 2 2 4" xfId="12893" xr:uid="{00000000-0005-0000-0000-00005C320000}"/>
    <cellStyle name="Header2 10 2 7 2 2 5" xfId="12894" xr:uid="{00000000-0005-0000-0000-00005D320000}"/>
    <cellStyle name="Header2 10 2 7 2 3" xfId="12895" xr:uid="{00000000-0005-0000-0000-00005E320000}"/>
    <cellStyle name="Header2 10 2 7 2 3 2" xfId="12896" xr:uid="{00000000-0005-0000-0000-00005F320000}"/>
    <cellStyle name="Header2 10 2 7 2 3 3" xfId="12897" xr:uid="{00000000-0005-0000-0000-000060320000}"/>
    <cellStyle name="Header2 10 2 7 2 3 4" xfId="12898" xr:uid="{00000000-0005-0000-0000-000061320000}"/>
    <cellStyle name="Header2 10 2 7 2 4" xfId="12899" xr:uid="{00000000-0005-0000-0000-000062320000}"/>
    <cellStyle name="Header2 10 2 7 2 5" xfId="12900" xr:uid="{00000000-0005-0000-0000-000063320000}"/>
    <cellStyle name="Header2 10 2 7 2 6" xfId="12901" xr:uid="{00000000-0005-0000-0000-000064320000}"/>
    <cellStyle name="Header2 10 2 7 3" xfId="12902" xr:uid="{00000000-0005-0000-0000-000065320000}"/>
    <cellStyle name="Header2 10 2 7 3 2" xfId="12903" xr:uid="{00000000-0005-0000-0000-000066320000}"/>
    <cellStyle name="Header2 10 2 7 3 2 2" xfId="12904" xr:uid="{00000000-0005-0000-0000-000067320000}"/>
    <cellStyle name="Header2 10 2 7 3 2 3" xfId="12905" xr:uid="{00000000-0005-0000-0000-000068320000}"/>
    <cellStyle name="Header2 10 2 7 3 2 4" xfId="12906" xr:uid="{00000000-0005-0000-0000-000069320000}"/>
    <cellStyle name="Header2 10 2 7 3 3" xfId="12907" xr:uid="{00000000-0005-0000-0000-00006A320000}"/>
    <cellStyle name="Header2 10 2 7 3 3 2" xfId="12908" xr:uid="{00000000-0005-0000-0000-00006B320000}"/>
    <cellStyle name="Header2 10 2 7 3 3 3" xfId="12909" xr:uid="{00000000-0005-0000-0000-00006C320000}"/>
    <cellStyle name="Header2 10 2 7 3 3 4" xfId="12910" xr:uid="{00000000-0005-0000-0000-00006D320000}"/>
    <cellStyle name="Header2 10 2 7 3 4" xfId="12911" xr:uid="{00000000-0005-0000-0000-00006E320000}"/>
    <cellStyle name="Header2 10 2 7 3 5" xfId="12912" xr:uid="{00000000-0005-0000-0000-00006F320000}"/>
    <cellStyle name="Header2 10 2 7 3 6" xfId="12913" xr:uid="{00000000-0005-0000-0000-000070320000}"/>
    <cellStyle name="Header2 10 2 7 4" xfId="12914" xr:uid="{00000000-0005-0000-0000-000071320000}"/>
    <cellStyle name="Header2 10 2 7 5" xfId="12915" xr:uid="{00000000-0005-0000-0000-000072320000}"/>
    <cellStyle name="Header2 10 2 8" xfId="12916" xr:uid="{00000000-0005-0000-0000-000073320000}"/>
    <cellStyle name="Header2 10 2 8 2" xfId="12917" xr:uid="{00000000-0005-0000-0000-000074320000}"/>
    <cellStyle name="Header2 10 2 8 2 2" xfId="12918" xr:uid="{00000000-0005-0000-0000-000075320000}"/>
    <cellStyle name="Header2 10 2 8 2 2 2" xfId="12919" xr:uid="{00000000-0005-0000-0000-000076320000}"/>
    <cellStyle name="Header2 10 2 8 2 2 3" xfId="12920" xr:uid="{00000000-0005-0000-0000-000077320000}"/>
    <cellStyle name="Header2 10 2 8 2 2 4" xfId="12921" xr:uid="{00000000-0005-0000-0000-000078320000}"/>
    <cellStyle name="Header2 10 2 8 2 2 5" xfId="12922" xr:uid="{00000000-0005-0000-0000-000079320000}"/>
    <cellStyle name="Header2 10 2 8 2 3" xfId="12923" xr:uid="{00000000-0005-0000-0000-00007A320000}"/>
    <cellStyle name="Header2 10 2 8 2 3 2" xfId="12924" xr:uid="{00000000-0005-0000-0000-00007B320000}"/>
    <cellStyle name="Header2 10 2 8 2 3 3" xfId="12925" xr:uid="{00000000-0005-0000-0000-00007C320000}"/>
    <cellStyle name="Header2 10 2 8 2 3 4" xfId="12926" xr:uid="{00000000-0005-0000-0000-00007D320000}"/>
    <cellStyle name="Header2 10 2 8 2 4" xfId="12927" xr:uid="{00000000-0005-0000-0000-00007E320000}"/>
    <cellStyle name="Header2 10 2 8 2 5" xfId="12928" xr:uid="{00000000-0005-0000-0000-00007F320000}"/>
    <cellStyle name="Header2 10 2 8 2 6" xfId="12929" xr:uid="{00000000-0005-0000-0000-000080320000}"/>
    <cellStyle name="Header2 10 2 8 3" xfId="12930" xr:uid="{00000000-0005-0000-0000-000081320000}"/>
    <cellStyle name="Header2 10 2 8 3 2" xfId="12931" xr:uid="{00000000-0005-0000-0000-000082320000}"/>
    <cellStyle name="Header2 10 2 8 3 2 2" xfId="12932" xr:uid="{00000000-0005-0000-0000-000083320000}"/>
    <cellStyle name="Header2 10 2 8 3 2 3" xfId="12933" xr:uid="{00000000-0005-0000-0000-000084320000}"/>
    <cellStyle name="Header2 10 2 8 3 2 4" xfId="12934" xr:uid="{00000000-0005-0000-0000-000085320000}"/>
    <cellStyle name="Header2 10 2 8 3 3" xfId="12935" xr:uid="{00000000-0005-0000-0000-000086320000}"/>
    <cellStyle name="Header2 10 2 8 3 3 2" xfId="12936" xr:uid="{00000000-0005-0000-0000-000087320000}"/>
    <cellStyle name="Header2 10 2 8 3 3 3" xfId="12937" xr:uid="{00000000-0005-0000-0000-000088320000}"/>
    <cellStyle name="Header2 10 2 8 3 3 4" xfId="12938" xr:uid="{00000000-0005-0000-0000-000089320000}"/>
    <cellStyle name="Header2 10 2 8 3 4" xfId="12939" xr:uid="{00000000-0005-0000-0000-00008A320000}"/>
    <cellStyle name="Header2 10 2 8 3 5" xfId="12940" xr:uid="{00000000-0005-0000-0000-00008B320000}"/>
    <cellStyle name="Header2 10 2 8 3 6" xfId="12941" xr:uid="{00000000-0005-0000-0000-00008C320000}"/>
    <cellStyle name="Header2 10 2 8 4" xfId="12942" xr:uid="{00000000-0005-0000-0000-00008D320000}"/>
    <cellStyle name="Header2 10 2 8 5" xfId="12943" xr:uid="{00000000-0005-0000-0000-00008E320000}"/>
    <cellStyle name="Header2 10 2 9" xfId="12944" xr:uid="{00000000-0005-0000-0000-00008F320000}"/>
    <cellStyle name="Header2 10 2 9 2" xfId="12945" xr:uid="{00000000-0005-0000-0000-000090320000}"/>
    <cellStyle name="Header2 10 2 9 2 2" xfId="12946" xr:uid="{00000000-0005-0000-0000-000091320000}"/>
    <cellStyle name="Header2 10 2 9 2 2 2" xfId="12947" xr:uid="{00000000-0005-0000-0000-000092320000}"/>
    <cellStyle name="Header2 10 2 9 2 2 3" xfId="12948" xr:uid="{00000000-0005-0000-0000-000093320000}"/>
    <cellStyle name="Header2 10 2 9 2 2 4" xfId="12949" xr:uid="{00000000-0005-0000-0000-000094320000}"/>
    <cellStyle name="Header2 10 2 9 2 2 5" xfId="12950" xr:uid="{00000000-0005-0000-0000-000095320000}"/>
    <cellStyle name="Header2 10 2 9 2 3" xfId="12951" xr:uid="{00000000-0005-0000-0000-000096320000}"/>
    <cellStyle name="Header2 10 2 9 2 3 2" xfId="12952" xr:uid="{00000000-0005-0000-0000-000097320000}"/>
    <cellStyle name="Header2 10 2 9 2 3 3" xfId="12953" xr:uid="{00000000-0005-0000-0000-000098320000}"/>
    <cellStyle name="Header2 10 2 9 2 3 4" xfId="12954" xr:uid="{00000000-0005-0000-0000-000099320000}"/>
    <cellStyle name="Header2 10 2 9 2 4" xfId="12955" xr:uid="{00000000-0005-0000-0000-00009A320000}"/>
    <cellStyle name="Header2 10 2 9 2 5" xfId="12956" xr:uid="{00000000-0005-0000-0000-00009B320000}"/>
    <cellStyle name="Header2 10 2 9 2 6" xfId="12957" xr:uid="{00000000-0005-0000-0000-00009C320000}"/>
    <cellStyle name="Header2 10 2 9 3" xfId="12958" xr:uid="{00000000-0005-0000-0000-00009D320000}"/>
    <cellStyle name="Header2 10 2 9 3 2" xfId="12959" xr:uid="{00000000-0005-0000-0000-00009E320000}"/>
    <cellStyle name="Header2 10 2 9 3 2 2" xfId="12960" xr:uid="{00000000-0005-0000-0000-00009F320000}"/>
    <cellStyle name="Header2 10 2 9 3 2 3" xfId="12961" xr:uid="{00000000-0005-0000-0000-0000A0320000}"/>
    <cellStyle name="Header2 10 2 9 3 2 4" xfId="12962" xr:uid="{00000000-0005-0000-0000-0000A1320000}"/>
    <cellStyle name="Header2 10 2 9 3 3" xfId="12963" xr:uid="{00000000-0005-0000-0000-0000A2320000}"/>
    <cellStyle name="Header2 10 2 9 3 3 2" xfId="12964" xr:uid="{00000000-0005-0000-0000-0000A3320000}"/>
    <cellStyle name="Header2 10 2 9 3 3 3" xfId="12965" xr:uid="{00000000-0005-0000-0000-0000A4320000}"/>
    <cellStyle name="Header2 10 2 9 3 3 4" xfId="12966" xr:uid="{00000000-0005-0000-0000-0000A5320000}"/>
    <cellStyle name="Header2 10 2 9 3 4" xfId="12967" xr:uid="{00000000-0005-0000-0000-0000A6320000}"/>
    <cellStyle name="Header2 10 2 9 3 5" xfId="12968" xr:uid="{00000000-0005-0000-0000-0000A7320000}"/>
    <cellStyle name="Header2 10 2 9 3 6" xfId="12969" xr:uid="{00000000-0005-0000-0000-0000A8320000}"/>
    <cellStyle name="Header2 10 2 9 4" xfId="12970" xr:uid="{00000000-0005-0000-0000-0000A9320000}"/>
    <cellStyle name="Header2 10 2 9 5" xfId="12971" xr:uid="{00000000-0005-0000-0000-0000AA320000}"/>
    <cellStyle name="Header2 10 3" xfId="12972" xr:uid="{00000000-0005-0000-0000-0000AB320000}"/>
    <cellStyle name="Header2 10 3 10" xfId="12973" xr:uid="{00000000-0005-0000-0000-0000AC320000}"/>
    <cellStyle name="Header2 10 3 10 2" xfId="12974" xr:uid="{00000000-0005-0000-0000-0000AD320000}"/>
    <cellStyle name="Header2 10 3 10 2 2" xfId="12975" xr:uid="{00000000-0005-0000-0000-0000AE320000}"/>
    <cellStyle name="Header2 10 3 10 2 2 2" xfId="12976" xr:uid="{00000000-0005-0000-0000-0000AF320000}"/>
    <cellStyle name="Header2 10 3 10 2 2 3" xfId="12977" xr:uid="{00000000-0005-0000-0000-0000B0320000}"/>
    <cellStyle name="Header2 10 3 10 2 2 4" xfId="12978" xr:uid="{00000000-0005-0000-0000-0000B1320000}"/>
    <cellStyle name="Header2 10 3 10 2 2 5" xfId="12979" xr:uid="{00000000-0005-0000-0000-0000B2320000}"/>
    <cellStyle name="Header2 10 3 10 2 3" xfId="12980" xr:uid="{00000000-0005-0000-0000-0000B3320000}"/>
    <cellStyle name="Header2 10 3 10 2 3 2" xfId="12981" xr:uid="{00000000-0005-0000-0000-0000B4320000}"/>
    <cellStyle name="Header2 10 3 10 2 3 3" xfId="12982" xr:uid="{00000000-0005-0000-0000-0000B5320000}"/>
    <cellStyle name="Header2 10 3 10 2 3 4" xfId="12983" xr:uid="{00000000-0005-0000-0000-0000B6320000}"/>
    <cellStyle name="Header2 10 3 10 2 4" xfId="12984" xr:uid="{00000000-0005-0000-0000-0000B7320000}"/>
    <cellStyle name="Header2 10 3 10 2 5" xfId="12985" xr:uid="{00000000-0005-0000-0000-0000B8320000}"/>
    <cellStyle name="Header2 10 3 10 2 6" xfId="12986" xr:uid="{00000000-0005-0000-0000-0000B9320000}"/>
    <cellStyle name="Header2 10 3 10 3" xfId="12987" xr:uid="{00000000-0005-0000-0000-0000BA320000}"/>
    <cellStyle name="Header2 10 3 10 3 2" xfId="12988" xr:uid="{00000000-0005-0000-0000-0000BB320000}"/>
    <cellStyle name="Header2 10 3 10 3 2 2" xfId="12989" xr:uid="{00000000-0005-0000-0000-0000BC320000}"/>
    <cellStyle name="Header2 10 3 10 3 2 3" xfId="12990" xr:uid="{00000000-0005-0000-0000-0000BD320000}"/>
    <cellStyle name="Header2 10 3 10 3 2 4" xfId="12991" xr:uid="{00000000-0005-0000-0000-0000BE320000}"/>
    <cellStyle name="Header2 10 3 10 3 3" xfId="12992" xr:uid="{00000000-0005-0000-0000-0000BF320000}"/>
    <cellStyle name="Header2 10 3 10 3 3 2" xfId="12993" xr:uid="{00000000-0005-0000-0000-0000C0320000}"/>
    <cellStyle name="Header2 10 3 10 3 3 3" xfId="12994" xr:uid="{00000000-0005-0000-0000-0000C1320000}"/>
    <cellStyle name="Header2 10 3 10 3 3 4" xfId="12995" xr:uid="{00000000-0005-0000-0000-0000C2320000}"/>
    <cellStyle name="Header2 10 3 10 3 4" xfId="12996" xr:uid="{00000000-0005-0000-0000-0000C3320000}"/>
    <cellStyle name="Header2 10 3 10 3 5" xfId="12997" xr:uid="{00000000-0005-0000-0000-0000C4320000}"/>
    <cellStyle name="Header2 10 3 10 3 6" xfId="12998" xr:uid="{00000000-0005-0000-0000-0000C5320000}"/>
    <cellStyle name="Header2 10 3 10 4" xfId="12999" xr:uid="{00000000-0005-0000-0000-0000C6320000}"/>
    <cellStyle name="Header2 10 3 10 5" xfId="13000" xr:uid="{00000000-0005-0000-0000-0000C7320000}"/>
    <cellStyle name="Header2 10 3 11" xfId="13001" xr:uid="{00000000-0005-0000-0000-0000C8320000}"/>
    <cellStyle name="Header2 10 3 11 2" xfId="13002" xr:uid="{00000000-0005-0000-0000-0000C9320000}"/>
    <cellStyle name="Header2 10 3 11 2 2" xfId="13003" xr:uid="{00000000-0005-0000-0000-0000CA320000}"/>
    <cellStyle name="Header2 10 3 11 2 2 2" xfId="13004" xr:uid="{00000000-0005-0000-0000-0000CB320000}"/>
    <cellStyle name="Header2 10 3 11 2 2 3" xfId="13005" xr:uid="{00000000-0005-0000-0000-0000CC320000}"/>
    <cellStyle name="Header2 10 3 11 2 2 4" xfId="13006" xr:uid="{00000000-0005-0000-0000-0000CD320000}"/>
    <cellStyle name="Header2 10 3 11 2 2 5" xfId="13007" xr:uid="{00000000-0005-0000-0000-0000CE320000}"/>
    <cellStyle name="Header2 10 3 11 2 3" xfId="13008" xr:uid="{00000000-0005-0000-0000-0000CF320000}"/>
    <cellStyle name="Header2 10 3 11 2 3 2" xfId="13009" xr:uid="{00000000-0005-0000-0000-0000D0320000}"/>
    <cellStyle name="Header2 10 3 11 2 3 3" xfId="13010" xr:uid="{00000000-0005-0000-0000-0000D1320000}"/>
    <cellStyle name="Header2 10 3 11 2 3 4" xfId="13011" xr:uid="{00000000-0005-0000-0000-0000D2320000}"/>
    <cellStyle name="Header2 10 3 11 2 4" xfId="13012" xr:uid="{00000000-0005-0000-0000-0000D3320000}"/>
    <cellStyle name="Header2 10 3 11 2 5" xfId="13013" xr:uid="{00000000-0005-0000-0000-0000D4320000}"/>
    <cellStyle name="Header2 10 3 11 2 6" xfId="13014" xr:uid="{00000000-0005-0000-0000-0000D5320000}"/>
    <cellStyle name="Header2 10 3 11 3" xfId="13015" xr:uid="{00000000-0005-0000-0000-0000D6320000}"/>
    <cellStyle name="Header2 10 3 11 3 2" xfId="13016" xr:uid="{00000000-0005-0000-0000-0000D7320000}"/>
    <cellStyle name="Header2 10 3 11 3 2 2" xfId="13017" xr:uid="{00000000-0005-0000-0000-0000D8320000}"/>
    <cellStyle name="Header2 10 3 11 3 2 3" xfId="13018" xr:uid="{00000000-0005-0000-0000-0000D9320000}"/>
    <cellStyle name="Header2 10 3 11 3 2 4" xfId="13019" xr:uid="{00000000-0005-0000-0000-0000DA320000}"/>
    <cellStyle name="Header2 10 3 11 3 3" xfId="13020" xr:uid="{00000000-0005-0000-0000-0000DB320000}"/>
    <cellStyle name="Header2 10 3 11 3 3 2" xfId="13021" xr:uid="{00000000-0005-0000-0000-0000DC320000}"/>
    <cellStyle name="Header2 10 3 11 3 3 3" xfId="13022" xr:uid="{00000000-0005-0000-0000-0000DD320000}"/>
    <cellStyle name="Header2 10 3 11 3 3 4" xfId="13023" xr:uid="{00000000-0005-0000-0000-0000DE320000}"/>
    <cellStyle name="Header2 10 3 11 3 4" xfId="13024" xr:uid="{00000000-0005-0000-0000-0000DF320000}"/>
    <cellStyle name="Header2 10 3 11 3 5" xfId="13025" xr:uid="{00000000-0005-0000-0000-0000E0320000}"/>
    <cellStyle name="Header2 10 3 11 3 6" xfId="13026" xr:uid="{00000000-0005-0000-0000-0000E1320000}"/>
    <cellStyle name="Header2 10 3 11 4" xfId="13027" xr:uid="{00000000-0005-0000-0000-0000E2320000}"/>
    <cellStyle name="Header2 10 3 11 5" xfId="13028" xr:uid="{00000000-0005-0000-0000-0000E3320000}"/>
    <cellStyle name="Header2 10 3 12" xfId="13029" xr:uid="{00000000-0005-0000-0000-0000E4320000}"/>
    <cellStyle name="Header2 10 3 12 2" xfId="13030" xr:uid="{00000000-0005-0000-0000-0000E5320000}"/>
    <cellStyle name="Header2 10 3 12 2 2" xfId="13031" xr:uid="{00000000-0005-0000-0000-0000E6320000}"/>
    <cellStyle name="Header2 10 3 12 2 2 2" xfId="13032" xr:uid="{00000000-0005-0000-0000-0000E7320000}"/>
    <cellStyle name="Header2 10 3 12 2 2 3" xfId="13033" xr:uid="{00000000-0005-0000-0000-0000E8320000}"/>
    <cellStyle name="Header2 10 3 12 2 2 4" xfId="13034" xr:uid="{00000000-0005-0000-0000-0000E9320000}"/>
    <cellStyle name="Header2 10 3 12 2 2 5" xfId="13035" xr:uid="{00000000-0005-0000-0000-0000EA320000}"/>
    <cellStyle name="Header2 10 3 12 2 3" xfId="13036" xr:uid="{00000000-0005-0000-0000-0000EB320000}"/>
    <cellStyle name="Header2 10 3 12 2 3 2" xfId="13037" xr:uid="{00000000-0005-0000-0000-0000EC320000}"/>
    <cellStyle name="Header2 10 3 12 2 3 3" xfId="13038" xr:uid="{00000000-0005-0000-0000-0000ED320000}"/>
    <cellStyle name="Header2 10 3 12 2 3 4" xfId="13039" xr:uid="{00000000-0005-0000-0000-0000EE320000}"/>
    <cellStyle name="Header2 10 3 12 2 4" xfId="13040" xr:uid="{00000000-0005-0000-0000-0000EF320000}"/>
    <cellStyle name="Header2 10 3 12 2 5" xfId="13041" xr:uid="{00000000-0005-0000-0000-0000F0320000}"/>
    <cellStyle name="Header2 10 3 12 2 6" xfId="13042" xr:uid="{00000000-0005-0000-0000-0000F1320000}"/>
    <cellStyle name="Header2 10 3 12 3" xfId="13043" xr:uid="{00000000-0005-0000-0000-0000F2320000}"/>
    <cellStyle name="Header2 10 3 12 3 2" xfId="13044" xr:uid="{00000000-0005-0000-0000-0000F3320000}"/>
    <cellStyle name="Header2 10 3 12 3 2 2" xfId="13045" xr:uid="{00000000-0005-0000-0000-0000F4320000}"/>
    <cellStyle name="Header2 10 3 12 3 2 3" xfId="13046" xr:uid="{00000000-0005-0000-0000-0000F5320000}"/>
    <cellStyle name="Header2 10 3 12 3 2 4" xfId="13047" xr:uid="{00000000-0005-0000-0000-0000F6320000}"/>
    <cellStyle name="Header2 10 3 12 3 3" xfId="13048" xr:uid="{00000000-0005-0000-0000-0000F7320000}"/>
    <cellStyle name="Header2 10 3 12 3 3 2" xfId="13049" xr:uid="{00000000-0005-0000-0000-0000F8320000}"/>
    <cellStyle name="Header2 10 3 12 3 3 3" xfId="13050" xr:uid="{00000000-0005-0000-0000-0000F9320000}"/>
    <cellStyle name="Header2 10 3 12 3 3 4" xfId="13051" xr:uid="{00000000-0005-0000-0000-0000FA320000}"/>
    <cellStyle name="Header2 10 3 12 3 4" xfId="13052" xr:uid="{00000000-0005-0000-0000-0000FB320000}"/>
    <cellStyle name="Header2 10 3 12 3 5" xfId="13053" xr:uid="{00000000-0005-0000-0000-0000FC320000}"/>
    <cellStyle name="Header2 10 3 12 3 6" xfId="13054" xr:uid="{00000000-0005-0000-0000-0000FD320000}"/>
    <cellStyle name="Header2 10 3 12 4" xfId="13055" xr:uid="{00000000-0005-0000-0000-0000FE320000}"/>
    <cellStyle name="Header2 10 3 12 5" xfId="13056" xr:uid="{00000000-0005-0000-0000-0000FF320000}"/>
    <cellStyle name="Header2 10 3 13" xfId="58717" xr:uid="{00000000-0005-0000-0000-000000330000}"/>
    <cellStyle name="Header2 10 3 2" xfId="13057" xr:uid="{00000000-0005-0000-0000-000001330000}"/>
    <cellStyle name="Header2 10 3 2 2" xfId="13058" xr:uid="{00000000-0005-0000-0000-000002330000}"/>
    <cellStyle name="Header2 10 3 2 2 2" xfId="13059" xr:uid="{00000000-0005-0000-0000-000003330000}"/>
    <cellStyle name="Header2 10 3 2 2 3" xfId="13060" xr:uid="{00000000-0005-0000-0000-000004330000}"/>
    <cellStyle name="Header2 10 3 2 3" xfId="13061" xr:uid="{00000000-0005-0000-0000-000005330000}"/>
    <cellStyle name="Header2 10 3 3" xfId="13062" xr:uid="{00000000-0005-0000-0000-000006330000}"/>
    <cellStyle name="Header2 10 3 3 2" xfId="13063" xr:uid="{00000000-0005-0000-0000-000007330000}"/>
    <cellStyle name="Header2 10 3 3 2 2" xfId="13064" xr:uid="{00000000-0005-0000-0000-000008330000}"/>
    <cellStyle name="Header2 10 3 3 2 3" xfId="13065" xr:uid="{00000000-0005-0000-0000-000009330000}"/>
    <cellStyle name="Header2 10 3 3 3" xfId="13066" xr:uid="{00000000-0005-0000-0000-00000A330000}"/>
    <cellStyle name="Header2 10 3 4" xfId="13067" xr:uid="{00000000-0005-0000-0000-00000B330000}"/>
    <cellStyle name="Header2 10 3 4 2" xfId="13068" xr:uid="{00000000-0005-0000-0000-00000C330000}"/>
    <cellStyle name="Header2 10 3 4 2 2" xfId="13069" xr:uid="{00000000-0005-0000-0000-00000D330000}"/>
    <cellStyle name="Header2 10 3 4 2 3" xfId="13070" xr:uid="{00000000-0005-0000-0000-00000E330000}"/>
    <cellStyle name="Header2 10 3 4 3" xfId="13071" xr:uid="{00000000-0005-0000-0000-00000F330000}"/>
    <cellStyle name="Header2 10 3 5" xfId="13072" xr:uid="{00000000-0005-0000-0000-000010330000}"/>
    <cellStyle name="Header2 10 3 5 2" xfId="13073" xr:uid="{00000000-0005-0000-0000-000011330000}"/>
    <cellStyle name="Header2 10 3 5 2 2" xfId="13074" xr:uid="{00000000-0005-0000-0000-000012330000}"/>
    <cellStyle name="Header2 10 3 5 2 2 2" xfId="13075" xr:uid="{00000000-0005-0000-0000-000013330000}"/>
    <cellStyle name="Header2 10 3 5 2 2 3" xfId="13076" xr:uid="{00000000-0005-0000-0000-000014330000}"/>
    <cellStyle name="Header2 10 3 5 2 2 4" xfId="13077" xr:uid="{00000000-0005-0000-0000-000015330000}"/>
    <cellStyle name="Header2 10 3 5 2 2 5" xfId="13078" xr:uid="{00000000-0005-0000-0000-000016330000}"/>
    <cellStyle name="Header2 10 3 5 2 3" xfId="13079" xr:uid="{00000000-0005-0000-0000-000017330000}"/>
    <cellStyle name="Header2 10 3 5 2 3 2" xfId="13080" xr:uid="{00000000-0005-0000-0000-000018330000}"/>
    <cellStyle name="Header2 10 3 5 2 3 3" xfId="13081" xr:uid="{00000000-0005-0000-0000-000019330000}"/>
    <cellStyle name="Header2 10 3 5 2 3 4" xfId="13082" xr:uid="{00000000-0005-0000-0000-00001A330000}"/>
    <cellStyle name="Header2 10 3 5 2 4" xfId="13083" xr:uid="{00000000-0005-0000-0000-00001B330000}"/>
    <cellStyle name="Header2 10 3 5 2 5" xfId="13084" xr:uid="{00000000-0005-0000-0000-00001C330000}"/>
    <cellStyle name="Header2 10 3 5 2 6" xfId="13085" xr:uid="{00000000-0005-0000-0000-00001D330000}"/>
    <cellStyle name="Header2 10 3 5 3" xfId="13086" xr:uid="{00000000-0005-0000-0000-00001E330000}"/>
    <cellStyle name="Header2 10 3 5 3 2" xfId="13087" xr:uid="{00000000-0005-0000-0000-00001F330000}"/>
    <cellStyle name="Header2 10 3 5 3 2 2" xfId="13088" xr:uid="{00000000-0005-0000-0000-000020330000}"/>
    <cellStyle name="Header2 10 3 5 3 2 3" xfId="13089" xr:uid="{00000000-0005-0000-0000-000021330000}"/>
    <cellStyle name="Header2 10 3 5 3 2 4" xfId="13090" xr:uid="{00000000-0005-0000-0000-000022330000}"/>
    <cellStyle name="Header2 10 3 5 3 3" xfId="13091" xr:uid="{00000000-0005-0000-0000-000023330000}"/>
    <cellStyle name="Header2 10 3 5 3 3 2" xfId="13092" xr:uid="{00000000-0005-0000-0000-000024330000}"/>
    <cellStyle name="Header2 10 3 5 3 3 3" xfId="13093" xr:uid="{00000000-0005-0000-0000-000025330000}"/>
    <cellStyle name="Header2 10 3 5 3 3 4" xfId="13094" xr:uid="{00000000-0005-0000-0000-000026330000}"/>
    <cellStyle name="Header2 10 3 5 3 4" xfId="13095" xr:uid="{00000000-0005-0000-0000-000027330000}"/>
    <cellStyle name="Header2 10 3 5 3 5" xfId="13096" xr:uid="{00000000-0005-0000-0000-000028330000}"/>
    <cellStyle name="Header2 10 3 5 3 6" xfId="13097" xr:uid="{00000000-0005-0000-0000-000029330000}"/>
    <cellStyle name="Header2 10 3 5 4" xfId="13098" xr:uid="{00000000-0005-0000-0000-00002A330000}"/>
    <cellStyle name="Header2 10 3 5 5" xfId="13099" xr:uid="{00000000-0005-0000-0000-00002B330000}"/>
    <cellStyle name="Header2 10 3 6" xfId="13100" xr:uid="{00000000-0005-0000-0000-00002C330000}"/>
    <cellStyle name="Header2 10 3 6 2" xfId="13101" xr:uid="{00000000-0005-0000-0000-00002D330000}"/>
    <cellStyle name="Header2 10 3 6 2 2" xfId="13102" xr:uid="{00000000-0005-0000-0000-00002E330000}"/>
    <cellStyle name="Header2 10 3 6 2 2 2" xfId="13103" xr:uid="{00000000-0005-0000-0000-00002F330000}"/>
    <cellStyle name="Header2 10 3 6 2 2 3" xfId="13104" xr:uid="{00000000-0005-0000-0000-000030330000}"/>
    <cellStyle name="Header2 10 3 6 2 2 4" xfId="13105" xr:uid="{00000000-0005-0000-0000-000031330000}"/>
    <cellStyle name="Header2 10 3 6 2 2 5" xfId="13106" xr:uid="{00000000-0005-0000-0000-000032330000}"/>
    <cellStyle name="Header2 10 3 6 2 3" xfId="13107" xr:uid="{00000000-0005-0000-0000-000033330000}"/>
    <cellStyle name="Header2 10 3 6 2 3 2" xfId="13108" xr:uid="{00000000-0005-0000-0000-000034330000}"/>
    <cellStyle name="Header2 10 3 6 2 3 3" xfId="13109" xr:uid="{00000000-0005-0000-0000-000035330000}"/>
    <cellStyle name="Header2 10 3 6 2 3 4" xfId="13110" xr:uid="{00000000-0005-0000-0000-000036330000}"/>
    <cellStyle name="Header2 10 3 6 2 4" xfId="13111" xr:uid="{00000000-0005-0000-0000-000037330000}"/>
    <cellStyle name="Header2 10 3 6 2 5" xfId="13112" xr:uid="{00000000-0005-0000-0000-000038330000}"/>
    <cellStyle name="Header2 10 3 6 2 6" xfId="13113" xr:uid="{00000000-0005-0000-0000-000039330000}"/>
    <cellStyle name="Header2 10 3 6 3" xfId="13114" xr:uid="{00000000-0005-0000-0000-00003A330000}"/>
    <cellStyle name="Header2 10 3 6 3 2" xfId="13115" xr:uid="{00000000-0005-0000-0000-00003B330000}"/>
    <cellStyle name="Header2 10 3 6 3 2 2" xfId="13116" xr:uid="{00000000-0005-0000-0000-00003C330000}"/>
    <cellStyle name="Header2 10 3 6 3 2 3" xfId="13117" xr:uid="{00000000-0005-0000-0000-00003D330000}"/>
    <cellStyle name="Header2 10 3 6 3 2 4" xfId="13118" xr:uid="{00000000-0005-0000-0000-00003E330000}"/>
    <cellStyle name="Header2 10 3 6 3 3" xfId="13119" xr:uid="{00000000-0005-0000-0000-00003F330000}"/>
    <cellStyle name="Header2 10 3 6 3 3 2" xfId="13120" xr:uid="{00000000-0005-0000-0000-000040330000}"/>
    <cellStyle name="Header2 10 3 6 3 3 3" xfId="13121" xr:uid="{00000000-0005-0000-0000-000041330000}"/>
    <cellStyle name="Header2 10 3 6 3 3 4" xfId="13122" xr:uid="{00000000-0005-0000-0000-000042330000}"/>
    <cellStyle name="Header2 10 3 6 3 4" xfId="13123" xr:uid="{00000000-0005-0000-0000-000043330000}"/>
    <cellStyle name="Header2 10 3 6 3 5" xfId="13124" xr:uid="{00000000-0005-0000-0000-000044330000}"/>
    <cellStyle name="Header2 10 3 6 3 6" xfId="13125" xr:uid="{00000000-0005-0000-0000-000045330000}"/>
    <cellStyle name="Header2 10 3 6 4" xfId="13126" xr:uid="{00000000-0005-0000-0000-000046330000}"/>
    <cellStyle name="Header2 10 3 6 5" xfId="13127" xr:uid="{00000000-0005-0000-0000-000047330000}"/>
    <cellStyle name="Header2 10 3 7" xfId="13128" xr:uid="{00000000-0005-0000-0000-000048330000}"/>
    <cellStyle name="Header2 10 3 7 2" xfId="13129" xr:uid="{00000000-0005-0000-0000-000049330000}"/>
    <cellStyle name="Header2 10 3 7 2 2" xfId="13130" xr:uid="{00000000-0005-0000-0000-00004A330000}"/>
    <cellStyle name="Header2 10 3 7 2 2 2" xfId="13131" xr:uid="{00000000-0005-0000-0000-00004B330000}"/>
    <cellStyle name="Header2 10 3 7 2 2 3" xfId="13132" xr:uid="{00000000-0005-0000-0000-00004C330000}"/>
    <cellStyle name="Header2 10 3 7 2 2 4" xfId="13133" xr:uid="{00000000-0005-0000-0000-00004D330000}"/>
    <cellStyle name="Header2 10 3 7 2 2 5" xfId="13134" xr:uid="{00000000-0005-0000-0000-00004E330000}"/>
    <cellStyle name="Header2 10 3 7 2 3" xfId="13135" xr:uid="{00000000-0005-0000-0000-00004F330000}"/>
    <cellStyle name="Header2 10 3 7 2 3 2" xfId="13136" xr:uid="{00000000-0005-0000-0000-000050330000}"/>
    <cellStyle name="Header2 10 3 7 2 3 3" xfId="13137" xr:uid="{00000000-0005-0000-0000-000051330000}"/>
    <cellStyle name="Header2 10 3 7 2 3 4" xfId="13138" xr:uid="{00000000-0005-0000-0000-000052330000}"/>
    <cellStyle name="Header2 10 3 7 2 4" xfId="13139" xr:uid="{00000000-0005-0000-0000-000053330000}"/>
    <cellStyle name="Header2 10 3 7 2 5" xfId="13140" xr:uid="{00000000-0005-0000-0000-000054330000}"/>
    <cellStyle name="Header2 10 3 7 2 6" xfId="13141" xr:uid="{00000000-0005-0000-0000-000055330000}"/>
    <cellStyle name="Header2 10 3 7 3" xfId="13142" xr:uid="{00000000-0005-0000-0000-000056330000}"/>
    <cellStyle name="Header2 10 3 7 3 2" xfId="13143" xr:uid="{00000000-0005-0000-0000-000057330000}"/>
    <cellStyle name="Header2 10 3 7 3 2 2" xfId="13144" xr:uid="{00000000-0005-0000-0000-000058330000}"/>
    <cellStyle name="Header2 10 3 7 3 2 3" xfId="13145" xr:uid="{00000000-0005-0000-0000-000059330000}"/>
    <cellStyle name="Header2 10 3 7 3 2 4" xfId="13146" xr:uid="{00000000-0005-0000-0000-00005A330000}"/>
    <cellStyle name="Header2 10 3 7 3 3" xfId="13147" xr:uid="{00000000-0005-0000-0000-00005B330000}"/>
    <cellStyle name="Header2 10 3 7 3 3 2" xfId="13148" xr:uid="{00000000-0005-0000-0000-00005C330000}"/>
    <cellStyle name="Header2 10 3 7 3 3 3" xfId="13149" xr:uid="{00000000-0005-0000-0000-00005D330000}"/>
    <cellStyle name="Header2 10 3 7 3 3 4" xfId="13150" xr:uid="{00000000-0005-0000-0000-00005E330000}"/>
    <cellStyle name="Header2 10 3 7 3 4" xfId="13151" xr:uid="{00000000-0005-0000-0000-00005F330000}"/>
    <cellStyle name="Header2 10 3 7 3 5" xfId="13152" xr:uid="{00000000-0005-0000-0000-000060330000}"/>
    <cellStyle name="Header2 10 3 7 3 6" xfId="13153" xr:uid="{00000000-0005-0000-0000-000061330000}"/>
    <cellStyle name="Header2 10 3 7 4" xfId="13154" xr:uid="{00000000-0005-0000-0000-000062330000}"/>
    <cellStyle name="Header2 10 3 7 5" xfId="13155" xr:uid="{00000000-0005-0000-0000-000063330000}"/>
    <cellStyle name="Header2 10 3 8" xfId="13156" xr:uid="{00000000-0005-0000-0000-000064330000}"/>
    <cellStyle name="Header2 10 3 8 2" xfId="13157" xr:uid="{00000000-0005-0000-0000-000065330000}"/>
    <cellStyle name="Header2 10 3 8 2 2" xfId="13158" xr:uid="{00000000-0005-0000-0000-000066330000}"/>
    <cellStyle name="Header2 10 3 8 2 2 2" xfId="13159" xr:uid="{00000000-0005-0000-0000-000067330000}"/>
    <cellStyle name="Header2 10 3 8 2 2 3" xfId="13160" xr:uid="{00000000-0005-0000-0000-000068330000}"/>
    <cellStyle name="Header2 10 3 8 2 2 4" xfId="13161" xr:uid="{00000000-0005-0000-0000-000069330000}"/>
    <cellStyle name="Header2 10 3 8 2 2 5" xfId="13162" xr:uid="{00000000-0005-0000-0000-00006A330000}"/>
    <cellStyle name="Header2 10 3 8 2 3" xfId="13163" xr:uid="{00000000-0005-0000-0000-00006B330000}"/>
    <cellStyle name="Header2 10 3 8 2 3 2" xfId="13164" xr:uid="{00000000-0005-0000-0000-00006C330000}"/>
    <cellStyle name="Header2 10 3 8 2 3 3" xfId="13165" xr:uid="{00000000-0005-0000-0000-00006D330000}"/>
    <cellStyle name="Header2 10 3 8 2 3 4" xfId="13166" xr:uid="{00000000-0005-0000-0000-00006E330000}"/>
    <cellStyle name="Header2 10 3 8 2 4" xfId="13167" xr:uid="{00000000-0005-0000-0000-00006F330000}"/>
    <cellStyle name="Header2 10 3 8 2 5" xfId="13168" xr:uid="{00000000-0005-0000-0000-000070330000}"/>
    <cellStyle name="Header2 10 3 8 2 6" xfId="13169" xr:uid="{00000000-0005-0000-0000-000071330000}"/>
    <cellStyle name="Header2 10 3 8 3" xfId="13170" xr:uid="{00000000-0005-0000-0000-000072330000}"/>
    <cellStyle name="Header2 10 3 8 3 2" xfId="13171" xr:uid="{00000000-0005-0000-0000-000073330000}"/>
    <cellStyle name="Header2 10 3 8 3 2 2" xfId="13172" xr:uid="{00000000-0005-0000-0000-000074330000}"/>
    <cellStyle name="Header2 10 3 8 3 2 3" xfId="13173" xr:uid="{00000000-0005-0000-0000-000075330000}"/>
    <cellStyle name="Header2 10 3 8 3 2 4" xfId="13174" xr:uid="{00000000-0005-0000-0000-000076330000}"/>
    <cellStyle name="Header2 10 3 8 3 3" xfId="13175" xr:uid="{00000000-0005-0000-0000-000077330000}"/>
    <cellStyle name="Header2 10 3 8 3 3 2" xfId="13176" xr:uid="{00000000-0005-0000-0000-000078330000}"/>
    <cellStyle name="Header2 10 3 8 3 3 3" xfId="13177" xr:uid="{00000000-0005-0000-0000-000079330000}"/>
    <cellStyle name="Header2 10 3 8 3 3 4" xfId="13178" xr:uid="{00000000-0005-0000-0000-00007A330000}"/>
    <cellStyle name="Header2 10 3 8 3 4" xfId="13179" xr:uid="{00000000-0005-0000-0000-00007B330000}"/>
    <cellStyle name="Header2 10 3 8 3 5" xfId="13180" xr:uid="{00000000-0005-0000-0000-00007C330000}"/>
    <cellStyle name="Header2 10 3 8 3 6" xfId="13181" xr:uid="{00000000-0005-0000-0000-00007D330000}"/>
    <cellStyle name="Header2 10 3 8 4" xfId="13182" xr:uid="{00000000-0005-0000-0000-00007E330000}"/>
    <cellStyle name="Header2 10 3 8 5" xfId="13183" xr:uid="{00000000-0005-0000-0000-00007F330000}"/>
    <cellStyle name="Header2 10 3 9" xfId="13184" xr:uid="{00000000-0005-0000-0000-000080330000}"/>
    <cellStyle name="Header2 10 3 9 2" xfId="13185" xr:uid="{00000000-0005-0000-0000-000081330000}"/>
    <cellStyle name="Header2 10 3 9 2 2" xfId="13186" xr:uid="{00000000-0005-0000-0000-000082330000}"/>
    <cellStyle name="Header2 10 3 9 2 2 2" xfId="13187" xr:uid="{00000000-0005-0000-0000-000083330000}"/>
    <cellStyle name="Header2 10 3 9 2 2 3" xfId="13188" xr:uid="{00000000-0005-0000-0000-000084330000}"/>
    <cellStyle name="Header2 10 3 9 2 2 4" xfId="13189" xr:uid="{00000000-0005-0000-0000-000085330000}"/>
    <cellStyle name="Header2 10 3 9 2 2 5" xfId="13190" xr:uid="{00000000-0005-0000-0000-000086330000}"/>
    <cellStyle name="Header2 10 3 9 2 3" xfId="13191" xr:uid="{00000000-0005-0000-0000-000087330000}"/>
    <cellStyle name="Header2 10 3 9 2 3 2" xfId="13192" xr:uid="{00000000-0005-0000-0000-000088330000}"/>
    <cellStyle name="Header2 10 3 9 2 3 3" xfId="13193" xr:uid="{00000000-0005-0000-0000-000089330000}"/>
    <cellStyle name="Header2 10 3 9 2 3 4" xfId="13194" xr:uid="{00000000-0005-0000-0000-00008A330000}"/>
    <cellStyle name="Header2 10 3 9 2 4" xfId="13195" xr:uid="{00000000-0005-0000-0000-00008B330000}"/>
    <cellStyle name="Header2 10 3 9 2 5" xfId="13196" xr:uid="{00000000-0005-0000-0000-00008C330000}"/>
    <cellStyle name="Header2 10 3 9 2 6" xfId="13197" xr:uid="{00000000-0005-0000-0000-00008D330000}"/>
    <cellStyle name="Header2 10 3 9 3" xfId="13198" xr:uid="{00000000-0005-0000-0000-00008E330000}"/>
    <cellStyle name="Header2 10 3 9 3 2" xfId="13199" xr:uid="{00000000-0005-0000-0000-00008F330000}"/>
    <cellStyle name="Header2 10 3 9 3 2 2" xfId="13200" xr:uid="{00000000-0005-0000-0000-000090330000}"/>
    <cellStyle name="Header2 10 3 9 3 2 3" xfId="13201" xr:uid="{00000000-0005-0000-0000-000091330000}"/>
    <cellStyle name="Header2 10 3 9 3 2 4" xfId="13202" xr:uid="{00000000-0005-0000-0000-000092330000}"/>
    <cellStyle name="Header2 10 3 9 3 3" xfId="13203" xr:uid="{00000000-0005-0000-0000-000093330000}"/>
    <cellStyle name="Header2 10 3 9 3 3 2" xfId="13204" xr:uid="{00000000-0005-0000-0000-000094330000}"/>
    <cellStyle name="Header2 10 3 9 3 3 3" xfId="13205" xr:uid="{00000000-0005-0000-0000-000095330000}"/>
    <cellStyle name="Header2 10 3 9 3 3 4" xfId="13206" xr:uid="{00000000-0005-0000-0000-000096330000}"/>
    <cellStyle name="Header2 10 3 9 3 4" xfId="13207" xr:uid="{00000000-0005-0000-0000-000097330000}"/>
    <cellStyle name="Header2 10 3 9 3 5" xfId="13208" xr:uid="{00000000-0005-0000-0000-000098330000}"/>
    <cellStyle name="Header2 10 3 9 3 6" xfId="13209" xr:uid="{00000000-0005-0000-0000-000099330000}"/>
    <cellStyle name="Header2 10 3 9 4" xfId="13210" xr:uid="{00000000-0005-0000-0000-00009A330000}"/>
    <cellStyle name="Header2 10 3 9 5" xfId="13211" xr:uid="{00000000-0005-0000-0000-00009B330000}"/>
    <cellStyle name="Header2 11" xfId="13212" xr:uid="{00000000-0005-0000-0000-00009C330000}"/>
    <cellStyle name="Header2 11 2" xfId="13213" xr:uid="{00000000-0005-0000-0000-00009D330000}"/>
    <cellStyle name="Header2 11 2 10" xfId="13214" xr:uid="{00000000-0005-0000-0000-00009E330000}"/>
    <cellStyle name="Header2 11 2 10 2" xfId="13215" xr:uid="{00000000-0005-0000-0000-00009F330000}"/>
    <cellStyle name="Header2 11 2 10 2 2" xfId="13216" xr:uid="{00000000-0005-0000-0000-0000A0330000}"/>
    <cellStyle name="Header2 11 2 10 2 2 2" xfId="13217" xr:uid="{00000000-0005-0000-0000-0000A1330000}"/>
    <cellStyle name="Header2 11 2 10 2 2 3" xfId="13218" xr:uid="{00000000-0005-0000-0000-0000A2330000}"/>
    <cellStyle name="Header2 11 2 10 2 2 4" xfId="13219" xr:uid="{00000000-0005-0000-0000-0000A3330000}"/>
    <cellStyle name="Header2 11 2 10 2 2 5" xfId="13220" xr:uid="{00000000-0005-0000-0000-0000A4330000}"/>
    <cellStyle name="Header2 11 2 10 2 3" xfId="13221" xr:uid="{00000000-0005-0000-0000-0000A5330000}"/>
    <cellStyle name="Header2 11 2 10 2 3 2" xfId="13222" xr:uid="{00000000-0005-0000-0000-0000A6330000}"/>
    <cellStyle name="Header2 11 2 10 2 3 3" xfId="13223" xr:uid="{00000000-0005-0000-0000-0000A7330000}"/>
    <cellStyle name="Header2 11 2 10 2 3 4" xfId="13224" xr:uid="{00000000-0005-0000-0000-0000A8330000}"/>
    <cellStyle name="Header2 11 2 10 2 4" xfId="13225" xr:uid="{00000000-0005-0000-0000-0000A9330000}"/>
    <cellStyle name="Header2 11 2 10 2 5" xfId="13226" xr:uid="{00000000-0005-0000-0000-0000AA330000}"/>
    <cellStyle name="Header2 11 2 10 2 6" xfId="13227" xr:uid="{00000000-0005-0000-0000-0000AB330000}"/>
    <cellStyle name="Header2 11 2 10 3" xfId="13228" xr:uid="{00000000-0005-0000-0000-0000AC330000}"/>
    <cellStyle name="Header2 11 2 10 3 2" xfId="13229" xr:uid="{00000000-0005-0000-0000-0000AD330000}"/>
    <cellStyle name="Header2 11 2 10 3 2 2" xfId="13230" xr:uid="{00000000-0005-0000-0000-0000AE330000}"/>
    <cellStyle name="Header2 11 2 10 3 2 3" xfId="13231" xr:uid="{00000000-0005-0000-0000-0000AF330000}"/>
    <cellStyle name="Header2 11 2 10 3 2 4" xfId="13232" xr:uid="{00000000-0005-0000-0000-0000B0330000}"/>
    <cellStyle name="Header2 11 2 10 3 3" xfId="13233" xr:uid="{00000000-0005-0000-0000-0000B1330000}"/>
    <cellStyle name="Header2 11 2 10 3 3 2" xfId="13234" xr:uid="{00000000-0005-0000-0000-0000B2330000}"/>
    <cellStyle name="Header2 11 2 10 3 3 3" xfId="13235" xr:uid="{00000000-0005-0000-0000-0000B3330000}"/>
    <cellStyle name="Header2 11 2 10 3 3 4" xfId="13236" xr:uid="{00000000-0005-0000-0000-0000B4330000}"/>
    <cellStyle name="Header2 11 2 10 3 4" xfId="13237" xr:uid="{00000000-0005-0000-0000-0000B5330000}"/>
    <cellStyle name="Header2 11 2 10 3 5" xfId="13238" xr:uid="{00000000-0005-0000-0000-0000B6330000}"/>
    <cellStyle name="Header2 11 2 10 3 6" xfId="13239" xr:uid="{00000000-0005-0000-0000-0000B7330000}"/>
    <cellStyle name="Header2 11 2 10 4" xfId="13240" xr:uid="{00000000-0005-0000-0000-0000B8330000}"/>
    <cellStyle name="Header2 11 2 10 5" xfId="13241" xr:uid="{00000000-0005-0000-0000-0000B9330000}"/>
    <cellStyle name="Header2 11 2 11" xfId="13242" xr:uid="{00000000-0005-0000-0000-0000BA330000}"/>
    <cellStyle name="Header2 11 2 11 2" xfId="13243" xr:uid="{00000000-0005-0000-0000-0000BB330000}"/>
    <cellStyle name="Header2 11 2 11 2 2" xfId="13244" xr:uid="{00000000-0005-0000-0000-0000BC330000}"/>
    <cellStyle name="Header2 11 2 11 2 2 2" xfId="13245" xr:uid="{00000000-0005-0000-0000-0000BD330000}"/>
    <cellStyle name="Header2 11 2 11 2 2 3" xfId="13246" xr:uid="{00000000-0005-0000-0000-0000BE330000}"/>
    <cellStyle name="Header2 11 2 11 2 2 4" xfId="13247" xr:uid="{00000000-0005-0000-0000-0000BF330000}"/>
    <cellStyle name="Header2 11 2 11 2 2 5" xfId="13248" xr:uid="{00000000-0005-0000-0000-0000C0330000}"/>
    <cellStyle name="Header2 11 2 11 2 3" xfId="13249" xr:uid="{00000000-0005-0000-0000-0000C1330000}"/>
    <cellStyle name="Header2 11 2 11 2 3 2" xfId="13250" xr:uid="{00000000-0005-0000-0000-0000C2330000}"/>
    <cellStyle name="Header2 11 2 11 2 3 3" xfId="13251" xr:uid="{00000000-0005-0000-0000-0000C3330000}"/>
    <cellStyle name="Header2 11 2 11 2 3 4" xfId="13252" xr:uid="{00000000-0005-0000-0000-0000C4330000}"/>
    <cellStyle name="Header2 11 2 11 2 4" xfId="13253" xr:uid="{00000000-0005-0000-0000-0000C5330000}"/>
    <cellStyle name="Header2 11 2 11 2 5" xfId="13254" xr:uid="{00000000-0005-0000-0000-0000C6330000}"/>
    <cellStyle name="Header2 11 2 11 2 6" xfId="13255" xr:uid="{00000000-0005-0000-0000-0000C7330000}"/>
    <cellStyle name="Header2 11 2 11 3" xfId="13256" xr:uid="{00000000-0005-0000-0000-0000C8330000}"/>
    <cellStyle name="Header2 11 2 11 3 2" xfId="13257" xr:uid="{00000000-0005-0000-0000-0000C9330000}"/>
    <cellStyle name="Header2 11 2 11 3 2 2" xfId="13258" xr:uid="{00000000-0005-0000-0000-0000CA330000}"/>
    <cellStyle name="Header2 11 2 11 3 2 3" xfId="13259" xr:uid="{00000000-0005-0000-0000-0000CB330000}"/>
    <cellStyle name="Header2 11 2 11 3 2 4" xfId="13260" xr:uid="{00000000-0005-0000-0000-0000CC330000}"/>
    <cellStyle name="Header2 11 2 11 3 3" xfId="13261" xr:uid="{00000000-0005-0000-0000-0000CD330000}"/>
    <cellStyle name="Header2 11 2 11 3 3 2" xfId="13262" xr:uid="{00000000-0005-0000-0000-0000CE330000}"/>
    <cellStyle name="Header2 11 2 11 3 3 3" xfId="13263" xr:uid="{00000000-0005-0000-0000-0000CF330000}"/>
    <cellStyle name="Header2 11 2 11 3 3 4" xfId="13264" xr:uid="{00000000-0005-0000-0000-0000D0330000}"/>
    <cellStyle name="Header2 11 2 11 3 4" xfId="13265" xr:uid="{00000000-0005-0000-0000-0000D1330000}"/>
    <cellStyle name="Header2 11 2 11 3 5" xfId="13266" xr:uid="{00000000-0005-0000-0000-0000D2330000}"/>
    <cellStyle name="Header2 11 2 11 3 6" xfId="13267" xr:uid="{00000000-0005-0000-0000-0000D3330000}"/>
    <cellStyle name="Header2 11 2 11 4" xfId="13268" xr:uid="{00000000-0005-0000-0000-0000D4330000}"/>
    <cellStyle name="Header2 11 2 11 5" xfId="13269" xr:uid="{00000000-0005-0000-0000-0000D5330000}"/>
    <cellStyle name="Header2 11 2 12" xfId="13270" xr:uid="{00000000-0005-0000-0000-0000D6330000}"/>
    <cellStyle name="Header2 11 2 12 2" xfId="13271" xr:uid="{00000000-0005-0000-0000-0000D7330000}"/>
    <cellStyle name="Header2 11 2 12 2 2" xfId="13272" xr:uid="{00000000-0005-0000-0000-0000D8330000}"/>
    <cellStyle name="Header2 11 2 12 2 2 2" xfId="13273" xr:uid="{00000000-0005-0000-0000-0000D9330000}"/>
    <cellStyle name="Header2 11 2 12 2 2 3" xfId="13274" xr:uid="{00000000-0005-0000-0000-0000DA330000}"/>
    <cellStyle name="Header2 11 2 12 2 2 4" xfId="13275" xr:uid="{00000000-0005-0000-0000-0000DB330000}"/>
    <cellStyle name="Header2 11 2 12 2 2 5" xfId="13276" xr:uid="{00000000-0005-0000-0000-0000DC330000}"/>
    <cellStyle name="Header2 11 2 12 2 3" xfId="13277" xr:uid="{00000000-0005-0000-0000-0000DD330000}"/>
    <cellStyle name="Header2 11 2 12 2 3 2" xfId="13278" xr:uid="{00000000-0005-0000-0000-0000DE330000}"/>
    <cellStyle name="Header2 11 2 12 2 3 3" xfId="13279" xr:uid="{00000000-0005-0000-0000-0000DF330000}"/>
    <cellStyle name="Header2 11 2 12 2 3 4" xfId="13280" xr:uid="{00000000-0005-0000-0000-0000E0330000}"/>
    <cellStyle name="Header2 11 2 12 2 4" xfId="13281" xr:uid="{00000000-0005-0000-0000-0000E1330000}"/>
    <cellStyle name="Header2 11 2 12 2 5" xfId="13282" xr:uid="{00000000-0005-0000-0000-0000E2330000}"/>
    <cellStyle name="Header2 11 2 12 2 6" xfId="13283" xr:uid="{00000000-0005-0000-0000-0000E3330000}"/>
    <cellStyle name="Header2 11 2 12 3" xfId="13284" xr:uid="{00000000-0005-0000-0000-0000E4330000}"/>
    <cellStyle name="Header2 11 2 12 3 2" xfId="13285" xr:uid="{00000000-0005-0000-0000-0000E5330000}"/>
    <cellStyle name="Header2 11 2 12 3 2 2" xfId="13286" xr:uid="{00000000-0005-0000-0000-0000E6330000}"/>
    <cellStyle name="Header2 11 2 12 3 2 3" xfId="13287" xr:uid="{00000000-0005-0000-0000-0000E7330000}"/>
    <cellStyle name="Header2 11 2 12 3 2 4" xfId="13288" xr:uid="{00000000-0005-0000-0000-0000E8330000}"/>
    <cellStyle name="Header2 11 2 12 3 3" xfId="13289" xr:uid="{00000000-0005-0000-0000-0000E9330000}"/>
    <cellStyle name="Header2 11 2 12 3 3 2" xfId="13290" xr:uid="{00000000-0005-0000-0000-0000EA330000}"/>
    <cellStyle name="Header2 11 2 12 3 3 3" xfId="13291" xr:uid="{00000000-0005-0000-0000-0000EB330000}"/>
    <cellStyle name="Header2 11 2 12 3 3 4" xfId="13292" xr:uid="{00000000-0005-0000-0000-0000EC330000}"/>
    <cellStyle name="Header2 11 2 12 3 4" xfId="13293" xr:uid="{00000000-0005-0000-0000-0000ED330000}"/>
    <cellStyle name="Header2 11 2 12 3 5" xfId="13294" xr:uid="{00000000-0005-0000-0000-0000EE330000}"/>
    <cellStyle name="Header2 11 2 12 3 6" xfId="13295" xr:uid="{00000000-0005-0000-0000-0000EF330000}"/>
    <cellStyle name="Header2 11 2 12 4" xfId="13296" xr:uid="{00000000-0005-0000-0000-0000F0330000}"/>
    <cellStyle name="Header2 11 2 12 5" xfId="13297" xr:uid="{00000000-0005-0000-0000-0000F1330000}"/>
    <cellStyle name="Header2 11 2 13" xfId="13298" xr:uid="{00000000-0005-0000-0000-0000F2330000}"/>
    <cellStyle name="Header2 11 2 13 2" xfId="13299" xr:uid="{00000000-0005-0000-0000-0000F3330000}"/>
    <cellStyle name="Header2 11 2 13 2 2" xfId="13300" xr:uid="{00000000-0005-0000-0000-0000F4330000}"/>
    <cellStyle name="Header2 11 2 13 2 2 2" xfId="13301" xr:uid="{00000000-0005-0000-0000-0000F5330000}"/>
    <cellStyle name="Header2 11 2 13 2 2 3" xfId="13302" xr:uid="{00000000-0005-0000-0000-0000F6330000}"/>
    <cellStyle name="Header2 11 2 13 2 2 4" xfId="13303" xr:uid="{00000000-0005-0000-0000-0000F7330000}"/>
    <cellStyle name="Header2 11 2 13 2 2 5" xfId="13304" xr:uid="{00000000-0005-0000-0000-0000F8330000}"/>
    <cellStyle name="Header2 11 2 13 2 3" xfId="13305" xr:uid="{00000000-0005-0000-0000-0000F9330000}"/>
    <cellStyle name="Header2 11 2 13 2 3 2" xfId="13306" xr:uid="{00000000-0005-0000-0000-0000FA330000}"/>
    <cellStyle name="Header2 11 2 13 2 3 3" xfId="13307" xr:uid="{00000000-0005-0000-0000-0000FB330000}"/>
    <cellStyle name="Header2 11 2 13 2 3 4" xfId="13308" xr:uid="{00000000-0005-0000-0000-0000FC330000}"/>
    <cellStyle name="Header2 11 2 13 2 4" xfId="13309" xr:uid="{00000000-0005-0000-0000-0000FD330000}"/>
    <cellStyle name="Header2 11 2 13 2 5" xfId="13310" xr:uid="{00000000-0005-0000-0000-0000FE330000}"/>
    <cellStyle name="Header2 11 2 13 2 6" xfId="13311" xr:uid="{00000000-0005-0000-0000-0000FF330000}"/>
    <cellStyle name="Header2 11 2 13 3" xfId="13312" xr:uid="{00000000-0005-0000-0000-000000340000}"/>
    <cellStyle name="Header2 11 2 13 3 2" xfId="13313" xr:uid="{00000000-0005-0000-0000-000001340000}"/>
    <cellStyle name="Header2 11 2 13 3 2 2" xfId="13314" xr:uid="{00000000-0005-0000-0000-000002340000}"/>
    <cellStyle name="Header2 11 2 13 3 2 3" xfId="13315" xr:uid="{00000000-0005-0000-0000-000003340000}"/>
    <cellStyle name="Header2 11 2 13 3 2 4" xfId="13316" xr:uid="{00000000-0005-0000-0000-000004340000}"/>
    <cellStyle name="Header2 11 2 13 3 3" xfId="13317" xr:uid="{00000000-0005-0000-0000-000005340000}"/>
    <cellStyle name="Header2 11 2 13 3 3 2" xfId="13318" xr:uid="{00000000-0005-0000-0000-000006340000}"/>
    <cellStyle name="Header2 11 2 13 3 3 3" xfId="13319" xr:uid="{00000000-0005-0000-0000-000007340000}"/>
    <cellStyle name="Header2 11 2 13 3 3 4" xfId="13320" xr:uid="{00000000-0005-0000-0000-000008340000}"/>
    <cellStyle name="Header2 11 2 13 3 4" xfId="13321" xr:uid="{00000000-0005-0000-0000-000009340000}"/>
    <cellStyle name="Header2 11 2 13 3 5" xfId="13322" xr:uid="{00000000-0005-0000-0000-00000A340000}"/>
    <cellStyle name="Header2 11 2 13 3 6" xfId="13323" xr:uid="{00000000-0005-0000-0000-00000B340000}"/>
    <cellStyle name="Header2 11 2 13 4" xfId="13324" xr:uid="{00000000-0005-0000-0000-00000C340000}"/>
    <cellStyle name="Header2 11 2 13 5" xfId="13325" xr:uid="{00000000-0005-0000-0000-00000D340000}"/>
    <cellStyle name="Header2 11 2 14" xfId="58718" xr:uid="{00000000-0005-0000-0000-00000E340000}"/>
    <cellStyle name="Header2 11 2 2" xfId="13326" xr:uid="{00000000-0005-0000-0000-00000F340000}"/>
    <cellStyle name="Header2 11 2 2 2" xfId="13327" xr:uid="{00000000-0005-0000-0000-000010340000}"/>
    <cellStyle name="Header2 11 2 2 2 2" xfId="13328" xr:uid="{00000000-0005-0000-0000-000011340000}"/>
    <cellStyle name="Header2 11 2 2 2 2 2" xfId="13329" xr:uid="{00000000-0005-0000-0000-000012340000}"/>
    <cellStyle name="Header2 11 2 2 2 2 2 2" xfId="13330" xr:uid="{00000000-0005-0000-0000-000013340000}"/>
    <cellStyle name="Header2 11 2 2 2 2 2 3" xfId="13331" xr:uid="{00000000-0005-0000-0000-000014340000}"/>
    <cellStyle name="Header2 11 2 2 2 2 2 4" xfId="13332" xr:uid="{00000000-0005-0000-0000-000015340000}"/>
    <cellStyle name="Header2 11 2 2 2 2 2 5" xfId="13333" xr:uid="{00000000-0005-0000-0000-000016340000}"/>
    <cellStyle name="Header2 11 2 2 2 2 3" xfId="13334" xr:uid="{00000000-0005-0000-0000-000017340000}"/>
    <cellStyle name="Header2 11 2 2 2 2 3 2" xfId="13335" xr:uid="{00000000-0005-0000-0000-000018340000}"/>
    <cellStyle name="Header2 11 2 2 2 2 3 3" xfId="13336" xr:uid="{00000000-0005-0000-0000-000019340000}"/>
    <cellStyle name="Header2 11 2 2 2 2 3 4" xfId="13337" xr:uid="{00000000-0005-0000-0000-00001A340000}"/>
    <cellStyle name="Header2 11 2 2 2 2 4" xfId="13338" xr:uid="{00000000-0005-0000-0000-00001B340000}"/>
    <cellStyle name="Header2 11 2 2 2 2 5" xfId="13339" xr:uid="{00000000-0005-0000-0000-00001C340000}"/>
    <cellStyle name="Header2 11 2 2 2 2 6" xfId="13340" xr:uid="{00000000-0005-0000-0000-00001D340000}"/>
    <cellStyle name="Header2 11 2 2 2 3" xfId="13341" xr:uid="{00000000-0005-0000-0000-00001E340000}"/>
    <cellStyle name="Header2 11 2 2 2 3 2" xfId="13342" xr:uid="{00000000-0005-0000-0000-00001F340000}"/>
    <cellStyle name="Header2 11 2 2 2 3 2 2" xfId="13343" xr:uid="{00000000-0005-0000-0000-000020340000}"/>
    <cellStyle name="Header2 11 2 2 2 3 2 3" xfId="13344" xr:uid="{00000000-0005-0000-0000-000021340000}"/>
    <cellStyle name="Header2 11 2 2 2 3 2 4" xfId="13345" xr:uid="{00000000-0005-0000-0000-000022340000}"/>
    <cellStyle name="Header2 11 2 2 2 3 3" xfId="13346" xr:uid="{00000000-0005-0000-0000-000023340000}"/>
    <cellStyle name="Header2 11 2 2 2 3 3 2" xfId="13347" xr:uid="{00000000-0005-0000-0000-000024340000}"/>
    <cellStyle name="Header2 11 2 2 2 3 3 3" xfId="13348" xr:uid="{00000000-0005-0000-0000-000025340000}"/>
    <cellStyle name="Header2 11 2 2 2 3 3 4" xfId="13349" xr:uid="{00000000-0005-0000-0000-000026340000}"/>
    <cellStyle name="Header2 11 2 2 2 3 4" xfId="13350" xr:uid="{00000000-0005-0000-0000-000027340000}"/>
    <cellStyle name="Header2 11 2 2 2 3 5" xfId="13351" xr:uid="{00000000-0005-0000-0000-000028340000}"/>
    <cellStyle name="Header2 11 2 2 2 3 6" xfId="13352" xr:uid="{00000000-0005-0000-0000-000029340000}"/>
    <cellStyle name="Header2 11 2 2 2 4" xfId="13353" xr:uid="{00000000-0005-0000-0000-00002A340000}"/>
    <cellStyle name="Header2 11 2 2 2 5" xfId="13354" xr:uid="{00000000-0005-0000-0000-00002B340000}"/>
    <cellStyle name="Header2 11 2 2 3" xfId="13355" xr:uid="{00000000-0005-0000-0000-00002C340000}"/>
    <cellStyle name="Header2 11 2 2 3 2" xfId="13356" xr:uid="{00000000-0005-0000-0000-00002D340000}"/>
    <cellStyle name="Header2 11 2 2 3 2 2" xfId="13357" xr:uid="{00000000-0005-0000-0000-00002E340000}"/>
    <cellStyle name="Header2 11 2 2 3 2 2 2" xfId="13358" xr:uid="{00000000-0005-0000-0000-00002F340000}"/>
    <cellStyle name="Header2 11 2 2 3 2 2 3" xfId="13359" xr:uid="{00000000-0005-0000-0000-000030340000}"/>
    <cellStyle name="Header2 11 2 2 3 2 2 4" xfId="13360" xr:uid="{00000000-0005-0000-0000-000031340000}"/>
    <cellStyle name="Header2 11 2 2 3 2 2 5" xfId="13361" xr:uid="{00000000-0005-0000-0000-000032340000}"/>
    <cellStyle name="Header2 11 2 2 3 2 3" xfId="13362" xr:uid="{00000000-0005-0000-0000-000033340000}"/>
    <cellStyle name="Header2 11 2 2 3 2 3 2" xfId="13363" xr:uid="{00000000-0005-0000-0000-000034340000}"/>
    <cellStyle name="Header2 11 2 2 3 2 3 3" xfId="13364" xr:uid="{00000000-0005-0000-0000-000035340000}"/>
    <cellStyle name="Header2 11 2 2 3 2 3 4" xfId="13365" xr:uid="{00000000-0005-0000-0000-000036340000}"/>
    <cellStyle name="Header2 11 2 2 3 2 4" xfId="13366" xr:uid="{00000000-0005-0000-0000-000037340000}"/>
    <cellStyle name="Header2 11 2 2 3 2 5" xfId="13367" xr:uid="{00000000-0005-0000-0000-000038340000}"/>
    <cellStyle name="Header2 11 2 2 3 2 6" xfId="13368" xr:uid="{00000000-0005-0000-0000-000039340000}"/>
    <cellStyle name="Header2 11 2 2 3 3" xfId="13369" xr:uid="{00000000-0005-0000-0000-00003A340000}"/>
    <cellStyle name="Header2 11 2 2 3 3 2" xfId="13370" xr:uid="{00000000-0005-0000-0000-00003B340000}"/>
    <cellStyle name="Header2 11 2 2 3 3 2 2" xfId="13371" xr:uid="{00000000-0005-0000-0000-00003C340000}"/>
    <cellStyle name="Header2 11 2 2 3 3 2 3" xfId="13372" xr:uid="{00000000-0005-0000-0000-00003D340000}"/>
    <cellStyle name="Header2 11 2 2 3 3 2 4" xfId="13373" xr:uid="{00000000-0005-0000-0000-00003E340000}"/>
    <cellStyle name="Header2 11 2 2 3 3 3" xfId="13374" xr:uid="{00000000-0005-0000-0000-00003F340000}"/>
    <cellStyle name="Header2 11 2 2 3 3 3 2" xfId="13375" xr:uid="{00000000-0005-0000-0000-000040340000}"/>
    <cellStyle name="Header2 11 2 2 3 3 3 3" xfId="13376" xr:uid="{00000000-0005-0000-0000-000041340000}"/>
    <cellStyle name="Header2 11 2 2 3 3 3 4" xfId="13377" xr:uid="{00000000-0005-0000-0000-000042340000}"/>
    <cellStyle name="Header2 11 2 2 3 3 4" xfId="13378" xr:uid="{00000000-0005-0000-0000-000043340000}"/>
    <cellStyle name="Header2 11 2 2 3 3 5" xfId="13379" xr:uid="{00000000-0005-0000-0000-000044340000}"/>
    <cellStyle name="Header2 11 2 2 3 3 6" xfId="13380" xr:uid="{00000000-0005-0000-0000-000045340000}"/>
    <cellStyle name="Header2 11 2 2 3 4" xfId="13381" xr:uid="{00000000-0005-0000-0000-000046340000}"/>
    <cellStyle name="Header2 11 2 2 3 5" xfId="13382" xr:uid="{00000000-0005-0000-0000-000047340000}"/>
    <cellStyle name="Header2 11 2 3" xfId="13383" xr:uid="{00000000-0005-0000-0000-000048340000}"/>
    <cellStyle name="Header2 11 2 3 2" xfId="13384" xr:uid="{00000000-0005-0000-0000-000049340000}"/>
    <cellStyle name="Header2 11 2 3 2 2" xfId="13385" xr:uid="{00000000-0005-0000-0000-00004A340000}"/>
    <cellStyle name="Header2 11 2 3 2 3" xfId="13386" xr:uid="{00000000-0005-0000-0000-00004B340000}"/>
    <cellStyle name="Header2 11 2 3 3" xfId="13387" xr:uid="{00000000-0005-0000-0000-00004C340000}"/>
    <cellStyle name="Header2 11 2 4" xfId="13388" xr:uid="{00000000-0005-0000-0000-00004D340000}"/>
    <cellStyle name="Header2 11 2 4 2" xfId="13389" xr:uid="{00000000-0005-0000-0000-00004E340000}"/>
    <cellStyle name="Header2 11 2 4 2 2" xfId="13390" xr:uid="{00000000-0005-0000-0000-00004F340000}"/>
    <cellStyle name="Header2 11 2 4 2 3" xfId="13391" xr:uid="{00000000-0005-0000-0000-000050340000}"/>
    <cellStyle name="Header2 11 2 4 3" xfId="13392" xr:uid="{00000000-0005-0000-0000-000051340000}"/>
    <cellStyle name="Header2 11 2 5" xfId="13393" xr:uid="{00000000-0005-0000-0000-000052340000}"/>
    <cellStyle name="Header2 11 2 5 2" xfId="13394" xr:uid="{00000000-0005-0000-0000-000053340000}"/>
    <cellStyle name="Header2 11 2 5 2 2" xfId="13395" xr:uid="{00000000-0005-0000-0000-000054340000}"/>
    <cellStyle name="Header2 11 2 5 2 3" xfId="13396" xr:uid="{00000000-0005-0000-0000-000055340000}"/>
    <cellStyle name="Header2 11 2 5 3" xfId="13397" xr:uid="{00000000-0005-0000-0000-000056340000}"/>
    <cellStyle name="Header2 11 2 6" xfId="13398" xr:uid="{00000000-0005-0000-0000-000057340000}"/>
    <cellStyle name="Header2 11 2 6 2" xfId="13399" xr:uid="{00000000-0005-0000-0000-000058340000}"/>
    <cellStyle name="Header2 11 2 6 2 2" xfId="13400" xr:uid="{00000000-0005-0000-0000-000059340000}"/>
    <cellStyle name="Header2 11 2 6 2 2 2" xfId="13401" xr:uid="{00000000-0005-0000-0000-00005A340000}"/>
    <cellStyle name="Header2 11 2 6 2 2 3" xfId="13402" xr:uid="{00000000-0005-0000-0000-00005B340000}"/>
    <cellStyle name="Header2 11 2 6 2 2 4" xfId="13403" xr:uid="{00000000-0005-0000-0000-00005C340000}"/>
    <cellStyle name="Header2 11 2 6 2 2 5" xfId="13404" xr:uid="{00000000-0005-0000-0000-00005D340000}"/>
    <cellStyle name="Header2 11 2 6 2 3" xfId="13405" xr:uid="{00000000-0005-0000-0000-00005E340000}"/>
    <cellStyle name="Header2 11 2 6 2 3 2" xfId="13406" xr:uid="{00000000-0005-0000-0000-00005F340000}"/>
    <cellStyle name="Header2 11 2 6 2 3 3" xfId="13407" xr:uid="{00000000-0005-0000-0000-000060340000}"/>
    <cellStyle name="Header2 11 2 6 2 3 4" xfId="13408" xr:uid="{00000000-0005-0000-0000-000061340000}"/>
    <cellStyle name="Header2 11 2 6 2 4" xfId="13409" xr:uid="{00000000-0005-0000-0000-000062340000}"/>
    <cellStyle name="Header2 11 2 6 2 5" xfId="13410" xr:uid="{00000000-0005-0000-0000-000063340000}"/>
    <cellStyle name="Header2 11 2 6 2 6" xfId="13411" xr:uid="{00000000-0005-0000-0000-000064340000}"/>
    <cellStyle name="Header2 11 2 6 3" xfId="13412" xr:uid="{00000000-0005-0000-0000-000065340000}"/>
    <cellStyle name="Header2 11 2 6 3 2" xfId="13413" xr:uid="{00000000-0005-0000-0000-000066340000}"/>
    <cellStyle name="Header2 11 2 6 3 2 2" xfId="13414" xr:uid="{00000000-0005-0000-0000-000067340000}"/>
    <cellStyle name="Header2 11 2 6 3 2 3" xfId="13415" xr:uid="{00000000-0005-0000-0000-000068340000}"/>
    <cellStyle name="Header2 11 2 6 3 2 4" xfId="13416" xr:uid="{00000000-0005-0000-0000-000069340000}"/>
    <cellStyle name="Header2 11 2 6 3 3" xfId="13417" xr:uid="{00000000-0005-0000-0000-00006A340000}"/>
    <cellStyle name="Header2 11 2 6 3 3 2" xfId="13418" xr:uid="{00000000-0005-0000-0000-00006B340000}"/>
    <cellStyle name="Header2 11 2 6 3 3 3" xfId="13419" xr:uid="{00000000-0005-0000-0000-00006C340000}"/>
    <cellStyle name="Header2 11 2 6 3 3 4" xfId="13420" xr:uid="{00000000-0005-0000-0000-00006D340000}"/>
    <cellStyle name="Header2 11 2 6 3 4" xfId="13421" xr:uid="{00000000-0005-0000-0000-00006E340000}"/>
    <cellStyle name="Header2 11 2 6 3 5" xfId="13422" xr:uid="{00000000-0005-0000-0000-00006F340000}"/>
    <cellStyle name="Header2 11 2 6 3 6" xfId="13423" xr:uid="{00000000-0005-0000-0000-000070340000}"/>
    <cellStyle name="Header2 11 2 6 4" xfId="13424" xr:uid="{00000000-0005-0000-0000-000071340000}"/>
    <cellStyle name="Header2 11 2 6 5" xfId="13425" xr:uid="{00000000-0005-0000-0000-000072340000}"/>
    <cellStyle name="Header2 11 2 7" xfId="13426" xr:uid="{00000000-0005-0000-0000-000073340000}"/>
    <cellStyle name="Header2 11 2 7 2" xfId="13427" xr:uid="{00000000-0005-0000-0000-000074340000}"/>
    <cellStyle name="Header2 11 2 7 2 2" xfId="13428" xr:uid="{00000000-0005-0000-0000-000075340000}"/>
    <cellStyle name="Header2 11 2 7 2 2 2" xfId="13429" xr:uid="{00000000-0005-0000-0000-000076340000}"/>
    <cellStyle name="Header2 11 2 7 2 2 3" xfId="13430" xr:uid="{00000000-0005-0000-0000-000077340000}"/>
    <cellStyle name="Header2 11 2 7 2 2 4" xfId="13431" xr:uid="{00000000-0005-0000-0000-000078340000}"/>
    <cellStyle name="Header2 11 2 7 2 2 5" xfId="13432" xr:uid="{00000000-0005-0000-0000-000079340000}"/>
    <cellStyle name="Header2 11 2 7 2 3" xfId="13433" xr:uid="{00000000-0005-0000-0000-00007A340000}"/>
    <cellStyle name="Header2 11 2 7 2 3 2" xfId="13434" xr:uid="{00000000-0005-0000-0000-00007B340000}"/>
    <cellStyle name="Header2 11 2 7 2 3 3" xfId="13435" xr:uid="{00000000-0005-0000-0000-00007C340000}"/>
    <cellStyle name="Header2 11 2 7 2 3 4" xfId="13436" xr:uid="{00000000-0005-0000-0000-00007D340000}"/>
    <cellStyle name="Header2 11 2 7 2 4" xfId="13437" xr:uid="{00000000-0005-0000-0000-00007E340000}"/>
    <cellStyle name="Header2 11 2 7 2 5" xfId="13438" xr:uid="{00000000-0005-0000-0000-00007F340000}"/>
    <cellStyle name="Header2 11 2 7 2 6" xfId="13439" xr:uid="{00000000-0005-0000-0000-000080340000}"/>
    <cellStyle name="Header2 11 2 7 3" xfId="13440" xr:uid="{00000000-0005-0000-0000-000081340000}"/>
    <cellStyle name="Header2 11 2 7 3 2" xfId="13441" xr:uid="{00000000-0005-0000-0000-000082340000}"/>
    <cellStyle name="Header2 11 2 7 3 2 2" xfId="13442" xr:uid="{00000000-0005-0000-0000-000083340000}"/>
    <cellStyle name="Header2 11 2 7 3 2 3" xfId="13443" xr:uid="{00000000-0005-0000-0000-000084340000}"/>
    <cellStyle name="Header2 11 2 7 3 2 4" xfId="13444" xr:uid="{00000000-0005-0000-0000-000085340000}"/>
    <cellStyle name="Header2 11 2 7 3 3" xfId="13445" xr:uid="{00000000-0005-0000-0000-000086340000}"/>
    <cellStyle name="Header2 11 2 7 3 3 2" xfId="13446" xr:uid="{00000000-0005-0000-0000-000087340000}"/>
    <cellStyle name="Header2 11 2 7 3 3 3" xfId="13447" xr:uid="{00000000-0005-0000-0000-000088340000}"/>
    <cellStyle name="Header2 11 2 7 3 3 4" xfId="13448" xr:uid="{00000000-0005-0000-0000-000089340000}"/>
    <cellStyle name="Header2 11 2 7 3 4" xfId="13449" xr:uid="{00000000-0005-0000-0000-00008A340000}"/>
    <cellStyle name="Header2 11 2 7 3 5" xfId="13450" xr:uid="{00000000-0005-0000-0000-00008B340000}"/>
    <cellStyle name="Header2 11 2 7 3 6" xfId="13451" xr:uid="{00000000-0005-0000-0000-00008C340000}"/>
    <cellStyle name="Header2 11 2 7 4" xfId="13452" xr:uid="{00000000-0005-0000-0000-00008D340000}"/>
    <cellStyle name="Header2 11 2 7 5" xfId="13453" xr:uid="{00000000-0005-0000-0000-00008E340000}"/>
    <cellStyle name="Header2 11 2 8" xfId="13454" xr:uid="{00000000-0005-0000-0000-00008F340000}"/>
    <cellStyle name="Header2 11 2 8 2" xfId="13455" xr:uid="{00000000-0005-0000-0000-000090340000}"/>
    <cellStyle name="Header2 11 2 8 2 2" xfId="13456" xr:uid="{00000000-0005-0000-0000-000091340000}"/>
    <cellStyle name="Header2 11 2 8 2 2 2" xfId="13457" xr:uid="{00000000-0005-0000-0000-000092340000}"/>
    <cellStyle name="Header2 11 2 8 2 2 3" xfId="13458" xr:uid="{00000000-0005-0000-0000-000093340000}"/>
    <cellStyle name="Header2 11 2 8 2 2 4" xfId="13459" xr:uid="{00000000-0005-0000-0000-000094340000}"/>
    <cellStyle name="Header2 11 2 8 2 2 5" xfId="13460" xr:uid="{00000000-0005-0000-0000-000095340000}"/>
    <cellStyle name="Header2 11 2 8 2 3" xfId="13461" xr:uid="{00000000-0005-0000-0000-000096340000}"/>
    <cellStyle name="Header2 11 2 8 2 3 2" xfId="13462" xr:uid="{00000000-0005-0000-0000-000097340000}"/>
    <cellStyle name="Header2 11 2 8 2 3 3" xfId="13463" xr:uid="{00000000-0005-0000-0000-000098340000}"/>
    <cellStyle name="Header2 11 2 8 2 3 4" xfId="13464" xr:uid="{00000000-0005-0000-0000-000099340000}"/>
    <cellStyle name="Header2 11 2 8 2 4" xfId="13465" xr:uid="{00000000-0005-0000-0000-00009A340000}"/>
    <cellStyle name="Header2 11 2 8 2 5" xfId="13466" xr:uid="{00000000-0005-0000-0000-00009B340000}"/>
    <cellStyle name="Header2 11 2 8 2 6" xfId="13467" xr:uid="{00000000-0005-0000-0000-00009C340000}"/>
    <cellStyle name="Header2 11 2 8 3" xfId="13468" xr:uid="{00000000-0005-0000-0000-00009D340000}"/>
    <cellStyle name="Header2 11 2 8 3 2" xfId="13469" xr:uid="{00000000-0005-0000-0000-00009E340000}"/>
    <cellStyle name="Header2 11 2 8 3 2 2" xfId="13470" xr:uid="{00000000-0005-0000-0000-00009F340000}"/>
    <cellStyle name="Header2 11 2 8 3 2 3" xfId="13471" xr:uid="{00000000-0005-0000-0000-0000A0340000}"/>
    <cellStyle name="Header2 11 2 8 3 2 4" xfId="13472" xr:uid="{00000000-0005-0000-0000-0000A1340000}"/>
    <cellStyle name="Header2 11 2 8 3 3" xfId="13473" xr:uid="{00000000-0005-0000-0000-0000A2340000}"/>
    <cellStyle name="Header2 11 2 8 3 3 2" xfId="13474" xr:uid="{00000000-0005-0000-0000-0000A3340000}"/>
    <cellStyle name="Header2 11 2 8 3 3 3" xfId="13475" xr:uid="{00000000-0005-0000-0000-0000A4340000}"/>
    <cellStyle name="Header2 11 2 8 3 3 4" xfId="13476" xr:uid="{00000000-0005-0000-0000-0000A5340000}"/>
    <cellStyle name="Header2 11 2 8 3 4" xfId="13477" xr:uid="{00000000-0005-0000-0000-0000A6340000}"/>
    <cellStyle name="Header2 11 2 8 3 5" xfId="13478" xr:uid="{00000000-0005-0000-0000-0000A7340000}"/>
    <cellStyle name="Header2 11 2 8 3 6" xfId="13479" xr:uid="{00000000-0005-0000-0000-0000A8340000}"/>
    <cellStyle name="Header2 11 2 8 4" xfId="13480" xr:uid="{00000000-0005-0000-0000-0000A9340000}"/>
    <cellStyle name="Header2 11 2 8 5" xfId="13481" xr:uid="{00000000-0005-0000-0000-0000AA340000}"/>
    <cellStyle name="Header2 11 2 9" xfId="13482" xr:uid="{00000000-0005-0000-0000-0000AB340000}"/>
    <cellStyle name="Header2 11 2 9 2" xfId="13483" xr:uid="{00000000-0005-0000-0000-0000AC340000}"/>
    <cellStyle name="Header2 11 2 9 2 2" xfId="13484" xr:uid="{00000000-0005-0000-0000-0000AD340000}"/>
    <cellStyle name="Header2 11 2 9 2 2 2" xfId="13485" xr:uid="{00000000-0005-0000-0000-0000AE340000}"/>
    <cellStyle name="Header2 11 2 9 2 2 3" xfId="13486" xr:uid="{00000000-0005-0000-0000-0000AF340000}"/>
    <cellStyle name="Header2 11 2 9 2 2 4" xfId="13487" xr:uid="{00000000-0005-0000-0000-0000B0340000}"/>
    <cellStyle name="Header2 11 2 9 2 2 5" xfId="13488" xr:uid="{00000000-0005-0000-0000-0000B1340000}"/>
    <cellStyle name="Header2 11 2 9 2 3" xfId="13489" xr:uid="{00000000-0005-0000-0000-0000B2340000}"/>
    <cellStyle name="Header2 11 2 9 2 3 2" xfId="13490" xr:uid="{00000000-0005-0000-0000-0000B3340000}"/>
    <cellStyle name="Header2 11 2 9 2 3 3" xfId="13491" xr:uid="{00000000-0005-0000-0000-0000B4340000}"/>
    <cellStyle name="Header2 11 2 9 2 3 4" xfId="13492" xr:uid="{00000000-0005-0000-0000-0000B5340000}"/>
    <cellStyle name="Header2 11 2 9 2 4" xfId="13493" xr:uid="{00000000-0005-0000-0000-0000B6340000}"/>
    <cellStyle name="Header2 11 2 9 2 5" xfId="13494" xr:uid="{00000000-0005-0000-0000-0000B7340000}"/>
    <cellStyle name="Header2 11 2 9 2 6" xfId="13495" xr:uid="{00000000-0005-0000-0000-0000B8340000}"/>
    <cellStyle name="Header2 11 2 9 3" xfId="13496" xr:uid="{00000000-0005-0000-0000-0000B9340000}"/>
    <cellStyle name="Header2 11 2 9 3 2" xfId="13497" xr:uid="{00000000-0005-0000-0000-0000BA340000}"/>
    <cellStyle name="Header2 11 2 9 3 2 2" xfId="13498" xr:uid="{00000000-0005-0000-0000-0000BB340000}"/>
    <cellStyle name="Header2 11 2 9 3 2 3" xfId="13499" xr:uid="{00000000-0005-0000-0000-0000BC340000}"/>
    <cellStyle name="Header2 11 2 9 3 2 4" xfId="13500" xr:uid="{00000000-0005-0000-0000-0000BD340000}"/>
    <cellStyle name="Header2 11 2 9 3 3" xfId="13501" xr:uid="{00000000-0005-0000-0000-0000BE340000}"/>
    <cellStyle name="Header2 11 2 9 3 3 2" xfId="13502" xr:uid="{00000000-0005-0000-0000-0000BF340000}"/>
    <cellStyle name="Header2 11 2 9 3 3 3" xfId="13503" xr:uid="{00000000-0005-0000-0000-0000C0340000}"/>
    <cellStyle name="Header2 11 2 9 3 3 4" xfId="13504" xr:uid="{00000000-0005-0000-0000-0000C1340000}"/>
    <cellStyle name="Header2 11 2 9 3 4" xfId="13505" xr:uid="{00000000-0005-0000-0000-0000C2340000}"/>
    <cellStyle name="Header2 11 2 9 3 5" xfId="13506" xr:uid="{00000000-0005-0000-0000-0000C3340000}"/>
    <cellStyle name="Header2 11 2 9 3 6" xfId="13507" xr:uid="{00000000-0005-0000-0000-0000C4340000}"/>
    <cellStyle name="Header2 11 2 9 4" xfId="13508" xr:uid="{00000000-0005-0000-0000-0000C5340000}"/>
    <cellStyle name="Header2 11 2 9 5" xfId="13509" xr:uid="{00000000-0005-0000-0000-0000C6340000}"/>
    <cellStyle name="Header2 11 3" xfId="13510" xr:uid="{00000000-0005-0000-0000-0000C7340000}"/>
    <cellStyle name="Header2 11 3 10" xfId="13511" xr:uid="{00000000-0005-0000-0000-0000C8340000}"/>
    <cellStyle name="Header2 11 3 10 2" xfId="13512" xr:uid="{00000000-0005-0000-0000-0000C9340000}"/>
    <cellStyle name="Header2 11 3 10 2 2" xfId="13513" xr:uid="{00000000-0005-0000-0000-0000CA340000}"/>
    <cellStyle name="Header2 11 3 10 2 2 2" xfId="13514" xr:uid="{00000000-0005-0000-0000-0000CB340000}"/>
    <cellStyle name="Header2 11 3 10 2 2 3" xfId="13515" xr:uid="{00000000-0005-0000-0000-0000CC340000}"/>
    <cellStyle name="Header2 11 3 10 2 2 4" xfId="13516" xr:uid="{00000000-0005-0000-0000-0000CD340000}"/>
    <cellStyle name="Header2 11 3 10 2 2 5" xfId="13517" xr:uid="{00000000-0005-0000-0000-0000CE340000}"/>
    <cellStyle name="Header2 11 3 10 2 3" xfId="13518" xr:uid="{00000000-0005-0000-0000-0000CF340000}"/>
    <cellStyle name="Header2 11 3 10 2 3 2" xfId="13519" xr:uid="{00000000-0005-0000-0000-0000D0340000}"/>
    <cellStyle name="Header2 11 3 10 2 3 3" xfId="13520" xr:uid="{00000000-0005-0000-0000-0000D1340000}"/>
    <cellStyle name="Header2 11 3 10 2 3 4" xfId="13521" xr:uid="{00000000-0005-0000-0000-0000D2340000}"/>
    <cellStyle name="Header2 11 3 10 2 4" xfId="13522" xr:uid="{00000000-0005-0000-0000-0000D3340000}"/>
    <cellStyle name="Header2 11 3 10 2 5" xfId="13523" xr:uid="{00000000-0005-0000-0000-0000D4340000}"/>
    <cellStyle name="Header2 11 3 10 2 6" xfId="13524" xr:uid="{00000000-0005-0000-0000-0000D5340000}"/>
    <cellStyle name="Header2 11 3 10 3" xfId="13525" xr:uid="{00000000-0005-0000-0000-0000D6340000}"/>
    <cellStyle name="Header2 11 3 10 3 2" xfId="13526" xr:uid="{00000000-0005-0000-0000-0000D7340000}"/>
    <cellStyle name="Header2 11 3 10 3 2 2" xfId="13527" xr:uid="{00000000-0005-0000-0000-0000D8340000}"/>
    <cellStyle name="Header2 11 3 10 3 2 3" xfId="13528" xr:uid="{00000000-0005-0000-0000-0000D9340000}"/>
    <cellStyle name="Header2 11 3 10 3 2 4" xfId="13529" xr:uid="{00000000-0005-0000-0000-0000DA340000}"/>
    <cellStyle name="Header2 11 3 10 3 3" xfId="13530" xr:uid="{00000000-0005-0000-0000-0000DB340000}"/>
    <cellStyle name="Header2 11 3 10 3 3 2" xfId="13531" xr:uid="{00000000-0005-0000-0000-0000DC340000}"/>
    <cellStyle name="Header2 11 3 10 3 3 3" xfId="13532" xr:uid="{00000000-0005-0000-0000-0000DD340000}"/>
    <cellStyle name="Header2 11 3 10 3 3 4" xfId="13533" xr:uid="{00000000-0005-0000-0000-0000DE340000}"/>
    <cellStyle name="Header2 11 3 10 3 4" xfId="13534" xr:uid="{00000000-0005-0000-0000-0000DF340000}"/>
    <cellStyle name="Header2 11 3 10 3 5" xfId="13535" xr:uid="{00000000-0005-0000-0000-0000E0340000}"/>
    <cellStyle name="Header2 11 3 10 3 6" xfId="13536" xr:uid="{00000000-0005-0000-0000-0000E1340000}"/>
    <cellStyle name="Header2 11 3 10 4" xfId="13537" xr:uid="{00000000-0005-0000-0000-0000E2340000}"/>
    <cellStyle name="Header2 11 3 10 5" xfId="13538" xr:uid="{00000000-0005-0000-0000-0000E3340000}"/>
    <cellStyle name="Header2 11 3 11" xfId="13539" xr:uid="{00000000-0005-0000-0000-0000E4340000}"/>
    <cellStyle name="Header2 11 3 11 2" xfId="13540" xr:uid="{00000000-0005-0000-0000-0000E5340000}"/>
    <cellStyle name="Header2 11 3 11 2 2" xfId="13541" xr:uid="{00000000-0005-0000-0000-0000E6340000}"/>
    <cellStyle name="Header2 11 3 11 2 2 2" xfId="13542" xr:uid="{00000000-0005-0000-0000-0000E7340000}"/>
    <cellStyle name="Header2 11 3 11 2 2 3" xfId="13543" xr:uid="{00000000-0005-0000-0000-0000E8340000}"/>
    <cellStyle name="Header2 11 3 11 2 2 4" xfId="13544" xr:uid="{00000000-0005-0000-0000-0000E9340000}"/>
    <cellStyle name="Header2 11 3 11 2 2 5" xfId="13545" xr:uid="{00000000-0005-0000-0000-0000EA340000}"/>
    <cellStyle name="Header2 11 3 11 2 3" xfId="13546" xr:uid="{00000000-0005-0000-0000-0000EB340000}"/>
    <cellStyle name="Header2 11 3 11 2 3 2" xfId="13547" xr:uid="{00000000-0005-0000-0000-0000EC340000}"/>
    <cellStyle name="Header2 11 3 11 2 3 3" xfId="13548" xr:uid="{00000000-0005-0000-0000-0000ED340000}"/>
    <cellStyle name="Header2 11 3 11 2 3 4" xfId="13549" xr:uid="{00000000-0005-0000-0000-0000EE340000}"/>
    <cellStyle name="Header2 11 3 11 2 4" xfId="13550" xr:uid="{00000000-0005-0000-0000-0000EF340000}"/>
    <cellStyle name="Header2 11 3 11 2 5" xfId="13551" xr:uid="{00000000-0005-0000-0000-0000F0340000}"/>
    <cellStyle name="Header2 11 3 11 2 6" xfId="13552" xr:uid="{00000000-0005-0000-0000-0000F1340000}"/>
    <cellStyle name="Header2 11 3 11 3" xfId="13553" xr:uid="{00000000-0005-0000-0000-0000F2340000}"/>
    <cellStyle name="Header2 11 3 11 3 2" xfId="13554" xr:uid="{00000000-0005-0000-0000-0000F3340000}"/>
    <cellStyle name="Header2 11 3 11 3 2 2" xfId="13555" xr:uid="{00000000-0005-0000-0000-0000F4340000}"/>
    <cellStyle name="Header2 11 3 11 3 2 3" xfId="13556" xr:uid="{00000000-0005-0000-0000-0000F5340000}"/>
    <cellStyle name="Header2 11 3 11 3 2 4" xfId="13557" xr:uid="{00000000-0005-0000-0000-0000F6340000}"/>
    <cellStyle name="Header2 11 3 11 3 3" xfId="13558" xr:uid="{00000000-0005-0000-0000-0000F7340000}"/>
    <cellStyle name="Header2 11 3 11 3 3 2" xfId="13559" xr:uid="{00000000-0005-0000-0000-0000F8340000}"/>
    <cellStyle name="Header2 11 3 11 3 3 3" xfId="13560" xr:uid="{00000000-0005-0000-0000-0000F9340000}"/>
    <cellStyle name="Header2 11 3 11 3 3 4" xfId="13561" xr:uid="{00000000-0005-0000-0000-0000FA340000}"/>
    <cellStyle name="Header2 11 3 11 3 4" xfId="13562" xr:uid="{00000000-0005-0000-0000-0000FB340000}"/>
    <cellStyle name="Header2 11 3 11 3 5" xfId="13563" xr:uid="{00000000-0005-0000-0000-0000FC340000}"/>
    <cellStyle name="Header2 11 3 11 3 6" xfId="13564" xr:uid="{00000000-0005-0000-0000-0000FD340000}"/>
    <cellStyle name="Header2 11 3 11 4" xfId="13565" xr:uid="{00000000-0005-0000-0000-0000FE340000}"/>
    <cellStyle name="Header2 11 3 11 5" xfId="13566" xr:uid="{00000000-0005-0000-0000-0000FF340000}"/>
    <cellStyle name="Header2 11 3 12" xfId="13567" xr:uid="{00000000-0005-0000-0000-000000350000}"/>
    <cellStyle name="Header2 11 3 12 2" xfId="13568" xr:uid="{00000000-0005-0000-0000-000001350000}"/>
    <cellStyle name="Header2 11 3 12 2 2" xfId="13569" xr:uid="{00000000-0005-0000-0000-000002350000}"/>
    <cellStyle name="Header2 11 3 12 2 2 2" xfId="13570" xr:uid="{00000000-0005-0000-0000-000003350000}"/>
    <cellStyle name="Header2 11 3 12 2 2 3" xfId="13571" xr:uid="{00000000-0005-0000-0000-000004350000}"/>
    <cellStyle name="Header2 11 3 12 2 2 4" xfId="13572" xr:uid="{00000000-0005-0000-0000-000005350000}"/>
    <cellStyle name="Header2 11 3 12 2 2 5" xfId="13573" xr:uid="{00000000-0005-0000-0000-000006350000}"/>
    <cellStyle name="Header2 11 3 12 2 3" xfId="13574" xr:uid="{00000000-0005-0000-0000-000007350000}"/>
    <cellStyle name="Header2 11 3 12 2 3 2" xfId="13575" xr:uid="{00000000-0005-0000-0000-000008350000}"/>
    <cellStyle name="Header2 11 3 12 2 3 3" xfId="13576" xr:uid="{00000000-0005-0000-0000-000009350000}"/>
    <cellStyle name="Header2 11 3 12 2 3 4" xfId="13577" xr:uid="{00000000-0005-0000-0000-00000A350000}"/>
    <cellStyle name="Header2 11 3 12 2 4" xfId="13578" xr:uid="{00000000-0005-0000-0000-00000B350000}"/>
    <cellStyle name="Header2 11 3 12 2 5" xfId="13579" xr:uid="{00000000-0005-0000-0000-00000C350000}"/>
    <cellStyle name="Header2 11 3 12 2 6" xfId="13580" xr:uid="{00000000-0005-0000-0000-00000D350000}"/>
    <cellStyle name="Header2 11 3 12 3" xfId="13581" xr:uid="{00000000-0005-0000-0000-00000E350000}"/>
    <cellStyle name="Header2 11 3 12 3 2" xfId="13582" xr:uid="{00000000-0005-0000-0000-00000F350000}"/>
    <cellStyle name="Header2 11 3 12 3 2 2" xfId="13583" xr:uid="{00000000-0005-0000-0000-000010350000}"/>
    <cellStyle name="Header2 11 3 12 3 2 3" xfId="13584" xr:uid="{00000000-0005-0000-0000-000011350000}"/>
    <cellStyle name="Header2 11 3 12 3 2 4" xfId="13585" xr:uid="{00000000-0005-0000-0000-000012350000}"/>
    <cellStyle name="Header2 11 3 12 3 3" xfId="13586" xr:uid="{00000000-0005-0000-0000-000013350000}"/>
    <cellStyle name="Header2 11 3 12 3 3 2" xfId="13587" xr:uid="{00000000-0005-0000-0000-000014350000}"/>
    <cellStyle name="Header2 11 3 12 3 3 3" xfId="13588" xr:uid="{00000000-0005-0000-0000-000015350000}"/>
    <cellStyle name="Header2 11 3 12 3 3 4" xfId="13589" xr:uid="{00000000-0005-0000-0000-000016350000}"/>
    <cellStyle name="Header2 11 3 12 3 4" xfId="13590" xr:uid="{00000000-0005-0000-0000-000017350000}"/>
    <cellStyle name="Header2 11 3 12 3 5" xfId="13591" xr:uid="{00000000-0005-0000-0000-000018350000}"/>
    <cellStyle name="Header2 11 3 12 3 6" xfId="13592" xr:uid="{00000000-0005-0000-0000-000019350000}"/>
    <cellStyle name="Header2 11 3 12 4" xfId="13593" xr:uid="{00000000-0005-0000-0000-00001A350000}"/>
    <cellStyle name="Header2 11 3 12 5" xfId="13594" xr:uid="{00000000-0005-0000-0000-00001B350000}"/>
    <cellStyle name="Header2 11 3 13" xfId="58719" xr:uid="{00000000-0005-0000-0000-00001C350000}"/>
    <cellStyle name="Header2 11 3 2" xfId="13595" xr:uid="{00000000-0005-0000-0000-00001D350000}"/>
    <cellStyle name="Header2 11 3 2 2" xfId="13596" xr:uid="{00000000-0005-0000-0000-00001E350000}"/>
    <cellStyle name="Header2 11 3 2 2 2" xfId="13597" xr:uid="{00000000-0005-0000-0000-00001F350000}"/>
    <cellStyle name="Header2 11 3 2 2 3" xfId="13598" xr:uid="{00000000-0005-0000-0000-000020350000}"/>
    <cellStyle name="Header2 11 3 2 3" xfId="13599" xr:uid="{00000000-0005-0000-0000-000021350000}"/>
    <cellStyle name="Header2 11 3 3" xfId="13600" xr:uid="{00000000-0005-0000-0000-000022350000}"/>
    <cellStyle name="Header2 11 3 3 2" xfId="13601" xr:uid="{00000000-0005-0000-0000-000023350000}"/>
    <cellStyle name="Header2 11 3 3 2 2" xfId="13602" xr:uid="{00000000-0005-0000-0000-000024350000}"/>
    <cellStyle name="Header2 11 3 3 2 3" xfId="13603" xr:uid="{00000000-0005-0000-0000-000025350000}"/>
    <cellStyle name="Header2 11 3 3 3" xfId="13604" xr:uid="{00000000-0005-0000-0000-000026350000}"/>
    <cellStyle name="Header2 11 3 4" xfId="13605" xr:uid="{00000000-0005-0000-0000-000027350000}"/>
    <cellStyle name="Header2 11 3 4 2" xfId="13606" xr:uid="{00000000-0005-0000-0000-000028350000}"/>
    <cellStyle name="Header2 11 3 4 2 2" xfId="13607" xr:uid="{00000000-0005-0000-0000-000029350000}"/>
    <cellStyle name="Header2 11 3 4 2 3" xfId="13608" xr:uid="{00000000-0005-0000-0000-00002A350000}"/>
    <cellStyle name="Header2 11 3 4 3" xfId="13609" xr:uid="{00000000-0005-0000-0000-00002B350000}"/>
    <cellStyle name="Header2 11 3 5" xfId="13610" xr:uid="{00000000-0005-0000-0000-00002C350000}"/>
    <cellStyle name="Header2 11 3 5 2" xfId="13611" xr:uid="{00000000-0005-0000-0000-00002D350000}"/>
    <cellStyle name="Header2 11 3 5 2 2" xfId="13612" xr:uid="{00000000-0005-0000-0000-00002E350000}"/>
    <cellStyle name="Header2 11 3 5 2 2 2" xfId="13613" xr:uid="{00000000-0005-0000-0000-00002F350000}"/>
    <cellStyle name="Header2 11 3 5 2 2 3" xfId="13614" xr:uid="{00000000-0005-0000-0000-000030350000}"/>
    <cellStyle name="Header2 11 3 5 2 2 4" xfId="13615" xr:uid="{00000000-0005-0000-0000-000031350000}"/>
    <cellStyle name="Header2 11 3 5 2 2 5" xfId="13616" xr:uid="{00000000-0005-0000-0000-000032350000}"/>
    <cellStyle name="Header2 11 3 5 2 3" xfId="13617" xr:uid="{00000000-0005-0000-0000-000033350000}"/>
    <cellStyle name="Header2 11 3 5 2 3 2" xfId="13618" xr:uid="{00000000-0005-0000-0000-000034350000}"/>
    <cellStyle name="Header2 11 3 5 2 3 3" xfId="13619" xr:uid="{00000000-0005-0000-0000-000035350000}"/>
    <cellStyle name="Header2 11 3 5 2 3 4" xfId="13620" xr:uid="{00000000-0005-0000-0000-000036350000}"/>
    <cellStyle name="Header2 11 3 5 2 4" xfId="13621" xr:uid="{00000000-0005-0000-0000-000037350000}"/>
    <cellStyle name="Header2 11 3 5 2 5" xfId="13622" xr:uid="{00000000-0005-0000-0000-000038350000}"/>
    <cellStyle name="Header2 11 3 5 2 6" xfId="13623" xr:uid="{00000000-0005-0000-0000-000039350000}"/>
    <cellStyle name="Header2 11 3 5 3" xfId="13624" xr:uid="{00000000-0005-0000-0000-00003A350000}"/>
    <cellStyle name="Header2 11 3 5 3 2" xfId="13625" xr:uid="{00000000-0005-0000-0000-00003B350000}"/>
    <cellStyle name="Header2 11 3 5 3 2 2" xfId="13626" xr:uid="{00000000-0005-0000-0000-00003C350000}"/>
    <cellStyle name="Header2 11 3 5 3 2 3" xfId="13627" xr:uid="{00000000-0005-0000-0000-00003D350000}"/>
    <cellStyle name="Header2 11 3 5 3 2 4" xfId="13628" xr:uid="{00000000-0005-0000-0000-00003E350000}"/>
    <cellStyle name="Header2 11 3 5 3 3" xfId="13629" xr:uid="{00000000-0005-0000-0000-00003F350000}"/>
    <cellStyle name="Header2 11 3 5 3 3 2" xfId="13630" xr:uid="{00000000-0005-0000-0000-000040350000}"/>
    <cellStyle name="Header2 11 3 5 3 3 3" xfId="13631" xr:uid="{00000000-0005-0000-0000-000041350000}"/>
    <cellStyle name="Header2 11 3 5 3 3 4" xfId="13632" xr:uid="{00000000-0005-0000-0000-000042350000}"/>
    <cellStyle name="Header2 11 3 5 3 4" xfId="13633" xr:uid="{00000000-0005-0000-0000-000043350000}"/>
    <cellStyle name="Header2 11 3 5 3 5" xfId="13634" xr:uid="{00000000-0005-0000-0000-000044350000}"/>
    <cellStyle name="Header2 11 3 5 3 6" xfId="13635" xr:uid="{00000000-0005-0000-0000-000045350000}"/>
    <cellStyle name="Header2 11 3 5 4" xfId="13636" xr:uid="{00000000-0005-0000-0000-000046350000}"/>
    <cellStyle name="Header2 11 3 5 5" xfId="13637" xr:uid="{00000000-0005-0000-0000-000047350000}"/>
    <cellStyle name="Header2 11 3 6" xfId="13638" xr:uid="{00000000-0005-0000-0000-000048350000}"/>
    <cellStyle name="Header2 11 3 6 2" xfId="13639" xr:uid="{00000000-0005-0000-0000-000049350000}"/>
    <cellStyle name="Header2 11 3 6 2 2" xfId="13640" xr:uid="{00000000-0005-0000-0000-00004A350000}"/>
    <cellStyle name="Header2 11 3 6 2 2 2" xfId="13641" xr:uid="{00000000-0005-0000-0000-00004B350000}"/>
    <cellStyle name="Header2 11 3 6 2 2 3" xfId="13642" xr:uid="{00000000-0005-0000-0000-00004C350000}"/>
    <cellStyle name="Header2 11 3 6 2 2 4" xfId="13643" xr:uid="{00000000-0005-0000-0000-00004D350000}"/>
    <cellStyle name="Header2 11 3 6 2 2 5" xfId="13644" xr:uid="{00000000-0005-0000-0000-00004E350000}"/>
    <cellStyle name="Header2 11 3 6 2 3" xfId="13645" xr:uid="{00000000-0005-0000-0000-00004F350000}"/>
    <cellStyle name="Header2 11 3 6 2 3 2" xfId="13646" xr:uid="{00000000-0005-0000-0000-000050350000}"/>
    <cellStyle name="Header2 11 3 6 2 3 3" xfId="13647" xr:uid="{00000000-0005-0000-0000-000051350000}"/>
    <cellStyle name="Header2 11 3 6 2 3 4" xfId="13648" xr:uid="{00000000-0005-0000-0000-000052350000}"/>
    <cellStyle name="Header2 11 3 6 2 4" xfId="13649" xr:uid="{00000000-0005-0000-0000-000053350000}"/>
    <cellStyle name="Header2 11 3 6 2 5" xfId="13650" xr:uid="{00000000-0005-0000-0000-000054350000}"/>
    <cellStyle name="Header2 11 3 6 2 6" xfId="13651" xr:uid="{00000000-0005-0000-0000-000055350000}"/>
    <cellStyle name="Header2 11 3 6 3" xfId="13652" xr:uid="{00000000-0005-0000-0000-000056350000}"/>
    <cellStyle name="Header2 11 3 6 3 2" xfId="13653" xr:uid="{00000000-0005-0000-0000-000057350000}"/>
    <cellStyle name="Header2 11 3 6 3 2 2" xfId="13654" xr:uid="{00000000-0005-0000-0000-000058350000}"/>
    <cellStyle name="Header2 11 3 6 3 2 3" xfId="13655" xr:uid="{00000000-0005-0000-0000-000059350000}"/>
    <cellStyle name="Header2 11 3 6 3 2 4" xfId="13656" xr:uid="{00000000-0005-0000-0000-00005A350000}"/>
    <cellStyle name="Header2 11 3 6 3 3" xfId="13657" xr:uid="{00000000-0005-0000-0000-00005B350000}"/>
    <cellStyle name="Header2 11 3 6 3 3 2" xfId="13658" xr:uid="{00000000-0005-0000-0000-00005C350000}"/>
    <cellStyle name="Header2 11 3 6 3 3 3" xfId="13659" xr:uid="{00000000-0005-0000-0000-00005D350000}"/>
    <cellStyle name="Header2 11 3 6 3 3 4" xfId="13660" xr:uid="{00000000-0005-0000-0000-00005E350000}"/>
    <cellStyle name="Header2 11 3 6 3 4" xfId="13661" xr:uid="{00000000-0005-0000-0000-00005F350000}"/>
    <cellStyle name="Header2 11 3 6 3 5" xfId="13662" xr:uid="{00000000-0005-0000-0000-000060350000}"/>
    <cellStyle name="Header2 11 3 6 3 6" xfId="13663" xr:uid="{00000000-0005-0000-0000-000061350000}"/>
    <cellStyle name="Header2 11 3 6 4" xfId="13664" xr:uid="{00000000-0005-0000-0000-000062350000}"/>
    <cellStyle name="Header2 11 3 6 5" xfId="13665" xr:uid="{00000000-0005-0000-0000-000063350000}"/>
    <cellStyle name="Header2 11 3 7" xfId="13666" xr:uid="{00000000-0005-0000-0000-000064350000}"/>
    <cellStyle name="Header2 11 3 7 2" xfId="13667" xr:uid="{00000000-0005-0000-0000-000065350000}"/>
    <cellStyle name="Header2 11 3 7 2 2" xfId="13668" xr:uid="{00000000-0005-0000-0000-000066350000}"/>
    <cellStyle name="Header2 11 3 7 2 2 2" xfId="13669" xr:uid="{00000000-0005-0000-0000-000067350000}"/>
    <cellStyle name="Header2 11 3 7 2 2 3" xfId="13670" xr:uid="{00000000-0005-0000-0000-000068350000}"/>
    <cellStyle name="Header2 11 3 7 2 2 4" xfId="13671" xr:uid="{00000000-0005-0000-0000-000069350000}"/>
    <cellStyle name="Header2 11 3 7 2 2 5" xfId="13672" xr:uid="{00000000-0005-0000-0000-00006A350000}"/>
    <cellStyle name="Header2 11 3 7 2 3" xfId="13673" xr:uid="{00000000-0005-0000-0000-00006B350000}"/>
    <cellStyle name="Header2 11 3 7 2 3 2" xfId="13674" xr:uid="{00000000-0005-0000-0000-00006C350000}"/>
    <cellStyle name="Header2 11 3 7 2 3 3" xfId="13675" xr:uid="{00000000-0005-0000-0000-00006D350000}"/>
    <cellStyle name="Header2 11 3 7 2 3 4" xfId="13676" xr:uid="{00000000-0005-0000-0000-00006E350000}"/>
    <cellStyle name="Header2 11 3 7 2 4" xfId="13677" xr:uid="{00000000-0005-0000-0000-00006F350000}"/>
    <cellStyle name="Header2 11 3 7 2 5" xfId="13678" xr:uid="{00000000-0005-0000-0000-000070350000}"/>
    <cellStyle name="Header2 11 3 7 2 6" xfId="13679" xr:uid="{00000000-0005-0000-0000-000071350000}"/>
    <cellStyle name="Header2 11 3 7 3" xfId="13680" xr:uid="{00000000-0005-0000-0000-000072350000}"/>
    <cellStyle name="Header2 11 3 7 3 2" xfId="13681" xr:uid="{00000000-0005-0000-0000-000073350000}"/>
    <cellStyle name="Header2 11 3 7 3 2 2" xfId="13682" xr:uid="{00000000-0005-0000-0000-000074350000}"/>
    <cellStyle name="Header2 11 3 7 3 2 3" xfId="13683" xr:uid="{00000000-0005-0000-0000-000075350000}"/>
    <cellStyle name="Header2 11 3 7 3 2 4" xfId="13684" xr:uid="{00000000-0005-0000-0000-000076350000}"/>
    <cellStyle name="Header2 11 3 7 3 3" xfId="13685" xr:uid="{00000000-0005-0000-0000-000077350000}"/>
    <cellStyle name="Header2 11 3 7 3 3 2" xfId="13686" xr:uid="{00000000-0005-0000-0000-000078350000}"/>
    <cellStyle name="Header2 11 3 7 3 3 3" xfId="13687" xr:uid="{00000000-0005-0000-0000-000079350000}"/>
    <cellStyle name="Header2 11 3 7 3 3 4" xfId="13688" xr:uid="{00000000-0005-0000-0000-00007A350000}"/>
    <cellStyle name="Header2 11 3 7 3 4" xfId="13689" xr:uid="{00000000-0005-0000-0000-00007B350000}"/>
    <cellStyle name="Header2 11 3 7 3 5" xfId="13690" xr:uid="{00000000-0005-0000-0000-00007C350000}"/>
    <cellStyle name="Header2 11 3 7 3 6" xfId="13691" xr:uid="{00000000-0005-0000-0000-00007D350000}"/>
    <cellStyle name="Header2 11 3 7 4" xfId="13692" xr:uid="{00000000-0005-0000-0000-00007E350000}"/>
    <cellStyle name="Header2 11 3 7 5" xfId="13693" xr:uid="{00000000-0005-0000-0000-00007F350000}"/>
    <cellStyle name="Header2 11 3 8" xfId="13694" xr:uid="{00000000-0005-0000-0000-000080350000}"/>
    <cellStyle name="Header2 11 3 8 2" xfId="13695" xr:uid="{00000000-0005-0000-0000-000081350000}"/>
    <cellStyle name="Header2 11 3 8 2 2" xfId="13696" xr:uid="{00000000-0005-0000-0000-000082350000}"/>
    <cellStyle name="Header2 11 3 8 2 2 2" xfId="13697" xr:uid="{00000000-0005-0000-0000-000083350000}"/>
    <cellStyle name="Header2 11 3 8 2 2 3" xfId="13698" xr:uid="{00000000-0005-0000-0000-000084350000}"/>
    <cellStyle name="Header2 11 3 8 2 2 4" xfId="13699" xr:uid="{00000000-0005-0000-0000-000085350000}"/>
    <cellStyle name="Header2 11 3 8 2 2 5" xfId="13700" xr:uid="{00000000-0005-0000-0000-000086350000}"/>
    <cellStyle name="Header2 11 3 8 2 3" xfId="13701" xr:uid="{00000000-0005-0000-0000-000087350000}"/>
    <cellStyle name="Header2 11 3 8 2 3 2" xfId="13702" xr:uid="{00000000-0005-0000-0000-000088350000}"/>
    <cellStyle name="Header2 11 3 8 2 3 3" xfId="13703" xr:uid="{00000000-0005-0000-0000-000089350000}"/>
    <cellStyle name="Header2 11 3 8 2 3 4" xfId="13704" xr:uid="{00000000-0005-0000-0000-00008A350000}"/>
    <cellStyle name="Header2 11 3 8 2 4" xfId="13705" xr:uid="{00000000-0005-0000-0000-00008B350000}"/>
    <cellStyle name="Header2 11 3 8 2 5" xfId="13706" xr:uid="{00000000-0005-0000-0000-00008C350000}"/>
    <cellStyle name="Header2 11 3 8 2 6" xfId="13707" xr:uid="{00000000-0005-0000-0000-00008D350000}"/>
    <cellStyle name="Header2 11 3 8 3" xfId="13708" xr:uid="{00000000-0005-0000-0000-00008E350000}"/>
    <cellStyle name="Header2 11 3 8 3 2" xfId="13709" xr:uid="{00000000-0005-0000-0000-00008F350000}"/>
    <cellStyle name="Header2 11 3 8 3 2 2" xfId="13710" xr:uid="{00000000-0005-0000-0000-000090350000}"/>
    <cellStyle name="Header2 11 3 8 3 2 3" xfId="13711" xr:uid="{00000000-0005-0000-0000-000091350000}"/>
    <cellStyle name="Header2 11 3 8 3 2 4" xfId="13712" xr:uid="{00000000-0005-0000-0000-000092350000}"/>
    <cellStyle name="Header2 11 3 8 3 3" xfId="13713" xr:uid="{00000000-0005-0000-0000-000093350000}"/>
    <cellStyle name="Header2 11 3 8 3 3 2" xfId="13714" xr:uid="{00000000-0005-0000-0000-000094350000}"/>
    <cellStyle name="Header2 11 3 8 3 3 3" xfId="13715" xr:uid="{00000000-0005-0000-0000-000095350000}"/>
    <cellStyle name="Header2 11 3 8 3 3 4" xfId="13716" xr:uid="{00000000-0005-0000-0000-000096350000}"/>
    <cellStyle name="Header2 11 3 8 3 4" xfId="13717" xr:uid="{00000000-0005-0000-0000-000097350000}"/>
    <cellStyle name="Header2 11 3 8 3 5" xfId="13718" xr:uid="{00000000-0005-0000-0000-000098350000}"/>
    <cellStyle name="Header2 11 3 8 3 6" xfId="13719" xr:uid="{00000000-0005-0000-0000-000099350000}"/>
    <cellStyle name="Header2 11 3 8 4" xfId="13720" xr:uid="{00000000-0005-0000-0000-00009A350000}"/>
    <cellStyle name="Header2 11 3 8 5" xfId="13721" xr:uid="{00000000-0005-0000-0000-00009B350000}"/>
    <cellStyle name="Header2 11 3 9" xfId="13722" xr:uid="{00000000-0005-0000-0000-00009C350000}"/>
    <cellStyle name="Header2 11 3 9 2" xfId="13723" xr:uid="{00000000-0005-0000-0000-00009D350000}"/>
    <cellStyle name="Header2 11 3 9 2 2" xfId="13724" xr:uid="{00000000-0005-0000-0000-00009E350000}"/>
    <cellStyle name="Header2 11 3 9 2 2 2" xfId="13725" xr:uid="{00000000-0005-0000-0000-00009F350000}"/>
    <cellStyle name="Header2 11 3 9 2 2 3" xfId="13726" xr:uid="{00000000-0005-0000-0000-0000A0350000}"/>
    <cellStyle name="Header2 11 3 9 2 2 4" xfId="13727" xr:uid="{00000000-0005-0000-0000-0000A1350000}"/>
    <cellStyle name="Header2 11 3 9 2 2 5" xfId="13728" xr:uid="{00000000-0005-0000-0000-0000A2350000}"/>
    <cellStyle name="Header2 11 3 9 2 3" xfId="13729" xr:uid="{00000000-0005-0000-0000-0000A3350000}"/>
    <cellStyle name="Header2 11 3 9 2 3 2" xfId="13730" xr:uid="{00000000-0005-0000-0000-0000A4350000}"/>
    <cellStyle name="Header2 11 3 9 2 3 3" xfId="13731" xr:uid="{00000000-0005-0000-0000-0000A5350000}"/>
    <cellStyle name="Header2 11 3 9 2 3 4" xfId="13732" xr:uid="{00000000-0005-0000-0000-0000A6350000}"/>
    <cellStyle name="Header2 11 3 9 2 4" xfId="13733" xr:uid="{00000000-0005-0000-0000-0000A7350000}"/>
    <cellStyle name="Header2 11 3 9 2 5" xfId="13734" xr:uid="{00000000-0005-0000-0000-0000A8350000}"/>
    <cellStyle name="Header2 11 3 9 2 6" xfId="13735" xr:uid="{00000000-0005-0000-0000-0000A9350000}"/>
    <cellStyle name="Header2 11 3 9 3" xfId="13736" xr:uid="{00000000-0005-0000-0000-0000AA350000}"/>
    <cellStyle name="Header2 11 3 9 3 2" xfId="13737" xr:uid="{00000000-0005-0000-0000-0000AB350000}"/>
    <cellStyle name="Header2 11 3 9 3 2 2" xfId="13738" xr:uid="{00000000-0005-0000-0000-0000AC350000}"/>
    <cellStyle name="Header2 11 3 9 3 2 3" xfId="13739" xr:uid="{00000000-0005-0000-0000-0000AD350000}"/>
    <cellStyle name="Header2 11 3 9 3 2 4" xfId="13740" xr:uid="{00000000-0005-0000-0000-0000AE350000}"/>
    <cellStyle name="Header2 11 3 9 3 3" xfId="13741" xr:uid="{00000000-0005-0000-0000-0000AF350000}"/>
    <cellStyle name="Header2 11 3 9 3 3 2" xfId="13742" xr:uid="{00000000-0005-0000-0000-0000B0350000}"/>
    <cellStyle name="Header2 11 3 9 3 3 3" xfId="13743" xr:uid="{00000000-0005-0000-0000-0000B1350000}"/>
    <cellStyle name="Header2 11 3 9 3 3 4" xfId="13744" xr:uid="{00000000-0005-0000-0000-0000B2350000}"/>
    <cellStyle name="Header2 11 3 9 3 4" xfId="13745" xr:uid="{00000000-0005-0000-0000-0000B3350000}"/>
    <cellStyle name="Header2 11 3 9 3 5" xfId="13746" xr:uid="{00000000-0005-0000-0000-0000B4350000}"/>
    <cellStyle name="Header2 11 3 9 3 6" xfId="13747" xr:uid="{00000000-0005-0000-0000-0000B5350000}"/>
    <cellStyle name="Header2 11 3 9 4" xfId="13748" xr:uid="{00000000-0005-0000-0000-0000B6350000}"/>
    <cellStyle name="Header2 11 3 9 5" xfId="13749" xr:uid="{00000000-0005-0000-0000-0000B7350000}"/>
    <cellStyle name="Header2 12" xfId="13750" xr:uid="{00000000-0005-0000-0000-0000B8350000}"/>
    <cellStyle name="Header2 12 2" xfId="13751" xr:uid="{00000000-0005-0000-0000-0000B9350000}"/>
    <cellStyle name="Header2 12 2 10" xfId="13752" xr:uid="{00000000-0005-0000-0000-0000BA350000}"/>
    <cellStyle name="Header2 12 2 10 2" xfId="13753" xr:uid="{00000000-0005-0000-0000-0000BB350000}"/>
    <cellStyle name="Header2 12 2 10 2 2" xfId="13754" xr:uid="{00000000-0005-0000-0000-0000BC350000}"/>
    <cellStyle name="Header2 12 2 10 2 2 2" xfId="13755" xr:uid="{00000000-0005-0000-0000-0000BD350000}"/>
    <cellStyle name="Header2 12 2 10 2 2 3" xfId="13756" xr:uid="{00000000-0005-0000-0000-0000BE350000}"/>
    <cellStyle name="Header2 12 2 10 2 2 4" xfId="13757" xr:uid="{00000000-0005-0000-0000-0000BF350000}"/>
    <cellStyle name="Header2 12 2 10 2 2 5" xfId="13758" xr:uid="{00000000-0005-0000-0000-0000C0350000}"/>
    <cellStyle name="Header2 12 2 10 2 3" xfId="13759" xr:uid="{00000000-0005-0000-0000-0000C1350000}"/>
    <cellStyle name="Header2 12 2 10 2 3 2" xfId="13760" xr:uid="{00000000-0005-0000-0000-0000C2350000}"/>
    <cellStyle name="Header2 12 2 10 2 3 3" xfId="13761" xr:uid="{00000000-0005-0000-0000-0000C3350000}"/>
    <cellStyle name="Header2 12 2 10 2 3 4" xfId="13762" xr:uid="{00000000-0005-0000-0000-0000C4350000}"/>
    <cellStyle name="Header2 12 2 10 2 4" xfId="13763" xr:uid="{00000000-0005-0000-0000-0000C5350000}"/>
    <cellStyle name="Header2 12 2 10 2 5" xfId="13764" xr:uid="{00000000-0005-0000-0000-0000C6350000}"/>
    <cellStyle name="Header2 12 2 10 2 6" xfId="13765" xr:uid="{00000000-0005-0000-0000-0000C7350000}"/>
    <cellStyle name="Header2 12 2 10 3" xfId="13766" xr:uid="{00000000-0005-0000-0000-0000C8350000}"/>
    <cellStyle name="Header2 12 2 10 3 2" xfId="13767" xr:uid="{00000000-0005-0000-0000-0000C9350000}"/>
    <cellStyle name="Header2 12 2 10 3 2 2" xfId="13768" xr:uid="{00000000-0005-0000-0000-0000CA350000}"/>
    <cellStyle name="Header2 12 2 10 3 2 3" xfId="13769" xr:uid="{00000000-0005-0000-0000-0000CB350000}"/>
    <cellStyle name="Header2 12 2 10 3 2 4" xfId="13770" xr:uid="{00000000-0005-0000-0000-0000CC350000}"/>
    <cellStyle name="Header2 12 2 10 3 3" xfId="13771" xr:uid="{00000000-0005-0000-0000-0000CD350000}"/>
    <cellStyle name="Header2 12 2 10 3 3 2" xfId="13772" xr:uid="{00000000-0005-0000-0000-0000CE350000}"/>
    <cellStyle name="Header2 12 2 10 3 3 3" xfId="13773" xr:uid="{00000000-0005-0000-0000-0000CF350000}"/>
    <cellStyle name="Header2 12 2 10 3 3 4" xfId="13774" xr:uid="{00000000-0005-0000-0000-0000D0350000}"/>
    <cellStyle name="Header2 12 2 10 3 4" xfId="13775" xr:uid="{00000000-0005-0000-0000-0000D1350000}"/>
    <cellStyle name="Header2 12 2 10 3 5" xfId="13776" xr:uid="{00000000-0005-0000-0000-0000D2350000}"/>
    <cellStyle name="Header2 12 2 10 3 6" xfId="13777" xr:uid="{00000000-0005-0000-0000-0000D3350000}"/>
    <cellStyle name="Header2 12 2 10 4" xfId="13778" xr:uid="{00000000-0005-0000-0000-0000D4350000}"/>
    <cellStyle name="Header2 12 2 10 5" xfId="13779" xr:uid="{00000000-0005-0000-0000-0000D5350000}"/>
    <cellStyle name="Header2 12 2 11" xfId="13780" xr:uid="{00000000-0005-0000-0000-0000D6350000}"/>
    <cellStyle name="Header2 12 2 11 2" xfId="13781" xr:uid="{00000000-0005-0000-0000-0000D7350000}"/>
    <cellStyle name="Header2 12 2 11 2 2" xfId="13782" xr:uid="{00000000-0005-0000-0000-0000D8350000}"/>
    <cellStyle name="Header2 12 2 11 2 2 2" xfId="13783" xr:uid="{00000000-0005-0000-0000-0000D9350000}"/>
    <cellStyle name="Header2 12 2 11 2 2 3" xfId="13784" xr:uid="{00000000-0005-0000-0000-0000DA350000}"/>
    <cellStyle name="Header2 12 2 11 2 2 4" xfId="13785" xr:uid="{00000000-0005-0000-0000-0000DB350000}"/>
    <cellStyle name="Header2 12 2 11 2 2 5" xfId="13786" xr:uid="{00000000-0005-0000-0000-0000DC350000}"/>
    <cellStyle name="Header2 12 2 11 2 3" xfId="13787" xr:uid="{00000000-0005-0000-0000-0000DD350000}"/>
    <cellStyle name="Header2 12 2 11 2 3 2" xfId="13788" xr:uid="{00000000-0005-0000-0000-0000DE350000}"/>
    <cellStyle name="Header2 12 2 11 2 3 3" xfId="13789" xr:uid="{00000000-0005-0000-0000-0000DF350000}"/>
    <cellStyle name="Header2 12 2 11 2 3 4" xfId="13790" xr:uid="{00000000-0005-0000-0000-0000E0350000}"/>
    <cellStyle name="Header2 12 2 11 2 4" xfId="13791" xr:uid="{00000000-0005-0000-0000-0000E1350000}"/>
    <cellStyle name="Header2 12 2 11 2 5" xfId="13792" xr:uid="{00000000-0005-0000-0000-0000E2350000}"/>
    <cellStyle name="Header2 12 2 11 2 6" xfId="13793" xr:uid="{00000000-0005-0000-0000-0000E3350000}"/>
    <cellStyle name="Header2 12 2 11 3" xfId="13794" xr:uid="{00000000-0005-0000-0000-0000E4350000}"/>
    <cellStyle name="Header2 12 2 11 3 2" xfId="13795" xr:uid="{00000000-0005-0000-0000-0000E5350000}"/>
    <cellStyle name="Header2 12 2 11 3 2 2" xfId="13796" xr:uid="{00000000-0005-0000-0000-0000E6350000}"/>
    <cellStyle name="Header2 12 2 11 3 2 3" xfId="13797" xr:uid="{00000000-0005-0000-0000-0000E7350000}"/>
    <cellStyle name="Header2 12 2 11 3 2 4" xfId="13798" xr:uid="{00000000-0005-0000-0000-0000E8350000}"/>
    <cellStyle name="Header2 12 2 11 3 3" xfId="13799" xr:uid="{00000000-0005-0000-0000-0000E9350000}"/>
    <cellStyle name="Header2 12 2 11 3 3 2" xfId="13800" xr:uid="{00000000-0005-0000-0000-0000EA350000}"/>
    <cellStyle name="Header2 12 2 11 3 3 3" xfId="13801" xr:uid="{00000000-0005-0000-0000-0000EB350000}"/>
    <cellStyle name="Header2 12 2 11 3 3 4" xfId="13802" xr:uid="{00000000-0005-0000-0000-0000EC350000}"/>
    <cellStyle name="Header2 12 2 11 3 4" xfId="13803" xr:uid="{00000000-0005-0000-0000-0000ED350000}"/>
    <cellStyle name="Header2 12 2 11 3 5" xfId="13804" xr:uid="{00000000-0005-0000-0000-0000EE350000}"/>
    <cellStyle name="Header2 12 2 11 3 6" xfId="13805" xr:uid="{00000000-0005-0000-0000-0000EF350000}"/>
    <cellStyle name="Header2 12 2 11 4" xfId="13806" xr:uid="{00000000-0005-0000-0000-0000F0350000}"/>
    <cellStyle name="Header2 12 2 11 5" xfId="13807" xr:uid="{00000000-0005-0000-0000-0000F1350000}"/>
    <cellStyle name="Header2 12 2 12" xfId="13808" xr:uid="{00000000-0005-0000-0000-0000F2350000}"/>
    <cellStyle name="Header2 12 2 12 2" xfId="13809" xr:uid="{00000000-0005-0000-0000-0000F3350000}"/>
    <cellStyle name="Header2 12 2 12 2 2" xfId="13810" xr:uid="{00000000-0005-0000-0000-0000F4350000}"/>
    <cellStyle name="Header2 12 2 12 2 2 2" xfId="13811" xr:uid="{00000000-0005-0000-0000-0000F5350000}"/>
    <cellStyle name="Header2 12 2 12 2 2 3" xfId="13812" xr:uid="{00000000-0005-0000-0000-0000F6350000}"/>
    <cellStyle name="Header2 12 2 12 2 2 4" xfId="13813" xr:uid="{00000000-0005-0000-0000-0000F7350000}"/>
    <cellStyle name="Header2 12 2 12 2 2 5" xfId="13814" xr:uid="{00000000-0005-0000-0000-0000F8350000}"/>
    <cellStyle name="Header2 12 2 12 2 3" xfId="13815" xr:uid="{00000000-0005-0000-0000-0000F9350000}"/>
    <cellStyle name="Header2 12 2 12 2 3 2" xfId="13816" xr:uid="{00000000-0005-0000-0000-0000FA350000}"/>
    <cellStyle name="Header2 12 2 12 2 3 3" xfId="13817" xr:uid="{00000000-0005-0000-0000-0000FB350000}"/>
    <cellStyle name="Header2 12 2 12 2 3 4" xfId="13818" xr:uid="{00000000-0005-0000-0000-0000FC350000}"/>
    <cellStyle name="Header2 12 2 12 2 4" xfId="13819" xr:uid="{00000000-0005-0000-0000-0000FD350000}"/>
    <cellStyle name="Header2 12 2 12 2 5" xfId="13820" xr:uid="{00000000-0005-0000-0000-0000FE350000}"/>
    <cellStyle name="Header2 12 2 12 2 6" xfId="13821" xr:uid="{00000000-0005-0000-0000-0000FF350000}"/>
    <cellStyle name="Header2 12 2 12 3" xfId="13822" xr:uid="{00000000-0005-0000-0000-000000360000}"/>
    <cellStyle name="Header2 12 2 12 3 2" xfId="13823" xr:uid="{00000000-0005-0000-0000-000001360000}"/>
    <cellStyle name="Header2 12 2 12 3 2 2" xfId="13824" xr:uid="{00000000-0005-0000-0000-000002360000}"/>
    <cellStyle name="Header2 12 2 12 3 2 3" xfId="13825" xr:uid="{00000000-0005-0000-0000-000003360000}"/>
    <cellStyle name="Header2 12 2 12 3 2 4" xfId="13826" xr:uid="{00000000-0005-0000-0000-000004360000}"/>
    <cellStyle name="Header2 12 2 12 3 3" xfId="13827" xr:uid="{00000000-0005-0000-0000-000005360000}"/>
    <cellStyle name="Header2 12 2 12 3 3 2" xfId="13828" xr:uid="{00000000-0005-0000-0000-000006360000}"/>
    <cellStyle name="Header2 12 2 12 3 3 3" xfId="13829" xr:uid="{00000000-0005-0000-0000-000007360000}"/>
    <cellStyle name="Header2 12 2 12 3 3 4" xfId="13830" xr:uid="{00000000-0005-0000-0000-000008360000}"/>
    <cellStyle name="Header2 12 2 12 3 4" xfId="13831" xr:uid="{00000000-0005-0000-0000-000009360000}"/>
    <cellStyle name="Header2 12 2 12 3 5" xfId="13832" xr:uid="{00000000-0005-0000-0000-00000A360000}"/>
    <cellStyle name="Header2 12 2 12 3 6" xfId="13833" xr:uid="{00000000-0005-0000-0000-00000B360000}"/>
    <cellStyle name="Header2 12 2 12 4" xfId="13834" xr:uid="{00000000-0005-0000-0000-00000C360000}"/>
    <cellStyle name="Header2 12 2 12 5" xfId="13835" xr:uid="{00000000-0005-0000-0000-00000D360000}"/>
    <cellStyle name="Header2 12 2 13" xfId="13836" xr:uid="{00000000-0005-0000-0000-00000E360000}"/>
    <cellStyle name="Header2 12 2 13 2" xfId="13837" xr:uid="{00000000-0005-0000-0000-00000F360000}"/>
    <cellStyle name="Header2 12 2 13 2 2" xfId="13838" xr:uid="{00000000-0005-0000-0000-000010360000}"/>
    <cellStyle name="Header2 12 2 13 2 2 2" xfId="13839" xr:uid="{00000000-0005-0000-0000-000011360000}"/>
    <cellStyle name="Header2 12 2 13 2 2 3" xfId="13840" xr:uid="{00000000-0005-0000-0000-000012360000}"/>
    <cellStyle name="Header2 12 2 13 2 2 4" xfId="13841" xr:uid="{00000000-0005-0000-0000-000013360000}"/>
    <cellStyle name="Header2 12 2 13 2 2 5" xfId="13842" xr:uid="{00000000-0005-0000-0000-000014360000}"/>
    <cellStyle name="Header2 12 2 13 2 3" xfId="13843" xr:uid="{00000000-0005-0000-0000-000015360000}"/>
    <cellStyle name="Header2 12 2 13 2 3 2" xfId="13844" xr:uid="{00000000-0005-0000-0000-000016360000}"/>
    <cellStyle name="Header2 12 2 13 2 3 3" xfId="13845" xr:uid="{00000000-0005-0000-0000-000017360000}"/>
    <cellStyle name="Header2 12 2 13 2 3 4" xfId="13846" xr:uid="{00000000-0005-0000-0000-000018360000}"/>
    <cellStyle name="Header2 12 2 13 2 4" xfId="13847" xr:uid="{00000000-0005-0000-0000-000019360000}"/>
    <cellStyle name="Header2 12 2 13 2 5" xfId="13848" xr:uid="{00000000-0005-0000-0000-00001A360000}"/>
    <cellStyle name="Header2 12 2 13 2 6" xfId="13849" xr:uid="{00000000-0005-0000-0000-00001B360000}"/>
    <cellStyle name="Header2 12 2 13 3" xfId="13850" xr:uid="{00000000-0005-0000-0000-00001C360000}"/>
    <cellStyle name="Header2 12 2 13 3 2" xfId="13851" xr:uid="{00000000-0005-0000-0000-00001D360000}"/>
    <cellStyle name="Header2 12 2 13 3 2 2" xfId="13852" xr:uid="{00000000-0005-0000-0000-00001E360000}"/>
    <cellStyle name="Header2 12 2 13 3 2 3" xfId="13853" xr:uid="{00000000-0005-0000-0000-00001F360000}"/>
    <cellStyle name="Header2 12 2 13 3 2 4" xfId="13854" xr:uid="{00000000-0005-0000-0000-000020360000}"/>
    <cellStyle name="Header2 12 2 13 3 3" xfId="13855" xr:uid="{00000000-0005-0000-0000-000021360000}"/>
    <cellStyle name="Header2 12 2 13 3 3 2" xfId="13856" xr:uid="{00000000-0005-0000-0000-000022360000}"/>
    <cellStyle name="Header2 12 2 13 3 3 3" xfId="13857" xr:uid="{00000000-0005-0000-0000-000023360000}"/>
    <cellStyle name="Header2 12 2 13 3 3 4" xfId="13858" xr:uid="{00000000-0005-0000-0000-000024360000}"/>
    <cellStyle name="Header2 12 2 13 3 4" xfId="13859" xr:uid="{00000000-0005-0000-0000-000025360000}"/>
    <cellStyle name="Header2 12 2 13 3 5" xfId="13860" xr:uid="{00000000-0005-0000-0000-000026360000}"/>
    <cellStyle name="Header2 12 2 13 3 6" xfId="13861" xr:uid="{00000000-0005-0000-0000-000027360000}"/>
    <cellStyle name="Header2 12 2 13 4" xfId="13862" xr:uid="{00000000-0005-0000-0000-000028360000}"/>
    <cellStyle name="Header2 12 2 13 5" xfId="13863" xr:uid="{00000000-0005-0000-0000-000029360000}"/>
    <cellStyle name="Header2 12 2 14" xfId="58720" xr:uid="{00000000-0005-0000-0000-00002A360000}"/>
    <cellStyle name="Header2 12 2 2" xfId="13864" xr:uid="{00000000-0005-0000-0000-00002B360000}"/>
    <cellStyle name="Header2 12 2 2 2" xfId="13865" xr:uid="{00000000-0005-0000-0000-00002C360000}"/>
    <cellStyle name="Header2 12 2 2 2 2" xfId="13866" xr:uid="{00000000-0005-0000-0000-00002D360000}"/>
    <cellStyle name="Header2 12 2 2 2 2 2" xfId="13867" xr:uid="{00000000-0005-0000-0000-00002E360000}"/>
    <cellStyle name="Header2 12 2 2 2 2 2 2" xfId="13868" xr:uid="{00000000-0005-0000-0000-00002F360000}"/>
    <cellStyle name="Header2 12 2 2 2 2 2 3" xfId="13869" xr:uid="{00000000-0005-0000-0000-000030360000}"/>
    <cellStyle name="Header2 12 2 2 2 2 2 4" xfId="13870" xr:uid="{00000000-0005-0000-0000-000031360000}"/>
    <cellStyle name="Header2 12 2 2 2 2 2 5" xfId="13871" xr:uid="{00000000-0005-0000-0000-000032360000}"/>
    <cellStyle name="Header2 12 2 2 2 2 3" xfId="13872" xr:uid="{00000000-0005-0000-0000-000033360000}"/>
    <cellStyle name="Header2 12 2 2 2 2 3 2" xfId="13873" xr:uid="{00000000-0005-0000-0000-000034360000}"/>
    <cellStyle name="Header2 12 2 2 2 2 3 3" xfId="13874" xr:uid="{00000000-0005-0000-0000-000035360000}"/>
    <cellStyle name="Header2 12 2 2 2 2 3 4" xfId="13875" xr:uid="{00000000-0005-0000-0000-000036360000}"/>
    <cellStyle name="Header2 12 2 2 2 2 4" xfId="13876" xr:uid="{00000000-0005-0000-0000-000037360000}"/>
    <cellStyle name="Header2 12 2 2 2 2 5" xfId="13877" xr:uid="{00000000-0005-0000-0000-000038360000}"/>
    <cellStyle name="Header2 12 2 2 2 2 6" xfId="13878" xr:uid="{00000000-0005-0000-0000-000039360000}"/>
    <cellStyle name="Header2 12 2 2 2 3" xfId="13879" xr:uid="{00000000-0005-0000-0000-00003A360000}"/>
    <cellStyle name="Header2 12 2 2 2 3 2" xfId="13880" xr:uid="{00000000-0005-0000-0000-00003B360000}"/>
    <cellStyle name="Header2 12 2 2 2 3 2 2" xfId="13881" xr:uid="{00000000-0005-0000-0000-00003C360000}"/>
    <cellStyle name="Header2 12 2 2 2 3 2 3" xfId="13882" xr:uid="{00000000-0005-0000-0000-00003D360000}"/>
    <cellStyle name="Header2 12 2 2 2 3 2 4" xfId="13883" xr:uid="{00000000-0005-0000-0000-00003E360000}"/>
    <cellStyle name="Header2 12 2 2 2 3 3" xfId="13884" xr:uid="{00000000-0005-0000-0000-00003F360000}"/>
    <cellStyle name="Header2 12 2 2 2 3 3 2" xfId="13885" xr:uid="{00000000-0005-0000-0000-000040360000}"/>
    <cellStyle name="Header2 12 2 2 2 3 3 3" xfId="13886" xr:uid="{00000000-0005-0000-0000-000041360000}"/>
    <cellStyle name="Header2 12 2 2 2 3 3 4" xfId="13887" xr:uid="{00000000-0005-0000-0000-000042360000}"/>
    <cellStyle name="Header2 12 2 2 2 3 4" xfId="13888" xr:uid="{00000000-0005-0000-0000-000043360000}"/>
    <cellStyle name="Header2 12 2 2 2 3 5" xfId="13889" xr:uid="{00000000-0005-0000-0000-000044360000}"/>
    <cellStyle name="Header2 12 2 2 2 3 6" xfId="13890" xr:uid="{00000000-0005-0000-0000-000045360000}"/>
    <cellStyle name="Header2 12 2 2 2 4" xfId="13891" xr:uid="{00000000-0005-0000-0000-000046360000}"/>
    <cellStyle name="Header2 12 2 2 2 5" xfId="13892" xr:uid="{00000000-0005-0000-0000-000047360000}"/>
    <cellStyle name="Header2 12 2 2 3" xfId="13893" xr:uid="{00000000-0005-0000-0000-000048360000}"/>
    <cellStyle name="Header2 12 2 2 3 2" xfId="13894" xr:uid="{00000000-0005-0000-0000-000049360000}"/>
    <cellStyle name="Header2 12 2 2 3 2 2" xfId="13895" xr:uid="{00000000-0005-0000-0000-00004A360000}"/>
    <cellStyle name="Header2 12 2 2 3 2 2 2" xfId="13896" xr:uid="{00000000-0005-0000-0000-00004B360000}"/>
    <cellStyle name="Header2 12 2 2 3 2 2 3" xfId="13897" xr:uid="{00000000-0005-0000-0000-00004C360000}"/>
    <cellStyle name="Header2 12 2 2 3 2 2 4" xfId="13898" xr:uid="{00000000-0005-0000-0000-00004D360000}"/>
    <cellStyle name="Header2 12 2 2 3 2 2 5" xfId="13899" xr:uid="{00000000-0005-0000-0000-00004E360000}"/>
    <cellStyle name="Header2 12 2 2 3 2 3" xfId="13900" xr:uid="{00000000-0005-0000-0000-00004F360000}"/>
    <cellStyle name="Header2 12 2 2 3 2 3 2" xfId="13901" xr:uid="{00000000-0005-0000-0000-000050360000}"/>
    <cellStyle name="Header2 12 2 2 3 2 3 3" xfId="13902" xr:uid="{00000000-0005-0000-0000-000051360000}"/>
    <cellStyle name="Header2 12 2 2 3 2 3 4" xfId="13903" xr:uid="{00000000-0005-0000-0000-000052360000}"/>
    <cellStyle name="Header2 12 2 2 3 2 4" xfId="13904" xr:uid="{00000000-0005-0000-0000-000053360000}"/>
    <cellStyle name="Header2 12 2 2 3 2 5" xfId="13905" xr:uid="{00000000-0005-0000-0000-000054360000}"/>
    <cellStyle name="Header2 12 2 2 3 2 6" xfId="13906" xr:uid="{00000000-0005-0000-0000-000055360000}"/>
    <cellStyle name="Header2 12 2 2 3 3" xfId="13907" xr:uid="{00000000-0005-0000-0000-000056360000}"/>
    <cellStyle name="Header2 12 2 2 3 3 2" xfId="13908" xr:uid="{00000000-0005-0000-0000-000057360000}"/>
    <cellStyle name="Header2 12 2 2 3 3 2 2" xfId="13909" xr:uid="{00000000-0005-0000-0000-000058360000}"/>
    <cellStyle name="Header2 12 2 2 3 3 2 3" xfId="13910" xr:uid="{00000000-0005-0000-0000-000059360000}"/>
    <cellStyle name="Header2 12 2 2 3 3 2 4" xfId="13911" xr:uid="{00000000-0005-0000-0000-00005A360000}"/>
    <cellStyle name="Header2 12 2 2 3 3 3" xfId="13912" xr:uid="{00000000-0005-0000-0000-00005B360000}"/>
    <cellStyle name="Header2 12 2 2 3 3 3 2" xfId="13913" xr:uid="{00000000-0005-0000-0000-00005C360000}"/>
    <cellStyle name="Header2 12 2 2 3 3 3 3" xfId="13914" xr:uid="{00000000-0005-0000-0000-00005D360000}"/>
    <cellStyle name="Header2 12 2 2 3 3 3 4" xfId="13915" xr:uid="{00000000-0005-0000-0000-00005E360000}"/>
    <cellStyle name="Header2 12 2 2 3 3 4" xfId="13916" xr:uid="{00000000-0005-0000-0000-00005F360000}"/>
    <cellStyle name="Header2 12 2 2 3 3 5" xfId="13917" xr:uid="{00000000-0005-0000-0000-000060360000}"/>
    <cellStyle name="Header2 12 2 2 3 3 6" xfId="13918" xr:uid="{00000000-0005-0000-0000-000061360000}"/>
    <cellStyle name="Header2 12 2 2 3 4" xfId="13919" xr:uid="{00000000-0005-0000-0000-000062360000}"/>
    <cellStyle name="Header2 12 2 2 3 5" xfId="13920" xr:uid="{00000000-0005-0000-0000-000063360000}"/>
    <cellStyle name="Header2 12 2 3" xfId="13921" xr:uid="{00000000-0005-0000-0000-000064360000}"/>
    <cellStyle name="Header2 12 2 3 2" xfId="13922" xr:uid="{00000000-0005-0000-0000-000065360000}"/>
    <cellStyle name="Header2 12 2 3 2 2" xfId="13923" xr:uid="{00000000-0005-0000-0000-000066360000}"/>
    <cellStyle name="Header2 12 2 3 2 3" xfId="13924" xr:uid="{00000000-0005-0000-0000-000067360000}"/>
    <cellStyle name="Header2 12 2 3 3" xfId="13925" xr:uid="{00000000-0005-0000-0000-000068360000}"/>
    <cellStyle name="Header2 12 2 4" xfId="13926" xr:uid="{00000000-0005-0000-0000-000069360000}"/>
    <cellStyle name="Header2 12 2 4 2" xfId="13927" xr:uid="{00000000-0005-0000-0000-00006A360000}"/>
    <cellStyle name="Header2 12 2 4 2 2" xfId="13928" xr:uid="{00000000-0005-0000-0000-00006B360000}"/>
    <cellStyle name="Header2 12 2 4 2 3" xfId="13929" xr:uid="{00000000-0005-0000-0000-00006C360000}"/>
    <cellStyle name="Header2 12 2 4 3" xfId="13930" xr:uid="{00000000-0005-0000-0000-00006D360000}"/>
    <cellStyle name="Header2 12 2 5" xfId="13931" xr:uid="{00000000-0005-0000-0000-00006E360000}"/>
    <cellStyle name="Header2 12 2 5 2" xfId="13932" xr:uid="{00000000-0005-0000-0000-00006F360000}"/>
    <cellStyle name="Header2 12 2 5 2 2" xfId="13933" xr:uid="{00000000-0005-0000-0000-000070360000}"/>
    <cellStyle name="Header2 12 2 5 2 3" xfId="13934" xr:uid="{00000000-0005-0000-0000-000071360000}"/>
    <cellStyle name="Header2 12 2 5 3" xfId="13935" xr:uid="{00000000-0005-0000-0000-000072360000}"/>
    <cellStyle name="Header2 12 2 6" xfId="13936" xr:uid="{00000000-0005-0000-0000-000073360000}"/>
    <cellStyle name="Header2 12 2 6 2" xfId="13937" xr:uid="{00000000-0005-0000-0000-000074360000}"/>
    <cellStyle name="Header2 12 2 6 2 2" xfId="13938" xr:uid="{00000000-0005-0000-0000-000075360000}"/>
    <cellStyle name="Header2 12 2 6 2 2 2" xfId="13939" xr:uid="{00000000-0005-0000-0000-000076360000}"/>
    <cellStyle name="Header2 12 2 6 2 2 3" xfId="13940" xr:uid="{00000000-0005-0000-0000-000077360000}"/>
    <cellStyle name="Header2 12 2 6 2 2 4" xfId="13941" xr:uid="{00000000-0005-0000-0000-000078360000}"/>
    <cellStyle name="Header2 12 2 6 2 2 5" xfId="13942" xr:uid="{00000000-0005-0000-0000-000079360000}"/>
    <cellStyle name="Header2 12 2 6 2 3" xfId="13943" xr:uid="{00000000-0005-0000-0000-00007A360000}"/>
    <cellStyle name="Header2 12 2 6 2 3 2" xfId="13944" xr:uid="{00000000-0005-0000-0000-00007B360000}"/>
    <cellStyle name="Header2 12 2 6 2 3 3" xfId="13945" xr:uid="{00000000-0005-0000-0000-00007C360000}"/>
    <cellStyle name="Header2 12 2 6 2 3 4" xfId="13946" xr:uid="{00000000-0005-0000-0000-00007D360000}"/>
    <cellStyle name="Header2 12 2 6 2 4" xfId="13947" xr:uid="{00000000-0005-0000-0000-00007E360000}"/>
    <cellStyle name="Header2 12 2 6 2 5" xfId="13948" xr:uid="{00000000-0005-0000-0000-00007F360000}"/>
    <cellStyle name="Header2 12 2 6 2 6" xfId="13949" xr:uid="{00000000-0005-0000-0000-000080360000}"/>
    <cellStyle name="Header2 12 2 6 3" xfId="13950" xr:uid="{00000000-0005-0000-0000-000081360000}"/>
    <cellStyle name="Header2 12 2 6 3 2" xfId="13951" xr:uid="{00000000-0005-0000-0000-000082360000}"/>
    <cellStyle name="Header2 12 2 6 3 2 2" xfId="13952" xr:uid="{00000000-0005-0000-0000-000083360000}"/>
    <cellStyle name="Header2 12 2 6 3 2 3" xfId="13953" xr:uid="{00000000-0005-0000-0000-000084360000}"/>
    <cellStyle name="Header2 12 2 6 3 2 4" xfId="13954" xr:uid="{00000000-0005-0000-0000-000085360000}"/>
    <cellStyle name="Header2 12 2 6 3 3" xfId="13955" xr:uid="{00000000-0005-0000-0000-000086360000}"/>
    <cellStyle name="Header2 12 2 6 3 3 2" xfId="13956" xr:uid="{00000000-0005-0000-0000-000087360000}"/>
    <cellStyle name="Header2 12 2 6 3 3 3" xfId="13957" xr:uid="{00000000-0005-0000-0000-000088360000}"/>
    <cellStyle name="Header2 12 2 6 3 3 4" xfId="13958" xr:uid="{00000000-0005-0000-0000-000089360000}"/>
    <cellStyle name="Header2 12 2 6 3 4" xfId="13959" xr:uid="{00000000-0005-0000-0000-00008A360000}"/>
    <cellStyle name="Header2 12 2 6 3 5" xfId="13960" xr:uid="{00000000-0005-0000-0000-00008B360000}"/>
    <cellStyle name="Header2 12 2 6 3 6" xfId="13961" xr:uid="{00000000-0005-0000-0000-00008C360000}"/>
    <cellStyle name="Header2 12 2 6 4" xfId="13962" xr:uid="{00000000-0005-0000-0000-00008D360000}"/>
    <cellStyle name="Header2 12 2 6 5" xfId="13963" xr:uid="{00000000-0005-0000-0000-00008E360000}"/>
    <cellStyle name="Header2 12 2 7" xfId="13964" xr:uid="{00000000-0005-0000-0000-00008F360000}"/>
    <cellStyle name="Header2 12 2 7 2" xfId="13965" xr:uid="{00000000-0005-0000-0000-000090360000}"/>
    <cellStyle name="Header2 12 2 7 2 2" xfId="13966" xr:uid="{00000000-0005-0000-0000-000091360000}"/>
    <cellStyle name="Header2 12 2 7 2 2 2" xfId="13967" xr:uid="{00000000-0005-0000-0000-000092360000}"/>
    <cellStyle name="Header2 12 2 7 2 2 3" xfId="13968" xr:uid="{00000000-0005-0000-0000-000093360000}"/>
    <cellStyle name="Header2 12 2 7 2 2 4" xfId="13969" xr:uid="{00000000-0005-0000-0000-000094360000}"/>
    <cellStyle name="Header2 12 2 7 2 2 5" xfId="13970" xr:uid="{00000000-0005-0000-0000-000095360000}"/>
    <cellStyle name="Header2 12 2 7 2 3" xfId="13971" xr:uid="{00000000-0005-0000-0000-000096360000}"/>
    <cellStyle name="Header2 12 2 7 2 3 2" xfId="13972" xr:uid="{00000000-0005-0000-0000-000097360000}"/>
    <cellStyle name="Header2 12 2 7 2 3 3" xfId="13973" xr:uid="{00000000-0005-0000-0000-000098360000}"/>
    <cellStyle name="Header2 12 2 7 2 3 4" xfId="13974" xr:uid="{00000000-0005-0000-0000-000099360000}"/>
    <cellStyle name="Header2 12 2 7 2 4" xfId="13975" xr:uid="{00000000-0005-0000-0000-00009A360000}"/>
    <cellStyle name="Header2 12 2 7 2 5" xfId="13976" xr:uid="{00000000-0005-0000-0000-00009B360000}"/>
    <cellStyle name="Header2 12 2 7 2 6" xfId="13977" xr:uid="{00000000-0005-0000-0000-00009C360000}"/>
    <cellStyle name="Header2 12 2 7 3" xfId="13978" xr:uid="{00000000-0005-0000-0000-00009D360000}"/>
    <cellStyle name="Header2 12 2 7 3 2" xfId="13979" xr:uid="{00000000-0005-0000-0000-00009E360000}"/>
    <cellStyle name="Header2 12 2 7 3 2 2" xfId="13980" xr:uid="{00000000-0005-0000-0000-00009F360000}"/>
    <cellStyle name="Header2 12 2 7 3 2 3" xfId="13981" xr:uid="{00000000-0005-0000-0000-0000A0360000}"/>
    <cellStyle name="Header2 12 2 7 3 2 4" xfId="13982" xr:uid="{00000000-0005-0000-0000-0000A1360000}"/>
    <cellStyle name="Header2 12 2 7 3 3" xfId="13983" xr:uid="{00000000-0005-0000-0000-0000A2360000}"/>
    <cellStyle name="Header2 12 2 7 3 3 2" xfId="13984" xr:uid="{00000000-0005-0000-0000-0000A3360000}"/>
    <cellStyle name="Header2 12 2 7 3 3 3" xfId="13985" xr:uid="{00000000-0005-0000-0000-0000A4360000}"/>
    <cellStyle name="Header2 12 2 7 3 3 4" xfId="13986" xr:uid="{00000000-0005-0000-0000-0000A5360000}"/>
    <cellStyle name="Header2 12 2 7 3 4" xfId="13987" xr:uid="{00000000-0005-0000-0000-0000A6360000}"/>
    <cellStyle name="Header2 12 2 7 3 5" xfId="13988" xr:uid="{00000000-0005-0000-0000-0000A7360000}"/>
    <cellStyle name="Header2 12 2 7 3 6" xfId="13989" xr:uid="{00000000-0005-0000-0000-0000A8360000}"/>
    <cellStyle name="Header2 12 2 7 4" xfId="13990" xr:uid="{00000000-0005-0000-0000-0000A9360000}"/>
    <cellStyle name="Header2 12 2 7 5" xfId="13991" xr:uid="{00000000-0005-0000-0000-0000AA360000}"/>
    <cellStyle name="Header2 12 2 8" xfId="13992" xr:uid="{00000000-0005-0000-0000-0000AB360000}"/>
    <cellStyle name="Header2 12 2 8 2" xfId="13993" xr:uid="{00000000-0005-0000-0000-0000AC360000}"/>
    <cellStyle name="Header2 12 2 8 2 2" xfId="13994" xr:uid="{00000000-0005-0000-0000-0000AD360000}"/>
    <cellStyle name="Header2 12 2 8 2 2 2" xfId="13995" xr:uid="{00000000-0005-0000-0000-0000AE360000}"/>
    <cellStyle name="Header2 12 2 8 2 2 3" xfId="13996" xr:uid="{00000000-0005-0000-0000-0000AF360000}"/>
    <cellStyle name="Header2 12 2 8 2 2 4" xfId="13997" xr:uid="{00000000-0005-0000-0000-0000B0360000}"/>
    <cellStyle name="Header2 12 2 8 2 2 5" xfId="13998" xr:uid="{00000000-0005-0000-0000-0000B1360000}"/>
    <cellStyle name="Header2 12 2 8 2 3" xfId="13999" xr:uid="{00000000-0005-0000-0000-0000B2360000}"/>
    <cellStyle name="Header2 12 2 8 2 3 2" xfId="14000" xr:uid="{00000000-0005-0000-0000-0000B3360000}"/>
    <cellStyle name="Header2 12 2 8 2 3 3" xfId="14001" xr:uid="{00000000-0005-0000-0000-0000B4360000}"/>
    <cellStyle name="Header2 12 2 8 2 3 4" xfId="14002" xr:uid="{00000000-0005-0000-0000-0000B5360000}"/>
    <cellStyle name="Header2 12 2 8 2 4" xfId="14003" xr:uid="{00000000-0005-0000-0000-0000B6360000}"/>
    <cellStyle name="Header2 12 2 8 2 5" xfId="14004" xr:uid="{00000000-0005-0000-0000-0000B7360000}"/>
    <cellStyle name="Header2 12 2 8 2 6" xfId="14005" xr:uid="{00000000-0005-0000-0000-0000B8360000}"/>
    <cellStyle name="Header2 12 2 8 3" xfId="14006" xr:uid="{00000000-0005-0000-0000-0000B9360000}"/>
    <cellStyle name="Header2 12 2 8 3 2" xfId="14007" xr:uid="{00000000-0005-0000-0000-0000BA360000}"/>
    <cellStyle name="Header2 12 2 8 3 2 2" xfId="14008" xr:uid="{00000000-0005-0000-0000-0000BB360000}"/>
    <cellStyle name="Header2 12 2 8 3 2 3" xfId="14009" xr:uid="{00000000-0005-0000-0000-0000BC360000}"/>
    <cellStyle name="Header2 12 2 8 3 2 4" xfId="14010" xr:uid="{00000000-0005-0000-0000-0000BD360000}"/>
    <cellStyle name="Header2 12 2 8 3 3" xfId="14011" xr:uid="{00000000-0005-0000-0000-0000BE360000}"/>
    <cellStyle name="Header2 12 2 8 3 3 2" xfId="14012" xr:uid="{00000000-0005-0000-0000-0000BF360000}"/>
    <cellStyle name="Header2 12 2 8 3 3 3" xfId="14013" xr:uid="{00000000-0005-0000-0000-0000C0360000}"/>
    <cellStyle name="Header2 12 2 8 3 3 4" xfId="14014" xr:uid="{00000000-0005-0000-0000-0000C1360000}"/>
    <cellStyle name="Header2 12 2 8 3 4" xfId="14015" xr:uid="{00000000-0005-0000-0000-0000C2360000}"/>
    <cellStyle name="Header2 12 2 8 3 5" xfId="14016" xr:uid="{00000000-0005-0000-0000-0000C3360000}"/>
    <cellStyle name="Header2 12 2 8 3 6" xfId="14017" xr:uid="{00000000-0005-0000-0000-0000C4360000}"/>
    <cellStyle name="Header2 12 2 8 4" xfId="14018" xr:uid="{00000000-0005-0000-0000-0000C5360000}"/>
    <cellStyle name="Header2 12 2 8 5" xfId="14019" xr:uid="{00000000-0005-0000-0000-0000C6360000}"/>
    <cellStyle name="Header2 12 2 9" xfId="14020" xr:uid="{00000000-0005-0000-0000-0000C7360000}"/>
    <cellStyle name="Header2 12 2 9 2" xfId="14021" xr:uid="{00000000-0005-0000-0000-0000C8360000}"/>
    <cellStyle name="Header2 12 2 9 2 2" xfId="14022" xr:uid="{00000000-0005-0000-0000-0000C9360000}"/>
    <cellStyle name="Header2 12 2 9 2 2 2" xfId="14023" xr:uid="{00000000-0005-0000-0000-0000CA360000}"/>
    <cellStyle name="Header2 12 2 9 2 2 3" xfId="14024" xr:uid="{00000000-0005-0000-0000-0000CB360000}"/>
    <cellStyle name="Header2 12 2 9 2 2 4" xfId="14025" xr:uid="{00000000-0005-0000-0000-0000CC360000}"/>
    <cellStyle name="Header2 12 2 9 2 2 5" xfId="14026" xr:uid="{00000000-0005-0000-0000-0000CD360000}"/>
    <cellStyle name="Header2 12 2 9 2 3" xfId="14027" xr:uid="{00000000-0005-0000-0000-0000CE360000}"/>
    <cellStyle name="Header2 12 2 9 2 3 2" xfId="14028" xr:uid="{00000000-0005-0000-0000-0000CF360000}"/>
    <cellStyle name="Header2 12 2 9 2 3 3" xfId="14029" xr:uid="{00000000-0005-0000-0000-0000D0360000}"/>
    <cellStyle name="Header2 12 2 9 2 3 4" xfId="14030" xr:uid="{00000000-0005-0000-0000-0000D1360000}"/>
    <cellStyle name="Header2 12 2 9 2 4" xfId="14031" xr:uid="{00000000-0005-0000-0000-0000D2360000}"/>
    <cellStyle name="Header2 12 2 9 2 5" xfId="14032" xr:uid="{00000000-0005-0000-0000-0000D3360000}"/>
    <cellStyle name="Header2 12 2 9 2 6" xfId="14033" xr:uid="{00000000-0005-0000-0000-0000D4360000}"/>
    <cellStyle name="Header2 12 2 9 3" xfId="14034" xr:uid="{00000000-0005-0000-0000-0000D5360000}"/>
    <cellStyle name="Header2 12 2 9 3 2" xfId="14035" xr:uid="{00000000-0005-0000-0000-0000D6360000}"/>
    <cellStyle name="Header2 12 2 9 3 2 2" xfId="14036" xr:uid="{00000000-0005-0000-0000-0000D7360000}"/>
    <cellStyle name="Header2 12 2 9 3 2 3" xfId="14037" xr:uid="{00000000-0005-0000-0000-0000D8360000}"/>
    <cellStyle name="Header2 12 2 9 3 2 4" xfId="14038" xr:uid="{00000000-0005-0000-0000-0000D9360000}"/>
    <cellStyle name="Header2 12 2 9 3 3" xfId="14039" xr:uid="{00000000-0005-0000-0000-0000DA360000}"/>
    <cellStyle name="Header2 12 2 9 3 3 2" xfId="14040" xr:uid="{00000000-0005-0000-0000-0000DB360000}"/>
    <cellStyle name="Header2 12 2 9 3 3 3" xfId="14041" xr:uid="{00000000-0005-0000-0000-0000DC360000}"/>
    <cellStyle name="Header2 12 2 9 3 3 4" xfId="14042" xr:uid="{00000000-0005-0000-0000-0000DD360000}"/>
    <cellStyle name="Header2 12 2 9 3 4" xfId="14043" xr:uid="{00000000-0005-0000-0000-0000DE360000}"/>
    <cellStyle name="Header2 12 2 9 3 5" xfId="14044" xr:uid="{00000000-0005-0000-0000-0000DF360000}"/>
    <cellStyle name="Header2 12 2 9 3 6" xfId="14045" xr:uid="{00000000-0005-0000-0000-0000E0360000}"/>
    <cellStyle name="Header2 12 2 9 4" xfId="14046" xr:uid="{00000000-0005-0000-0000-0000E1360000}"/>
    <cellStyle name="Header2 12 2 9 5" xfId="14047" xr:uid="{00000000-0005-0000-0000-0000E2360000}"/>
    <cellStyle name="Header2 12 3" xfId="14048" xr:uid="{00000000-0005-0000-0000-0000E3360000}"/>
    <cellStyle name="Header2 12 3 10" xfId="14049" xr:uid="{00000000-0005-0000-0000-0000E4360000}"/>
    <cellStyle name="Header2 12 3 10 2" xfId="14050" xr:uid="{00000000-0005-0000-0000-0000E5360000}"/>
    <cellStyle name="Header2 12 3 10 2 2" xfId="14051" xr:uid="{00000000-0005-0000-0000-0000E6360000}"/>
    <cellStyle name="Header2 12 3 10 2 2 2" xfId="14052" xr:uid="{00000000-0005-0000-0000-0000E7360000}"/>
    <cellStyle name="Header2 12 3 10 2 2 3" xfId="14053" xr:uid="{00000000-0005-0000-0000-0000E8360000}"/>
    <cellStyle name="Header2 12 3 10 2 2 4" xfId="14054" xr:uid="{00000000-0005-0000-0000-0000E9360000}"/>
    <cellStyle name="Header2 12 3 10 2 2 5" xfId="14055" xr:uid="{00000000-0005-0000-0000-0000EA360000}"/>
    <cellStyle name="Header2 12 3 10 2 3" xfId="14056" xr:uid="{00000000-0005-0000-0000-0000EB360000}"/>
    <cellStyle name="Header2 12 3 10 2 3 2" xfId="14057" xr:uid="{00000000-0005-0000-0000-0000EC360000}"/>
    <cellStyle name="Header2 12 3 10 2 3 3" xfId="14058" xr:uid="{00000000-0005-0000-0000-0000ED360000}"/>
    <cellStyle name="Header2 12 3 10 2 3 4" xfId="14059" xr:uid="{00000000-0005-0000-0000-0000EE360000}"/>
    <cellStyle name="Header2 12 3 10 2 4" xfId="14060" xr:uid="{00000000-0005-0000-0000-0000EF360000}"/>
    <cellStyle name="Header2 12 3 10 2 5" xfId="14061" xr:uid="{00000000-0005-0000-0000-0000F0360000}"/>
    <cellStyle name="Header2 12 3 10 2 6" xfId="14062" xr:uid="{00000000-0005-0000-0000-0000F1360000}"/>
    <cellStyle name="Header2 12 3 10 3" xfId="14063" xr:uid="{00000000-0005-0000-0000-0000F2360000}"/>
    <cellStyle name="Header2 12 3 10 3 2" xfId="14064" xr:uid="{00000000-0005-0000-0000-0000F3360000}"/>
    <cellStyle name="Header2 12 3 10 3 2 2" xfId="14065" xr:uid="{00000000-0005-0000-0000-0000F4360000}"/>
    <cellStyle name="Header2 12 3 10 3 2 3" xfId="14066" xr:uid="{00000000-0005-0000-0000-0000F5360000}"/>
    <cellStyle name="Header2 12 3 10 3 2 4" xfId="14067" xr:uid="{00000000-0005-0000-0000-0000F6360000}"/>
    <cellStyle name="Header2 12 3 10 3 3" xfId="14068" xr:uid="{00000000-0005-0000-0000-0000F7360000}"/>
    <cellStyle name="Header2 12 3 10 3 3 2" xfId="14069" xr:uid="{00000000-0005-0000-0000-0000F8360000}"/>
    <cellStyle name="Header2 12 3 10 3 3 3" xfId="14070" xr:uid="{00000000-0005-0000-0000-0000F9360000}"/>
    <cellStyle name="Header2 12 3 10 3 3 4" xfId="14071" xr:uid="{00000000-0005-0000-0000-0000FA360000}"/>
    <cellStyle name="Header2 12 3 10 3 4" xfId="14072" xr:uid="{00000000-0005-0000-0000-0000FB360000}"/>
    <cellStyle name="Header2 12 3 10 3 5" xfId="14073" xr:uid="{00000000-0005-0000-0000-0000FC360000}"/>
    <cellStyle name="Header2 12 3 10 3 6" xfId="14074" xr:uid="{00000000-0005-0000-0000-0000FD360000}"/>
    <cellStyle name="Header2 12 3 10 4" xfId="14075" xr:uid="{00000000-0005-0000-0000-0000FE360000}"/>
    <cellStyle name="Header2 12 3 10 5" xfId="14076" xr:uid="{00000000-0005-0000-0000-0000FF360000}"/>
    <cellStyle name="Header2 12 3 11" xfId="14077" xr:uid="{00000000-0005-0000-0000-000000370000}"/>
    <cellStyle name="Header2 12 3 11 2" xfId="14078" xr:uid="{00000000-0005-0000-0000-000001370000}"/>
    <cellStyle name="Header2 12 3 11 2 2" xfId="14079" xr:uid="{00000000-0005-0000-0000-000002370000}"/>
    <cellStyle name="Header2 12 3 11 2 2 2" xfId="14080" xr:uid="{00000000-0005-0000-0000-000003370000}"/>
    <cellStyle name="Header2 12 3 11 2 2 3" xfId="14081" xr:uid="{00000000-0005-0000-0000-000004370000}"/>
    <cellStyle name="Header2 12 3 11 2 2 4" xfId="14082" xr:uid="{00000000-0005-0000-0000-000005370000}"/>
    <cellStyle name="Header2 12 3 11 2 2 5" xfId="14083" xr:uid="{00000000-0005-0000-0000-000006370000}"/>
    <cellStyle name="Header2 12 3 11 2 3" xfId="14084" xr:uid="{00000000-0005-0000-0000-000007370000}"/>
    <cellStyle name="Header2 12 3 11 2 3 2" xfId="14085" xr:uid="{00000000-0005-0000-0000-000008370000}"/>
    <cellStyle name="Header2 12 3 11 2 3 3" xfId="14086" xr:uid="{00000000-0005-0000-0000-000009370000}"/>
    <cellStyle name="Header2 12 3 11 2 3 4" xfId="14087" xr:uid="{00000000-0005-0000-0000-00000A370000}"/>
    <cellStyle name="Header2 12 3 11 2 4" xfId="14088" xr:uid="{00000000-0005-0000-0000-00000B370000}"/>
    <cellStyle name="Header2 12 3 11 2 5" xfId="14089" xr:uid="{00000000-0005-0000-0000-00000C370000}"/>
    <cellStyle name="Header2 12 3 11 2 6" xfId="14090" xr:uid="{00000000-0005-0000-0000-00000D370000}"/>
    <cellStyle name="Header2 12 3 11 3" xfId="14091" xr:uid="{00000000-0005-0000-0000-00000E370000}"/>
    <cellStyle name="Header2 12 3 11 3 2" xfId="14092" xr:uid="{00000000-0005-0000-0000-00000F370000}"/>
    <cellStyle name="Header2 12 3 11 3 2 2" xfId="14093" xr:uid="{00000000-0005-0000-0000-000010370000}"/>
    <cellStyle name="Header2 12 3 11 3 2 3" xfId="14094" xr:uid="{00000000-0005-0000-0000-000011370000}"/>
    <cellStyle name="Header2 12 3 11 3 2 4" xfId="14095" xr:uid="{00000000-0005-0000-0000-000012370000}"/>
    <cellStyle name="Header2 12 3 11 3 3" xfId="14096" xr:uid="{00000000-0005-0000-0000-000013370000}"/>
    <cellStyle name="Header2 12 3 11 3 3 2" xfId="14097" xr:uid="{00000000-0005-0000-0000-000014370000}"/>
    <cellStyle name="Header2 12 3 11 3 3 3" xfId="14098" xr:uid="{00000000-0005-0000-0000-000015370000}"/>
    <cellStyle name="Header2 12 3 11 3 3 4" xfId="14099" xr:uid="{00000000-0005-0000-0000-000016370000}"/>
    <cellStyle name="Header2 12 3 11 3 4" xfId="14100" xr:uid="{00000000-0005-0000-0000-000017370000}"/>
    <cellStyle name="Header2 12 3 11 3 5" xfId="14101" xr:uid="{00000000-0005-0000-0000-000018370000}"/>
    <cellStyle name="Header2 12 3 11 3 6" xfId="14102" xr:uid="{00000000-0005-0000-0000-000019370000}"/>
    <cellStyle name="Header2 12 3 11 4" xfId="14103" xr:uid="{00000000-0005-0000-0000-00001A370000}"/>
    <cellStyle name="Header2 12 3 11 5" xfId="14104" xr:uid="{00000000-0005-0000-0000-00001B370000}"/>
    <cellStyle name="Header2 12 3 12" xfId="14105" xr:uid="{00000000-0005-0000-0000-00001C370000}"/>
    <cellStyle name="Header2 12 3 12 2" xfId="14106" xr:uid="{00000000-0005-0000-0000-00001D370000}"/>
    <cellStyle name="Header2 12 3 12 2 2" xfId="14107" xr:uid="{00000000-0005-0000-0000-00001E370000}"/>
    <cellStyle name="Header2 12 3 12 2 2 2" xfId="14108" xr:uid="{00000000-0005-0000-0000-00001F370000}"/>
    <cellStyle name="Header2 12 3 12 2 2 3" xfId="14109" xr:uid="{00000000-0005-0000-0000-000020370000}"/>
    <cellStyle name="Header2 12 3 12 2 2 4" xfId="14110" xr:uid="{00000000-0005-0000-0000-000021370000}"/>
    <cellStyle name="Header2 12 3 12 2 2 5" xfId="14111" xr:uid="{00000000-0005-0000-0000-000022370000}"/>
    <cellStyle name="Header2 12 3 12 2 3" xfId="14112" xr:uid="{00000000-0005-0000-0000-000023370000}"/>
    <cellStyle name="Header2 12 3 12 2 3 2" xfId="14113" xr:uid="{00000000-0005-0000-0000-000024370000}"/>
    <cellStyle name="Header2 12 3 12 2 3 3" xfId="14114" xr:uid="{00000000-0005-0000-0000-000025370000}"/>
    <cellStyle name="Header2 12 3 12 2 3 4" xfId="14115" xr:uid="{00000000-0005-0000-0000-000026370000}"/>
    <cellStyle name="Header2 12 3 12 2 4" xfId="14116" xr:uid="{00000000-0005-0000-0000-000027370000}"/>
    <cellStyle name="Header2 12 3 12 2 5" xfId="14117" xr:uid="{00000000-0005-0000-0000-000028370000}"/>
    <cellStyle name="Header2 12 3 12 2 6" xfId="14118" xr:uid="{00000000-0005-0000-0000-000029370000}"/>
    <cellStyle name="Header2 12 3 12 3" xfId="14119" xr:uid="{00000000-0005-0000-0000-00002A370000}"/>
    <cellStyle name="Header2 12 3 12 3 2" xfId="14120" xr:uid="{00000000-0005-0000-0000-00002B370000}"/>
    <cellStyle name="Header2 12 3 12 3 2 2" xfId="14121" xr:uid="{00000000-0005-0000-0000-00002C370000}"/>
    <cellStyle name="Header2 12 3 12 3 2 3" xfId="14122" xr:uid="{00000000-0005-0000-0000-00002D370000}"/>
    <cellStyle name="Header2 12 3 12 3 2 4" xfId="14123" xr:uid="{00000000-0005-0000-0000-00002E370000}"/>
    <cellStyle name="Header2 12 3 12 3 3" xfId="14124" xr:uid="{00000000-0005-0000-0000-00002F370000}"/>
    <cellStyle name="Header2 12 3 12 3 3 2" xfId="14125" xr:uid="{00000000-0005-0000-0000-000030370000}"/>
    <cellStyle name="Header2 12 3 12 3 3 3" xfId="14126" xr:uid="{00000000-0005-0000-0000-000031370000}"/>
    <cellStyle name="Header2 12 3 12 3 3 4" xfId="14127" xr:uid="{00000000-0005-0000-0000-000032370000}"/>
    <cellStyle name="Header2 12 3 12 3 4" xfId="14128" xr:uid="{00000000-0005-0000-0000-000033370000}"/>
    <cellStyle name="Header2 12 3 12 3 5" xfId="14129" xr:uid="{00000000-0005-0000-0000-000034370000}"/>
    <cellStyle name="Header2 12 3 12 3 6" xfId="14130" xr:uid="{00000000-0005-0000-0000-000035370000}"/>
    <cellStyle name="Header2 12 3 12 4" xfId="14131" xr:uid="{00000000-0005-0000-0000-000036370000}"/>
    <cellStyle name="Header2 12 3 12 5" xfId="14132" xr:uid="{00000000-0005-0000-0000-000037370000}"/>
    <cellStyle name="Header2 12 3 13" xfId="58721" xr:uid="{00000000-0005-0000-0000-000038370000}"/>
    <cellStyle name="Header2 12 3 2" xfId="14133" xr:uid="{00000000-0005-0000-0000-000039370000}"/>
    <cellStyle name="Header2 12 3 2 2" xfId="14134" xr:uid="{00000000-0005-0000-0000-00003A370000}"/>
    <cellStyle name="Header2 12 3 2 2 2" xfId="14135" xr:uid="{00000000-0005-0000-0000-00003B370000}"/>
    <cellStyle name="Header2 12 3 2 2 3" xfId="14136" xr:uid="{00000000-0005-0000-0000-00003C370000}"/>
    <cellStyle name="Header2 12 3 2 3" xfId="14137" xr:uid="{00000000-0005-0000-0000-00003D370000}"/>
    <cellStyle name="Header2 12 3 3" xfId="14138" xr:uid="{00000000-0005-0000-0000-00003E370000}"/>
    <cellStyle name="Header2 12 3 3 2" xfId="14139" xr:uid="{00000000-0005-0000-0000-00003F370000}"/>
    <cellStyle name="Header2 12 3 3 2 2" xfId="14140" xr:uid="{00000000-0005-0000-0000-000040370000}"/>
    <cellStyle name="Header2 12 3 3 2 3" xfId="14141" xr:uid="{00000000-0005-0000-0000-000041370000}"/>
    <cellStyle name="Header2 12 3 3 3" xfId="14142" xr:uid="{00000000-0005-0000-0000-000042370000}"/>
    <cellStyle name="Header2 12 3 4" xfId="14143" xr:uid="{00000000-0005-0000-0000-000043370000}"/>
    <cellStyle name="Header2 12 3 4 2" xfId="14144" xr:uid="{00000000-0005-0000-0000-000044370000}"/>
    <cellStyle name="Header2 12 3 4 2 2" xfId="14145" xr:uid="{00000000-0005-0000-0000-000045370000}"/>
    <cellStyle name="Header2 12 3 4 2 3" xfId="14146" xr:uid="{00000000-0005-0000-0000-000046370000}"/>
    <cellStyle name="Header2 12 3 4 3" xfId="14147" xr:uid="{00000000-0005-0000-0000-000047370000}"/>
    <cellStyle name="Header2 12 3 5" xfId="14148" xr:uid="{00000000-0005-0000-0000-000048370000}"/>
    <cellStyle name="Header2 12 3 5 2" xfId="14149" xr:uid="{00000000-0005-0000-0000-000049370000}"/>
    <cellStyle name="Header2 12 3 5 2 2" xfId="14150" xr:uid="{00000000-0005-0000-0000-00004A370000}"/>
    <cellStyle name="Header2 12 3 5 2 2 2" xfId="14151" xr:uid="{00000000-0005-0000-0000-00004B370000}"/>
    <cellStyle name="Header2 12 3 5 2 2 3" xfId="14152" xr:uid="{00000000-0005-0000-0000-00004C370000}"/>
    <cellStyle name="Header2 12 3 5 2 2 4" xfId="14153" xr:uid="{00000000-0005-0000-0000-00004D370000}"/>
    <cellStyle name="Header2 12 3 5 2 2 5" xfId="14154" xr:uid="{00000000-0005-0000-0000-00004E370000}"/>
    <cellStyle name="Header2 12 3 5 2 3" xfId="14155" xr:uid="{00000000-0005-0000-0000-00004F370000}"/>
    <cellStyle name="Header2 12 3 5 2 3 2" xfId="14156" xr:uid="{00000000-0005-0000-0000-000050370000}"/>
    <cellStyle name="Header2 12 3 5 2 3 3" xfId="14157" xr:uid="{00000000-0005-0000-0000-000051370000}"/>
    <cellStyle name="Header2 12 3 5 2 3 4" xfId="14158" xr:uid="{00000000-0005-0000-0000-000052370000}"/>
    <cellStyle name="Header2 12 3 5 2 4" xfId="14159" xr:uid="{00000000-0005-0000-0000-000053370000}"/>
    <cellStyle name="Header2 12 3 5 2 5" xfId="14160" xr:uid="{00000000-0005-0000-0000-000054370000}"/>
    <cellStyle name="Header2 12 3 5 2 6" xfId="14161" xr:uid="{00000000-0005-0000-0000-000055370000}"/>
    <cellStyle name="Header2 12 3 5 3" xfId="14162" xr:uid="{00000000-0005-0000-0000-000056370000}"/>
    <cellStyle name="Header2 12 3 5 3 2" xfId="14163" xr:uid="{00000000-0005-0000-0000-000057370000}"/>
    <cellStyle name="Header2 12 3 5 3 2 2" xfId="14164" xr:uid="{00000000-0005-0000-0000-000058370000}"/>
    <cellStyle name="Header2 12 3 5 3 2 3" xfId="14165" xr:uid="{00000000-0005-0000-0000-000059370000}"/>
    <cellStyle name="Header2 12 3 5 3 2 4" xfId="14166" xr:uid="{00000000-0005-0000-0000-00005A370000}"/>
    <cellStyle name="Header2 12 3 5 3 3" xfId="14167" xr:uid="{00000000-0005-0000-0000-00005B370000}"/>
    <cellStyle name="Header2 12 3 5 3 3 2" xfId="14168" xr:uid="{00000000-0005-0000-0000-00005C370000}"/>
    <cellStyle name="Header2 12 3 5 3 3 3" xfId="14169" xr:uid="{00000000-0005-0000-0000-00005D370000}"/>
    <cellStyle name="Header2 12 3 5 3 3 4" xfId="14170" xr:uid="{00000000-0005-0000-0000-00005E370000}"/>
    <cellStyle name="Header2 12 3 5 3 4" xfId="14171" xr:uid="{00000000-0005-0000-0000-00005F370000}"/>
    <cellStyle name="Header2 12 3 5 3 5" xfId="14172" xr:uid="{00000000-0005-0000-0000-000060370000}"/>
    <cellStyle name="Header2 12 3 5 3 6" xfId="14173" xr:uid="{00000000-0005-0000-0000-000061370000}"/>
    <cellStyle name="Header2 12 3 5 4" xfId="14174" xr:uid="{00000000-0005-0000-0000-000062370000}"/>
    <cellStyle name="Header2 12 3 5 5" xfId="14175" xr:uid="{00000000-0005-0000-0000-000063370000}"/>
    <cellStyle name="Header2 12 3 6" xfId="14176" xr:uid="{00000000-0005-0000-0000-000064370000}"/>
    <cellStyle name="Header2 12 3 6 2" xfId="14177" xr:uid="{00000000-0005-0000-0000-000065370000}"/>
    <cellStyle name="Header2 12 3 6 2 2" xfId="14178" xr:uid="{00000000-0005-0000-0000-000066370000}"/>
    <cellStyle name="Header2 12 3 6 2 2 2" xfId="14179" xr:uid="{00000000-0005-0000-0000-000067370000}"/>
    <cellStyle name="Header2 12 3 6 2 2 3" xfId="14180" xr:uid="{00000000-0005-0000-0000-000068370000}"/>
    <cellStyle name="Header2 12 3 6 2 2 4" xfId="14181" xr:uid="{00000000-0005-0000-0000-000069370000}"/>
    <cellStyle name="Header2 12 3 6 2 2 5" xfId="14182" xr:uid="{00000000-0005-0000-0000-00006A370000}"/>
    <cellStyle name="Header2 12 3 6 2 3" xfId="14183" xr:uid="{00000000-0005-0000-0000-00006B370000}"/>
    <cellStyle name="Header2 12 3 6 2 3 2" xfId="14184" xr:uid="{00000000-0005-0000-0000-00006C370000}"/>
    <cellStyle name="Header2 12 3 6 2 3 3" xfId="14185" xr:uid="{00000000-0005-0000-0000-00006D370000}"/>
    <cellStyle name="Header2 12 3 6 2 3 4" xfId="14186" xr:uid="{00000000-0005-0000-0000-00006E370000}"/>
    <cellStyle name="Header2 12 3 6 2 4" xfId="14187" xr:uid="{00000000-0005-0000-0000-00006F370000}"/>
    <cellStyle name="Header2 12 3 6 2 5" xfId="14188" xr:uid="{00000000-0005-0000-0000-000070370000}"/>
    <cellStyle name="Header2 12 3 6 2 6" xfId="14189" xr:uid="{00000000-0005-0000-0000-000071370000}"/>
    <cellStyle name="Header2 12 3 6 3" xfId="14190" xr:uid="{00000000-0005-0000-0000-000072370000}"/>
    <cellStyle name="Header2 12 3 6 3 2" xfId="14191" xr:uid="{00000000-0005-0000-0000-000073370000}"/>
    <cellStyle name="Header2 12 3 6 3 2 2" xfId="14192" xr:uid="{00000000-0005-0000-0000-000074370000}"/>
    <cellStyle name="Header2 12 3 6 3 2 3" xfId="14193" xr:uid="{00000000-0005-0000-0000-000075370000}"/>
    <cellStyle name="Header2 12 3 6 3 2 4" xfId="14194" xr:uid="{00000000-0005-0000-0000-000076370000}"/>
    <cellStyle name="Header2 12 3 6 3 3" xfId="14195" xr:uid="{00000000-0005-0000-0000-000077370000}"/>
    <cellStyle name="Header2 12 3 6 3 3 2" xfId="14196" xr:uid="{00000000-0005-0000-0000-000078370000}"/>
    <cellStyle name="Header2 12 3 6 3 3 3" xfId="14197" xr:uid="{00000000-0005-0000-0000-000079370000}"/>
    <cellStyle name="Header2 12 3 6 3 3 4" xfId="14198" xr:uid="{00000000-0005-0000-0000-00007A370000}"/>
    <cellStyle name="Header2 12 3 6 3 4" xfId="14199" xr:uid="{00000000-0005-0000-0000-00007B370000}"/>
    <cellStyle name="Header2 12 3 6 3 5" xfId="14200" xr:uid="{00000000-0005-0000-0000-00007C370000}"/>
    <cellStyle name="Header2 12 3 6 3 6" xfId="14201" xr:uid="{00000000-0005-0000-0000-00007D370000}"/>
    <cellStyle name="Header2 12 3 6 4" xfId="14202" xr:uid="{00000000-0005-0000-0000-00007E370000}"/>
    <cellStyle name="Header2 12 3 6 5" xfId="14203" xr:uid="{00000000-0005-0000-0000-00007F370000}"/>
    <cellStyle name="Header2 12 3 7" xfId="14204" xr:uid="{00000000-0005-0000-0000-000080370000}"/>
    <cellStyle name="Header2 12 3 7 2" xfId="14205" xr:uid="{00000000-0005-0000-0000-000081370000}"/>
    <cellStyle name="Header2 12 3 7 2 2" xfId="14206" xr:uid="{00000000-0005-0000-0000-000082370000}"/>
    <cellStyle name="Header2 12 3 7 2 2 2" xfId="14207" xr:uid="{00000000-0005-0000-0000-000083370000}"/>
    <cellStyle name="Header2 12 3 7 2 2 3" xfId="14208" xr:uid="{00000000-0005-0000-0000-000084370000}"/>
    <cellStyle name="Header2 12 3 7 2 2 4" xfId="14209" xr:uid="{00000000-0005-0000-0000-000085370000}"/>
    <cellStyle name="Header2 12 3 7 2 2 5" xfId="14210" xr:uid="{00000000-0005-0000-0000-000086370000}"/>
    <cellStyle name="Header2 12 3 7 2 3" xfId="14211" xr:uid="{00000000-0005-0000-0000-000087370000}"/>
    <cellStyle name="Header2 12 3 7 2 3 2" xfId="14212" xr:uid="{00000000-0005-0000-0000-000088370000}"/>
    <cellStyle name="Header2 12 3 7 2 3 3" xfId="14213" xr:uid="{00000000-0005-0000-0000-000089370000}"/>
    <cellStyle name="Header2 12 3 7 2 3 4" xfId="14214" xr:uid="{00000000-0005-0000-0000-00008A370000}"/>
    <cellStyle name="Header2 12 3 7 2 4" xfId="14215" xr:uid="{00000000-0005-0000-0000-00008B370000}"/>
    <cellStyle name="Header2 12 3 7 2 5" xfId="14216" xr:uid="{00000000-0005-0000-0000-00008C370000}"/>
    <cellStyle name="Header2 12 3 7 2 6" xfId="14217" xr:uid="{00000000-0005-0000-0000-00008D370000}"/>
    <cellStyle name="Header2 12 3 7 3" xfId="14218" xr:uid="{00000000-0005-0000-0000-00008E370000}"/>
    <cellStyle name="Header2 12 3 7 3 2" xfId="14219" xr:uid="{00000000-0005-0000-0000-00008F370000}"/>
    <cellStyle name="Header2 12 3 7 3 2 2" xfId="14220" xr:uid="{00000000-0005-0000-0000-000090370000}"/>
    <cellStyle name="Header2 12 3 7 3 2 3" xfId="14221" xr:uid="{00000000-0005-0000-0000-000091370000}"/>
    <cellStyle name="Header2 12 3 7 3 2 4" xfId="14222" xr:uid="{00000000-0005-0000-0000-000092370000}"/>
    <cellStyle name="Header2 12 3 7 3 3" xfId="14223" xr:uid="{00000000-0005-0000-0000-000093370000}"/>
    <cellStyle name="Header2 12 3 7 3 3 2" xfId="14224" xr:uid="{00000000-0005-0000-0000-000094370000}"/>
    <cellStyle name="Header2 12 3 7 3 3 3" xfId="14225" xr:uid="{00000000-0005-0000-0000-000095370000}"/>
    <cellStyle name="Header2 12 3 7 3 3 4" xfId="14226" xr:uid="{00000000-0005-0000-0000-000096370000}"/>
    <cellStyle name="Header2 12 3 7 3 4" xfId="14227" xr:uid="{00000000-0005-0000-0000-000097370000}"/>
    <cellStyle name="Header2 12 3 7 3 5" xfId="14228" xr:uid="{00000000-0005-0000-0000-000098370000}"/>
    <cellStyle name="Header2 12 3 7 3 6" xfId="14229" xr:uid="{00000000-0005-0000-0000-000099370000}"/>
    <cellStyle name="Header2 12 3 7 4" xfId="14230" xr:uid="{00000000-0005-0000-0000-00009A370000}"/>
    <cellStyle name="Header2 12 3 7 5" xfId="14231" xr:uid="{00000000-0005-0000-0000-00009B370000}"/>
    <cellStyle name="Header2 12 3 8" xfId="14232" xr:uid="{00000000-0005-0000-0000-00009C370000}"/>
    <cellStyle name="Header2 12 3 8 2" xfId="14233" xr:uid="{00000000-0005-0000-0000-00009D370000}"/>
    <cellStyle name="Header2 12 3 8 2 2" xfId="14234" xr:uid="{00000000-0005-0000-0000-00009E370000}"/>
    <cellStyle name="Header2 12 3 8 2 2 2" xfId="14235" xr:uid="{00000000-0005-0000-0000-00009F370000}"/>
    <cellStyle name="Header2 12 3 8 2 2 3" xfId="14236" xr:uid="{00000000-0005-0000-0000-0000A0370000}"/>
    <cellStyle name="Header2 12 3 8 2 2 4" xfId="14237" xr:uid="{00000000-0005-0000-0000-0000A1370000}"/>
    <cellStyle name="Header2 12 3 8 2 2 5" xfId="14238" xr:uid="{00000000-0005-0000-0000-0000A2370000}"/>
    <cellStyle name="Header2 12 3 8 2 3" xfId="14239" xr:uid="{00000000-0005-0000-0000-0000A3370000}"/>
    <cellStyle name="Header2 12 3 8 2 3 2" xfId="14240" xr:uid="{00000000-0005-0000-0000-0000A4370000}"/>
    <cellStyle name="Header2 12 3 8 2 3 3" xfId="14241" xr:uid="{00000000-0005-0000-0000-0000A5370000}"/>
    <cellStyle name="Header2 12 3 8 2 3 4" xfId="14242" xr:uid="{00000000-0005-0000-0000-0000A6370000}"/>
    <cellStyle name="Header2 12 3 8 2 4" xfId="14243" xr:uid="{00000000-0005-0000-0000-0000A7370000}"/>
    <cellStyle name="Header2 12 3 8 2 5" xfId="14244" xr:uid="{00000000-0005-0000-0000-0000A8370000}"/>
    <cellStyle name="Header2 12 3 8 2 6" xfId="14245" xr:uid="{00000000-0005-0000-0000-0000A9370000}"/>
    <cellStyle name="Header2 12 3 8 3" xfId="14246" xr:uid="{00000000-0005-0000-0000-0000AA370000}"/>
    <cellStyle name="Header2 12 3 8 3 2" xfId="14247" xr:uid="{00000000-0005-0000-0000-0000AB370000}"/>
    <cellStyle name="Header2 12 3 8 3 2 2" xfId="14248" xr:uid="{00000000-0005-0000-0000-0000AC370000}"/>
    <cellStyle name="Header2 12 3 8 3 2 3" xfId="14249" xr:uid="{00000000-0005-0000-0000-0000AD370000}"/>
    <cellStyle name="Header2 12 3 8 3 2 4" xfId="14250" xr:uid="{00000000-0005-0000-0000-0000AE370000}"/>
    <cellStyle name="Header2 12 3 8 3 3" xfId="14251" xr:uid="{00000000-0005-0000-0000-0000AF370000}"/>
    <cellStyle name="Header2 12 3 8 3 3 2" xfId="14252" xr:uid="{00000000-0005-0000-0000-0000B0370000}"/>
    <cellStyle name="Header2 12 3 8 3 3 3" xfId="14253" xr:uid="{00000000-0005-0000-0000-0000B1370000}"/>
    <cellStyle name="Header2 12 3 8 3 3 4" xfId="14254" xr:uid="{00000000-0005-0000-0000-0000B2370000}"/>
    <cellStyle name="Header2 12 3 8 3 4" xfId="14255" xr:uid="{00000000-0005-0000-0000-0000B3370000}"/>
    <cellStyle name="Header2 12 3 8 3 5" xfId="14256" xr:uid="{00000000-0005-0000-0000-0000B4370000}"/>
    <cellStyle name="Header2 12 3 8 3 6" xfId="14257" xr:uid="{00000000-0005-0000-0000-0000B5370000}"/>
    <cellStyle name="Header2 12 3 8 4" xfId="14258" xr:uid="{00000000-0005-0000-0000-0000B6370000}"/>
    <cellStyle name="Header2 12 3 8 5" xfId="14259" xr:uid="{00000000-0005-0000-0000-0000B7370000}"/>
    <cellStyle name="Header2 12 3 9" xfId="14260" xr:uid="{00000000-0005-0000-0000-0000B8370000}"/>
    <cellStyle name="Header2 12 3 9 2" xfId="14261" xr:uid="{00000000-0005-0000-0000-0000B9370000}"/>
    <cellStyle name="Header2 12 3 9 2 2" xfId="14262" xr:uid="{00000000-0005-0000-0000-0000BA370000}"/>
    <cellStyle name="Header2 12 3 9 2 2 2" xfId="14263" xr:uid="{00000000-0005-0000-0000-0000BB370000}"/>
    <cellStyle name="Header2 12 3 9 2 2 3" xfId="14264" xr:uid="{00000000-0005-0000-0000-0000BC370000}"/>
    <cellStyle name="Header2 12 3 9 2 2 4" xfId="14265" xr:uid="{00000000-0005-0000-0000-0000BD370000}"/>
    <cellStyle name="Header2 12 3 9 2 2 5" xfId="14266" xr:uid="{00000000-0005-0000-0000-0000BE370000}"/>
    <cellStyle name="Header2 12 3 9 2 3" xfId="14267" xr:uid="{00000000-0005-0000-0000-0000BF370000}"/>
    <cellStyle name="Header2 12 3 9 2 3 2" xfId="14268" xr:uid="{00000000-0005-0000-0000-0000C0370000}"/>
    <cellStyle name="Header2 12 3 9 2 3 3" xfId="14269" xr:uid="{00000000-0005-0000-0000-0000C1370000}"/>
    <cellStyle name="Header2 12 3 9 2 3 4" xfId="14270" xr:uid="{00000000-0005-0000-0000-0000C2370000}"/>
    <cellStyle name="Header2 12 3 9 2 4" xfId="14271" xr:uid="{00000000-0005-0000-0000-0000C3370000}"/>
    <cellStyle name="Header2 12 3 9 2 5" xfId="14272" xr:uid="{00000000-0005-0000-0000-0000C4370000}"/>
    <cellStyle name="Header2 12 3 9 2 6" xfId="14273" xr:uid="{00000000-0005-0000-0000-0000C5370000}"/>
    <cellStyle name="Header2 12 3 9 3" xfId="14274" xr:uid="{00000000-0005-0000-0000-0000C6370000}"/>
    <cellStyle name="Header2 12 3 9 3 2" xfId="14275" xr:uid="{00000000-0005-0000-0000-0000C7370000}"/>
    <cellStyle name="Header2 12 3 9 3 2 2" xfId="14276" xr:uid="{00000000-0005-0000-0000-0000C8370000}"/>
    <cellStyle name="Header2 12 3 9 3 2 3" xfId="14277" xr:uid="{00000000-0005-0000-0000-0000C9370000}"/>
    <cellStyle name="Header2 12 3 9 3 2 4" xfId="14278" xr:uid="{00000000-0005-0000-0000-0000CA370000}"/>
    <cellStyle name="Header2 12 3 9 3 3" xfId="14279" xr:uid="{00000000-0005-0000-0000-0000CB370000}"/>
    <cellStyle name="Header2 12 3 9 3 3 2" xfId="14280" xr:uid="{00000000-0005-0000-0000-0000CC370000}"/>
    <cellStyle name="Header2 12 3 9 3 3 3" xfId="14281" xr:uid="{00000000-0005-0000-0000-0000CD370000}"/>
    <cellStyle name="Header2 12 3 9 3 3 4" xfId="14282" xr:uid="{00000000-0005-0000-0000-0000CE370000}"/>
    <cellStyle name="Header2 12 3 9 3 4" xfId="14283" xr:uid="{00000000-0005-0000-0000-0000CF370000}"/>
    <cellStyle name="Header2 12 3 9 3 5" xfId="14284" xr:uid="{00000000-0005-0000-0000-0000D0370000}"/>
    <cellStyle name="Header2 12 3 9 3 6" xfId="14285" xr:uid="{00000000-0005-0000-0000-0000D1370000}"/>
    <cellStyle name="Header2 12 3 9 4" xfId="14286" xr:uid="{00000000-0005-0000-0000-0000D2370000}"/>
    <cellStyle name="Header2 12 3 9 5" xfId="14287" xr:uid="{00000000-0005-0000-0000-0000D3370000}"/>
    <cellStyle name="Header2 13" xfId="14288" xr:uid="{00000000-0005-0000-0000-0000D4370000}"/>
    <cellStyle name="Header2 13 2" xfId="14289" xr:uid="{00000000-0005-0000-0000-0000D5370000}"/>
    <cellStyle name="Header2 13 2 10" xfId="14290" xr:uid="{00000000-0005-0000-0000-0000D6370000}"/>
    <cellStyle name="Header2 13 2 10 2" xfId="14291" xr:uid="{00000000-0005-0000-0000-0000D7370000}"/>
    <cellStyle name="Header2 13 2 10 2 2" xfId="14292" xr:uid="{00000000-0005-0000-0000-0000D8370000}"/>
    <cellStyle name="Header2 13 2 10 2 2 2" xfId="14293" xr:uid="{00000000-0005-0000-0000-0000D9370000}"/>
    <cellStyle name="Header2 13 2 10 2 2 3" xfId="14294" xr:uid="{00000000-0005-0000-0000-0000DA370000}"/>
    <cellStyle name="Header2 13 2 10 2 2 4" xfId="14295" xr:uid="{00000000-0005-0000-0000-0000DB370000}"/>
    <cellStyle name="Header2 13 2 10 2 2 5" xfId="14296" xr:uid="{00000000-0005-0000-0000-0000DC370000}"/>
    <cellStyle name="Header2 13 2 10 2 3" xfId="14297" xr:uid="{00000000-0005-0000-0000-0000DD370000}"/>
    <cellStyle name="Header2 13 2 10 2 3 2" xfId="14298" xr:uid="{00000000-0005-0000-0000-0000DE370000}"/>
    <cellStyle name="Header2 13 2 10 2 3 3" xfId="14299" xr:uid="{00000000-0005-0000-0000-0000DF370000}"/>
    <cellStyle name="Header2 13 2 10 2 3 4" xfId="14300" xr:uid="{00000000-0005-0000-0000-0000E0370000}"/>
    <cellStyle name="Header2 13 2 10 2 4" xfId="14301" xr:uid="{00000000-0005-0000-0000-0000E1370000}"/>
    <cellStyle name="Header2 13 2 10 2 5" xfId="14302" xr:uid="{00000000-0005-0000-0000-0000E2370000}"/>
    <cellStyle name="Header2 13 2 10 2 6" xfId="14303" xr:uid="{00000000-0005-0000-0000-0000E3370000}"/>
    <cellStyle name="Header2 13 2 10 3" xfId="14304" xr:uid="{00000000-0005-0000-0000-0000E4370000}"/>
    <cellStyle name="Header2 13 2 10 3 2" xfId="14305" xr:uid="{00000000-0005-0000-0000-0000E5370000}"/>
    <cellStyle name="Header2 13 2 10 3 2 2" xfId="14306" xr:uid="{00000000-0005-0000-0000-0000E6370000}"/>
    <cellStyle name="Header2 13 2 10 3 2 3" xfId="14307" xr:uid="{00000000-0005-0000-0000-0000E7370000}"/>
    <cellStyle name="Header2 13 2 10 3 2 4" xfId="14308" xr:uid="{00000000-0005-0000-0000-0000E8370000}"/>
    <cellStyle name="Header2 13 2 10 3 3" xfId="14309" xr:uid="{00000000-0005-0000-0000-0000E9370000}"/>
    <cellStyle name="Header2 13 2 10 3 3 2" xfId="14310" xr:uid="{00000000-0005-0000-0000-0000EA370000}"/>
    <cellStyle name="Header2 13 2 10 3 3 3" xfId="14311" xr:uid="{00000000-0005-0000-0000-0000EB370000}"/>
    <cellStyle name="Header2 13 2 10 3 3 4" xfId="14312" xr:uid="{00000000-0005-0000-0000-0000EC370000}"/>
    <cellStyle name="Header2 13 2 10 3 4" xfId="14313" xr:uid="{00000000-0005-0000-0000-0000ED370000}"/>
    <cellStyle name="Header2 13 2 10 3 5" xfId="14314" xr:uid="{00000000-0005-0000-0000-0000EE370000}"/>
    <cellStyle name="Header2 13 2 10 3 6" xfId="14315" xr:uid="{00000000-0005-0000-0000-0000EF370000}"/>
    <cellStyle name="Header2 13 2 10 4" xfId="14316" xr:uid="{00000000-0005-0000-0000-0000F0370000}"/>
    <cellStyle name="Header2 13 2 10 5" xfId="14317" xr:uid="{00000000-0005-0000-0000-0000F1370000}"/>
    <cellStyle name="Header2 13 2 11" xfId="14318" xr:uid="{00000000-0005-0000-0000-0000F2370000}"/>
    <cellStyle name="Header2 13 2 11 2" xfId="14319" xr:uid="{00000000-0005-0000-0000-0000F3370000}"/>
    <cellStyle name="Header2 13 2 11 2 2" xfId="14320" xr:uid="{00000000-0005-0000-0000-0000F4370000}"/>
    <cellStyle name="Header2 13 2 11 2 2 2" xfId="14321" xr:uid="{00000000-0005-0000-0000-0000F5370000}"/>
    <cellStyle name="Header2 13 2 11 2 2 3" xfId="14322" xr:uid="{00000000-0005-0000-0000-0000F6370000}"/>
    <cellStyle name="Header2 13 2 11 2 2 4" xfId="14323" xr:uid="{00000000-0005-0000-0000-0000F7370000}"/>
    <cellStyle name="Header2 13 2 11 2 2 5" xfId="14324" xr:uid="{00000000-0005-0000-0000-0000F8370000}"/>
    <cellStyle name="Header2 13 2 11 2 3" xfId="14325" xr:uid="{00000000-0005-0000-0000-0000F9370000}"/>
    <cellStyle name="Header2 13 2 11 2 3 2" xfId="14326" xr:uid="{00000000-0005-0000-0000-0000FA370000}"/>
    <cellStyle name="Header2 13 2 11 2 3 3" xfId="14327" xr:uid="{00000000-0005-0000-0000-0000FB370000}"/>
    <cellStyle name="Header2 13 2 11 2 3 4" xfId="14328" xr:uid="{00000000-0005-0000-0000-0000FC370000}"/>
    <cellStyle name="Header2 13 2 11 2 4" xfId="14329" xr:uid="{00000000-0005-0000-0000-0000FD370000}"/>
    <cellStyle name="Header2 13 2 11 2 5" xfId="14330" xr:uid="{00000000-0005-0000-0000-0000FE370000}"/>
    <cellStyle name="Header2 13 2 11 2 6" xfId="14331" xr:uid="{00000000-0005-0000-0000-0000FF370000}"/>
    <cellStyle name="Header2 13 2 11 3" xfId="14332" xr:uid="{00000000-0005-0000-0000-000000380000}"/>
    <cellStyle name="Header2 13 2 11 3 2" xfId="14333" xr:uid="{00000000-0005-0000-0000-000001380000}"/>
    <cellStyle name="Header2 13 2 11 3 2 2" xfId="14334" xr:uid="{00000000-0005-0000-0000-000002380000}"/>
    <cellStyle name="Header2 13 2 11 3 2 3" xfId="14335" xr:uid="{00000000-0005-0000-0000-000003380000}"/>
    <cellStyle name="Header2 13 2 11 3 2 4" xfId="14336" xr:uid="{00000000-0005-0000-0000-000004380000}"/>
    <cellStyle name="Header2 13 2 11 3 3" xfId="14337" xr:uid="{00000000-0005-0000-0000-000005380000}"/>
    <cellStyle name="Header2 13 2 11 3 3 2" xfId="14338" xr:uid="{00000000-0005-0000-0000-000006380000}"/>
    <cellStyle name="Header2 13 2 11 3 3 3" xfId="14339" xr:uid="{00000000-0005-0000-0000-000007380000}"/>
    <cellStyle name="Header2 13 2 11 3 3 4" xfId="14340" xr:uid="{00000000-0005-0000-0000-000008380000}"/>
    <cellStyle name="Header2 13 2 11 3 4" xfId="14341" xr:uid="{00000000-0005-0000-0000-000009380000}"/>
    <cellStyle name="Header2 13 2 11 3 5" xfId="14342" xr:uid="{00000000-0005-0000-0000-00000A380000}"/>
    <cellStyle name="Header2 13 2 11 3 6" xfId="14343" xr:uid="{00000000-0005-0000-0000-00000B380000}"/>
    <cellStyle name="Header2 13 2 11 4" xfId="14344" xr:uid="{00000000-0005-0000-0000-00000C380000}"/>
    <cellStyle name="Header2 13 2 11 5" xfId="14345" xr:uid="{00000000-0005-0000-0000-00000D380000}"/>
    <cellStyle name="Header2 13 2 12" xfId="14346" xr:uid="{00000000-0005-0000-0000-00000E380000}"/>
    <cellStyle name="Header2 13 2 12 2" xfId="14347" xr:uid="{00000000-0005-0000-0000-00000F380000}"/>
    <cellStyle name="Header2 13 2 12 2 2" xfId="14348" xr:uid="{00000000-0005-0000-0000-000010380000}"/>
    <cellStyle name="Header2 13 2 12 2 2 2" xfId="14349" xr:uid="{00000000-0005-0000-0000-000011380000}"/>
    <cellStyle name="Header2 13 2 12 2 2 3" xfId="14350" xr:uid="{00000000-0005-0000-0000-000012380000}"/>
    <cellStyle name="Header2 13 2 12 2 2 4" xfId="14351" xr:uid="{00000000-0005-0000-0000-000013380000}"/>
    <cellStyle name="Header2 13 2 12 2 2 5" xfId="14352" xr:uid="{00000000-0005-0000-0000-000014380000}"/>
    <cellStyle name="Header2 13 2 12 2 3" xfId="14353" xr:uid="{00000000-0005-0000-0000-000015380000}"/>
    <cellStyle name="Header2 13 2 12 2 3 2" xfId="14354" xr:uid="{00000000-0005-0000-0000-000016380000}"/>
    <cellStyle name="Header2 13 2 12 2 3 3" xfId="14355" xr:uid="{00000000-0005-0000-0000-000017380000}"/>
    <cellStyle name="Header2 13 2 12 2 3 4" xfId="14356" xr:uid="{00000000-0005-0000-0000-000018380000}"/>
    <cellStyle name="Header2 13 2 12 2 4" xfId="14357" xr:uid="{00000000-0005-0000-0000-000019380000}"/>
    <cellStyle name="Header2 13 2 12 2 5" xfId="14358" xr:uid="{00000000-0005-0000-0000-00001A380000}"/>
    <cellStyle name="Header2 13 2 12 2 6" xfId="14359" xr:uid="{00000000-0005-0000-0000-00001B380000}"/>
    <cellStyle name="Header2 13 2 12 3" xfId="14360" xr:uid="{00000000-0005-0000-0000-00001C380000}"/>
    <cellStyle name="Header2 13 2 12 3 2" xfId="14361" xr:uid="{00000000-0005-0000-0000-00001D380000}"/>
    <cellStyle name="Header2 13 2 12 3 2 2" xfId="14362" xr:uid="{00000000-0005-0000-0000-00001E380000}"/>
    <cellStyle name="Header2 13 2 12 3 2 3" xfId="14363" xr:uid="{00000000-0005-0000-0000-00001F380000}"/>
    <cellStyle name="Header2 13 2 12 3 2 4" xfId="14364" xr:uid="{00000000-0005-0000-0000-000020380000}"/>
    <cellStyle name="Header2 13 2 12 3 3" xfId="14365" xr:uid="{00000000-0005-0000-0000-000021380000}"/>
    <cellStyle name="Header2 13 2 12 3 3 2" xfId="14366" xr:uid="{00000000-0005-0000-0000-000022380000}"/>
    <cellStyle name="Header2 13 2 12 3 3 3" xfId="14367" xr:uid="{00000000-0005-0000-0000-000023380000}"/>
    <cellStyle name="Header2 13 2 12 3 3 4" xfId="14368" xr:uid="{00000000-0005-0000-0000-000024380000}"/>
    <cellStyle name="Header2 13 2 12 3 4" xfId="14369" xr:uid="{00000000-0005-0000-0000-000025380000}"/>
    <cellStyle name="Header2 13 2 12 3 5" xfId="14370" xr:uid="{00000000-0005-0000-0000-000026380000}"/>
    <cellStyle name="Header2 13 2 12 3 6" xfId="14371" xr:uid="{00000000-0005-0000-0000-000027380000}"/>
    <cellStyle name="Header2 13 2 12 4" xfId="14372" xr:uid="{00000000-0005-0000-0000-000028380000}"/>
    <cellStyle name="Header2 13 2 12 5" xfId="14373" xr:uid="{00000000-0005-0000-0000-000029380000}"/>
    <cellStyle name="Header2 13 2 13" xfId="14374" xr:uid="{00000000-0005-0000-0000-00002A380000}"/>
    <cellStyle name="Header2 13 2 13 2" xfId="14375" xr:uid="{00000000-0005-0000-0000-00002B380000}"/>
    <cellStyle name="Header2 13 2 13 2 2" xfId="14376" xr:uid="{00000000-0005-0000-0000-00002C380000}"/>
    <cellStyle name="Header2 13 2 13 2 2 2" xfId="14377" xr:uid="{00000000-0005-0000-0000-00002D380000}"/>
    <cellStyle name="Header2 13 2 13 2 2 3" xfId="14378" xr:uid="{00000000-0005-0000-0000-00002E380000}"/>
    <cellStyle name="Header2 13 2 13 2 2 4" xfId="14379" xr:uid="{00000000-0005-0000-0000-00002F380000}"/>
    <cellStyle name="Header2 13 2 13 2 2 5" xfId="14380" xr:uid="{00000000-0005-0000-0000-000030380000}"/>
    <cellStyle name="Header2 13 2 13 2 3" xfId="14381" xr:uid="{00000000-0005-0000-0000-000031380000}"/>
    <cellStyle name="Header2 13 2 13 2 3 2" xfId="14382" xr:uid="{00000000-0005-0000-0000-000032380000}"/>
    <cellStyle name="Header2 13 2 13 2 3 3" xfId="14383" xr:uid="{00000000-0005-0000-0000-000033380000}"/>
    <cellStyle name="Header2 13 2 13 2 3 4" xfId="14384" xr:uid="{00000000-0005-0000-0000-000034380000}"/>
    <cellStyle name="Header2 13 2 13 2 4" xfId="14385" xr:uid="{00000000-0005-0000-0000-000035380000}"/>
    <cellStyle name="Header2 13 2 13 2 5" xfId="14386" xr:uid="{00000000-0005-0000-0000-000036380000}"/>
    <cellStyle name="Header2 13 2 13 2 6" xfId="14387" xr:uid="{00000000-0005-0000-0000-000037380000}"/>
    <cellStyle name="Header2 13 2 13 3" xfId="14388" xr:uid="{00000000-0005-0000-0000-000038380000}"/>
    <cellStyle name="Header2 13 2 13 3 2" xfId="14389" xr:uid="{00000000-0005-0000-0000-000039380000}"/>
    <cellStyle name="Header2 13 2 13 3 2 2" xfId="14390" xr:uid="{00000000-0005-0000-0000-00003A380000}"/>
    <cellStyle name="Header2 13 2 13 3 2 3" xfId="14391" xr:uid="{00000000-0005-0000-0000-00003B380000}"/>
    <cellStyle name="Header2 13 2 13 3 2 4" xfId="14392" xr:uid="{00000000-0005-0000-0000-00003C380000}"/>
    <cellStyle name="Header2 13 2 13 3 3" xfId="14393" xr:uid="{00000000-0005-0000-0000-00003D380000}"/>
    <cellStyle name="Header2 13 2 13 3 3 2" xfId="14394" xr:uid="{00000000-0005-0000-0000-00003E380000}"/>
    <cellStyle name="Header2 13 2 13 3 3 3" xfId="14395" xr:uid="{00000000-0005-0000-0000-00003F380000}"/>
    <cellStyle name="Header2 13 2 13 3 3 4" xfId="14396" xr:uid="{00000000-0005-0000-0000-000040380000}"/>
    <cellStyle name="Header2 13 2 13 3 4" xfId="14397" xr:uid="{00000000-0005-0000-0000-000041380000}"/>
    <cellStyle name="Header2 13 2 13 3 5" xfId="14398" xr:uid="{00000000-0005-0000-0000-000042380000}"/>
    <cellStyle name="Header2 13 2 13 3 6" xfId="14399" xr:uid="{00000000-0005-0000-0000-000043380000}"/>
    <cellStyle name="Header2 13 2 13 4" xfId="14400" xr:uid="{00000000-0005-0000-0000-000044380000}"/>
    <cellStyle name="Header2 13 2 13 5" xfId="14401" xr:uid="{00000000-0005-0000-0000-000045380000}"/>
    <cellStyle name="Header2 13 2 14" xfId="58722" xr:uid="{00000000-0005-0000-0000-000046380000}"/>
    <cellStyle name="Header2 13 2 2" xfId="14402" xr:uid="{00000000-0005-0000-0000-000047380000}"/>
    <cellStyle name="Header2 13 2 2 2" xfId="14403" xr:uid="{00000000-0005-0000-0000-000048380000}"/>
    <cellStyle name="Header2 13 2 2 2 2" xfId="14404" xr:uid="{00000000-0005-0000-0000-000049380000}"/>
    <cellStyle name="Header2 13 2 2 2 2 2" xfId="14405" xr:uid="{00000000-0005-0000-0000-00004A380000}"/>
    <cellStyle name="Header2 13 2 2 2 2 2 2" xfId="14406" xr:uid="{00000000-0005-0000-0000-00004B380000}"/>
    <cellStyle name="Header2 13 2 2 2 2 2 3" xfId="14407" xr:uid="{00000000-0005-0000-0000-00004C380000}"/>
    <cellStyle name="Header2 13 2 2 2 2 2 4" xfId="14408" xr:uid="{00000000-0005-0000-0000-00004D380000}"/>
    <cellStyle name="Header2 13 2 2 2 2 2 5" xfId="14409" xr:uid="{00000000-0005-0000-0000-00004E380000}"/>
    <cellStyle name="Header2 13 2 2 2 2 3" xfId="14410" xr:uid="{00000000-0005-0000-0000-00004F380000}"/>
    <cellStyle name="Header2 13 2 2 2 2 3 2" xfId="14411" xr:uid="{00000000-0005-0000-0000-000050380000}"/>
    <cellStyle name="Header2 13 2 2 2 2 3 3" xfId="14412" xr:uid="{00000000-0005-0000-0000-000051380000}"/>
    <cellStyle name="Header2 13 2 2 2 2 3 4" xfId="14413" xr:uid="{00000000-0005-0000-0000-000052380000}"/>
    <cellStyle name="Header2 13 2 2 2 2 4" xfId="14414" xr:uid="{00000000-0005-0000-0000-000053380000}"/>
    <cellStyle name="Header2 13 2 2 2 2 5" xfId="14415" xr:uid="{00000000-0005-0000-0000-000054380000}"/>
    <cellStyle name="Header2 13 2 2 2 2 6" xfId="14416" xr:uid="{00000000-0005-0000-0000-000055380000}"/>
    <cellStyle name="Header2 13 2 2 2 3" xfId="14417" xr:uid="{00000000-0005-0000-0000-000056380000}"/>
    <cellStyle name="Header2 13 2 2 2 3 2" xfId="14418" xr:uid="{00000000-0005-0000-0000-000057380000}"/>
    <cellStyle name="Header2 13 2 2 2 3 2 2" xfId="14419" xr:uid="{00000000-0005-0000-0000-000058380000}"/>
    <cellStyle name="Header2 13 2 2 2 3 2 3" xfId="14420" xr:uid="{00000000-0005-0000-0000-000059380000}"/>
    <cellStyle name="Header2 13 2 2 2 3 2 4" xfId="14421" xr:uid="{00000000-0005-0000-0000-00005A380000}"/>
    <cellStyle name="Header2 13 2 2 2 3 3" xfId="14422" xr:uid="{00000000-0005-0000-0000-00005B380000}"/>
    <cellStyle name="Header2 13 2 2 2 3 3 2" xfId="14423" xr:uid="{00000000-0005-0000-0000-00005C380000}"/>
    <cellStyle name="Header2 13 2 2 2 3 3 3" xfId="14424" xr:uid="{00000000-0005-0000-0000-00005D380000}"/>
    <cellStyle name="Header2 13 2 2 2 3 3 4" xfId="14425" xr:uid="{00000000-0005-0000-0000-00005E380000}"/>
    <cellStyle name="Header2 13 2 2 2 3 4" xfId="14426" xr:uid="{00000000-0005-0000-0000-00005F380000}"/>
    <cellStyle name="Header2 13 2 2 2 3 5" xfId="14427" xr:uid="{00000000-0005-0000-0000-000060380000}"/>
    <cellStyle name="Header2 13 2 2 2 3 6" xfId="14428" xr:uid="{00000000-0005-0000-0000-000061380000}"/>
    <cellStyle name="Header2 13 2 2 2 4" xfId="14429" xr:uid="{00000000-0005-0000-0000-000062380000}"/>
    <cellStyle name="Header2 13 2 2 2 5" xfId="14430" xr:uid="{00000000-0005-0000-0000-000063380000}"/>
    <cellStyle name="Header2 13 2 2 3" xfId="14431" xr:uid="{00000000-0005-0000-0000-000064380000}"/>
    <cellStyle name="Header2 13 2 2 3 2" xfId="14432" xr:uid="{00000000-0005-0000-0000-000065380000}"/>
    <cellStyle name="Header2 13 2 2 3 2 2" xfId="14433" xr:uid="{00000000-0005-0000-0000-000066380000}"/>
    <cellStyle name="Header2 13 2 2 3 2 2 2" xfId="14434" xr:uid="{00000000-0005-0000-0000-000067380000}"/>
    <cellStyle name="Header2 13 2 2 3 2 2 3" xfId="14435" xr:uid="{00000000-0005-0000-0000-000068380000}"/>
    <cellStyle name="Header2 13 2 2 3 2 2 4" xfId="14436" xr:uid="{00000000-0005-0000-0000-000069380000}"/>
    <cellStyle name="Header2 13 2 2 3 2 2 5" xfId="14437" xr:uid="{00000000-0005-0000-0000-00006A380000}"/>
    <cellStyle name="Header2 13 2 2 3 2 3" xfId="14438" xr:uid="{00000000-0005-0000-0000-00006B380000}"/>
    <cellStyle name="Header2 13 2 2 3 2 3 2" xfId="14439" xr:uid="{00000000-0005-0000-0000-00006C380000}"/>
    <cellStyle name="Header2 13 2 2 3 2 3 3" xfId="14440" xr:uid="{00000000-0005-0000-0000-00006D380000}"/>
    <cellStyle name="Header2 13 2 2 3 2 3 4" xfId="14441" xr:uid="{00000000-0005-0000-0000-00006E380000}"/>
    <cellStyle name="Header2 13 2 2 3 2 4" xfId="14442" xr:uid="{00000000-0005-0000-0000-00006F380000}"/>
    <cellStyle name="Header2 13 2 2 3 2 5" xfId="14443" xr:uid="{00000000-0005-0000-0000-000070380000}"/>
    <cellStyle name="Header2 13 2 2 3 2 6" xfId="14444" xr:uid="{00000000-0005-0000-0000-000071380000}"/>
    <cellStyle name="Header2 13 2 2 3 3" xfId="14445" xr:uid="{00000000-0005-0000-0000-000072380000}"/>
    <cellStyle name="Header2 13 2 2 3 3 2" xfId="14446" xr:uid="{00000000-0005-0000-0000-000073380000}"/>
    <cellStyle name="Header2 13 2 2 3 3 2 2" xfId="14447" xr:uid="{00000000-0005-0000-0000-000074380000}"/>
    <cellStyle name="Header2 13 2 2 3 3 2 3" xfId="14448" xr:uid="{00000000-0005-0000-0000-000075380000}"/>
    <cellStyle name="Header2 13 2 2 3 3 2 4" xfId="14449" xr:uid="{00000000-0005-0000-0000-000076380000}"/>
    <cellStyle name="Header2 13 2 2 3 3 3" xfId="14450" xr:uid="{00000000-0005-0000-0000-000077380000}"/>
    <cellStyle name="Header2 13 2 2 3 3 3 2" xfId="14451" xr:uid="{00000000-0005-0000-0000-000078380000}"/>
    <cellStyle name="Header2 13 2 2 3 3 3 3" xfId="14452" xr:uid="{00000000-0005-0000-0000-000079380000}"/>
    <cellStyle name="Header2 13 2 2 3 3 3 4" xfId="14453" xr:uid="{00000000-0005-0000-0000-00007A380000}"/>
    <cellStyle name="Header2 13 2 2 3 3 4" xfId="14454" xr:uid="{00000000-0005-0000-0000-00007B380000}"/>
    <cellStyle name="Header2 13 2 2 3 3 5" xfId="14455" xr:uid="{00000000-0005-0000-0000-00007C380000}"/>
    <cellStyle name="Header2 13 2 2 3 3 6" xfId="14456" xr:uid="{00000000-0005-0000-0000-00007D380000}"/>
    <cellStyle name="Header2 13 2 2 3 4" xfId="14457" xr:uid="{00000000-0005-0000-0000-00007E380000}"/>
    <cellStyle name="Header2 13 2 2 3 5" xfId="14458" xr:uid="{00000000-0005-0000-0000-00007F380000}"/>
    <cellStyle name="Header2 13 2 3" xfId="14459" xr:uid="{00000000-0005-0000-0000-000080380000}"/>
    <cellStyle name="Header2 13 2 3 2" xfId="14460" xr:uid="{00000000-0005-0000-0000-000081380000}"/>
    <cellStyle name="Header2 13 2 3 2 2" xfId="14461" xr:uid="{00000000-0005-0000-0000-000082380000}"/>
    <cellStyle name="Header2 13 2 3 2 3" xfId="14462" xr:uid="{00000000-0005-0000-0000-000083380000}"/>
    <cellStyle name="Header2 13 2 3 3" xfId="14463" xr:uid="{00000000-0005-0000-0000-000084380000}"/>
    <cellStyle name="Header2 13 2 4" xfId="14464" xr:uid="{00000000-0005-0000-0000-000085380000}"/>
    <cellStyle name="Header2 13 2 4 2" xfId="14465" xr:uid="{00000000-0005-0000-0000-000086380000}"/>
    <cellStyle name="Header2 13 2 4 2 2" xfId="14466" xr:uid="{00000000-0005-0000-0000-000087380000}"/>
    <cellStyle name="Header2 13 2 4 2 3" xfId="14467" xr:uid="{00000000-0005-0000-0000-000088380000}"/>
    <cellStyle name="Header2 13 2 4 3" xfId="14468" xr:uid="{00000000-0005-0000-0000-000089380000}"/>
    <cellStyle name="Header2 13 2 5" xfId="14469" xr:uid="{00000000-0005-0000-0000-00008A380000}"/>
    <cellStyle name="Header2 13 2 5 2" xfId="14470" xr:uid="{00000000-0005-0000-0000-00008B380000}"/>
    <cellStyle name="Header2 13 2 5 2 2" xfId="14471" xr:uid="{00000000-0005-0000-0000-00008C380000}"/>
    <cellStyle name="Header2 13 2 5 2 3" xfId="14472" xr:uid="{00000000-0005-0000-0000-00008D380000}"/>
    <cellStyle name="Header2 13 2 5 3" xfId="14473" xr:uid="{00000000-0005-0000-0000-00008E380000}"/>
    <cellStyle name="Header2 13 2 6" xfId="14474" xr:uid="{00000000-0005-0000-0000-00008F380000}"/>
    <cellStyle name="Header2 13 2 6 2" xfId="14475" xr:uid="{00000000-0005-0000-0000-000090380000}"/>
    <cellStyle name="Header2 13 2 6 2 2" xfId="14476" xr:uid="{00000000-0005-0000-0000-000091380000}"/>
    <cellStyle name="Header2 13 2 6 2 2 2" xfId="14477" xr:uid="{00000000-0005-0000-0000-000092380000}"/>
    <cellStyle name="Header2 13 2 6 2 2 3" xfId="14478" xr:uid="{00000000-0005-0000-0000-000093380000}"/>
    <cellStyle name="Header2 13 2 6 2 2 4" xfId="14479" xr:uid="{00000000-0005-0000-0000-000094380000}"/>
    <cellStyle name="Header2 13 2 6 2 2 5" xfId="14480" xr:uid="{00000000-0005-0000-0000-000095380000}"/>
    <cellStyle name="Header2 13 2 6 2 3" xfId="14481" xr:uid="{00000000-0005-0000-0000-000096380000}"/>
    <cellStyle name="Header2 13 2 6 2 3 2" xfId="14482" xr:uid="{00000000-0005-0000-0000-000097380000}"/>
    <cellStyle name="Header2 13 2 6 2 3 3" xfId="14483" xr:uid="{00000000-0005-0000-0000-000098380000}"/>
    <cellStyle name="Header2 13 2 6 2 3 4" xfId="14484" xr:uid="{00000000-0005-0000-0000-000099380000}"/>
    <cellStyle name="Header2 13 2 6 2 4" xfId="14485" xr:uid="{00000000-0005-0000-0000-00009A380000}"/>
    <cellStyle name="Header2 13 2 6 2 5" xfId="14486" xr:uid="{00000000-0005-0000-0000-00009B380000}"/>
    <cellStyle name="Header2 13 2 6 2 6" xfId="14487" xr:uid="{00000000-0005-0000-0000-00009C380000}"/>
    <cellStyle name="Header2 13 2 6 3" xfId="14488" xr:uid="{00000000-0005-0000-0000-00009D380000}"/>
    <cellStyle name="Header2 13 2 6 3 2" xfId="14489" xr:uid="{00000000-0005-0000-0000-00009E380000}"/>
    <cellStyle name="Header2 13 2 6 3 2 2" xfId="14490" xr:uid="{00000000-0005-0000-0000-00009F380000}"/>
    <cellStyle name="Header2 13 2 6 3 2 3" xfId="14491" xr:uid="{00000000-0005-0000-0000-0000A0380000}"/>
    <cellStyle name="Header2 13 2 6 3 2 4" xfId="14492" xr:uid="{00000000-0005-0000-0000-0000A1380000}"/>
    <cellStyle name="Header2 13 2 6 3 3" xfId="14493" xr:uid="{00000000-0005-0000-0000-0000A2380000}"/>
    <cellStyle name="Header2 13 2 6 3 3 2" xfId="14494" xr:uid="{00000000-0005-0000-0000-0000A3380000}"/>
    <cellStyle name="Header2 13 2 6 3 3 3" xfId="14495" xr:uid="{00000000-0005-0000-0000-0000A4380000}"/>
    <cellStyle name="Header2 13 2 6 3 3 4" xfId="14496" xr:uid="{00000000-0005-0000-0000-0000A5380000}"/>
    <cellStyle name="Header2 13 2 6 3 4" xfId="14497" xr:uid="{00000000-0005-0000-0000-0000A6380000}"/>
    <cellStyle name="Header2 13 2 6 3 5" xfId="14498" xr:uid="{00000000-0005-0000-0000-0000A7380000}"/>
    <cellStyle name="Header2 13 2 6 3 6" xfId="14499" xr:uid="{00000000-0005-0000-0000-0000A8380000}"/>
    <cellStyle name="Header2 13 2 6 4" xfId="14500" xr:uid="{00000000-0005-0000-0000-0000A9380000}"/>
    <cellStyle name="Header2 13 2 6 5" xfId="14501" xr:uid="{00000000-0005-0000-0000-0000AA380000}"/>
    <cellStyle name="Header2 13 2 7" xfId="14502" xr:uid="{00000000-0005-0000-0000-0000AB380000}"/>
    <cellStyle name="Header2 13 2 7 2" xfId="14503" xr:uid="{00000000-0005-0000-0000-0000AC380000}"/>
    <cellStyle name="Header2 13 2 7 2 2" xfId="14504" xr:uid="{00000000-0005-0000-0000-0000AD380000}"/>
    <cellStyle name="Header2 13 2 7 2 2 2" xfId="14505" xr:uid="{00000000-0005-0000-0000-0000AE380000}"/>
    <cellStyle name="Header2 13 2 7 2 2 3" xfId="14506" xr:uid="{00000000-0005-0000-0000-0000AF380000}"/>
    <cellStyle name="Header2 13 2 7 2 2 4" xfId="14507" xr:uid="{00000000-0005-0000-0000-0000B0380000}"/>
    <cellStyle name="Header2 13 2 7 2 2 5" xfId="14508" xr:uid="{00000000-0005-0000-0000-0000B1380000}"/>
    <cellStyle name="Header2 13 2 7 2 3" xfId="14509" xr:uid="{00000000-0005-0000-0000-0000B2380000}"/>
    <cellStyle name="Header2 13 2 7 2 3 2" xfId="14510" xr:uid="{00000000-0005-0000-0000-0000B3380000}"/>
    <cellStyle name="Header2 13 2 7 2 3 3" xfId="14511" xr:uid="{00000000-0005-0000-0000-0000B4380000}"/>
    <cellStyle name="Header2 13 2 7 2 3 4" xfId="14512" xr:uid="{00000000-0005-0000-0000-0000B5380000}"/>
    <cellStyle name="Header2 13 2 7 2 4" xfId="14513" xr:uid="{00000000-0005-0000-0000-0000B6380000}"/>
    <cellStyle name="Header2 13 2 7 2 5" xfId="14514" xr:uid="{00000000-0005-0000-0000-0000B7380000}"/>
    <cellStyle name="Header2 13 2 7 2 6" xfId="14515" xr:uid="{00000000-0005-0000-0000-0000B8380000}"/>
    <cellStyle name="Header2 13 2 7 3" xfId="14516" xr:uid="{00000000-0005-0000-0000-0000B9380000}"/>
    <cellStyle name="Header2 13 2 7 3 2" xfId="14517" xr:uid="{00000000-0005-0000-0000-0000BA380000}"/>
    <cellStyle name="Header2 13 2 7 3 2 2" xfId="14518" xr:uid="{00000000-0005-0000-0000-0000BB380000}"/>
    <cellStyle name="Header2 13 2 7 3 2 3" xfId="14519" xr:uid="{00000000-0005-0000-0000-0000BC380000}"/>
    <cellStyle name="Header2 13 2 7 3 2 4" xfId="14520" xr:uid="{00000000-0005-0000-0000-0000BD380000}"/>
    <cellStyle name="Header2 13 2 7 3 3" xfId="14521" xr:uid="{00000000-0005-0000-0000-0000BE380000}"/>
    <cellStyle name="Header2 13 2 7 3 3 2" xfId="14522" xr:uid="{00000000-0005-0000-0000-0000BF380000}"/>
    <cellStyle name="Header2 13 2 7 3 3 3" xfId="14523" xr:uid="{00000000-0005-0000-0000-0000C0380000}"/>
    <cellStyle name="Header2 13 2 7 3 3 4" xfId="14524" xr:uid="{00000000-0005-0000-0000-0000C1380000}"/>
    <cellStyle name="Header2 13 2 7 3 4" xfId="14525" xr:uid="{00000000-0005-0000-0000-0000C2380000}"/>
    <cellStyle name="Header2 13 2 7 3 5" xfId="14526" xr:uid="{00000000-0005-0000-0000-0000C3380000}"/>
    <cellStyle name="Header2 13 2 7 3 6" xfId="14527" xr:uid="{00000000-0005-0000-0000-0000C4380000}"/>
    <cellStyle name="Header2 13 2 7 4" xfId="14528" xr:uid="{00000000-0005-0000-0000-0000C5380000}"/>
    <cellStyle name="Header2 13 2 7 5" xfId="14529" xr:uid="{00000000-0005-0000-0000-0000C6380000}"/>
    <cellStyle name="Header2 13 2 8" xfId="14530" xr:uid="{00000000-0005-0000-0000-0000C7380000}"/>
    <cellStyle name="Header2 13 2 8 2" xfId="14531" xr:uid="{00000000-0005-0000-0000-0000C8380000}"/>
    <cellStyle name="Header2 13 2 8 2 2" xfId="14532" xr:uid="{00000000-0005-0000-0000-0000C9380000}"/>
    <cellStyle name="Header2 13 2 8 2 2 2" xfId="14533" xr:uid="{00000000-0005-0000-0000-0000CA380000}"/>
    <cellStyle name="Header2 13 2 8 2 2 3" xfId="14534" xr:uid="{00000000-0005-0000-0000-0000CB380000}"/>
    <cellStyle name="Header2 13 2 8 2 2 4" xfId="14535" xr:uid="{00000000-0005-0000-0000-0000CC380000}"/>
    <cellStyle name="Header2 13 2 8 2 2 5" xfId="14536" xr:uid="{00000000-0005-0000-0000-0000CD380000}"/>
    <cellStyle name="Header2 13 2 8 2 3" xfId="14537" xr:uid="{00000000-0005-0000-0000-0000CE380000}"/>
    <cellStyle name="Header2 13 2 8 2 3 2" xfId="14538" xr:uid="{00000000-0005-0000-0000-0000CF380000}"/>
    <cellStyle name="Header2 13 2 8 2 3 3" xfId="14539" xr:uid="{00000000-0005-0000-0000-0000D0380000}"/>
    <cellStyle name="Header2 13 2 8 2 3 4" xfId="14540" xr:uid="{00000000-0005-0000-0000-0000D1380000}"/>
    <cellStyle name="Header2 13 2 8 2 4" xfId="14541" xr:uid="{00000000-0005-0000-0000-0000D2380000}"/>
    <cellStyle name="Header2 13 2 8 2 5" xfId="14542" xr:uid="{00000000-0005-0000-0000-0000D3380000}"/>
    <cellStyle name="Header2 13 2 8 2 6" xfId="14543" xr:uid="{00000000-0005-0000-0000-0000D4380000}"/>
    <cellStyle name="Header2 13 2 8 3" xfId="14544" xr:uid="{00000000-0005-0000-0000-0000D5380000}"/>
    <cellStyle name="Header2 13 2 8 3 2" xfId="14545" xr:uid="{00000000-0005-0000-0000-0000D6380000}"/>
    <cellStyle name="Header2 13 2 8 3 2 2" xfId="14546" xr:uid="{00000000-0005-0000-0000-0000D7380000}"/>
    <cellStyle name="Header2 13 2 8 3 2 3" xfId="14547" xr:uid="{00000000-0005-0000-0000-0000D8380000}"/>
    <cellStyle name="Header2 13 2 8 3 2 4" xfId="14548" xr:uid="{00000000-0005-0000-0000-0000D9380000}"/>
    <cellStyle name="Header2 13 2 8 3 3" xfId="14549" xr:uid="{00000000-0005-0000-0000-0000DA380000}"/>
    <cellStyle name="Header2 13 2 8 3 3 2" xfId="14550" xr:uid="{00000000-0005-0000-0000-0000DB380000}"/>
    <cellStyle name="Header2 13 2 8 3 3 3" xfId="14551" xr:uid="{00000000-0005-0000-0000-0000DC380000}"/>
    <cellStyle name="Header2 13 2 8 3 3 4" xfId="14552" xr:uid="{00000000-0005-0000-0000-0000DD380000}"/>
    <cellStyle name="Header2 13 2 8 3 4" xfId="14553" xr:uid="{00000000-0005-0000-0000-0000DE380000}"/>
    <cellStyle name="Header2 13 2 8 3 5" xfId="14554" xr:uid="{00000000-0005-0000-0000-0000DF380000}"/>
    <cellStyle name="Header2 13 2 8 3 6" xfId="14555" xr:uid="{00000000-0005-0000-0000-0000E0380000}"/>
    <cellStyle name="Header2 13 2 8 4" xfId="14556" xr:uid="{00000000-0005-0000-0000-0000E1380000}"/>
    <cellStyle name="Header2 13 2 8 5" xfId="14557" xr:uid="{00000000-0005-0000-0000-0000E2380000}"/>
    <cellStyle name="Header2 13 2 9" xfId="14558" xr:uid="{00000000-0005-0000-0000-0000E3380000}"/>
    <cellStyle name="Header2 13 2 9 2" xfId="14559" xr:uid="{00000000-0005-0000-0000-0000E4380000}"/>
    <cellStyle name="Header2 13 2 9 2 2" xfId="14560" xr:uid="{00000000-0005-0000-0000-0000E5380000}"/>
    <cellStyle name="Header2 13 2 9 2 2 2" xfId="14561" xr:uid="{00000000-0005-0000-0000-0000E6380000}"/>
    <cellStyle name="Header2 13 2 9 2 2 3" xfId="14562" xr:uid="{00000000-0005-0000-0000-0000E7380000}"/>
    <cellStyle name="Header2 13 2 9 2 2 4" xfId="14563" xr:uid="{00000000-0005-0000-0000-0000E8380000}"/>
    <cellStyle name="Header2 13 2 9 2 2 5" xfId="14564" xr:uid="{00000000-0005-0000-0000-0000E9380000}"/>
    <cellStyle name="Header2 13 2 9 2 3" xfId="14565" xr:uid="{00000000-0005-0000-0000-0000EA380000}"/>
    <cellStyle name="Header2 13 2 9 2 3 2" xfId="14566" xr:uid="{00000000-0005-0000-0000-0000EB380000}"/>
    <cellStyle name="Header2 13 2 9 2 3 3" xfId="14567" xr:uid="{00000000-0005-0000-0000-0000EC380000}"/>
    <cellStyle name="Header2 13 2 9 2 3 4" xfId="14568" xr:uid="{00000000-0005-0000-0000-0000ED380000}"/>
    <cellStyle name="Header2 13 2 9 2 4" xfId="14569" xr:uid="{00000000-0005-0000-0000-0000EE380000}"/>
    <cellStyle name="Header2 13 2 9 2 5" xfId="14570" xr:uid="{00000000-0005-0000-0000-0000EF380000}"/>
    <cellStyle name="Header2 13 2 9 2 6" xfId="14571" xr:uid="{00000000-0005-0000-0000-0000F0380000}"/>
    <cellStyle name="Header2 13 2 9 3" xfId="14572" xr:uid="{00000000-0005-0000-0000-0000F1380000}"/>
    <cellStyle name="Header2 13 2 9 3 2" xfId="14573" xr:uid="{00000000-0005-0000-0000-0000F2380000}"/>
    <cellStyle name="Header2 13 2 9 3 2 2" xfId="14574" xr:uid="{00000000-0005-0000-0000-0000F3380000}"/>
    <cellStyle name="Header2 13 2 9 3 2 3" xfId="14575" xr:uid="{00000000-0005-0000-0000-0000F4380000}"/>
    <cellStyle name="Header2 13 2 9 3 2 4" xfId="14576" xr:uid="{00000000-0005-0000-0000-0000F5380000}"/>
    <cellStyle name="Header2 13 2 9 3 3" xfId="14577" xr:uid="{00000000-0005-0000-0000-0000F6380000}"/>
    <cellStyle name="Header2 13 2 9 3 3 2" xfId="14578" xr:uid="{00000000-0005-0000-0000-0000F7380000}"/>
    <cellStyle name="Header2 13 2 9 3 3 3" xfId="14579" xr:uid="{00000000-0005-0000-0000-0000F8380000}"/>
    <cellStyle name="Header2 13 2 9 3 3 4" xfId="14580" xr:uid="{00000000-0005-0000-0000-0000F9380000}"/>
    <cellStyle name="Header2 13 2 9 3 4" xfId="14581" xr:uid="{00000000-0005-0000-0000-0000FA380000}"/>
    <cellStyle name="Header2 13 2 9 3 5" xfId="14582" xr:uid="{00000000-0005-0000-0000-0000FB380000}"/>
    <cellStyle name="Header2 13 2 9 3 6" xfId="14583" xr:uid="{00000000-0005-0000-0000-0000FC380000}"/>
    <cellStyle name="Header2 13 2 9 4" xfId="14584" xr:uid="{00000000-0005-0000-0000-0000FD380000}"/>
    <cellStyle name="Header2 13 2 9 5" xfId="14585" xr:uid="{00000000-0005-0000-0000-0000FE380000}"/>
    <cellStyle name="Header2 13 3" xfId="14586" xr:uid="{00000000-0005-0000-0000-0000FF380000}"/>
    <cellStyle name="Header2 13 3 10" xfId="14587" xr:uid="{00000000-0005-0000-0000-000000390000}"/>
    <cellStyle name="Header2 13 3 10 2" xfId="14588" xr:uid="{00000000-0005-0000-0000-000001390000}"/>
    <cellStyle name="Header2 13 3 10 2 2" xfId="14589" xr:uid="{00000000-0005-0000-0000-000002390000}"/>
    <cellStyle name="Header2 13 3 10 2 2 2" xfId="14590" xr:uid="{00000000-0005-0000-0000-000003390000}"/>
    <cellStyle name="Header2 13 3 10 2 2 3" xfId="14591" xr:uid="{00000000-0005-0000-0000-000004390000}"/>
    <cellStyle name="Header2 13 3 10 2 2 4" xfId="14592" xr:uid="{00000000-0005-0000-0000-000005390000}"/>
    <cellStyle name="Header2 13 3 10 2 2 5" xfId="14593" xr:uid="{00000000-0005-0000-0000-000006390000}"/>
    <cellStyle name="Header2 13 3 10 2 3" xfId="14594" xr:uid="{00000000-0005-0000-0000-000007390000}"/>
    <cellStyle name="Header2 13 3 10 2 3 2" xfId="14595" xr:uid="{00000000-0005-0000-0000-000008390000}"/>
    <cellStyle name="Header2 13 3 10 2 3 3" xfId="14596" xr:uid="{00000000-0005-0000-0000-000009390000}"/>
    <cellStyle name="Header2 13 3 10 2 3 4" xfId="14597" xr:uid="{00000000-0005-0000-0000-00000A390000}"/>
    <cellStyle name="Header2 13 3 10 2 4" xfId="14598" xr:uid="{00000000-0005-0000-0000-00000B390000}"/>
    <cellStyle name="Header2 13 3 10 2 5" xfId="14599" xr:uid="{00000000-0005-0000-0000-00000C390000}"/>
    <cellStyle name="Header2 13 3 10 2 6" xfId="14600" xr:uid="{00000000-0005-0000-0000-00000D390000}"/>
    <cellStyle name="Header2 13 3 10 3" xfId="14601" xr:uid="{00000000-0005-0000-0000-00000E390000}"/>
    <cellStyle name="Header2 13 3 10 3 2" xfId="14602" xr:uid="{00000000-0005-0000-0000-00000F390000}"/>
    <cellStyle name="Header2 13 3 10 3 2 2" xfId="14603" xr:uid="{00000000-0005-0000-0000-000010390000}"/>
    <cellStyle name="Header2 13 3 10 3 2 3" xfId="14604" xr:uid="{00000000-0005-0000-0000-000011390000}"/>
    <cellStyle name="Header2 13 3 10 3 2 4" xfId="14605" xr:uid="{00000000-0005-0000-0000-000012390000}"/>
    <cellStyle name="Header2 13 3 10 3 3" xfId="14606" xr:uid="{00000000-0005-0000-0000-000013390000}"/>
    <cellStyle name="Header2 13 3 10 3 3 2" xfId="14607" xr:uid="{00000000-0005-0000-0000-000014390000}"/>
    <cellStyle name="Header2 13 3 10 3 3 3" xfId="14608" xr:uid="{00000000-0005-0000-0000-000015390000}"/>
    <cellStyle name="Header2 13 3 10 3 3 4" xfId="14609" xr:uid="{00000000-0005-0000-0000-000016390000}"/>
    <cellStyle name="Header2 13 3 10 3 4" xfId="14610" xr:uid="{00000000-0005-0000-0000-000017390000}"/>
    <cellStyle name="Header2 13 3 10 3 5" xfId="14611" xr:uid="{00000000-0005-0000-0000-000018390000}"/>
    <cellStyle name="Header2 13 3 10 3 6" xfId="14612" xr:uid="{00000000-0005-0000-0000-000019390000}"/>
    <cellStyle name="Header2 13 3 10 4" xfId="14613" xr:uid="{00000000-0005-0000-0000-00001A390000}"/>
    <cellStyle name="Header2 13 3 10 5" xfId="14614" xr:uid="{00000000-0005-0000-0000-00001B390000}"/>
    <cellStyle name="Header2 13 3 11" xfId="14615" xr:uid="{00000000-0005-0000-0000-00001C390000}"/>
    <cellStyle name="Header2 13 3 11 2" xfId="14616" xr:uid="{00000000-0005-0000-0000-00001D390000}"/>
    <cellStyle name="Header2 13 3 11 2 2" xfId="14617" xr:uid="{00000000-0005-0000-0000-00001E390000}"/>
    <cellStyle name="Header2 13 3 11 2 2 2" xfId="14618" xr:uid="{00000000-0005-0000-0000-00001F390000}"/>
    <cellStyle name="Header2 13 3 11 2 2 3" xfId="14619" xr:uid="{00000000-0005-0000-0000-000020390000}"/>
    <cellStyle name="Header2 13 3 11 2 2 4" xfId="14620" xr:uid="{00000000-0005-0000-0000-000021390000}"/>
    <cellStyle name="Header2 13 3 11 2 2 5" xfId="14621" xr:uid="{00000000-0005-0000-0000-000022390000}"/>
    <cellStyle name="Header2 13 3 11 2 3" xfId="14622" xr:uid="{00000000-0005-0000-0000-000023390000}"/>
    <cellStyle name="Header2 13 3 11 2 3 2" xfId="14623" xr:uid="{00000000-0005-0000-0000-000024390000}"/>
    <cellStyle name="Header2 13 3 11 2 3 3" xfId="14624" xr:uid="{00000000-0005-0000-0000-000025390000}"/>
    <cellStyle name="Header2 13 3 11 2 3 4" xfId="14625" xr:uid="{00000000-0005-0000-0000-000026390000}"/>
    <cellStyle name="Header2 13 3 11 2 4" xfId="14626" xr:uid="{00000000-0005-0000-0000-000027390000}"/>
    <cellStyle name="Header2 13 3 11 2 5" xfId="14627" xr:uid="{00000000-0005-0000-0000-000028390000}"/>
    <cellStyle name="Header2 13 3 11 2 6" xfId="14628" xr:uid="{00000000-0005-0000-0000-000029390000}"/>
    <cellStyle name="Header2 13 3 11 3" xfId="14629" xr:uid="{00000000-0005-0000-0000-00002A390000}"/>
    <cellStyle name="Header2 13 3 11 3 2" xfId="14630" xr:uid="{00000000-0005-0000-0000-00002B390000}"/>
    <cellStyle name="Header2 13 3 11 3 2 2" xfId="14631" xr:uid="{00000000-0005-0000-0000-00002C390000}"/>
    <cellStyle name="Header2 13 3 11 3 2 3" xfId="14632" xr:uid="{00000000-0005-0000-0000-00002D390000}"/>
    <cellStyle name="Header2 13 3 11 3 2 4" xfId="14633" xr:uid="{00000000-0005-0000-0000-00002E390000}"/>
    <cellStyle name="Header2 13 3 11 3 3" xfId="14634" xr:uid="{00000000-0005-0000-0000-00002F390000}"/>
    <cellStyle name="Header2 13 3 11 3 3 2" xfId="14635" xr:uid="{00000000-0005-0000-0000-000030390000}"/>
    <cellStyle name="Header2 13 3 11 3 3 3" xfId="14636" xr:uid="{00000000-0005-0000-0000-000031390000}"/>
    <cellStyle name="Header2 13 3 11 3 3 4" xfId="14637" xr:uid="{00000000-0005-0000-0000-000032390000}"/>
    <cellStyle name="Header2 13 3 11 3 4" xfId="14638" xr:uid="{00000000-0005-0000-0000-000033390000}"/>
    <cellStyle name="Header2 13 3 11 3 5" xfId="14639" xr:uid="{00000000-0005-0000-0000-000034390000}"/>
    <cellStyle name="Header2 13 3 11 3 6" xfId="14640" xr:uid="{00000000-0005-0000-0000-000035390000}"/>
    <cellStyle name="Header2 13 3 11 4" xfId="14641" xr:uid="{00000000-0005-0000-0000-000036390000}"/>
    <cellStyle name="Header2 13 3 11 5" xfId="14642" xr:uid="{00000000-0005-0000-0000-000037390000}"/>
    <cellStyle name="Header2 13 3 12" xfId="14643" xr:uid="{00000000-0005-0000-0000-000038390000}"/>
    <cellStyle name="Header2 13 3 12 2" xfId="14644" xr:uid="{00000000-0005-0000-0000-000039390000}"/>
    <cellStyle name="Header2 13 3 12 2 2" xfId="14645" xr:uid="{00000000-0005-0000-0000-00003A390000}"/>
    <cellStyle name="Header2 13 3 12 2 2 2" xfId="14646" xr:uid="{00000000-0005-0000-0000-00003B390000}"/>
    <cellStyle name="Header2 13 3 12 2 2 3" xfId="14647" xr:uid="{00000000-0005-0000-0000-00003C390000}"/>
    <cellStyle name="Header2 13 3 12 2 2 4" xfId="14648" xr:uid="{00000000-0005-0000-0000-00003D390000}"/>
    <cellStyle name="Header2 13 3 12 2 2 5" xfId="14649" xr:uid="{00000000-0005-0000-0000-00003E390000}"/>
    <cellStyle name="Header2 13 3 12 2 3" xfId="14650" xr:uid="{00000000-0005-0000-0000-00003F390000}"/>
    <cellStyle name="Header2 13 3 12 2 3 2" xfId="14651" xr:uid="{00000000-0005-0000-0000-000040390000}"/>
    <cellStyle name="Header2 13 3 12 2 3 3" xfId="14652" xr:uid="{00000000-0005-0000-0000-000041390000}"/>
    <cellStyle name="Header2 13 3 12 2 3 4" xfId="14653" xr:uid="{00000000-0005-0000-0000-000042390000}"/>
    <cellStyle name="Header2 13 3 12 2 4" xfId="14654" xr:uid="{00000000-0005-0000-0000-000043390000}"/>
    <cellStyle name="Header2 13 3 12 2 5" xfId="14655" xr:uid="{00000000-0005-0000-0000-000044390000}"/>
    <cellStyle name="Header2 13 3 12 2 6" xfId="14656" xr:uid="{00000000-0005-0000-0000-000045390000}"/>
    <cellStyle name="Header2 13 3 12 3" xfId="14657" xr:uid="{00000000-0005-0000-0000-000046390000}"/>
    <cellStyle name="Header2 13 3 12 3 2" xfId="14658" xr:uid="{00000000-0005-0000-0000-000047390000}"/>
    <cellStyle name="Header2 13 3 12 3 2 2" xfId="14659" xr:uid="{00000000-0005-0000-0000-000048390000}"/>
    <cellStyle name="Header2 13 3 12 3 2 3" xfId="14660" xr:uid="{00000000-0005-0000-0000-000049390000}"/>
    <cellStyle name="Header2 13 3 12 3 2 4" xfId="14661" xr:uid="{00000000-0005-0000-0000-00004A390000}"/>
    <cellStyle name="Header2 13 3 12 3 3" xfId="14662" xr:uid="{00000000-0005-0000-0000-00004B390000}"/>
    <cellStyle name="Header2 13 3 12 3 3 2" xfId="14663" xr:uid="{00000000-0005-0000-0000-00004C390000}"/>
    <cellStyle name="Header2 13 3 12 3 3 3" xfId="14664" xr:uid="{00000000-0005-0000-0000-00004D390000}"/>
    <cellStyle name="Header2 13 3 12 3 3 4" xfId="14665" xr:uid="{00000000-0005-0000-0000-00004E390000}"/>
    <cellStyle name="Header2 13 3 12 3 4" xfId="14666" xr:uid="{00000000-0005-0000-0000-00004F390000}"/>
    <cellStyle name="Header2 13 3 12 3 5" xfId="14667" xr:uid="{00000000-0005-0000-0000-000050390000}"/>
    <cellStyle name="Header2 13 3 12 3 6" xfId="14668" xr:uid="{00000000-0005-0000-0000-000051390000}"/>
    <cellStyle name="Header2 13 3 12 4" xfId="14669" xr:uid="{00000000-0005-0000-0000-000052390000}"/>
    <cellStyle name="Header2 13 3 12 5" xfId="14670" xr:uid="{00000000-0005-0000-0000-000053390000}"/>
    <cellStyle name="Header2 13 3 13" xfId="58723" xr:uid="{00000000-0005-0000-0000-000054390000}"/>
    <cellStyle name="Header2 13 3 2" xfId="14671" xr:uid="{00000000-0005-0000-0000-000055390000}"/>
    <cellStyle name="Header2 13 3 2 2" xfId="14672" xr:uid="{00000000-0005-0000-0000-000056390000}"/>
    <cellStyle name="Header2 13 3 2 2 2" xfId="14673" xr:uid="{00000000-0005-0000-0000-000057390000}"/>
    <cellStyle name="Header2 13 3 2 2 3" xfId="14674" xr:uid="{00000000-0005-0000-0000-000058390000}"/>
    <cellStyle name="Header2 13 3 2 3" xfId="14675" xr:uid="{00000000-0005-0000-0000-000059390000}"/>
    <cellStyle name="Header2 13 3 3" xfId="14676" xr:uid="{00000000-0005-0000-0000-00005A390000}"/>
    <cellStyle name="Header2 13 3 3 2" xfId="14677" xr:uid="{00000000-0005-0000-0000-00005B390000}"/>
    <cellStyle name="Header2 13 3 3 2 2" xfId="14678" xr:uid="{00000000-0005-0000-0000-00005C390000}"/>
    <cellStyle name="Header2 13 3 3 2 3" xfId="14679" xr:uid="{00000000-0005-0000-0000-00005D390000}"/>
    <cellStyle name="Header2 13 3 3 3" xfId="14680" xr:uid="{00000000-0005-0000-0000-00005E390000}"/>
    <cellStyle name="Header2 13 3 4" xfId="14681" xr:uid="{00000000-0005-0000-0000-00005F390000}"/>
    <cellStyle name="Header2 13 3 4 2" xfId="14682" xr:uid="{00000000-0005-0000-0000-000060390000}"/>
    <cellStyle name="Header2 13 3 4 2 2" xfId="14683" xr:uid="{00000000-0005-0000-0000-000061390000}"/>
    <cellStyle name="Header2 13 3 4 2 3" xfId="14684" xr:uid="{00000000-0005-0000-0000-000062390000}"/>
    <cellStyle name="Header2 13 3 4 3" xfId="14685" xr:uid="{00000000-0005-0000-0000-000063390000}"/>
    <cellStyle name="Header2 13 3 5" xfId="14686" xr:uid="{00000000-0005-0000-0000-000064390000}"/>
    <cellStyle name="Header2 13 3 5 2" xfId="14687" xr:uid="{00000000-0005-0000-0000-000065390000}"/>
    <cellStyle name="Header2 13 3 5 2 2" xfId="14688" xr:uid="{00000000-0005-0000-0000-000066390000}"/>
    <cellStyle name="Header2 13 3 5 2 2 2" xfId="14689" xr:uid="{00000000-0005-0000-0000-000067390000}"/>
    <cellStyle name="Header2 13 3 5 2 2 3" xfId="14690" xr:uid="{00000000-0005-0000-0000-000068390000}"/>
    <cellStyle name="Header2 13 3 5 2 2 4" xfId="14691" xr:uid="{00000000-0005-0000-0000-000069390000}"/>
    <cellStyle name="Header2 13 3 5 2 2 5" xfId="14692" xr:uid="{00000000-0005-0000-0000-00006A390000}"/>
    <cellStyle name="Header2 13 3 5 2 3" xfId="14693" xr:uid="{00000000-0005-0000-0000-00006B390000}"/>
    <cellStyle name="Header2 13 3 5 2 3 2" xfId="14694" xr:uid="{00000000-0005-0000-0000-00006C390000}"/>
    <cellStyle name="Header2 13 3 5 2 3 3" xfId="14695" xr:uid="{00000000-0005-0000-0000-00006D390000}"/>
    <cellStyle name="Header2 13 3 5 2 3 4" xfId="14696" xr:uid="{00000000-0005-0000-0000-00006E390000}"/>
    <cellStyle name="Header2 13 3 5 2 4" xfId="14697" xr:uid="{00000000-0005-0000-0000-00006F390000}"/>
    <cellStyle name="Header2 13 3 5 2 5" xfId="14698" xr:uid="{00000000-0005-0000-0000-000070390000}"/>
    <cellStyle name="Header2 13 3 5 2 6" xfId="14699" xr:uid="{00000000-0005-0000-0000-000071390000}"/>
    <cellStyle name="Header2 13 3 5 3" xfId="14700" xr:uid="{00000000-0005-0000-0000-000072390000}"/>
    <cellStyle name="Header2 13 3 5 3 2" xfId="14701" xr:uid="{00000000-0005-0000-0000-000073390000}"/>
    <cellStyle name="Header2 13 3 5 3 2 2" xfId="14702" xr:uid="{00000000-0005-0000-0000-000074390000}"/>
    <cellStyle name="Header2 13 3 5 3 2 3" xfId="14703" xr:uid="{00000000-0005-0000-0000-000075390000}"/>
    <cellStyle name="Header2 13 3 5 3 2 4" xfId="14704" xr:uid="{00000000-0005-0000-0000-000076390000}"/>
    <cellStyle name="Header2 13 3 5 3 3" xfId="14705" xr:uid="{00000000-0005-0000-0000-000077390000}"/>
    <cellStyle name="Header2 13 3 5 3 3 2" xfId="14706" xr:uid="{00000000-0005-0000-0000-000078390000}"/>
    <cellStyle name="Header2 13 3 5 3 3 3" xfId="14707" xr:uid="{00000000-0005-0000-0000-000079390000}"/>
    <cellStyle name="Header2 13 3 5 3 3 4" xfId="14708" xr:uid="{00000000-0005-0000-0000-00007A390000}"/>
    <cellStyle name="Header2 13 3 5 3 4" xfId="14709" xr:uid="{00000000-0005-0000-0000-00007B390000}"/>
    <cellStyle name="Header2 13 3 5 3 5" xfId="14710" xr:uid="{00000000-0005-0000-0000-00007C390000}"/>
    <cellStyle name="Header2 13 3 5 3 6" xfId="14711" xr:uid="{00000000-0005-0000-0000-00007D390000}"/>
    <cellStyle name="Header2 13 3 5 4" xfId="14712" xr:uid="{00000000-0005-0000-0000-00007E390000}"/>
    <cellStyle name="Header2 13 3 5 5" xfId="14713" xr:uid="{00000000-0005-0000-0000-00007F390000}"/>
    <cellStyle name="Header2 13 3 6" xfId="14714" xr:uid="{00000000-0005-0000-0000-000080390000}"/>
    <cellStyle name="Header2 13 3 6 2" xfId="14715" xr:uid="{00000000-0005-0000-0000-000081390000}"/>
    <cellStyle name="Header2 13 3 6 2 2" xfId="14716" xr:uid="{00000000-0005-0000-0000-000082390000}"/>
    <cellStyle name="Header2 13 3 6 2 2 2" xfId="14717" xr:uid="{00000000-0005-0000-0000-000083390000}"/>
    <cellStyle name="Header2 13 3 6 2 2 3" xfId="14718" xr:uid="{00000000-0005-0000-0000-000084390000}"/>
    <cellStyle name="Header2 13 3 6 2 2 4" xfId="14719" xr:uid="{00000000-0005-0000-0000-000085390000}"/>
    <cellStyle name="Header2 13 3 6 2 2 5" xfId="14720" xr:uid="{00000000-0005-0000-0000-000086390000}"/>
    <cellStyle name="Header2 13 3 6 2 3" xfId="14721" xr:uid="{00000000-0005-0000-0000-000087390000}"/>
    <cellStyle name="Header2 13 3 6 2 3 2" xfId="14722" xr:uid="{00000000-0005-0000-0000-000088390000}"/>
    <cellStyle name="Header2 13 3 6 2 3 3" xfId="14723" xr:uid="{00000000-0005-0000-0000-000089390000}"/>
    <cellStyle name="Header2 13 3 6 2 3 4" xfId="14724" xr:uid="{00000000-0005-0000-0000-00008A390000}"/>
    <cellStyle name="Header2 13 3 6 2 4" xfId="14725" xr:uid="{00000000-0005-0000-0000-00008B390000}"/>
    <cellStyle name="Header2 13 3 6 2 5" xfId="14726" xr:uid="{00000000-0005-0000-0000-00008C390000}"/>
    <cellStyle name="Header2 13 3 6 2 6" xfId="14727" xr:uid="{00000000-0005-0000-0000-00008D390000}"/>
    <cellStyle name="Header2 13 3 6 3" xfId="14728" xr:uid="{00000000-0005-0000-0000-00008E390000}"/>
    <cellStyle name="Header2 13 3 6 3 2" xfId="14729" xr:uid="{00000000-0005-0000-0000-00008F390000}"/>
    <cellStyle name="Header2 13 3 6 3 2 2" xfId="14730" xr:uid="{00000000-0005-0000-0000-000090390000}"/>
    <cellStyle name="Header2 13 3 6 3 2 3" xfId="14731" xr:uid="{00000000-0005-0000-0000-000091390000}"/>
    <cellStyle name="Header2 13 3 6 3 2 4" xfId="14732" xr:uid="{00000000-0005-0000-0000-000092390000}"/>
    <cellStyle name="Header2 13 3 6 3 3" xfId="14733" xr:uid="{00000000-0005-0000-0000-000093390000}"/>
    <cellStyle name="Header2 13 3 6 3 3 2" xfId="14734" xr:uid="{00000000-0005-0000-0000-000094390000}"/>
    <cellStyle name="Header2 13 3 6 3 3 3" xfId="14735" xr:uid="{00000000-0005-0000-0000-000095390000}"/>
    <cellStyle name="Header2 13 3 6 3 3 4" xfId="14736" xr:uid="{00000000-0005-0000-0000-000096390000}"/>
    <cellStyle name="Header2 13 3 6 3 4" xfId="14737" xr:uid="{00000000-0005-0000-0000-000097390000}"/>
    <cellStyle name="Header2 13 3 6 3 5" xfId="14738" xr:uid="{00000000-0005-0000-0000-000098390000}"/>
    <cellStyle name="Header2 13 3 6 3 6" xfId="14739" xr:uid="{00000000-0005-0000-0000-000099390000}"/>
    <cellStyle name="Header2 13 3 6 4" xfId="14740" xr:uid="{00000000-0005-0000-0000-00009A390000}"/>
    <cellStyle name="Header2 13 3 6 5" xfId="14741" xr:uid="{00000000-0005-0000-0000-00009B390000}"/>
    <cellStyle name="Header2 13 3 7" xfId="14742" xr:uid="{00000000-0005-0000-0000-00009C390000}"/>
    <cellStyle name="Header2 13 3 7 2" xfId="14743" xr:uid="{00000000-0005-0000-0000-00009D390000}"/>
    <cellStyle name="Header2 13 3 7 2 2" xfId="14744" xr:uid="{00000000-0005-0000-0000-00009E390000}"/>
    <cellStyle name="Header2 13 3 7 2 2 2" xfId="14745" xr:uid="{00000000-0005-0000-0000-00009F390000}"/>
    <cellStyle name="Header2 13 3 7 2 2 3" xfId="14746" xr:uid="{00000000-0005-0000-0000-0000A0390000}"/>
    <cellStyle name="Header2 13 3 7 2 2 4" xfId="14747" xr:uid="{00000000-0005-0000-0000-0000A1390000}"/>
    <cellStyle name="Header2 13 3 7 2 2 5" xfId="14748" xr:uid="{00000000-0005-0000-0000-0000A2390000}"/>
    <cellStyle name="Header2 13 3 7 2 3" xfId="14749" xr:uid="{00000000-0005-0000-0000-0000A3390000}"/>
    <cellStyle name="Header2 13 3 7 2 3 2" xfId="14750" xr:uid="{00000000-0005-0000-0000-0000A4390000}"/>
    <cellStyle name="Header2 13 3 7 2 3 3" xfId="14751" xr:uid="{00000000-0005-0000-0000-0000A5390000}"/>
    <cellStyle name="Header2 13 3 7 2 3 4" xfId="14752" xr:uid="{00000000-0005-0000-0000-0000A6390000}"/>
    <cellStyle name="Header2 13 3 7 2 4" xfId="14753" xr:uid="{00000000-0005-0000-0000-0000A7390000}"/>
    <cellStyle name="Header2 13 3 7 2 5" xfId="14754" xr:uid="{00000000-0005-0000-0000-0000A8390000}"/>
    <cellStyle name="Header2 13 3 7 2 6" xfId="14755" xr:uid="{00000000-0005-0000-0000-0000A9390000}"/>
    <cellStyle name="Header2 13 3 7 3" xfId="14756" xr:uid="{00000000-0005-0000-0000-0000AA390000}"/>
    <cellStyle name="Header2 13 3 7 3 2" xfId="14757" xr:uid="{00000000-0005-0000-0000-0000AB390000}"/>
    <cellStyle name="Header2 13 3 7 3 2 2" xfId="14758" xr:uid="{00000000-0005-0000-0000-0000AC390000}"/>
    <cellStyle name="Header2 13 3 7 3 2 3" xfId="14759" xr:uid="{00000000-0005-0000-0000-0000AD390000}"/>
    <cellStyle name="Header2 13 3 7 3 2 4" xfId="14760" xr:uid="{00000000-0005-0000-0000-0000AE390000}"/>
    <cellStyle name="Header2 13 3 7 3 3" xfId="14761" xr:uid="{00000000-0005-0000-0000-0000AF390000}"/>
    <cellStyle name="Header2 13 3 7 3 3 2" xfId="14762" xr:uid="{00000000-0005-0000-0000-0000B0390000}"/>
    <cellStyle name="Header2 13 3 7 3 3 3" xfId="14763" xr:uid="{00000000-0005-0000-0000-0000B1390000}"/>
    <cellStyle name="Header2 13 3 7 3 3 4" xfId="14764" xr:uid="{00000000-0005-0000-0000-0000B2390000}"/>
    <cellStyle name="Header2 13 3 7 3 4" xfId="14765" xr:uid="{00000000-0005-0000-0000-0000B3390000}"/>
    <cellStyle name="Header2 13 3 7 3 5" xfId="14766" xr:uid="{00000000-0005-0000-0000-0000B4390000}"/>
    <cellStyle name="Header2 13 3 7 3 6" xfId="14767" xr:uid="{00000000-0005-0000-0000-0000B5390000}"/>
    <cellStyle name="Header2 13 3 7 4" xfId="14768" xr:uid="{00000000-0005-0000-0000-0000B6390000}"/>
    <cellStyle name="Header2 13 3 7 5" xfId="14769" xr:uid="{00000000-0005-0000-0000-0000B7390000}"/>
    <cellStyle name="Header2 13 3 8" xfId="14770" xr:uid="{00000000-0005-0000-0000-0000B8390000}"/>
    <cellStyle name="Header2 13 3 8 2" xfId="14771" xr:uid="{00000000-0005-0000-0000-0000B9390000}"/>
    <cellStyle name="Header2 13 3 8 2 2" xfId="14772" xr:uid="{00000000-0005-0000-0000-0000BA390000}"/>
    <cellStyle name="Header2 13 3 8 2 2 2" xfId="14773" xr:uid="{00000000-0005-0000-0000-0000BB390000}"/>
    <cellStyle name="Header2 13 3 8 2 2 3" xfId="14774" xr:uid="{00000000-0005-0000-0000-0000BC390000}"/>
    <cellStyle name="Header2 13 3 8 2 2 4" xfId="14775" xr:uid="{00000000-0005-0000-0000-0000BD390000}"/>
    <cellStyle name="Header2 13 3 8 2 2 5" xfId="14776" xr:uid="{00000000-0005-0000-0000-0000BE390000}"/>
    <cellStyle name="Header2 13 3 8 2 3" xfId="14777" xr:uid="{00000000-0005-0000-0000-0000BF390000}"/>
    <cellStyle name="Header2 13 3 8 2 3 2" xfId="14778" xr:uid="{00000000-0005-0000-0000-0000C0390000}"/>
    <cellStyle name="Header2 13 3 8 2 3 3" xfId="14779" xr:uid="{00000000-0005-0000-0000-0000C1390000}"/>
    <cellStyle name="Header2 13 3 8 2 3 4" xfId="14780" xr:uid="{00000000-0005-0000-0000-0000C2390000}"/>
    <cellStyle name="Header2 13 3 8 2 4" xfId="14781" xr:uid="{00000000-0005-0000-0000-0000C3390000}"/>
    <cellStyle name="Header2 13 3 8 2 5" xfId="14782" xr:uid="{00000000-0005-0000-0000-0000C4390000}"/>
    <cellStyle name="Header2 13 3 8 2 6" xfId="14783" xr:uid="{00000000-0005-0000-0000-0000C5390000}"/>
    <cellStyle name="Header2 13 3 8 3" xfId="14784" xr:uid="{00000000-0005-0000-0000-0000C6390000}"/>
    <cellStyle name="Header2 13 3 8 3 2" xfId="14785" xr:uid="{00000000-0005-0000-0000-0000C7390000}"/>
    <cellStyle name="Header2 13 3 8 3 2 2" xfId="14786" xr:uid="{00000000-0005-0000-0000-0000C8390000}"/>
    <cellStyle name="Header2 13 3 8 3 2 3" xfId="14787" xr:uid="{00000000-0005-0000-0000-0000C9390000}"/>
    <cellStyle name="Header2 13 3 8 3 2 4" xfId="14788" xr:uid="{00000000-0005-0000-0000-0000CA390000}"/>
    <cellStyle name="Header2 13 3 8 3 3" xfId="14789" xr:uid="{00000000-0005-0000-0000-0000CB390000}"/>
    <cellStyle name="Header2 13 3 8 3 3 2" xfId="14790" xr:uid="{00000000-0005-0000-0000-0000CC390000}"/>
    <cellStyle name="Header2 13 3 8 3 3 3" xfId="14791" xr:uid="{00000000-0005-0000-0000-0000CD390000}"/>
    <cellStyle name="Header2 13 3 8 3 3 4" xfId="14792" xr:uid="{00000000-0005-0000-0000-0000CE390000}"/>
    <cellStyle name="Header2 13 3 8 3 4" xfId="14793" xr:uid="{00000000-0005-0000-0000-0000CF390000}"/>
    <cellStyle name="Header2 13 3 8 3 5" xfId="14794" xr:uid="{00000000-0005-0000-0000-0000D0390000}"/>
    <cellStyle name="Header2 13 3 8 3 6" xfId="14795" xr:uid="{00000000-0005-0000-0000-0000D1390000}"/>
    <cellStyle name="Header2 13 3 8 4" xfId="14796" xr:uid="{00000000-0005-0000-0000-0000D2390000}"/>
    <cellStyle name="Header2 13 3 8 5" xfId="14797" xr:uid="{00000000-0005-0000-0000-0000D3390000}"/>
    <cellStyle name="Header2 13 3 9" xfId="14798" xr:uid="{00000000-0005-0000-0000-0000D4390000}"/>
    <cellStyle name="Header2 13 3 9 2" xfId="14799" xr:uid="{00000000-0005-0000-0000-0000D5390000}"/>
    <cellStyle name="Header2 13 3 9 2 2" xfId="14800" xr:uid="{00000000-0005-0000-0000-0000D6390000}"/>
    <cellStyle name="Header2 13 3 9 2 2 2" xfId="14801" xr:uid="{00000000-0005-0000-0000-0000D7390000}"/>
    <cellStyle name="Header2 13 3 9 2 2 3" xfId="14802" xr:uid="{00000000-0005-0000-0000-0000D8390000}"/>
    <cellStyle name="Header2 13 3 9 2 2 4" xfId="14803" xr:uid="{00000000-0005-0000-0000-0000D9390000}"/>
    <cellStyle name="Header2 13 3 9 2 2 5" xfId="14804" xr:uid="{00000000-0005-0000-0000-0000DA390000}"/>
    <cellStyle name="Header2 13 3 9 2 3" xfId="14805" xr:uid="{00000000-0005-0000-0000-0000DB390000}"/>
    <cellStyle name="Header2 13 3 9 2 3 2" xfId="14806" xr:uid="{00000000-0005-0000-0000-0000DC390000}"/>
    <cellStyle name="Header2 13 3 9 2 3 3" xfId="14807" xr:uid="{00000000-0005-0000-0000-0000DD390000}"/>
    <cellStyle name="Header2 13 3 9 2 3 4" xfId="14808" xr:uid="{00000000-0005-0000-0000-0000DE390000}"/>
    <cellStyle name="Header2 13 3 9 2 4" xfId="14809" xr:uid="{00000000-0005-0000-0000-0000DF390000}"/>
    <cellStyle name="Header2 13 3 9 2 5" xfId="14810" xr:uid="{00000000-0005-0000-0000-0000E0390000}"/>
    <cellStyle name="Header2 13 3 9 2 6" xfId="14811" xr:uid="{00000000-0005-0000-0000-0000E1390000}"/>
    <cellStyle name="Header2 13 3 9 3" xfId="14812" xr:uid="{00000000-0005-0000-0000-0000E2390000}"/>
    <cellStyle name="Header2 13 3 9 3 2" xfId="14813" xr:uid="{00000000-0005-0000-0000-0000E3390000}"/>
    <cellStyle name="Header2 13 3 9 3 2 2" xfId="14814" xr:uid="{00000000-0005-0000-0000-0000E4390000}"/>
    <cellStyle name="Header2 13 3 9 3 2 3" xfId="14815" xr:uid="{00000000-0005-0000-0000-0000E5390000}"/>
    <cellStyle name="Header2 13 3 9 3 2 4" xfId="14816" xr:uid="{00000000-0005-0000-0000-0000E6390000}"/>
    <cellStyle name="Header2 13 3 9 3 3" xfId="14817" xr:uid="{00000000-0005-0000-0000-0000E7390000}"/>
    <cellStyle name="Header2 13 3 9 3 3 2" xfId="14818" xr:uid="{00000000-0005-0000-0000-0000E8390000}"/>
    <cellStyle name="Header2 13 3 9 3 3 3" xfId="14819" xr:uid="{00000000-0005-0000-0000-0000E9390000}"/>
    <cellStyle name="Header2 13 3 9 3 3 4" xfId="14820" xr:uid="{00000000-0005-0000-0000-0000EA390000}"/>
    <cellStyle name="Header2 13 3 9 3 4" xfId="14821" xr:uid="{00000000-0005-0000-0000-0000EB390000}"/>
    <cellStyle name="Header2 13 3 9 3 5" xfId="14822" xr:uid="{00000000-0005-0000-0000-0000EC390000}"/>
    <cellStyle name="Header2 13 3 9 3 6" xfId="14823" xr:uid="{00000000-0005-0000-0000-0000ED390000}"/>
    <cellStyle name="Header2 13 3 9 4" xfId="14824" xr:uid="{00000000-0005-0000-0000-0000EE390000}"/>
    <cellStyle name="Header2 13 3 9 5" xfId="14825" xr:uid="{00000000-0005-0000-0000-0000EF390000}"/>
    <cellStyle name="Header2 14" xfId="14826" xr:uid="{00000000-0005-0000-0000-0000F0390000}"/>
    <cellStyle name="Header2 14 2" xfId="14827" xr:uid="{00000000-0005-0000-0000-0000F1390000}"/>
    <cellStyle name="Header2 14 2 10" xfId="14828" xr:uid="{00000000-0005-0000-0000-0000F2390000}"/>
    <cellStyle name="Header2 14 2 10 2" xfId="14829" xr:uid="{00000000-0005-0000-0000-0000F3390000}"/>
    <cellStyle name="Header2 14 2 10 2 2" xfId="14830" xr:uid="{00000000-0005-0000-0000-0000F4390000}"/>
    <cellStyle name="Header2 14 2 10 2 2 2" xfId="14831" xr:uid="{00000000-0005-0000-0000-0000F5390000}"/>
    <cellStyle name="Header2 14 2 10 2 2 3" xfId="14832" xr:uid="{00000000-0005-0000-0000-0000F6390000}"/>
    <cellStyle name="Header2 14 2 10 2 2 4" xfId="14833" xr:uid="{00000000-0005-0000-0000-0000F7390000}"/>
    <cellStyle name="Header2 14 2 10 2 2 5" xfId="14834" xr:uid="{00000000-0005-0000-0000-0000F8390000}"/>
    <cellStyle name="Header2 14 2 10 2 3" xfId="14835" xr:uid="{00000000-0005-0000-0000-0000F9390000}"/>
    <cellStyle name="Header2 14 2 10 2 3 2" xfId="14836" xr:uid="{00000000-0005-0000-0000-0000FA390000}"/>
    <cellStyle name="Header2 14 2 10 2 3 3" xfId="14837" xr:uid="{00000000-0005-0000-0000-0000FB390000}"/>
    <cellStyle name="Header2 14 2 10 2 3 4" xfId="14838" xr:uid="{00000000-0005-0000-0000-0000FC390000}"/>
    <cellStyle name="Header2 14 2 10 2 4" xfId="14839" xr:uid="{00000000-0005-0000-0000-0000FD390000}"/>
    <cellStyle name="Header2 14 2 10 2 5" xfId="14840" xr:uid="{00000000-0005-0000-0000-0000FE390000}"/>
    <cellStyle name="Header2 14 2 10 2 6" xfId="14841" xr:uid="{00000000-0005-0000-0000-0000FF390000}"/>
    <cellStyle name="Header2 14 2 10 3" xfId="14842" xr:uid="{00000000-0005-0000-0000-0000003A0000}"/>
    <cellStyle name="Header2 14 2 10 3 2" xfId="14843" xr:uid="{00000000-0005-0000-0000-0000013A0000}"/>
    <cellStyle name="Header2 14 2 10 3 2 2" xfId="14844" xr:uid="{00000000-0005-0000-0000-0000023A0000}"/>
    <cellStyle name="Header2 14 2 10 3 2 3" xfId="14845" xr:uid="{00000000-0005-0000-0000-0000033A0000}"/>
    <cellStyle name="Header2 14 2 10 3 2 4" xfId="14846" xr:uid="{00000000-0005-0000-0000-0000043A0000}"/>
    <cellStyle name="Header2 14 2 10 3 3" xfId="14847" xr:uid="{00000000-0005-0000-0000-0000053A0000}"/>
    <cellStyle name="Header2 14 2 10 3 3 2" xfId="14848" xr:uid="{00000000-0005-0000-0000-0000063A0000}"/>
    <cellStyle name="Header2 14 2 10 3 3 3" xfId="14849" xr:uid="{00000000-0005-0000-0000-0000073A0000}"/>
    <cellStyle name="Header2 14 2 10 3 3 4" xfId="14850" xr:uid="{00000000-0005-0000-0000-0000083A0000}"/>
    <cellStyle name="Header2 14 2 10 3 4" xfId="14851" xr:uid="{00000000-0005-0000-0000-0000093A0000}"/>
    <cellStyle name="Header2 14 2 10 3 5" xfId="14852" xr:uid="{00000000-0005-0000-0000-00000A3A0000}"/>
    <cellStyle name="Header2 14 2 10 3 6" xfId="14853" xr:uid="{00000000-0005-0000-0000-00000B3A0000}"/>
    <cellStyle name="Header2 14 2 10 4" xfId="14854" xr:uid="{00000000-0005-0000-0000-00000C3A0000}"/>
    <cellStyle name="Header2 14 2 10 5" xfId="14855" xr:uid="{00000000-0005-0000-0000-00000D3A0000}"/>
    <cellStyle name="Header2 14 2 11" xfId="14856" xr:uid="{00000000-0005-0000-0000-00000E3A0000}"/>
    <cellStyle name="Header2 14 2 11 2" xfId="14857" xr:uid="{00000000-0005-0000-0000-00000F3A0000}"/>
    <cellStyle name="Header2 14 2 11 2 2" xfId="14858" xr:uid="{00000000-0005-0000-0000-0000103A0000}"/>
    <cellStyle name="Header2 14 2 11 2 2 2" xfId="14859" xr:uid="{00000000-0005-0000-0000-0000113A0000}"/>
    <cellStyle name="Header2 14 2 11 2 2 3" xfId="14860" xr:uid="{00000000-0005-0000-0000-0000123A0000}"/>
    <cellStyle name="Header2 14 2 11 2 2 4" xfId="14861" xr:uid="{00000000-0005-0000-0000-0000133A0000}"/>
    <cellStyle name="Header2 14 2 11 2 2 5" xfId="14862" xr:uid="{00000000-0005-0000-0000-0000143A0000}"/>
    <cellStyle name="Header2 14 2 11 2 3" xfId="14863" xr:uid="{00000000-0005-0000-0000-0000153A0000}"/>
    <cellStyle name="Header2 14 2 11 2 3 2" xfId="14864" xr:uid="{00000000-0005-0000-0000-0000163A0000}"/>
    <cellStyle name="Header2 14 2 11 2 3 3" xfId="14865" xr:uid="{00000000-0005-0000-0000-0000173A0000}"/>
    <cellStyle name="Header2 14 2 11 2 3 4" xfId="14866" xr:uid="{00000000-0005-0000-0000-0000183A0000}"/>
    <cellStyle name="Header2 14 2 11 2 4" xfId="14867" xr:uid="{00000000-0005-0000-0000-0000193A0000}"/>
    <cellStyle name="Header2 14 2 11 2 5" xfId="14868" xr:uid="{00000000-0005-0000-0000-00001A3A0000}"/>
    <cellStyle name="Header2 14 2 11 2 6" xfId="14869" xr:uid="{00000000-0005-0000-0000-00001B3A0000}"/>
    <cellStyle name="Header2 14 2 11 3" xfId="14870" xr:uid="{00000000-0005-0000-0000-00001C3A0000}"/>
    <cellStyle name="Header2 14 2 11 3 2" xfId="14871" xr:uid="{00000000-0005-0000-0000-00001D3A0000}"/>
    <cellStyle name="Header2 14 2 11 3 2 2" xfId="14872" xr:uid="{00000000-0005-0000-0000-00001E3A0000}"/>
    <cellStyle name="Header2 14 2 11 3 2 3" xfId="14873" xr:uid="{00000000-0005-0000-0000-00001F3A0000}"/>
    <cellStyle name="Header2 14 2 11 3 2 4" xfId="14874" xr:uid="{00000000-0005-0000-0000-0000203A0000}"/>
    <cellStyle name="Header2 14 2 11 3 3" xfId="14875" xr:uid="{00000000-0005-0000-0000-0000213A0000}"/>
    <cellStyle name="Header2 14 2 11 3 3 2" xfId="14876" xr:uid="{00000000-0005-0000-0000-0000223A0000}"/>
    <cellStyle name="Header2 14 2 11 3 3 3" xfId="14877" xr:uid="{00000000-0005-0000-0000-0000233A0000}"/>
    <cellStyle name="Header2 14 2 11 3 3 4" xfId="14878" xr:uid="{00000000-0005-0000-0000-0000243A0000}"/>
    <cellStyle name="Header2 14 2 11 3 4" xfId="14879" xr:uid="{00000000-0005-0000-0000-0000253A0000}"/>
    <cellStyle name="Header2 14 2 11 3 5" xfId="14880" xr:uid="{00000000-0005-0000-0000-0000263A0000}"/>
    <cellStyle name="Header2 14 2 11 3 6" xfId="14881" xr:uid="{00000000-0005-0000-0000-0000273A0000}"/>
    <cellStyle name="Header2 14 2 11 4" xfId="14882" xr:uid="{00000000-0005-0000-0000-0000283A0000}"/>
    <cellStyle name="Header2 14 2 11 5" xfId="14883" xr:uid="{00000000-0005-0000-0000-0000293A0000}"/>
    <cellStyle name="Header2 14 2 12" xfId="14884" xr:uid="{00000000-0005-0000-0000-00002A3A0000}"/>
    <cellStyle name="Header2 14 2 12 2" xfId="14885" xr:uid="{00000000-0005-0000-0000-00002B3A0000}"/>
    <cellStyle name="Header2 14 2 12 2 2" xfId="14886" xr:uid="{00000000-0005-0000-0000-00002C3A0000}"/>
    <cellStyle name="Header2 14 2 12 2 2 2" xfId="14887" xr:uid="{00000000-0005-0000-0000-00002D3A0000}"/>
    <cellStyle name="Header2 14 2 12 2 2 3" xfId="14888" xr:uid="{00000000-0005-0000-0000-00002E3A0000}"/>
    <cellStyle name="Header2 14 2 12 2 2 4" xfId="14889" xr:uid="{00000000-0005-0000-0000-00002F3A0000}"/>
    <cellStyle name="Header2 14 2 12 2 2 5" xfId="14890" xr:uid="{00000000-0005-0000-0000-0000303A0000}"/>
    <cellStyle name="Header2 14 2 12 2 3" xfId="14891" xr:uid="{00000000-0005-0000-0000-0000313A0000}"/>
    <cellStyle name="Header2 14 2 12 2 3 2" xfId="14892" xr:uid="{00000000-0005-0000-0000-0000323A0000}"/>
    <cellStyle name="Header2 14 2 12 2 3 3" xfId="14893" xr:uid="{00000000-0005-0000-0000-0000333A0000}"/>
    <cellStyle name="Header2 14 2 12 2 3 4" xfId="14894" xr:uid="{00000000-0005-0000-0000-0000343A0000}"/>
    <cellStyle name="Header2 14 2 12 2 4" xfId="14895" xr:uid="{00000000-0005-0000-0000-0000353A0000}"/>
    <cellStyle name="Header2 14 2 12 2 5" xfId="14896" xr:uid="{00000000-0005-0000-0000-0000363A0000}"/>
    <cellStyle name="Header2 14 2 12 2 6" xfId="14897" xr:uid="{00000000-0005-0000-0000-0000373A0000}"/>
    <cellStyle name="Header2 14 2 12 3" xfId="14898" xr:uid="{00000000-0005-0000-0000-0000383A0000}"/>
    <cellStyle name="Header2 14 2 12 3 2" xfId="14899" xr:uid="{00000000-0005-0000-0000-0000393A0000}"/>
    <cellStyle name="Header2 14 2 12 3 2 2" xfId="14900" xr:uid="{00000000-0005-0000-0000-00003A3A0000}"/>
    <cellStyle name="Header2 14 2 12 3 2 3" xfId="14901" xr:uid="{00000000-0005-0000-0000-00003B3A0000}"/>
    <cellStyle name="Header2 14 2 12 3 2 4" xfId="14902" xr:uid="{00000000-0005-0000-0000-00003C3A0000}"/>
    <cellStyle name="Header2 14 2 12 3 3" xfId="14903" xr:uid="{00000000-0005-0000-0000-00003D3A0000}"/>
    <cellStyle name="Header2 14 2 12 3 3 2" xfId="14904" xr:uid="{00000000-0005-0000-0000-00003E3A0000}"/>
    <cellStyle name="Header2 14 2 12 3 3 3" xfId="14905" xr:uid="{00000000-0005-0000-0000-00003F3A0000}"/>
    <cellStyle name="Header2 14 2 12 3 3 4" xfId="14906" xr:uid="{00000000-0005-0000-0000-0000403A0000}"/>
    <cellStyle name="Header2 14 2 12 3 4" xfId="14907" xr:uid="{00000000-0005-0000-0000-0000413A0000}"/>
    <cellStyle name="Header2 14 2 12 3 5" xfId="14908" xr:uid="{00000000-0005-0000-0000-0000423A0000}"/>
    <cellStyle name="Header2 14 2 12 3 6" xfId="14909" xr:uid="{00000000-0005-0000-0000-0000433A0000}"/>
    <cellStyle name="Header2 14 2 12 4" xfId="14910" xr:uid="{00000000-0005-0000-0000-0000443A0000}"/>
    <cellStyle name="Header2 14 2 12 5" xfId="14911" xr:uid="{00000000-0005-0000-0000-0000453A0000}"/>
    <cellStyle name="Header2 14 2 13" xfId="14912" xr:uid="{00000000-0005-0000-0000-0000463A0000}"/>
    <cellStyle name="Header2 14 2 13 2" xfId="14913" xr:uid="{00000000-0005-0000-0000-0000473A0000}"/>
    <cellStyle name="Header2 14 2 13 2 2" xfId="14914" xr:uid="{00000000-0005-0000-0000-0000483A0000}"/>
    <cellStyle name="Header2 14 2 13 2 2 2" xfId="14915" xr:uid="{00000000-0005-0000-0000-0000493A0000}"/>
    <cellStyle name="Header2 14 2 13 2 2 3" xfId="14916" xr:uid="{00000000-0005-0000-0000-00004A3A0000}"/>
    <cellStyle name="Header2 14 2 13 2 2 4" xfId="14917" xr:uid="{00000000-0005-0000-0000-00004B3A0000}"/>
    <cellStyle name="Header2 14 2 13 2 2 5" xfId="14918" xr:uid="{00000000-0005-0000-0000-00004C3A0000}"/>
    <cellStyle name="Header2 14 2 13 2 3" xfId="14919" xr:uid="{00000000-0005-0000-0000-00004D3A0000}"/>
    <cellStyle name="Header2 14 2 13 2 3 2" xfId="14920" xr:uid="{00000000-0005-0000-0000-00004E3A0000}"/>
    <cellStyle name="Header2 14 2 13 2 3 3" xfId="14921" xr:uid="{00000000-0005-0000-0000-00004F3A0000}"/>
    <cellStyle name="Header2 14 2 13 2 3 4" xfId="14922" xr:uid="{00000000-0005-0000-0000-0000503A0000}"/>
    <cellStyle name="Header2 14 2 13 2 4" xfId="14923" xr:uid="{00000000-0005-0000-0000-0000513A0000}"/>
    <cellStyle name="Header2 14 2 13 2 5" xfId="14924" xr:uid="{00000000-0005-0000-0000-0000523A0000}"/>
    <cellStyle name="Header2 14 2 13 2 6" xfId="14925" xr:uid="{00000000-0005-0000-0000-0000533A0000}"/>
    <cellStyle name="Header2 14 2 13 3" xfId="14926" xr:uid="{00000000-0005-0000-0000-0000543A0000}"/>
    <cellStyle name="Header2 14 2 13 3 2" xfId="14927" xr:uid="{00000000-0005-0000-0000-0000553A0000}"/>
    <cellStyle name="Header2 14 2 13 3 2 2" xfId="14928" xr:uid="{00000000-0005-0000-0000-0000563A0000}"/>
    <cellStyle name="Header2 14 2 13 3 2 3" xfId="14929" xr:uid="{00000000-0005-0000-0000-0000573A0000}"/>
    <cellStyle name="Header2 14 2 13 3 2 4" xfId="14930" xr:uid="{00000000-0005-0000-0000-0000583A0000}"/>
    <cellStyle name="Header2 14 2 13 3 3" xfId="14931" xr:uid="{00000000-0005-0000-0000-0000593A0000}"/>
    <cellStyle name="Header2 14 2 13 3 3 2" xfId="14932" xr:uid="{00000000-0005-0000-0000-00005A3A0000}"/>
    <cellStyle name="Header2 14 2 13 3 3 3" xfId="14933" xr:uid="{00000000-0005-0000-0000-00005B3A0000}"/>
    <cellStyle name="Header2 14 2 13 3 3 4" xfId="14934" xr:uid="{00000000-0005-0000-0000-00005C3A0000}"/>
    <cellStyle name="Header2 14 2 13 3 4" xfId="14935" xr:uid="{00000000-0005-0000-0000-00005D3A0000}"/>
    <cellStyle name="Header2 14 2 13 3 5" xfId="14936" xr:uid="{00000000-0005-0000-0000-00005E3A0000}"/>
    <cellStyle name="Header2 14 2 13 3 6" xfId="14937" xr:uid="{00000000-0005-0000-0000-00005F3A0000}"/>
    <cellStyle name="Header2 14 2 13 4" xfId="14938" xr:uid="{00000000-0005-0000-0000-0000603A0000}"/>
    <cellStyle name="Header2 14 2 13 5" xfId="14939" xr:uid="{00000000-0005-0000-0000-0000613A0000}"/>
    <cellStyle name="Header2 14 2 14" xfId="58724" xr:uid="{00000000-0005-0000-0000-0000623A0000}"/>
    <cellStyle name="Header2 14 2 2" xfId="14940" xr:uid="{00000000-0005-0000-0000-0000633A0000}"/>
    <cellStyle name="Header2 14 2 2 2" xfId="14941" xr:uid="{00000000-0005-0000-0000-0000643A0000}"/>
    <cellStyle name="Header2 14 2 2 2 2" xfId="14942" xr:uid="{00000000-0005-0000-0000-0000653A0000}"/>
    <cellStyle name="Header2 14 2 2 2 2 2" xfId="14943" xr:uid="{00000000-0005-0000-0000-0000663A0000}"/>
    <cellStyle name="Header2 14 2 2 2 2 2 2" xfId="14944" xr:uid="{00000000-0005-0000-0000-0000673A0000}"/>
    <cellStyle name="Header2 14 2 2 2 2 2 3" xfId="14945" xr:uid="{00000000-0005-0000-0000-0000683A0000}"/>
    <cellStyle name="Header2 14 2 2 2 2 2 4" xfId="14946" xr:uid="{00000000-0005-0000-0000-0000693A0000}"/>
    <cellStyle name="Header2 14 2 2 2 2 2 5" xfId="14947" xr:uid="{00000000-0005-0000-0000-00006A3A0000}"/>
    <cellStyle name="Header2 14 2 2 2 2 3" xfId="14948" xr:uid="{00000000-0005-0000-0000-00006B3A0000}"/>
    <cellStyle name="Header2 14 2 2 2 2 3 2" xfId="14949" xr:uid="{00000000-0005-0000-0000-00006C3A0000}"/>
    <cellStyle name="Header2 14 2 2 2 2 3 3" xfId="14950" xr:uid="{00000000-0005-0000-0000-00006D3A0000}"/>
    <cellStyle name="Header2 14 2 2 2 2 3 4" xfId="14951" xr:uid="{00000000-0005-0000-0000-00006E3A0000}"/>
    <cellStyle name="Header2 14 2 2 2 2 4" xfId="14952" xr:uid="{00000000-0005-0000-0000-00006F3A0000}"/>
    <cellStyle name="Header2 14 2 2 2 2 5" xfId="14953" xr:uid="{00000000-0005-0000-0000-0000703A0000}"/>
    <cellStyle name="Header2 14 2 2 2 2 6" xfId="14954" xr:uid="{00000000-0005-0000-0000-0000713A0000}"/>
    <cellStyle name="Header2 14 2 2 2 3" xfId="14955" xr:uid="{00000000-0005-0000-0000-0000723A0000}"/>
    <cellStyle name="Header2 14 2 2 2 3 2" xfId="14956" xr:uid="{00000000-0005-0000-0000-0000733A0000}"/>
    <cellStyle name="Header2 14 2 2 2 3 2 2" xfId="14957" xr:uid="{00000000-0005-0000-0000-0000743A0000}"/>
    <cellStyle name="Header2 14 2 2 2 3 2 3" xfId="14958" xr:uid="{00000000-0005-0000-0000-0000753A0000}"/>
    <cellStyle name="Header2 14 2 2 2 3 2 4" xfId="14959" xr:uid="{00000000-0005-0000-0000-0000763A0000}"/>
    <cellStyle name="Header2 14 2 2 2 3 3" xfId="14960" xr:uid="{00000000-0005-0000-0000-0000773A0000}"/>
    <cellStyle name="Header2 14 2 2 2 3 3 2" xfId="14961" xr:uid="{00000000-0005-0000-0000-0000783A0000}"/>
    <cellStyle name="Header2 14 2 2 2 3 3 3" xfId="14962" xr:uid="{00000000-0005-0000-0000-0000793A0000}"/>
    <cellStyle name="Header2 14 2 2 2 3 3 4" xfId="14963" xr:uid="{00000000-0005-0000-0000-00007A3A0000}"/>
    <cellStyle name="Header2 14 2 2 2 3 4" xfId="14964" xr:uid="{00000000-0005-0000-0000-00007B3A0000}"/>
    <cellStyle name="Header2 14 2 2 2 3 5" xfId="14965" xr:uid="{00000000-0005-0000-0000-00007C3A0000}"/>
    <cellStyle name="Header2 14 2 2 2 3 6" xfId="14966" xr:uid="{00000000-0005-0000-0000-00007D3A0000}"/>
    <cellStyle name="Header2 14 2 2 2 4" xfId="14967" xr:uid="{00000000-0005-0000-0000-00007E3A0000}"/>
    <cellStyle name="Header2 14 2 2 2 5" xfId="14968" xr:uid="{00000000-0005-0000-0000-00007F3A0000}"/>
    <cellStyle name="Header2 14 2 2 3" xfId="14969" xr:uid="{00000000-0005-0000-0000-0000803A0000}"/>
    <cellStyle name="Header2 14 2 2 3 2" xfId="14970" xr:uid="{00000000-0005-0000-0000-0000813A0000}"/>
    <cellStyle name="Header2 14 2 2 3 2 2" xfId="14971" xr:uid="{00000000-0005-0000-0000-0000823A0000}"/>
    <cellStyle name="Header2 14 2 2 3 2 2 2" xfId="14972" xr:uid="{00000000-0005-0000-0000-0000833A0000}"/>
    <cellStyle name="Header2 14 2 2 3 2 2 3" xfId="14973" xr:uid="{00000000-0005-0000-0000-0000843A0000}"/>
    <cellStyle name="Header2 14 2 2 3 2 2 4" xfId="14974" xr:uid="{00000000-0005-0000-0000-0000853A0000}"/>
    <cellStyle name="Header2 14 2 2 3 2 2 5" xfId="14975" xr:uid="{00000000-0005-0000-0000-0000863A0000}"/>
    <cellStyle name="Header2 14 2 2 3 2 3" xfId="14976" xr:uid="{00000000-0005-0000-0000-0000873A0000}"/>
    <cellStyle name="Header2 14 2 2 3 2 3 2" xfId="14977" xr:uid="{00000000-0005-0000-0000-0000883A0000}"/>
    <cellStyle name="Header2 14 2 2 3 2 3 3" xfId="14978" xr:uid="{00000000-0005-0000-0000-0000893A0000}"/>
    <cellStyle name="Header2 14 2 2 3 2 3 4" xfId="14979" xr:uid="{00000000-0005-0000-0000-00008A3A0000}"/>
    <cellStyle name="Header2 14 2 2 3 2 4" xfId="14980" xr:uid="{00000000-0005-0000-0000-00008B3A0000}"/>
    <cellStyle name="Header2 14 2 2 3 2 5" xfId="14981" xr:uid="{00000000-0005-0000-0000-00008C3A0000}"/>
    <cellStyle name="Header2 14 2 2 3 2 6" xfId="14982" xr:uid="{00000000-0005-0000-0000-00008D3A0000}"/>
    <cellStyle name="Header2 14 2 2 3 3" xfId="14983" xr:uid="{00000000-0005-0000-0000-00008E3A0000}"/>
    <cellStyle name="Header2 14 2 2 3 3 2" xfId="14984" xr:uid="{00000000-0005-0000-0000-00008F3A0000}"/>
    <cellStyle name="Header2 14 2 2 3 3 2 2" xfId="14985" xr:uid="{00000000-0005-0000-0000-0000903A0000}"/>
    <cellStyle name="Header2 14 2 2 3 3 2 3" xfId="14986" xr:uid="{00000000-0005-0000-0000-0000913A0000}"/>
    <cellStyle name="Header2 14 2 2 3 3 2 4" xfId="14987" xr:uid="{00000000-0005-0000-0000-0000923A0000}"/>
    <cellStyle name="Header2 14 2 2 3 3 3" xfId="14988" xr:uid="{00000000-0005-0000-0000-0000933A0000}"/>
    <cellStyle name="Header2 14 2 2 3 3 3 2" xfId="14989" xr:uid="{00000000-0005-0000-0000-0000943A0000}"/>
    <cellStyle name="Header2 14 2 2 3 3 3 3" xfId="14990" xr:uid="{00000000-0005-0000-0000-0000953A0000}"/>
    <cellStyle name="Header2 14 2 2 3 3 3 4" xfId="14991" xr:uid="{00000000-0005-0000-0000-0000963A0000}"/>
    <cellStyle name="Header2 14 2 2 3 3 4" xfId="14992" xr:uid="{00000000-0005-0000-0000-0000973A0000}"/>
    <cellStyle name="Header2 14 2 2 3 3 5" xfId="14993" xr:uid="{00000000-0005-0000-0000-0000983A0000}"/>
    <cellStyle name="Header2 14 2 2 3 3 6" xfId="14994" xr:uid="{00000000-0005-0000-0000-0000993A0000}"/>
    <cellStyle name="Header2 14 2 2 3 4" xfId="14995" xr:uid="{00000000-0005-0000-0000-00009A3A0000}"/>
    <cellStyle name="Header2 14 2 2 3 5" xfId="14996" xr:uid="{00000000-0005-0000-0000-00009B3A0000}"/>
    <cellStyle name="Header2 14 2 3" xfId="14997" xr:uid="{00000000-0005-0000-0000-00009C3A0000}"/>
    <cellStyle name="Header2 14 2 3 2" xfId="14998" xr:uid="{00000000-0005-0000-0000-00009D3A0000}"/>
    <cellStyle name="Header2 14 2 3 2 2" xfId="14999" xr:uid="{00000000-0005-0000-0000-00009E3A0000}"/>
    <cellStyle name="Header2 14 2 3 2 3" xfId="15000" xr:uid="{00000000-0005-0000-0000-00009F3A0000}"/>
    <cellStyle name="Header2 14 2 3 3" xfId="15001" xr:uid="{00000000-0005-0000-0000-0000A03A0000}"/>
    <cellStyle name="Header2 14 2 4" xfId="15002" xr:uid="{00000000-0005-0000-0000-0000A13A0000}"/>
    <cellStyle name="Header2 14 2 4 2" xfId="15003" xr:uid="{00000000-0005-0000-0000-0000A23A0000}"/>
    <cellStyle name="Header2 14 2 4 2 2" xfId="15004" xr:uid="{00000000-0005-0000-0000-0000A33A0000}"/>
    <cellStyle name="Header2 14 2 4 2 3" xfId="15005" xr:uid="{00000000-0005-0000-0000-0000A43A0000}"/>
    <cellStyle name="Header2 14 2 4 3" xfId="15006" xr:uid="{00000000-0005-0000-0000-0000A53A0000}"/>
    <cellStyle name="Header2 14 2 5" xfId="15007" xr:uid="{00000000-0005-0000-0000-0000A63A0000}"/>
    <cellStyle name="Header2 14 2 5 2" xfId="15008" xr:uid="{00000000-0005-0000-0000-0000A73A0000}"/>
    <cellStyle name="Header2 14 2 5 2 2" xfId="15009" xr:uid="{00000000-0005-0000-0000-0000A83A0000}"/>
    <cellStyle name="Header2 14 2 5 2 3" xfId="15010" xr:uid="{00000000-0005-0000-0000-0000A93A0000}"/>
    <cellStyle name="Header2 14 2 5 3" xfId="15011" xr:uid="{00000000-0005-0000-0000-0000AA3A0000}"/>
    <cellStyle name="Header2 14 2 6" xfId="15012" xr:uid="{00000000-0005-0000-0000-0000AB3A0000}"/>
    <cellStyle name="Header2 14 2 6 2" xfId="15013" xr:uid="{00000000-0005-0000-0000-0000AC3A0000}"/>
    <cellStyle name="Header2 14 2 6 2 2" xfId="15014" xr:uid="{00000000-0005-0000-0000-0000AD3A0000}"/>
    <cellStyle name="Header2 14 2 6 2 2 2" xfId="15015" xr:uid="{00000000-0005-0000-0000-0000AE3A0000}"/>
    <cellStyle name="Header2 14 2 6 2 2 3" xfId="15016" xr:uid="{00000000-0005-0000-0000-0000AF3A0000}"/>
    <cellStyle name="Header2 14 2 6 2 2 4" xfId="15017" xr:uid="{00000000-0005-0000-0000-0000B03A0000}"/>
    <cellStyle name="Header2 14 2 6 2 2 5" xfId="15018" xr:uid="{00000000-0005-0000-0000-0000B13A0000}"/>
    <cellStyle name="Header2 14 2 6 2 3" xfId="15019" xr:uid="{00000000-0005-0000-0000-0000B23A0000}"/>
    <cellStyle name="Header2 14 2 6 2 3 2" xfId="15020" xr:uid="{00000000-0005-0000-0000-0000B33A0000}"/>
    <cellStyle name="Header2 14 2 6 2 3 3" xfId="15021" xr:uid="{00000000-0005-0000-0000-0000B43A0000}"/>
    <cellStyle name="Header2 14 2 6 2 3 4" xfId="15022" xr:uid="{00000000-0005-0000-0000-0000B53A0000}"/>
    <cellStyle name="Header2 14 2 6 2 4" xfId="15023" xr:uid="{00000000-0005-0000-0000-0000B63A0000}"/>
    <cellStyle name="Header2 14 2 6 2 5" xfId="15024" xr:uid="{00000000-0005-0000-0000-0000B73A0000}"/>
    <cellStyle name="Header2 14 2 6 2 6" xfId="15025" xr:uid="{00000000-0005-0000-0000-0000B83A0000}"/>
    <cellStyle name="Header2 14 2 6 3" xfId="15026" xr:uid="{00000000-0005-0000-0000-0000B93A0000}"/>
    <cellStyle name="Header2 14 2 6 3 2" xfId="15027" xr:uid="{00000000-0005-0000-0000-0000BA3A0000}"/>
    <cellStyle name="Header2 14 2 6 3 2 2" xfId="15028" xr:uid="{00000000-0005-0000-0000-0000BB3A0000}"/>
    <cellStyle name="Header2 14 2 6 3 2 3" xfId="15029" xr:uid="{00000000-0005-0000-0000-0000BC3A0000}"/>
    <cellStyle name="Header2 14 2 6 3 2 4" xfId="15030" xr:uid="{00000000-0005-0000-0000-0000BD3A0000}"/>
    <cellStyle name="Header2 14 2 6 3 3" xfId="15031" xr:uid="{00000000-0005-0000-0000-0000BE3A0000}"/>
    <cellStyle name="Header2 14 2 6 3 3 2" xfId="15032" xr:uid="{00000000-0005-0000-0000-0000BF3A0000}"/>
    <cellStyle name="Header2 14 2 6 3 3 3" xfId="15033" xr:uid="{00000000-0005-0000-0000-0000C03A0000}"/>
    <cellStyle name="Header2 14 2 6 3 3 4" xfId="15034" xr:uid="{00000000-0005-0000-0000-0000C13A0000}"/>
    <cellStyle name="Header2 14 2 6 3 4" xfId="15035" xr:uid="{00000000-0005-0000-0000-0000C23A0000}"/>
    <cellStyle name="Header2 14 2 6 3 5" xfId="15036" xr:uid="{00000000-0005-0000-0000-0000C33A0000}"/>
    <cellStyle name="Header2 14 2 6 3 6" xfId="15037" xr:uid="{00000000-0005-0000-0000-0000C43A0000}"/>
    <cellStyle name="Header2 14 2 6 4" xfId="15038" xr:uid="{00000000-0005-0000-0000-0000C53A0000}"/>
    <cellStyle name="Header2 14 2 6 5" xfId="15039" xr:uid="{00000000-0005-0000-0000-0000C63A0000}"/>
    <cellStyle name="Header2 14 2 7" xfId="15040" xr:uid="{00000000-0005-0000-0000-0000C73A0000}"/>
    <cellStyle name="Header2 14 2 7 2" xfId="15041" xr:uid="{00000000-0005-0000-0000-0000C83A0000}"/>
    <cellStyle name="Header2 14 2 7 2 2" xfId="15042" xr:uid="{00000000-0005-0000-0000-0000C93A0000}"/>
    <cellStyle name="Header2 14 2 7 2 2 2" xfId="15043" xr:uid="{00000000-0005-0000-0000-0000CA3A0000}"/>
    <cellStyle name="Header2 14 2 7 2 2 3" xfId="15044" xr:uid="{00000000-0005-0000-0000-0000CB3A0000}"/>
    <cellStyle name="Header2 14 2 7 2 2 4" xfId="15045" xr:uid="{00000000-0005-0000-0000-0000CC3A0000}"/>
    <cellStyle name="Header2 14 2 7 2 2 5" xfId="15046" xr:uid="{00000000-0005-0000-0000-0000CD3A0000}"/>
    <cellStyle name="Header2 14 2 7 2 3" xfId="15047" xr:uid="{00000000-0005-0000-0000-0000CE3A0000}"/>
    <cellStyle name="Header2 14 2 7 2 3 2" xfId="15048" xr:uid="{00000000-0005-0000-0000-0000CF3A0000}"/>
    <cellStyle name="Header2 14 2 7 2 3 3" xfId="15049" xr:uid="{00000000-0005-0000-0000-0000D03A0000}"/>
    <cellStyle name="Header2 14 2 7 2 3 4" xfId="15050" xr:uid="{00000000-0005-0000-0000-0000D13A0000}"/>
    <cellStyle name="Header2 14 2 7 2 4" xfId="15051" xr:uid="{00000000-0005-0000-0000-0000D23A0000}"/>
    <cellStyle name="Header2 14 2 7 2 5" xfId="15052" xr:uid="{00000000-0005-0000-0000-0000D33A0000}"/>
    <cellStyle name="Header2 14 2 7 2 6" xfId="15053" xr:uid="{00000000-0005-0000-0000-0000D43A0000}"/>
    <cellStyle name="Header2 14 2 7 3" xfId="15054" xr:uid="{00000000-0005-0000-0000-0000D53A0000}"/>
    <cellStyle name="Header2 14 2 7 3 2" xfId="15055" xr:uid="{00000000-0005-0000-0000-0000D63A0000}"/>
    <cellStyle name="Header2 14 2 7 3 2 2" xfId="15056" xr:uid="{00000000-0005-0000-0000-0000D73A0000}"/>
    <cellStyle name="Header2 14 2 7 3 2 3" xfId="15057" xr:uid="{00000000-0005-0000-0000-0000D83A0000}"/>
    <cellStyle name="Header2 14 2 7 3 2 4" xfId="15058" xr:uid="{00000000-0005-0000-0000-0000D93A0000}"/>
    <cellStyle name="Header2 14 2 7 3 3" xfId="15059" xr:uid="{00000000-0005-0000-0000-0000DA3A0000}"/>
    <cellStyle name="Header2 14 2 7 3 3 2" xfId="15060" xr:uid="{00000000-0005-0000-0000-0000DB3A0000}"/>
    <cellStyle name="Header2 14 2 7 3 3 3" xfId="15061" xr:uid="{00000000-0005-0000-0000-0000DC3A0000}"/>
    <cellStyle name="Header2 14 2 7 3 3 4" xfId="15062" xr:uid="{00000000-0005-0000-0000-0000DD3A0000}"/>
    <cellStyle name="Header2 14 2 7 3 4" xfId="15063" xr:uid="{00000000-0005-0000-0000-0000DE3A0000}"/>
    <cellStyle name="Header2 14 2 7 3 5" xfId="15064" xr:uid="{00000000-0005-0000-0000-0000DF3A0000}"/>
    <cellStyle name="Header2 14 2 7 3 6" xfId="15065" xr:uid="{00000000-0005-0000-0000-0000E03A0000}"/>
    <cellStyle name="Header2 14 2 7 4" xfId="15066" xr:uid="{00000000-0005-0000-0000-0000E13A0000}"/>
    <cellStyle name="Header2 14 2 7 5" xfId="15067" xr:uid="{00000000-0005-0000-0000-0000E23A0000}"/>
    <cellStyle name="Header2 14 2 8" xfId="15068" xr:uid="{00000000-0005-0000-0000-0000E33A0000}"/>
    <cellStyle name="Header2 14 2 8 2" xfId="15069" xr:uid="{00000000-0005-0000-0000-0000E43A0000}"/>
    <cellStyle name="Header2 14 2 8 2 2" xfId="15070" xr:uid="{00000000-0005-0000-0000-0000E53A0000}"/>
    <cellStyle name="Header2 14 2 8 2 2 2" xfId="15071" xr:uid="{00000000-0005-0000-0000-0000E63A0000}"/>
    <cellStyle name="Header2 14 2 8 2 2 3" xfId="15072" xr:uid="{00000000-0005-0000-0000-0000E73A0000}"/>
    <cellStyle name="Header2 14 2 8 2 2 4" xfId="15073" xr:uid="{00000000-0005-0000-0000-0000E83A0000}"/>
    <cellStyle name="Header2 14 2 8 2 2 5" xfId="15074" xr:uid="{00000000-0005-0000-0000-0000E93A0000}"/>
    <cellStyle name="Header2 14 2 8 2 3" xfId="15075" xr:uid="{00000000-0005-0000-0000-0000EA3A0000}"/>
    <cellStyle name="Header2 14 2 8 2 3 2" xfId="15076" xr:uid="{00000000-0005-0000-0000-0000EB3A0000}"/>
    <cellStyle name="Header2 14 2 8 2 3 3" xfId="15077" xr:uid="{00000000-0005-0000-0000-0000EC3A0000}"/>
    <cellStyle name="Header2 14 2 8 2 3 4" xfId="15078" xr:uid="{00000000-0005-0000-0000-0000ED3A0000}"/>
    <cellStyle name="Header2 14 2 8 2 4" xfId="15079" xr:uid="{00000000-0005-0000-0000-0000EE3A0000}"/>
    <cellStyle name="Header2 14 2 8 2 5" xfId="15080" xr:uid="{00000000-0005-0000-0000-0000EF3A0000}"/>
    <cellStyle name="Header2 14 2 8 2 6" xfId="15081" xr:uid="{00000000-0005-0000-0000-0000F03A0000}"/>
    <cellStyle name="Header2 14 2 8 3" xfId="15082" xr:uid="{00000000-0005-0000-0000-0000F13A0000}"/>
    <cellStyle name="Header2 14 2 8 3 2" xfId="15083" xr:uid="{00000000-0005-0000-0000-0000F23A0000}"/>
    <cellStyle name="Header2 14 2 8 3 2 2" xfId="15084" xr:uid="{00000000-0005-0000-0000-0000F33A0000}"/>
    <cellStyle name="Header2 14 2 8 3 2 3" xfId="15085" xr:uid="{00000000-0005-0000-0000-0000F43A0000}"/>
    <cellStyle name="Header2 14 2 8 3 2 4" xfId="15086" xr:uid="{00000000-0005-0000-0000-0000F53A0000}"/>
    <cellStyle name="Header2 14 2 8 3 3" xfId="15087" xr:uid="{00000000-0005-0000-0000-0000F63A0000}"/>
    <cellStyle name="Header2 14 2 8 3 3 2" xfId="15088" xr:uid="{00000000-0005-0000-0000-0000F73A0000}"/>
    <cellStyle name="Header2 14 2 8 3 3 3" xfId="15089" xr:uid="{00000000-0005-0000-0000-0000F83A0000}"/>
    <cellStyle name="Header2 14 2 8 3 3 4" xfId="15090" xr:uid="{00000000-0005-0000-0000-0000F93A0000}"/>
    <cellStyle name="Header2 14 2 8 3 4" xfId="15091" xr:uid="{00000000-0005-0000-0000-0000FA3A0000}"/>
    <cellStyle name="Header2 14 2 8 3 5" xfId="15092" xr:uid="{00000000-0005-0000-0000-0000FB3A0000}"/>
    <cellStyle name="Header2 14 2 8 3 6" xfId="15093" xr:uid="{00000000-0005-0000-0000-0000FC3A0000}"/>
    <cellStyle name="Header2 14 2 8 4" xfId="15094" xr:uid="{00000000-0005-0000-0000-0000FD3A0000}"/>
    <cellStyle name="Header2 14 2 8 5" xfId="15095" xr:uid="{00000000-0005-0000-0000-0000FE3A0000}"/>
    <cellStyle name="Header2 14 2 9" xfId="15096" xr:uid="{00000000-0005-0000-0000-0000FF3A0000}"/>
    <cellStyle name="Header2 14 2 9 2" xfId="15097" xr:uid="{00000000-0005-0000-0000-0000003B0000}"/>
    <cellStyle name="Header2 14 2 9 2 2" xfId="15098" xr:uid="{00000000-0005-0000-0000-0000013B0000}"/>
    <cellStyle name="Header2 14 2 9 2 2 2" xfId="15099" xr:uid="{00000000-0005-0000-0000-0000023B0000}"/>
    <cellStyle name="Header2 14 2 9 2 2 3" xfId="15100" xr:uid="{00000000-0005-0000-0000-0000033B0000}"/>
    <cellStyle name="Header2 14 2 9 2 2 4" xfId="15101" xr:uid="{00000000-0005-0000-0000-0000043B0000}"/>
    <cellStyle name="Header2 14 2 9 2 2 5" xfId="15102" xr:uid="{00000000-0005-0000-0000-0000053B0000}"/>
    <cellStyle name="Header2 14 2 9 2 3" xfId="15103" xr:uid="{00000000-0005-0000-0000-0000063B0000}"/>
    <cellStyle name="Header2 14 2 9 2 3 2" xfId="15104" xr:uid="{00000000-0005-0000-0000-0000073B0000}"/>
    <cellStyle name="Header2 14 2 9 2 3 3" xfId="15105" xr:uid="{00000000-0005-0000-0000-0000083B0000}"/>
    <cellStyle name="Header2 14 2 9 2 3 4" xfId="15106" xr:uid="{00000000-0005-0000-0000-0000093B0000}"/>
    <cellStyle name="Header2 14 2 9 2 4" xfId="15107" xr:uid="{00000000-0005-0000-0000-00000A3B0000}"/>
    <cellStyle name="Header2 14 2 9 2 5" xfId="15108" xr:uid="{00000000-0005-0000-0000-00000B3B0000}"/>
    <cellStyle name="Header2 14 2 9 2 6" xfId="15109" xr:uid="{00000000-0005-0000-0000-00000C3B0000}"/>
    <cellStyle name="Header2 14 2 9 3" xfId="15110" xr:uid="{00000000-0005-0000-0000-00000D3B0000}"/>
    <cellStyle name="Header2 14 2 9 3 2" xfId="15111" xr:uid="{00000000-0005-0000-0000-00000E3B0000}"/>
    <cellStyle name="Header2 14 2 9 3 2 2" xfId="15112" xr:uid="{00000000-0005-0000-0000-00000F3B0000}"/>
    <cellStyle name="Header2 14 2 9 3 2 3" xfId="15113" xr:uid="{00000000-0005-0000-0000-0000103B0000}"/>
    <cellStyle name="Header2 14 2 9 3 2 4" xfId="15114" xr:uid="{00000000-0005-0000-0000-0000113B0000}"/>
    <cellStyle name="Header2 14 2 9 3 3" xfId="15115" xr:uid="{00000000-0005-0000-0000-0000123B0000}"/>
    <cellStyle name="Header2 14 2 9 3 3 2" xfId="15116" xr:uid="{00000000-0005-0000-0000-0000133B0000}"/>
    <cellStyle name="Header2 14 2 9 3 3 3" xfId="15117" xr:uid="{00000000-0005-0000-0000-0000143B0000}"/>
    <cellStyle name="Header2 14 2 9 3 3 4" xfId="15118" xr:uid="{00000000-0005-0000-0000-0000153B0000}"/>
    <cellStyle name="Header2 14 2 9 3 4" xfId="15119" xr:uid="{00000000-0005-0000-0000-0000163B0000}"/>
    <cellStyle name="Header2 14 2 9 3 5" xfId="15120" xr:uid="{00000000-0005-0000-0000-0000173B0000}"/>
    <cellStyle name="Header2 14 2 9 3 6" xfId="15121" xr:uid="{00000000-0005-0000-0000-0000183B0000}"/>
    <cellStyle name="Header2 14 2 9 4" xfId="15122" xr:uid="{00000000-0005-0000-0000-0000193B0000}"/>
    <cellStyle name="Header2 14 2 9 5" xfId="15123" xr:uid="{00000000-0005-0000-0000-00001A3B0000}"/>
    <cellStyle name="Header2 14 3" xfId="15124" xr:uid="{00000000-0005-0000-0000-00001B3B0000}"/>
    <cellStyle name="Header2 14 3 10" xfId="15125" xr:uid="{00000000-0005-0000-0000-00001C3B0000}"/>
    <cellStyle name="Header2 14 3 10 2" xfId="15126" xr:uid="{00000000-0005-0000-0000-00001D3B0000}"/>
    <cellStyle name="Header2 14 3 10 2 2" xfId="15127" xr:uid="{00000000-0005-0000-0000-00001E3B0000}"/>
    <cellStyle name="Header2 14 3 10 2 2 2" xfId="15128" xr:uid="{00000000-0005-0000-0000-00001F3B0000}"/>
    <cellStyle name="Header2 14 3 10 2 2 3" xfId="15129" xr:uid="{00000000-0005-0000-0000-0000203B0000}"/>
    <cellStyle name="Header2 14 3 10 2 2 4" xfId="15130" xr:uid="{00000000-0005-0000-0000-0000213B0000}"/>
    <cellStyle name="Header2 14 3 10 2 2 5" xfId="15131" xr:uid="{00000000-0005-0000-0000-0000223B0000}"/>
    <cellStyle name="Header2 14 3 10 2 3" xfId="15132" xr:uid="{00000000-0005-0000-0000-0000233B0000}"/>
    <cellStyle name="Header2 14 3 10 2 3 2" xfId="15133" xr:uid="{00000000-0005-0000-0000-0000243B0000}"/>
    <cellStyle name="Header2 14 3 10 2 3 3" xfId="15134" xr:uid="{00000000-0005-0000-0000-0000253B0000}"/>
    <cellStyle name="Header2 14 3 10 2 3 4" xfId="15135" xr:uid="{00000000-0005-0000-0000-0000263B0000}"/>
    <cellStyle name="Header2 14 3 10 2 4" xfId="15136" xr:uid="{00000000-0005-0000-0000-0000273B0000}"/>
    <cellStyle name="Header2 14 3 10 2 5" xfId="15137" xr:uid="{00000000-0005-0000-0000-0000283B0000}"/>
    <cellStyle name="Header2 14 3 10 2 6" xfId="15138" xr:uid="{00000000-0005-0000-0000-0000293B0000}"/>
    <cellStyle name="Header2 14 3 10 3" xfId="15139" xr:uid="{00000000-0005-0000-0000-00002A3B0000}"/>
    <cellStyle name="Header2 14 3 10 3 2" xfId="15140" xr:uid="{00000000-0005-0000-0000-00002B3B0000}"/>
    <cellStyle name="Header2 14 3 10 3 2 2" xfId="15141" xr:uid="{00000000-0005-0000-0000-00002C3B0000}"/>
    <cellStyle name="Header2 14 3 10 3 2 3" xfId="15142" xr:uid="{00000000-0005-0000-0000-00002D3B0000}"/>
    <cellStyle name="Header2 14 3 10 3 2 4" xfId="15143" xr:uid="{00000000-0005-0000-0000-00002E3B0000}"/>
    <cellStyle name="Header2 14 3 10 3 3" xfId="15144" xr:uid="{00000000-0005-0000-0000-00002F3B0000}"/>
    <cellStyle name="Header2 14 3 10 3 3 2" xfId="15145" xr:uid="{00000000-0005-0000-0000-0000303B0000}"/>
    <cellStyle name="Header2 14 3 10 3 3 3" xfId="15146" xr:uid="{00000000-0005-0000-0000-0000313B0000}"/>
    <cellStyle name="Header2 14 3 10 3 3 4" xfId="15147" xr:uid="{00000000-0005-0000-0000-0000323B0000}"/>
    <cellStyle name="Header2 14 3 10 3 4" xfId="15148" xr:uid="{00000000-0005-0000-0000-0000333B0000}"/>
    <cellStyle name="Header2 14 3 10 3 5" xfId="15149" xr:uid="{00000000-0005-0000-0000-0000343B0000}"/>
    <cellStyle name="Header2 14 3 10 3 6" xfId="15150" xr:uid="{00000000-0005-0000-0000-0000353B0000}"/>
    <cellStyle name="Header2 14 3 10 4" xfId="15151" xr:uid="{00000000-0005-0000-0000-0000363B0000}"/>
    <cellStyle name="Header2 14 3 10 5" xfId="15152" xr:uid="{00000000-0005-0000-0000-0000373B0000}"/>
    <cellStyle name="Header2 14 3 11" xfId="15153" xr:uid="{00000000-0005-0000-0000-0000383B0000}"/>
    <cellStyle name="Header2 14 3 11 2" xfId="15154" xr:uid="{00000000-0005-0000-0000-0000393B0000}"/>
    <cellStyle name="Header2 14 3 11 2 2" xfId="15155" xr:uid="{00000000-0005-0000-0000-00003A3B0000}"/>
    <cellStyle name="Header2 14 3 11 2 2 2" xfId="15156" xr:uid="{00000000-0005-0000-0000-00003B3B0000}"/>
    <cellStyle name="Header2 14 3 11 2 2 3" xfId="15157" xr:uid="{00000000-0005-0000-0000-00003C3B0000}"/>
    <cellStyle name="Header2 14 3 11 2 2 4" xfId="15158" xr:uid="{00000000-0005-0000-0000-00003D3B0000}"/>
    <cellStyle name="Header2 14 3 11 2 2 5" xfId="15159" xr:uid="{00000000-0005-0000-0000-00003E3B0000}"/>
    <cellStyle name="Header2 14 3 11 2 3" xfId="15160" xr:uid="{00000000-0005-0000-0000-00003F3B0000}"/>
    <cellStyle name="Header2 14 3 11 2 3 2" xfId="15161" xr:uid="{00000000-0005-0000-0000-0000403B0000}"/>
    <cellStyle name="Header2 14 3 11 2 3 3" xfId="15162" xr:uid="{00000000-0005-0000-0000-0000413B0000}"/>
    <cellStyle name="Header2 14 3 11 2 3 4" xfId="15163" xr:uid="{00000000-0005-0000-0000-0000423B0000}"/>
    <cellStyle name="Header2 14 3 11 2 4" xfId="15164" xr:uid="{00000000-0005-0000-0000-0000433B0000}"/>
    <cellStyle name="Header2 14 3 11 2 5" xfId="15165" xr:uid="{00000000-0005-0000-0000-0000443B0000}"/>
    <cellStyle name="Header2 14 3 11 2 6" xfId="15166" xr:uid="{00000000-0005-0000-0000-0000453B0000}"/>
    <cellStyle name="Header2 14 3 11 3" xfId="15167" xr:uid="{00000000-0005-0000-0000-0000463B0000}"/>
    <cellStyle name="Header2 14 3 11 3 2" xfId="15168" xr:uid="{00000000-0005-0000-0000-0000473B0000}"/>
    <cellStyle name="Header2 14 3 11 3 2 2" xfId="15169" xr:uid="{00000000-0005-0000-0000-0000483B0000}"/>
    <cellStyle name="Header2 14 3 11 3 2 3" xfId="15170" xr:uid="{00000000-0005-0000-0000-0000493B0000}"/>
    <cellStyle name="Header2 14 3 11 3 2 4" xfId="15171" xr:uid="{00000000-0005-0000-0000-00004A3B0000}"/>
    <cellStyle name="Header2 14 3 11 3 3" xfId="15172" xr:uid="{00000000-0005-0000-0000-00004B3B0000}"/>
    <cellStyle name="Header2 14 3 11 3 3 2" xfId="15173" xr:uid="{00000000-0005-0000-0000-00004C3B0000}"/>
    <cellStyle name="Header2 14 3 11 3 3 3" xfId="15174" xr:uid="{00000000-0005-0000-0000-00004D3B0000}"/>
    <cellStyle name="Header2 14 3 11 3 3 4" xfId="15175" xr:uid="{00000000-0005-0000-0000-00004E3B0000}"/>
    <cellStyle name="Header2 14 3 11 3 4" xfId="15176" xr:uid="{00000000-0005-0000-0000-00004F3B0000}"/>
    <cellStyle name="Header2 14 3 11 3 5" xfId="15177" xr:uid="{00000000-0005-0000-0000-0000503B0000}"/>
    <cellStyle name="Header2 14 3 11 3 6" xfId="15178" xr:uid="{00000000-0005-0000-0000-0000513B0000}"/>
    <cellStyle name="Header2 14 3 11 4" xfId="15179" xr:uid="{00000000-0005-0000-0000-0000523B0000}"/>
    <cellStyle name="Header2 14 3 11 5" xfId="15180" xr:uid="{00000000-0005-0000-0000-0000533B0000}"/>
    <cellStyle name="Header2 14 3 12" xfId="15181" xr:uid="{00000000-0005-0000-0000-0000543B0000}"/>
    <cellStyle name="Header2 14 3 12 2" xfId="15182" xr:uid="{00000000-0005-0000-0000-0000553B0000}"/>
    <cellStyle name="Header2 14 3 12 2 2" xfId="15183" xr:uid="{00000000-0005-0000-0000-0000563B0000}"/>
    <cellStyle name="Header2 14 3 12 2 2 2" xfId="15184" xr:uid="{00000000-0005-0000-0000-0000573B0000}"/>
    <cellStyle name="Header2 14 3 12 2 2 3" xfId="15185" xr:uid="{00000000-0005-0000-0000-0000583B0000}"/>
    <cellStyle name="Header2 14 3 12 2 2 4" xfId="15186" xr:uid="{00000000-0005-0000-0000-0000593B0000}"/>
    <cellStyle name="Header2 14 3 12 2 2 5" xfId="15187" xr:uid="{00000000-0005-0000-0000-00005A3B0000}"/>
    <cellStyle name="Header2 14 3 12 2 3" xfId="15188" xr:uid="{00000000-0005-0000-0000-00005B3B0000}"/>
    <cellStyle name="Header2 14 3 12 2 3 2" xfId="15189" xr:uid="{00000000-0005-0000-0000-00005C3B0000}"/>
    <cellStyle name="Header2 14 3 12 2 3 3" xfId="15190" xr:uid="{00000000-0005-0000-0000-00005D3B0000}"/>
    <cellStyle name="Header2 14 3 12 2 3 4" xfId="15191" xr:uid="{00000000-0005-0000-0000-00005E3B0000}"/>
    <cellStyle name="Header2 14 3 12 2 4" xfId="15192" xr:uid="{00000000-0005-0000-0000-00005F3B0000}"/>
    <cellStyle name="Header2 14 3 12 2 5" xfId="15193" xr:uid="{00000000-0005-0000-0000-0000603B0000}"/>
    <cellStyle name="Header2 14 3 12 2 6" xfId="15194" xr:uid="{00000000-0005-0000-0000-0000613B0000}"/>
    <cellStyle name="Header2 14 3 12 3" xfId="15195" xr:uid="{00000000-0005-0000-0000-0000623B0000}"/>
    <cellStyle name="Header2 14 3 12 3 2" xfId="15196" xr:uid="{00000000-0005-0000-0000-0000633B0000}"/>
    <cellStyle name="Header2 14 3 12 3 2 2" xfId="15197" xr:uid="{00000000-0005-0000-0000-0000643B0000}"/>
    <cellStyle name="Header2 14 3 12 3 2 3" xfId="15198" xr:uid="{00000000-0005-0000-0000-0000653B0000}"/>
    <cellStyle name="Header2 14 3 12 3 2 4" xfId="15199" xr:uid="{00000000-0005-0000-0000-0000663B0000}"/>
    <cellStyle name="Header2 14 3 12 3 3" xfId="15200" xr:uid="{00000000-0005-0000-0000-0000673B0000}"/>
    <cellStyle name="Header2 14 3 12 3 3 2" xfId="15201" xr:uid="{00000000-0005-0000-0000-0000683B0000}"/>
    <cellStyle name="Header2 14 3 12 3 3 3" xfId="15202" xr:uid="{00000000-0005-0000-0000-0000693B0000}"/>
    <cellStyle name="Header2 14 3 12 3 3 4" xfId="15203" xr:uid="{00000000-0005-0000-0000-00006A3B0000}"/>
    <cellStyle name="Header2 14 3 12 3 4" xfId="15204" xr:uid="{00000000-0005-0000-0000-00006B3B0000}"/>
    <cellStyle name="Header2 14 3 12 3 5" xfId="15205" xr:uid="{00000000-0005-0000-0000-00006C3B0000}"/>
    <cellStyle name="Header2 14 3 12 3 6" xfId="15206" xr:uid="{00000000-0005-0000-0000-00006D3B0000}"/>
    <cellStyle name="Header2 14 3 12 4" xfId="15207" xr:uid="{00000000-0005-0000-0000-00006E3B0000}"/>
    <cellStyle name="Header2 14 3 12 5" xfId="15208" xr:uid="{00000000-0005-0000-0000-00006F3B0000}"/>
    <cellStyle name="Header2 14 3 13" xfId="58725" xr:uid="{00000000-0005-0000-0000-0000703B0000}"/>
    <cellStyle name="Header2 14 3 2" xfId="15209" xr:uid="{00000000-0005-0000-0000-0000713B0000}"/>
    <cellStyle name="Header2 14 3 2 2" xfId="15210" xr:uid="{00000000-0005-0000-0000-0000723B0000}"/>
    <cellStyle name="Header2 14 3 2 2 2" xfId="15211" xr:uid="{00000000-0005-0000-0000-0000733B0000}"/>
    <cellStyle name="Header2 14 3 2 2 3" xfId="15212" xr:uid="{00000000-0005-0000-0000-0000743B0000}"/>
    <cellStyle name="Header2 14 3 2 3" xfId="15213" xr:uid="{00000000-0005-0000-0000-0000753B0000}"/>
    <cellStyle name="Header2 14 3 3" xfId="15214" xr:uid="{00000000-0005-0000-0000-0000763B0000}"/>
    <cellStyle name="Header2 14 3 3 2" xfId="15215" xr:uid="{00000000-0005-0000-0000-0000773B0000}"/>
    <cellStyle name="Header2 14 3 3 2 2" xfId="15216" xr:uid="{00000000-0005-0000-0000-0000783B0000}"/>
    <cellStyle name="Header2 14 3 3 2 3" xfId="15217" xr:uid="{00000000-0005-0000-0000-0000793B0000}"/>
    <cellStyle name="Header2 14 3 3 3" xfId="15218" xr:uid="{00000000-0005-0000-0000-00007A3B0000}"/>
    <cellStyle name="Header2 14 3 4" xfId="15219" xr:uid="{00000000-0005-0000-0000-00007B3B0000}"/>
    <cellStyle name="Header2 14 3 4 2" xfId="15220" xr:uid="{00000000-0005-0000-0000-00007C3B0000}"/>
    <cellStyle name="Header2 14 3 4 2 2" xfId="15221" xr:uid="{00000000-0005-0000-0000-00007D3B0000}"/>
    <cellStyle name="Header2 14 3 4 2 3" xfId="15222" xr:uid="{00000000-0005-0000-0000-00007E3B0000}"/>
    <cellStyle name="Header2 14 3 4 3" xfId="15223" xr:uid="{00000000-0005-0000-0000-00007F3B0000}"/>
    <cellStyle name="Header2 14 3 5" xfId="15224" xr:uid="{00000000-0005-0000-0000-0000803B0000}"/>
    <cellStyle name="Header2 14 3 5 2" xfId="15225" xr:uid="{00000000-0005-0000-0000-0000813B0000}"/>
    <cellStyle name="Header2 14 3 5 2 2" xfId="15226" xr:uid="{00000000-0005-0000-0000-0000823B0000}"/>
    <cellStyle name="Header2 14 3 5 2 2 2" xfId="15227" xr:uid="{00000000-0005-0000-0000-0000833B0000}"/>
    <cellStyle name="Header2 14 3 5 2 2 3" xfId="15228" xr:uid="{00000000-0005-0000-0000-0000843B0000}"/>
    <cellStyle name="Header2 14 3 5 2 2 4" xfId="15229" xr:uid="{00000000-0005-0000-0000-0000853B0000}"/>
    <cellStyle name="Header2 14 3 5 2 2 5" xfId="15230" xr:uid="{00000000-0005-0000-0000-0000863B0000}"/>
    <cellStyle name="Header2 14 3 5 2 3" xfId="15231" xr:uid="{00000000-0005-0000-0000-0000873B0000}"/>
    <cellStyle name="Header2 14 3 5 2 3 2" xfId="15232" xr:uid="{00000000-0005-0000-0000-0000883B0000}"/>
    <cellStyle name="Header2 14 3 5 2 3 3" xfId="15233" xr:uid="{00000000-0005-0000-0000-0000893B0000}"/>
    <cellStyle name="Header2 14 3 5 2 3 4" xfId="15234" xr:uid="{00000000-0005-0000-0000-00008A3B0000}"/>
    <cellStyle name="Header2 14 3 5 2 4" xfId="15235" xr:uid="{00000000-0005-0000-0000-00008B3B0000}"/>
    <cellStyle name="Header2 14 3 5 2 5" xfId="15236" xr:uid="{00000000-0005-0000-0000-00008C3B0000}"/>
    <cellStyle name="Header2 14 3 5 2 6" xfId="15237" xr:uid="{00000000-0005-0000-0000-00008D3B0000}"/>
    <cellStyle name="Header2 14 3 5 3" xfId="15238" xr:uid="{00000000-0005-0000-0000-00008E3B0000}"/>
    <cellStyle name="Header2 14 3 5 3 2" xfId="15239" xr:uid="{00000000-0005-0000-0000-00008F3B0000}"/>
    <cellStyle name="Header2 14 3 5 3 2 2" xfId="15240" xr:uid="{00000000-0005-0000-0000-0000903B0000}"/>
    <cellStyle name="Header2 14 3 5 3 2 3" xfId="15241" xr:uid="{00000000-0005-0000-0000-0000913B0000}"/>
    <cellStyle name="Header2 14 3 5 3 2 4" xfId="15242" xr:uid="{00000000-0005-0000-0000-0000923B0000}"/>
    <cellStyle name="Header2 14 3 5 3 3" xfId="15243" xr:uid="{00000000-0005-0000-0000-0000933B0000}"/>
    <cellStyle name="Header2 14 3 5 3 3 2" xfId="15244" xr:uid="{00000000-0005-0000-0000-0000943B0000}"/>
    <cellStyle name="Header2 14 3 5 3 3 3" xfId="15245" xr:uid="{00000000-0005-0000-0000-0000953B0000}"/>
    <cellStyle name="Header2 14 3 5 3 3 4" xfId="15246" xr:uid="{00000000-0005-0000-0000-0000963B0000}"/>
    <cellStyle name="Header2 14 3 5 3 4" xfId="15247" xr:uid="{00000000-0005-0000-0000-0000973B0000}"/>
    <cellStyle name="Header2 14 3 5 3 5" xfId="15248" xr:uid="{00000000-0005-0000-0000-0000983B0000}"/>
    <cellStyle name="Header2 14 3 5 3 6" xfId="15249" xr:uid="{00000000-0005-0000-0000-0000993B0000}"/>
    <cellStyle name="Header2 14 3 5 4" xfId="15250" xr:uid="{00000000-0005-0000-0000-00009A3B0000}"/>
    <cellStyle name="Header2 14 3 5 5" xfId="15251" xr:uid="{00000000-0005-0000-0000-00009B3B0000}"/>
    <cellStyle name="Header2 14 3 6" xfId="15252" xr:uid="{00000000-0005-0000-0000-00009C3B0000}"/>
    <cellStyle name="Header2 14 3 6 2" xfId="15253" xr:uid="{00000000-0005-0000-0000-00009D3B0000}"/>
    <cellStyle name="Header2 14 3 6 2 2" xfId="15254" xr:uid="{00000000-0005-0000-0000-00009E3B0000}"/>
    <cellStyle name="Header2 14 3 6 2 2 2" xfId="15255" xr:uid="{00000000-0005-0000-0000-00009F3B0000}"/>
    <cellStyle name="Header2 14 3 6 2 2 3" xfId="15256" xr:uid="{00000000-0005-0000-0000-0000A03B0000}"/>
    <cellStyle name="Header2 14 3 6 2 2 4" xfId="15257" xr:uid="{00000000-0005-0000-0000-0000A13B0000}"/>
    <cellStyle name="Header2 14 3 6 2 2 5" xfId="15258" xr:uid="{00000000-0005-0000-0000-0000A23B0000}"/>
    <cellStyle name="Header2 14 3 6 2 3" xfId="15259" xr:uid="{00000000-0005-0000-0000-0000A33B0000}"/>
    <cellStyle name="Header2 14 3 6 2 3 2" xfId="15260" xr:uid="{00000000-0005-0000-0000-0000A43B0000}"/>
    <cellStyle name="Header2 14 3 6 2 3 3" xfId="15261" xr:uid="{00000000-0005-0000-0000-0000A53B0000}"/>
    <cellStyle name="Header2 14 3 6 2 3 4" xfId="15262" xr:uid="{00000000-0005-0000-0000-0000A63B0000}"/>
    <cellStyle name="Header2 14 3 6 2 4" xfId="15263" xr:uid="{00000000-0005-0000-0000-0000A73B0000}"/>
    <cellStyle name="Header2 14 3 6 2 5" xfId="15264" xr:uid="{00000000-0005-0000-0000-0000A83B0000}"/>
    <cellStyle name="Header2 14 3 6 2 6" xfId="15265" xr:uid="{00000000-0005-0000-0000-0000A93B0000}"/>
    <cellStyle name="Header2 14 3 6 3" xfId="15266" xr:uid="{00000000-0005-0000-0000-0000AA3B0000}"/>
    <cellStyle name="Header2 14 3 6 3 2" xfId="15267" xr:uid="{00000000-0005-0000-0000-0000AB3B0000}"/>
    <cellStyle name="Header2 14 3 6 3 2 2" xfId="15268" xr:uid="{00000000-0005-0000-0000-0000AC3B0000}"/>
    <cellStyle name="Header2 14 3 6 3 2 3" xfId="15269" xr:uid="{00000000-0005-0000-0000-0000AD3B0000}"/>
    <cellStyle name="Header2 14 3 6 3 2 4" xfId="15270" xr:uid="{00000000-0005-0000-0000-0000AE3B0000}"/>
    <cellStyle name="Header2 14 3 6 3 3" xfId="15271" xr:uid="{00000000-0005-0000-0000-0000AF3B0000}"/>
    <cellStyle name="Header2 14 3 6 3 3 2" xfId="15272" xr:uid="{00000000-0005-0000-0000-0000B03B0000}"/>
    <cellStyle name="Header2 14 3 6 3 3 3" xfId="15273" xr:uid="{00000000-0005-0000-0000-0000B13B0000}"/>
    <cellStyle name="Header2 14 3 6 3 3 4" xfId="15274" xr:uid="{00000000-0005-0000-0000-0000B23B0000}"/>
    <cellStyle name="Header2 14 3 6 3 4" xfId="15275" xr:uid="{00000000-0005-0000-0000-0000B33B0000}"/>
    <cellStyle name="Header2 14 3 6 3 5" xfId="15276" xr:uid="{00000000-0005-0000-0000-0000B43B0000}"/>
    <cellStyle name="Header2 14 3 6 3 6" xfId="15277" xr:uid="{00000000-0005-0000-0000-0000B53B0000}"/>
    <cellStyle name="Header2 14 3 6 4" xfId="15278" xr:uid="{00000000-0005-0000-0000-0000B63B0000}"/>
    <cellStyle name="Header2 14 3 6 5" xfId="15279" xr:uid="{00000000-0005-0000-0000-0000B73B0000}"/>
    <cellStyle name="Header2 14 3 7" xfId="15280" xr:uid="{00000000-0005-0000-0000-0000B83B0000}"/>
    <cellStyle name="Header2 14 3 7 2" xfId="15281" xr:uid="{00000000-0005-0000-0000-0000B93B0000}"/>
    <cellStyle name="Header2 14 3 7 2 2" xfId="15282" xr:uid="{00000000-0005-0000-0000-0000BA3B0000}"/>
    <cellStyle name="Header2 14 3 7 2 2 2" xfId="15283" xr:uid="{00000000-0005-0000-0000-0000BB3B0000}"/>
    <cellStyle name="Header2 14 3 7 2 2 3" xfId="15284" xr:uid="{00000000-0005-0000-0000-0000BC3B0000}"/>
    <cellStyle name="Header2 14 3 7 2 2 4" xfId="15285" xr:uid="{00000000-0005-0000-0000-0000BD3B0000}"/>
    <cellStyle name="Header2 14 3 7 2 2 5" xfId="15286" xr:uid="{00000000-0005-0000-0000-0000BE3B0000}"/>
    <cellStyle name="Header2 14 3 7 2 3" xfId="15287" xr:uid="{00000000-0005-0000-0000-0000BF3B0000}"/>
    <cellStyle name="Header2 14 3 7 2 3 2" xfId="15288" xr:uid="{00000000-0005-0000-0000-0000C03B0000}"/>
    <cellStyle name="Header2 14 3 7 2 3 3" xfId="15289" xr:uid="{00000000-0005-0000-0000-0000C13B0000}"/>
    <cellStyle name="Header2 14 3 7 2 3 4" xfId="15290" xr:uid="{00000000-0005-0000-0000-0000C23B0000}"/>
    <cellStyle name="Header2 14 3 7 2 4" xfId="15291" xr:uid="{00000000-0005-0000-0000-0000C33B0000}"/>
    <cellStyle name="Header2 14 3 7 2 5" xfId="15292" xr:uid="{00000000-0005-0000-0000-0000C43B0000}"/>
    <cellStyle name="Header2 14 3 7 2 6" xfId="15293" xr:uid="{00000000-0005-0000-0000-0000C53B0000}"/>
    <cellStyle name="Header2 14 3 7 3" xfId="15294" xr:uid="{00000000-0005-0000-0000-0000C63B0000}"/>
    <cellStyle name="Header2 14 3 7 3 2" xfId="15295" xr:uid="{00000000-0005-0000-0000-0000C73B0000}"/>
    <cellStyle name="Header2 14 3 7 3 2 2" xfId="15296" xr:uid="{00000000-0005-0000-0000-0000C83B0000}"/>
    <cellStyle name="Header2 14 3 7 3 2 3" xfId="15297" xr:uid="{00000000-0005-0000-0000-0000C93B0000}"/>
    <cellStyle name="Header2 14 3 7 3 2 4" xfId="15298" xr:uid="{00000000-0005-0000-0000-0000CA3B0000}"/>
    <cellStyle name="Header2 14 3 7 3 3" xfId="15299" xr:uid="{00000000-0005-0000-0000-0000CB3B0000}"/>
    <cellStyle name="Header2 14 3 7 3 3 2" xfId="15300" xr:uid="{00000000-0005-0000-0000-0000CC3B0000}"/>
    <cellStyle name="Header2 14 3 7 3 3 3" xfId="15301" xr:uid="{00000000-0005-0000-0000-0000CD3B0000}"/>
    <cellStyle name="Header2 14 3 7 3 3 4" xfId="15302" xr:uid="{00000000-0005-0000-0000-0000CE3B0000}"/>
    <cellStyle name="Header2 14 3 7 3 4" xfId="15303" xr:uid="{00000000-0005-0000-0000-0000CF3B0000}"/>
    <cellStyle name="Header2 14 3 7 3 5" xfId="15304" xr:uid="{00000000-0005-0000-0000-0000D03B0000}"/>
    <cellStyle name="Header2 14 3 7 3 6" xfId="15305" xr:uid="{00000000-0005-0000-0000-0000D13B0000}"/>
    <cellStyle name="Header2 14 3 7 4" xfId="15306" xr:uid="{00000000-0005-0000-0000-0000D23B0000}"/>
    <cellStyle name="Header2 14 3 7 5" xfId="15307" xr:uid="{00000000-0005-0000-0000-0000D33B0000}"/>
    <cellStyle name="Header2 14 3 8" xfId="15308" xr:uid="{00000000-0005-0000-0000-0000D43B0000}"/>
    <cellStyle name="Header2 14 3 8 2" xfId="15309" xr:uid="{00000000-0005-0000-0000-0000D53B0000}"/>
    <cellStyle name="Header2 14 3 8 2 2" xfId="15310" xr:uid="{00000000-0005-0000-0000-0000D63B0000}"/>
    <cellStyle name="Header2 14 3 8 2 2 2" xfId="15311" xr:uid="{00000000-0005-0000-0000-0000D73B0000}"/>
    <cellStyle name="Header2 14 3 8 2 2 3" xfId="15312" xr:uid="{00000000-0005-0000-0000-0000D83B0000}"/>
    <cellStyle name="Header2 14 3 8 2 2 4" xfId="15313" xr:uid="{00000000-0005-0000-0000-0000D93B0000}"/>
    <cellStyle name="Header2 14 3 8 2 2 5" xfId="15314" xr:uid="{00000000-0005-0000-0000-0000DA3B0000}"/>
    <cellStyle name="Header2 14 3 8 2 3" xfId="15315" xr:uid="{00000000-0005-0000-0000-0000DB3B0000}"/>
    <cellStyle name="Header2 14 3 8 2 3 2" xfId="15316" xr:uid="{00000000-0005-0000-0000-0000DC3B0000}"/>
    <cellStyle name="Header2 14 3 8 2 3 3" xfId="15317" xr:uid="{00000000-0005-0000-0000-0000DD3B0000}"/>
    <cellStyle name="Header2 14 3 8 2 3 4" xfId="15318" xr:uid="{00000000-0005-0000-0000-0000DE3B0000}"/>
    <cellStyle name="Header2 14 3 8 2 4" xfId="15319" xr:uid="{00000000-0005-0000-0000-0000DF3B0000}"/>
    <cellStyle name="Header2 14 3 8 2 5" xfId="15320" xr:uid="{00000000-0005-0000-0000-0000E03B0000}"/>
    <cellStyle name="Header2 14 3 8 2 6" xfId="15321" xr:uid="{00000000-0005-0000-0000-0000E13B0000}"/>
    <cellStyle name="Header2 14 3 8 3" xfId="15322" xr:uid="{00000000-0005-0000-0000-0000E23B0000}"/>
    <cellStyle name="Header2 14 3 8 3 2" xfId="15323" xr:uid="{00000000-0005-0000-0000-0000E33B0000}"/>
    <cellStyle name="Header2 14 3 8 3 2 2" xfId="15324" xr:uid="{00000000-0005-0000-0000-0000E43B0000}"/>
    <cellStyle name="Header2 14 3 8 3 2 3" xfId="15325" xr:uid="{00000000-0005-0000-0000-0000E53B0000}"/>
    <cellStyle name="Header2 14 3 8 3 2 4" xfId="15326" xr:uid="{00000000-0005-0000-0000-0000E63B0000}"/>
    <cellStyle name="Header2 14 3 8 3 3" xfId="15327" xr:uid="{00000000-0005-0000-0000-0000E73B0000}"/>
    <cellStyle name="Header2 14 3 8 3 3 2" xfId="15328" xr:uid="{00000000-0005-0000-0000-0000E83B0000}"/>
    <cellStyle name="Header2 14 3 8 3 3 3" xfId="15329" xr:uid="{00000000-0005-0000-0000-0000E93B0000}"/>
    <cellStyle name="Header2 14 3 8 3 3 4" xfId="15330" xr:uid="{00000000-0005-0000-0000-0000EA3B0000}"/>
    <cellStyle name="Header2 14 3 8 3 4" xfId="15331" xr:uid="{00000000-0005-0000-0000-0000EB3B0000}"/>
    <cellStyle name="Header2 14 3 8 3 5" xfId="15332" xr:uid="{00000000-0005-0000-0000-0000EC3B0000}"/>
    <cellStyle name="Header2 14 3 8 3 6" xfId="15333" xr:uid="{00000000-0005-0000-0000-0000ED3B0000}"/>
    <cellStyle name="Header2 14 3 8 4" xfId="15334" xr:uid="{00000000-0005-0000-0000-0000EE3B0000}"/>
    <cellStyle name="Header2 14 3 8 5" xfId="15335" xr:uid="{00000000-0005-0000-0000-0000EF3B0000}"/>
    <cellStyle name="Header2 14 3 9" xfId="15336" xr:uid="{00000000-0005-0000-0000-0000F03B0000}"/>
    <cellStyle name="Header2 14 3 9 2" xfId="15337" xr:uid="{00000000-0005-0000-0000-0000F13B0000}"/>
    <cellStyle name="Header2 14 3 9 2 2" xfId="15338" xr:uid="{00000000-0005-0000-0000-0000F23B0000}"/>
    <cellStyle name="Header2 14 3 9 2 2 2" xfId="15339" xr:uid="{00000000-0005-0000-0000-0000F33B0000}"/>
    <cellStyle name="Header2 14 3 9 2 2 3" xfId="15340" xr:uid="{00000000-0005-0000-0000-0000F43B0000}"/>
    <cellStyle name="Header2 14 3 9 2 2 4" xfId="15341" xr:uid="{00000000-0005-0000-0000-0000F53B0000}"/>
    <cellStyle name="Header2 14 3 9 2 2 5" xfId="15342" xr:uid="{00000000-0005-0000-0000-0000F63B0000}"/>
    <cellStyle name="Header2 14 3 9 2 3" xfId="15343" xr:uid="{00000000-0005-0000-0000-0000F73B0000}"/>
    <cellStyle name="Header2 14 3 9 2 3 2" xfId="15344" xr:uid="{00000000-0005-0000-0000-0000F83B0000}"/>
    <cellStyle name="Header2 14 3 9 2 3 3" xfId="15345" xr:uid="{00000000-0005-0000-0000-0000F93B0000}"/>
    <cellStyle name="Header2 14 3 9 2 3 4" xfId="15346" xr:uid="{00000000-0005-0000-0000-0000FA3B0000}"/>
    <cellStyle name="Header2 14 3 9 2 4" xfId="15347" xr:uid="{00000000-0005-0000-0000-0000FB3B0000}"/>
    <cellStyle name="Header2 14 3 9 2 5" xfId="15348" xr:uid="{00000000-0005-0000-0000-0000FC3B0000}"/>
    <cellStyle name="Header2 14 3 9 2 6" xfId="15349" xr:uid="{00000000-0005-0000-0000-0000FD3B0000}"/>
    <cellStyle name="Header2 14 3 9 3" xfId="15350" xr:uid="{00000000-0005-0000-0000-0000FE3B0000}"/>
    <cellStyle name="Header2 14 3 9 3 2" xfId="15351" xr:uid="{00000000-0005-0000-0000-0000FF3B0000}"/>
    <cellStyle name="Header2 14 3 9 3 2 2" xfId="15352" xr:uid="{00000000-0005-0000-0000-0000003C0000}"/>
    <cellStyle name="Header2 14 3 9 3 2 3" xfId="15353" xr:uid="{00000000-0005-0000-0000-0000013C0000}"/>
    <cellStyle name="Header2 14 3 9 3 2 4" xfId="15354" xr:uid="{00000000-0005-0000-0000-0000023C0000}"/>
    <cellStyle name="Header2 14 3 9 3 3" xfId="15355" xr:uid="{00000000-0005-0000-0000-0000033C0000}"/>
    <cellStyle name="Header2 14 3 9 3 3 2" xfId="15356" xr:uid="{00000000-0005-0000-0000-0000043C0000}"/>
    <cellStyle name="Header2 14 3 9 3 3 3" xfId="15357" xr:uid="{00000000-0005-0000-0000-0000053C0000}"/>
    <cellStyle name="Header2 14 3 9 3 3 4" xfId="15358" xr:uid="{00000000-0005-0000-0000-0000063C0000}"/>
    <cellStyle name="Header2 14 3 9 3 4" xfId="15359" xr:uid="{00000000-0005-0000-0000-0000073C0000}"/>
    <cellStyle name="Header2 14 3 9 3 5" xfId="15360" xr:uid="{00000000-0005-0000-0000-0000083C0000}"/>
    <cellStyle name="Header2 14 3 9 3 6" xfId="15361" xr:uid="{00000000-0005-0000-0000-0000093C0000}"/>
    <cellStyle name="Header2 14 3 9 4" xfId="15362" xr:uid="{00000000-0005-0000-0000-00000A3C0000}"/>
    <cellStyle name="Header2 14 3 9 5" xfId="15363" xr:uid="{00000000-0005-0000-0000-00000B3C0000}"/>
    <cellStyle name="Header2 15" xfId="15364" xr:uid="{00000000-0005-0000-0000-00000C3C0000}"/>
    <cellStyle name="Header2 15 2" xfId="15365" xr:uid="{00000000-0005-0000-0000-00000D3C0000}"/>
    <cellStyle name="Header2 15 2 10" xfId="15366" xr:uid="{00000000-0005-0000-0000-00000E3C0000}"/>
    <cellStyle name="Header2 15 2 10 2" xfId="15367" xr:uid="{00000000-0005-0000-0000-00000F3C0000}"/>
    <cellStyle name="Header2 15 2 10 2 2" xfId="15368" xr:uid="{00000000-0005-0000-0000-0000103C0000}"/>
    <cellStyle name="Header2 15 2 10 2 2 2" xfId="15369" xr:uid="{00000000-0005-0000-0000-0000113C0000}"/>
    <cellStyle name="Header2 15 2 10 2 2 3" xfId="15370" xr:uid="{00000000-0005-0000-0000-0000123C0000}"/>
    <cellStyle name="Header2 15 2 10 2 2 4" xfId="15371" xr:uid="{00000000-0005-0000-0000-0000133C0000}"/>
    <cellStyle name="Header2 15 2 10 2 2 5" xfId="15372" xr:uid="{00000000-0005-0000-0000-0000143C0000}"/>
    <cellStyle name="Header2 15 2 10 2 3" xfId="15373" xr:uid="{00000000-0005-0000-0000-0000153C0000}"/>
    <cellStyle name="Header2 15 2 10 2 3 2" xfId="15374" xr:uid="{00000000-0005-0000-0000-0000163C0000}"/>
    <cellStyle name="Header2 15 2 10 2 3 3" xfId="15375" xr:uid="{00000000-0005-0000-0000-0000173C0000}"/>
    <cellStyle name="Header2 15 2 10 2 3 4" xfId="15376" xr:uid="{00000000-0005-0000-0000-0000183C0000}"/>
    <cellStyle name="Header2 15 2 10 2 4" xfId="15377" xr:uid="{00000000-0005-0000-0000-0000193C0000}"/>
    <cellStyle name="Header2 15 2 10 2 5" xfId="15378" xr:uid="{00000000-0005-0000-0000-00001A3C0000}"/>
    <cellStyle name="Header2 15 2 10 2 6" xfId="15379" xr:uid="{00000000-0005-0000-0000-00001B3C0000}"/>
    <cellStyle name="Header2 15 2 10 3" xfId="15380" xr:uid="{00000000-0005-0000-0000-00001C3C0000}"/>
    <cellStyle name="Header2 15 2 10 3 2" xfId="15381" xr:uid="{00000000-0005-0000-0000-00001D3C0000}"/>
    <cellStyle name="Header2 15 2 10 3 2 2" xfId="15382" xr:uid="{00000000-0005-0000-0000-00001E3C0000}"/>
    <cellStyle name="Header2 15 2 10 3 2 3" xfId="15383" xr:uid="{00000000-0005-0000-0000-00001F3C0000}"/>
    <cellStyle name="Header2 15 2 10 3 2 4" xfId="15384" xr:uid="{00000000-0005-0000-0000-0000203C0000}"/>
    <cellStyle name="Header2 15 2 10 3 3" xfId="15385" xr:uid="{00000000-0005-0000-0000-0000213C0000}"/>
    <cellStyle name="Header2 15 2 10 3 3 2" xfId="15386" xr:uid="{00000000-0005-0000-0000-0000223C0000}"/>
    <cellStyle name="Header2 15 2 10 3 3 3" xfId="15387" xr:uid="{00000000-0005-0000-0000-0000233C0000}"/>
    <cellStyle name="Header2 15 2 10 3 3 4" xfId="15388" xr:uid="{00000000-0005-0000-0000-0000243C0000}"/>
    <cellStyle name="Header2 15 2 10 3 4" xfId="15389" xr:uid="{00000000-0005-0000-0000-0000253C0000}"/>
    <cellStyle name="Header2 15 2 10 3 5" xfId="15390" xr:uid="{00000000-0005-0000-0000-0000263C0000}"/>
    <cellStyle name="Header2 15 2 10 3 6" xfId="15391" xr:uid="{00000000-0005-0000-0000-0000273C0000}"/>
    <cellStyle name="Header2 15 2 10 4" xfId="15392" xr:uid="{00000000-0005-0000-0000-0000283C0000}"/>
    <cellStyle name="Header2 15 2 10 5" xfId="15393" xr:uid="{00000000-0005-0000-0000-0000293C0000}"/>
    <cellStyle name="Header2 15 2 11" xfId="15394" xr:uid="{00000000-0005-0000-0000-00002A3C0000}"/>
    <cellStyle name="Header2 15 2 11 2" xfId="15395" xr:uid="{00000000-0005-0000-0000-00002B3C0000}"/>
    <cellStyle name="Header2 15 2 11 2 2" xfId="15396" xr:uid="{00000000-0005-0000-0000-00002C3C0000}"/>
    <cellStyle name="Header2 15 2 11 2 2 2" xfId="15397" xr:uid="{00000000-0005-0000-0000-00002D3C0000}"/>
    <cellStyle name="Header2 15 2 11 2 2 3" xfId="15398" xr:uid="{00000000-0005-0000-0000-00002E3C0000}"/>
    <cellStyle name="Header2 15 2 11 2 2 4" xfId="15399" xr:uid="{00000000-0005-0000-0000-00002F3C0000}"/>
    <cellStyle name="Header2 15 2 11 2 2 5" xfId="15400" xr:uid="{00000000-0005-0000-0000-0000303C0000}"/>
    <cellStyle name="Header2 15 2 11 2 3" xfId="15401" xr:uid="{00000000-0005-0000-0000-0000313C0000}"/>
    <cellStyle name="Header2 15 2 11 2 3 2" xfId="15402" xr:uid="{00000000-0005-0000-0000-0000323C0000}"/>
    <cellStyle name="Header2 15 2 11 2 3 3" xfId="15403" xr:uid="{00000000-0005-0000-0000-0000333C0000}"/>
    <cellStyle name="Header2 15 2 11 2 3 4" xfId="15404" xr:uid="{00000000-0005-0000-0000-0000343C0000}"/>
    <cellStyle name="Header2 15 2 11 2 4" xfId="15405" xr:uid="{00000000-0005-0000-0000-0000353C0000}"/>
    <cellStyle name="Header2 15 2 11 2 5" xfId="15406" xr:uid="{00000000-0005-0000-0000-0000363C0000}"/>
    <cellStyle name="Header2 15 2 11 2 6" xfId="15407" xr:uid="{00000000-0005-0000-0000-0000373C0000}"/>
    <cellStyle name="Header2 15 2 11 3" xfId="15408" xr:uid="{00000000-0005-0000-0000-0000383C0000}"/>
    <cellStyle name="Header2 15 2 11 3 2" xfId="15409" xr:uid="{00000000-0005-0000-0000-0000393C0000}"/>
    <cellStyle name="Header2 15 2 11 3 2 2" xfId="15410" xr:uid="{00000000-0005-0000-0000-00003A3C0000}"/>
    <cellStyle name="Header2 15 2 11 3 2 3" xfId="15411" xr:uid="{00000000-0005-0000-0000-00003B3C0000}"/>
    <cellStyle name="Header2 15 2 11 3 2 4" xfId="15412" xr:uid="{00000000-0005-0000-0000-00003C3C0000}"/>
    <cellStyle name="Header2 15 2 11 3 3" xfId="15413" xr:uid="{00000000-0005-0000-0000-00003D3C0000}"/>
    <cellStyle name="Header2 15 2 11 3 3 2" xfId="15414" xr:uid="{00000000-0005-0000-0000-00003E3C0000}"/>
    <cellStyle name="Header2 15 2 11 3 3 3" xfId="15415" xr:uid="{00000000-0005-0000-0000-00003F3C0000}"/>
    <cellStyle name="Header2 15 2 11 3 3 4" xfId="15416" xr:uid="{00000000-0005-0000-0000-0000403C0000}"/>
    <cellStyle name="Header2 15 2 11 3 4" xfId="15417" xr:uid="{00000000-0005-0000-0000-0000413C0000}"/>
    <cellStyle name="Header2 15 2 11 3 5" xfId="15418" xr:uid="{00000000-0005-0000-0000-0000423C0000}"/>
    <cellStyle name="Header2 15 2 11 3 6" xfId="15419" xr:uid="{00000000-0005-0000-0000-0000433C0000}"/>
    <cellStyle name="Header2 15 2 11 4" xfId="15420" xr:uid="{00000000-0005-0000-0000-0000443C0000}"/>
    <cellStyle name="Header2 15 2 11 5" xfId="15421" xr:uid="{00000000-0005-0000-0000-0000453C0000}"/>
    <cellStyle name="Header2 15 2 12" xfId="15422" xr:uid="{00000000-0005-0000-0000-0000463C0000}"/>
    <cellStyle name="Header2 15 2 12 2" xfId="15423" xr:uid="{00000000-0005-0000-0000-0000473C0000}"/>
    <cellStyle name="Header2 15 2 12 2 2" xfId="15424" xr:uid="{00000000-0005-0000-0000-0000483C0000}"/>
    <cellStyle name="Header2 15 2 12 2 2 2" xfId="15425" xr:uid="{00000000-0005-0000-0000-0000493C0000}"/>
    <cellStyle name="Header2 15 2 12 2 2 3" xfId="15426" xr:uid="{00000000-0005-0000-0000-00004A3C0000}"/>
    <cellStyle name="Header2 15 2 12 2 2 4" xfId="15427" xr:uid="{00000000-0005-0000-0000-00004B3C0000}"/>
    <cellStyle name="Header2 15 2 12 2 2 5" xfId="15428" xr:uid="{00000000-0005-0000-0000-00004C3C0000}"/>
    <cellStyle name="Header2 15 2 12 2 3" xfId="15429" xr:uid="{00000000-0005-0000-0000-00004D3C0000}"/>
    <cellStyle name="Header2 15 2 12 2 3 2" xfId="15430" xr:uid="{00000000-0005-0000-0000-00004E3C0000}"/>
    <cellStyle name="Header2 15 2 12 2 3 3" xfId="15431" xr:uid="{00000000-0005-0000-0000-00004F3C0000}"/>
    <cellStyle name="Header2 15 2 12 2 3 4" xfId="15432" xr:uid="{00000000-0005-0000-0000-0000503C0000}"/>
    <cellStyle name="Header2 15 2 12 2 4" xfId="15433" xr:uid="{00000000-0005-0000-0000-0000513C0000}"/>
    <cellStyle name="Header2 15 2 12 2 5" xfId="15434" xr:uid="{00000000-0005-0000-0000-0000523C0000}"/>
    <cellStyle name="Header2 15 2 12 2 6" xfId="15435" xr:uid="{00000000-0005-0000-0000-0000533C0000}"/>
    <cellStyle name="Header2 15 2 12 3" xfId="15436" xr:uid="{00000000-0005-0000-0000-0000543C0000}"/>
    <cellStyle name="Header2 15 2 12 3 2" xfId="15437" xr:uid="{00000000-0005-0000-0000-0000553C0000}"/>
    <cellStyle name="Header2 15 2 12 3 2 2" xfId="15438" xr:uid="{00000000-0005-0000-0000-0000563C0000}"/>
    <cellStyle name="Header2 15 2 12 3 2 3" xfId="15439" xr:uid="{00000000-0005-0000-0000-0000573C0000}"/>
    <cellStyle name="Header2 15 2 12 3 2 4" xfId="15440" xr:uid="{00000000-0005-0000-0000-0000583C0000}"/>
    <cellStyle name="Header2 15 2 12 3 3" xfId="15441" xr:uid="{00000000-0005-0000-0000-0000593C0000}"/>
    <cellStyle name="Header2 15 2 12 3 3 2" xfId="15442" xr:uid="{00000000-0005-0000-0000-00005A3C0000}"/>
    <cellStyle name="Header2 15 2 12 3 3 3" xfId="15443" xr:uid="{00000000-0005-0000-0000-00005B3C0000}"/>
    <cellStyle name="Header2 15 2 12 3 3 4" xfId="15444" xr:uid="{00000000-0005-0000-0000-00005C3C0000}"/>
    <cellStyle name="Header2 15 2 12 3 4" xfId="15445" xr:uid="{00000000-0005-0000-0000-00005D3C0000}"/>
    <cellStyle name="Header2 15 2 12 3 5" xfId="15446" xr:uid="{00000000-0005-0000-0000-00005E3C0000}"/>
    <cellStyle name="Header2 15 2 12 3 6" xfId="15447" xr:uid="{00000000-0005-0000-0000-00005F3C0000}"/>
    <cellStyle name="Header2 15 2 12 4" xfId="15448" xr:uid="{00000000-0005-0000-0000-0000603C0000}"/>
    <cellStyle name="Header2 15 2 12 5" xfId="15449" xr:uid="{00000000-0005-0000-0000-0000613C0000}"/>
    <cellStyle name="Header2 15 2 13" xfId="15450" xr:uid="{00000000-0005-0000-0000-0000623C0000}"/>
    <cellStyle name="Header2 15 2 13 2" xfId="15451" xr:uid="{00000000-0005-0000-0000-0000633C0000}"/>
    <cellStyle name="Header2 15 2 13 2 2" xfId="15452" xr:uid="{00000000-0005-0000-0000-0000643C0000}"/>
    <cellStyle name="Header2 15 2 13 2 2 2" xfId="15453" xr:uid="{00000000-0005-0000-0000-0000653C0000}"/>
    <cellStyle name="Header2 15 2 13 2 2 3" xfId="15454" xr:uid="{00000000-0005-0000-0000-0000663C0000}"/>
    <cellStyle name="Header2 15 2 13 2 2 4" xfId="15455" xr:uid="{00000000-0005-0000-0000-0000673C0000}"/>
    <cellStyle name="Header2 15 2 13 2 2 5" xfId="15456" xr:uid="{00000000-0005-0000-0000-0000683C0000}"/>
    <cellStyle name="Header2 15 2 13 2 3" xfId="15457" xr:uid="{00000000-0005-0000-0000-0000693C0000}"/>
    <cellStyle name="Header2 15 2 13 2 3 2" xfId="15458" xr:uid="{00000000-0005-0000-0000-00006A3C0000}"/>
    <cellStyle name="Header2 15 2 13 2 3 3" xfId="15459" xr:uid="{00000000-0005-0000-0000-00006B3C0000}"/>
    <cellStyle name="Header2 15 2 13 2 3 4" xfId="15460" xr:uid="{00000000-0005-0000-0000-00006C3C0000}"/>
    <cellStyle name="Header2 15 2 13 2 4" xfId="15461" xr:uid="{00000000-0005-0000-0000-00006D3C0000}"/>
    <cellStyle name="Header2 15 2 13 2 5" xfId="15462" xr:uid="{00000000-0005-0000-0000-00006E3C0000}"/>
    <cellStyle name="Header2 15 2 13 2 6" xfId="15463" xr:uid="{00000000-0005-0000-0000-00006F3C0000}"/>
    <cellStyle name="Header2 15 2 13 3" xfId="15464" xr:uid="{00000000-0005-0000-0000-0000703C0000}"/>
    <cellStyle name="Header2 15 2 13 3 2" xfId="15465" xr:uid="{00000000-0005-0000-0000-0000713C0000}"/>
    <cellStyle name="Header2 15 2 13 3 2 2" xfId="15466" xr:uid="{00000000-0005-0000-0000-0000723C0000}"/>
    <cellStyle name="Header2 15 2 13 3 2 3" xfId="15467" xr:uid="{00000000-0005-0000-0000-0000733C0000}"/>
    <cellStyle name="Header2 15 2 13 3 2 4" xfId="15468" xr:uid="{00000000-0005-0000-0000-0000743C0000}"/>
    <cellStyle name="Header2 15 2 13 3 3" xfId="15469" xr:uid="{00000000-0005-0000-0000-0000753C0000}"/>
    <cellStyle name="Header2 15 2 13 3 3 2" xfId="15470" xr:uid="{00000000-0005-0000-0000-0000763C0000}"/>
    <cellStyle name="Header2 15 2 13 3 3 3" xfId="15471" xr:uid="{00000000-0005-0000-0000-0000773C0000}"/>
    <cellStyle name="Header2 15 2 13 3 3 4" xfId="15472" xr:uid="{00000000-0005-0000-0000-0000783C0000}"/>
    <cellStyle name="Header2 15 2 13 3 4" xfId="15473" xr:uid="{00000000-0005-0000-0000-0000793C0000}"/>
    <cellStyle name="Header2 15 2 13 3 5" xfId="15474" xr:uid="{00000000-0005-0000-0000-00007A3C0000}"/>
    <cellStyle name="Header2 15 2 13 3 6" xfId="15475" xr:uid="{00000000-0005-0000-0000-00007B3C0000}"/>
    <cellStyle name="Header2 15 2 13 4" xfId="15476" xr:uid="{00000000-0005-0000-0000-00007C3C0000}"/>
    <cellStyle name="Header2 15 2 13 5" xfId="15477" xr:uid="{00000000-0005-0000-0000-00007D3C0000}"/>
    <cellStyle name="Header2 15 2 14" xfId="58726" xr:uid="{00000000-0005-0000-0000-00007E3C0000}"/>
    <cellStyle name="Header2 15 2 2" xfId="15478" xr:uid="{00000000-0005-0000-0000-00007F3C0000}"/>
    <cellStyle name="Header2 15 2 2 2" xfId="15479" xr:uid="{00000000-0005-0000-0000-0000803C0000}"/>
    <cellStyle name="Header2 15 2 2 2 2" xfId="15480" xr:uid="{00000000-0005-0000-0000-0000813C0000}"/>
    <cellStyle name="Header2 15 2 2 2 2 2" xfId="15481" xr:uid="{00000000-0005-0000-0000-0000823C0000}"/>
    <cellStyle name="Header2 15 2 2 2 2 2 2" xfId="15482" xr:uid="{00000000-0005-0000-0000-0000833C0000}"/>
    <cellStyle name="Header2 15 2 2 2 2 2 3" xfId="15483" xr:uid="{00000000-0005-0000-0000-0000843C0000}"/>
    <cellStyle name="Header2 15 2 2 2 2 2 4" xfId="15484" xr:uid="{00000000-0005-0000-0000-0000853C0000}"/>
    <cellStyle name="Header2 15 2 2 2 2 2 5" xfId="15485" xr:uid="{00000000-0005-0000-0000-0000863C0000}"/>
    <cellStyle name="Header2 15 2 2 2 2 3" xfId="15486" xr:uid="{00000000-0005-0000-0000-0000873C0000}"/>
    <cellStyle name="Header2 15 2 2 2 2 3 2" xfId="15487" xr:uid="{00000000-0005-0000-0000-0000883C0000}"/>
    <cellStyle name="Header2 15 2 2 2 2 3 3" xfId="15488" xr:uid="{00000000-0005-0000-0000-0000893C0000}"/>
    <cellStyle name="Header2 15 2 2 2 2 3 4" xfId="15489" xr:uid="{00000000-0005-0000-0000-00008A3C0000}"/>
    <cellStyle name="Header2 15 2 2 2 2 4" xfId="15490" xr:uid="{00000000-0005-0000-0000-00008B3C0000}"/>
    <cellStyle name="Header2 15 2 2 2 2 5" xfId="15491" xr:uid="{00000000-0005-0000-0000-00008C3C0000}"/>
    <cellStyle name="Header2 15 2 2 2 2 6" xfId="15492" xr:uid="{00000000-0005-0000-0000-00008D3C0000}"/>
    <cellStyle name="Header2 15 2 2 2 3" xfId="15493" xr:uid="{00000000-0005-0000-0000-00008E3C0000}"/>
    <cellStyle name="Header2 15 2 2 2 3 2" xfId="15494" xr:uid="{00000000-0005-0000-0000-00008F3C0000}"/>
    <cellStyle name="Header2 15 2 2 2 3 2 2" xfId="15495" xr:uid="{00000000-0005-0000-0000-0000903C0000}"/>
    <cellStyle name="Header2 15 2 2 2 3 2 3" xfId="15496" xr:uid="{00000000-0005-0000-0000-0000913C0000}"/>
    <cellStyle name="Header2 15 2 2 2 3 2 4" xfId="15497" xr:uid="{00000000-0005-0000-0000-0000923C0000}"/>
    <cellStyle name="Header2 15 2 2 2 3 3" xfId="15498" xr:uid="{00000000-0005-0000-0000-0000933C0000}"/>
    <cellStyle name="Header2 15 2 2 2 3 3 2" xfId="15499" xr:uid="{00000000-0005-0000-0000-0000943C0000}"/>
    <cellStyle name="Header2 15 2 2 2 3 3 3" xfId="15500" xr:uid="{00000000-0005-0000-0000-0000953C0000}"/>
    <cellStyle name="Header2 15 2 2 2 3 3 4" xfId="15501" xr:uid="{00000000-0005-0000-0000-0000963C0000}"/>
    <cellStyle name="Header2 15 2 2 2 3 4" xfId="15502" xr:uid="{00000000-0005-0000-0000-0000973C0000}"/>
    <cellStyle name="Header2 15 2 2 2 3 5" xfId="15503" xr:uid="{00000000-0005-0000-0000-0000983C0000}"/>
    <cellStyle name="Header2 15 2 2 2 3 6" xfId="15504" xr:uid="{00000000-0005-0000-0000-0000993C0000}"/>
    <cellStyle name="Header2 15 2 2 2 4" xfId="15505" xr:uid="{00000000-0005-0000-0000-00009A3C0000}"/>
    <cellStyle name="Header2 15 2 2 2 5" xfId="15506" xr:uid="{00000000-0005-0000-0000-00009B3C0000}"/>
    <cellStyle name="Header2 15 2 2 3" xfId="15507" xr:uid="{00000000-0005-0000-0000-00009C3C0000}"/>
    <cellStyle name="Header2 15 2 2 3 2" xfId="15508" xr:uid="{00000000-0005-0000-0000-00009D3C0000}"/>
    <cellStyle name="Header2 15 2 2 3 2 2" xfId="15509" xr:uid="{00000000-0005-0000-0000-00009E3C0000}"/>
    <cellStyle name="Header2 15 2 2 3 2 2 2" xfId="15510" xr:uid="{00000000-0005-0000-0000-00009F3C0000}"/>
    <cellStyle name="Header2 15 2 2 3 2 2 3" xfId="15511" xr:uid="{00000000-0005-0000-0000-0000A03C0000}"/>
    <cellStyle name="Header2 15 2 2 3 2 2 4" xfId="15512" xr:uid="{00000000-0005-0000-0000-0000A13C0000}"/>
    <cellStyle name="Header2 15 2 2 3 2 2 5" xfId="15513" xr:uid="{00000000-0005-0000-0000-0000A23C0000}"/>
    <cellStyle name="Header2 15 2 2 3 2 3" xfId="15514" xr:uid="{00000000-0005-0000-0000-0000A33C0000}"/>
    <cellStyle name="Header2 15 2 2 3 2 3 2" xfId="15515" xr:uid="{00000000-0005-0000-0000-0000A43C0000}"/>
    <cellStyle name="Header2 15 2 2 3 2 3 3" xfId="15516" xr:uid="{00000000-0005-0000-0000-0000A53C0000}"/>
    <cellStyle name="Header2 15 2 2 3 2 3 4" xfId="15517" xr:uid="{00000000-0005-0000-0000-0000A63C0000}"/>
    <cellStyle name="Header2 15 2 2 3 2 4" xfId="15518" xr:uid="{00000000-0005-0000-0000-0000A73C0000}"/>
    <cellStyle name="Header2 15 2 2 3 2 5" xfId="15519" xr:uid="{00000000-0005-0000-0000-0000A83C0000}"/>
    <cellStyle name="Header2 15 2 2 3 2 6" xfId="15520" xr:uid="{00000000-0005-0000-0000-0000A93C0000}"/>
    <cellStyle name="Header2 15 2 2 3 3" xfId="15521" xr:uid="{00000000-0005-0000-0000-0000AA3C0000}"/>
    <cellStyle name="Header2 15 2 2 3 3 2" xfId="15522" xr:uid="{00000000-0005-0000-0000-0000AB3C0000}"/>
    <cellStyle name="Header2 15 2 2 3 3 2 2" xfId="15523" xr:uid="{00000000-0005-0000-0000-0000AC3C0000}"/>
    <cellStyle name="Header2 15 2 2 3 3 2 3" xfId="15524" xr:uid="{00000000-0005-0000-0000-0000AD3C0000}"/>
    <cellStyle name="Header2 15 2 2 3 3 2 4" xfId="15525" xr:uid="{00000000-0005-0000-0000-0000AE3C0000}"/>
    <cellStyle name="Header2 15 2 2 3 3 3" xfId="15526" xr:uid="{00000000-0005-0000-0000-0000AF3C0000}"/>
    <cellStyle name="Header2 15 2 2 3 3 3 2" xfId="15527" xr:uid="{00000000-0005-0000-0000-0000B03C0000}"/>
    <cellStyle name="Header2 15 2 2 3 3 3 3" xfId="15528" xr:uid="{00000000-0005-0000-0000-0000B13C0000}"/>
    <cellStyle name="Header2 15 2 2 3 3 3 4" xfId="15529" xr:uid="{00000000-0005-0000-0000-0000B23C0000}"/>
    <cellStyle name="Header2 15 2 2 3 3 4" xfId="15530" xr:uid="{00000000-0005-0000-0000-0000B33C0000}"/>
    <cellStyle name="Header2 15 2 2 3 3 5" xfId="15531" xr:uid="{00000000-0005-0000-0000-0000B43C0000}"/>
    <cellStyle name="Header2 15 2 2 3 3 6" xfId="15532" xr:uid="{00000000-0005-0000-0000-0000B53C0000}"/>
    <cellStyle name="Header2 15 2 2 3 4" xfId="15533" xr:uid="{00000000-0005-0000-0000-0000B63C0000}"/>
    <cellStyle name="Header2 15 2 2 3 5" xfId="15534" xr:uid="{00000000-0005-0000-0000-0000B73C0000}"/>
    <cellStyle name="Header2 15 2 3" xfId="15535" xr:uid="{00000000-0005-0000-0000-0000B83C0000}"/>
    <cellStyle name="Header2 15 2 3 2" xfId="15536" xr:uid="{00000000-0005-0000-0000-0000B93C0000}"/>
    <cellStyle name="Header2 15 2 3 2 2" xfId="15537" xr:uid="{00000000-0005-0000-0000-0000BA3C0000}"/>
    <cellStyle name="Header2 15 2 3 2 3" xfId="15538" xr:uid="{00000000-0005-0000-0000-0000BB3C0000}"/>
    <cellStyle name="Header2 15 2 3 3" xfId="15539" xr:uid="{00000000-0005-0000-0000-0000BC3C0000}"/>
    <cellStyle name="Header2 15 2 4" xfId="15540" xr:uid="{00000000-0005-0000-0000-0000BD3C0000}"/>
    <cellStyle name="Header2 15 2 4 2" xfId="15541" xr:uid="{00000000-0005-0000-0000-0000BE3C0000}"/>
    <cellStyle name="Header2 15 2 4 2 2" xfId="15542" xr:uid="{00000000-0005-0000-0000-0000BF3C0000}"/>
    <cellStyle name="Header2 15 2 4 2 3" xfId="15543" xr:uid="{00000000-0005-0000-0000-0000C03C0000}"/>
    <cellStyle name="Header2 15 2 4 3" xfId="15544" xr:uid="{00000000-0005-0000-0000-0000C13C0000}"/>
    <cellStyle name="Header2 15 2 5" xfId="15545" xr:uid="{00000000-0005-0000-0000-0000C23C0000}"/>
    <cellStyle name="Header2 15 2 5 2" xfId="15546" xr:uid="{00000000-0005-0000-0000-0000C33C0000}"/>
    <cellStyle name="Header2 15 2 5 2 2" xfId="15547" xr:uid="{00000000-0005-0000-0000-0000C43C0000}"/>
    <cellStyle name="Header2 15 2 5 2 3" xfId="15548" xr:uid="{00000000-0005-0000-0000-0000C53C0000}"/>
    <cellStyle name="Header2 15 2 5 3" xfId="15549" xr:uid="{00000000-0005-0000-0000-0000C63C0000}"/>
    <cellStyle name="Header2 15 2 6" xfId="15550" xr:uid="{00000000-0005-0000-0000-0000C73C0000}"/>
    <cellStyle name="Header2 15 2 6 2" xfId="15551" xr:uid="{00000000-0005-0000-0000-0000C83C0000}"/>
    <cellStyle name="Header2 15 2 6 2 2" xfId="15552" xr:uid="{00000000-0005-0000-0000-0000C93C0000}"/>
    <cellStyle name="Header2 15 2 6 2 2 2" xfId="15553" xr:uid="{00000000-0005-0000-0000-0000CA3C0000}"/>
    <cellStyle name="Header2 15 2 6 2 2 3" xfId="15554" xr:uid="{00000000-0005-0000-0000-0000CB3C0000}"/>
    <cellStyle name="Header2 15 2 6 2 2 4" xfId="15555" xr:uid="{00000000-0005-0000-0000-0000CC3C0000}"/>
    <cellStyle name="Header2 15 2 6 2 2 5" xfId="15556" xr:uid="{00000000-0005-0000-0000-0000CD3C0000}"/>
    <cellStyle name="Header2 15 2 6 2 3" xfId="15557" xr:uid="{00000000-0005-0000-0000-0000CE3C0000}"/>
    <cellStyle name="Header2 15 2 6 2 3 2" xfId="15558" xr:uid="{00000000-0005-0000-0000-0000CF3C0000}"/>
    <cellStyle name="Header2 15 2 6 2 3 3" xfId="15559" xr:uid="{00000000-0005-0000-0000-0000D03C0000}"/>
    <cellStyle name="Header2 15 2 6 2 3 4" xfId="15560" xr:uid="{00000000-0005-0000-0000-0000D13C0000}"/>
    <cellStyle name="Header2 15 2 6 2 4" xfId="15561" xr:uid="{00000000-0005-0000-0000-0000D23C0000}"/>
    <cellStyle name="Header2 15 2 6 2 5" xfId="15562" xr:uid="{00000000-0005-0000-0000-0000D33C0000}"/>
    <cellStyle name="Header2 15 2 6 2 6" xfId="15563" xr:uid="{00000000-0005-0000-0000-0000D43C0000}"/>
    <cellStyle name="Header2 15 2 6 3" xfId="15564" xr:uid="{00000000-0005-0000-0000-0000D53C0000}"/>
    <cellStyle name="Header2 15 2 6 3 2" xfId="15565" xr:uid="{00000000-0005-0000-0000-0000D63C0000}"/>
    <cellStyle name="Header2 15 2 6 3 2 2" xfId="15566" xr:uid="{00000000-0005-0000-0000-0000D73C0000}"/>
    <cellStyle name="Header2 15 2 6 3 2 3" xfId="15567" xr:uid="{00000000-0005-0000-0000-0000D83C0000}"/>
    <cellStyle name="Header2 15 2 6 3 2 4" xfId="15568" xr:uid="{00000000-0005-0000-0000-0000D93C0000}"/>
    <cellStyle name="Header2 15 2 6 3 3" xfId="15569" xr:uid="{00000000-0005-0000-0000-0000DA3C0000}"/>
    <cellStyle name="Header2 15 2 6 3 3 2" xfId="15570" xr:uid="{00000000-0005-0000-0000-0000DB3C0000}"/>
    <cellStyle name="Header2 15 2 6 3 3 3" xfId="15571" xr:uid="{00000000-0005-0000-0000-0000DC3C0000}"/>
    <cellStyle name="Header2 15 2 6 3 3 4" xfId="15572" xr:uid="{00000000-0005-0000-0000-0000DD3C0000}"/>
    <cellStyle name="Header2 15 2 6 3 4" xfId="15573" xr:uid="{00000000-0005-0000-0000-0000DE3C0000}"/>
    <cellStyle name="Header2 15 2 6 3 5" xfId="15574" xr:uid="{00000000-0005-0000-0000-0000DF3C0000}"/>
    <cellStyle name="Header2 15 2 6 3 6" xfId="15575" xr:uid="{00000000-0005-0000-0000-0000E03C0000}"/>
    <cellStyle name="Header2 15 2 6 4" xfId="15576" xr:uid="{00000000-0005-0000-0000-0000E13C0000}"/>
    <cellStyle name="Header2 15 2 6 5" xfId="15577" xr:uid="{00000000-0005-0000-0000-0000E23C0000}"/>
    <cellStyle name="Header2 15 2 7" xfId="15578" xr:uid="{00000000-0005-0000-0000-0000E33C0000}"/>
    <cellStyle name="Header2 15 2 7 2" xfId="15579" xr:uid="{00000000-0005-0000-0000-0000E43C0000}"/>
    <cellStyle name="Header2 15 2 7 2 2" xfId="15580" xr:uid="{00000000-0005-0000-0000-0000E53C0000}"/>
    <cellStyle name="Header2 15 2 7 2 2 2" xfId="15581" xr:uid="{00000000-0005-0000-0000-0000E63C0000}"/>
    <cellStyle name="Header2 15 2 7 2 2 3" xfId="15582" xr:uid="{00000000-0005-0000-0000-0000E73C0000}"/>
    <cellStyle name="Header2 15 2 7 2 2 4" xfId="15583" xr:uid="{00000000-0005-0000-0000-0000E83C0000}"/>
    <cellStyle name="Header2 15 2 7 2 2 5" xfId="15584" xr:uid="{00000000-0005-0000-0000-0000E93C0000}"/>
    <cellStyle name="Header2 15 2 7 2 3" xfId="15585" xr:uid="{00000000-0005-0000-0000-0000EA3C0000}"/>
    <cellStyle name="Header2 15 2 7 2 3 2" xfId="15586" xr:uid="{00000000-0005-0000-0000-0000EB3C0000}"/>
    <cellStyle name="Header2 15 2 7 2 3 3" xfId="15587" xr:uid="{00000000-0005-0000-0000-0000EC3C0000}"/>
    <cellStyle name="Header2 15 2 7 2 3 4" xfId="15588" xr:uid="{00000000-0005-0000-0000-0000ED3C0000}"/>
    <cellStyle name="Header2 15 2 7 2 4" xfId="15589" xr:uid="{00000000-0005-0000-0000-0000EE3C0000}"/>
    <cellStyle name="Header2 15 2 7 2 5" xfId="15590" xr:uid="{00000000-0005-0000-0000-0000EF3C0000}"/>
    <cellStyle name="Header2 15 2 7 2 6" xfId="15591" xr:uid="{00000000-0005-0000-0000-0000F03C0000}"/>
    <cellStyle name="Header2 15 2 7 3" xfId="15592" xr:uid="{00000000-0005-0000-0000-0000F13C0000}"/>
    <cellStyle name="Header2 15 2 7 3 2" xfId="15593" xr:uid="{00000000-0005-0000-0000-0000F23C0000}"/>
    <cellStyle name="Header2 15 2 7 3 2 2" xfId="15594" xr:uid="{00000000-0005-0000-0000-0000F33C0000}"/>
    <cellStyle name="Header2 15 2 7 3 2 3" xfId="15595" xr:uid="{00000000-0005-0000-0000-0000F43C0000}"/>
    <cellStyle name="Header2 15 2 7 3 2 4" xfId="15596" xr:uid="{00000000-0005-0000-0000-0000F53C0000}"/>
    <cellStyle name="Header2 15 2 7 3 3" xfId="15597" xr:uid="{00000000-0005-0000-0000-0000F63C0000}"/>
    <cellStyle name="Header2 15 2 7 3 3 2" xfId="15598" xr:uid="{00000000-0005-0000-0000-0000F73C0000}"/>
    <cellStyle name="Header2 15 2 7 3 3 3" xfId="15599" xr:uid="{00000000-0005-0000-0000-0000F83C0000}"/>
    <cellStyle name="Header2 15 2 7 3 3 4" xfId="15600" xr:uid="{00000000-0005-0000-0000-0000F93C0000}"/>
    <cellStyle name="Header2 15 2 7 3 4" xfId="15601" xr:uid="{00000000-0005-0000-0000-0000FA3C0000}"/>
    <cellStyle name="Header2 15 2 7 3 5" xfId="15602" xr:uid="{00000000-0005-0000-0000-0000FB3C0000}"/>
    <cellStyle name="Header2 15 2 7 3 6" xfId="15603" xr:uid="{00000000-0005-0000-0000-0000FC3C0000}"/>
    <cellStyle name="Header2 15 2 7 4" xfId="15604" xr:uid="{00000000-0005-0000-0000-0000FD3C0000}"/>
    <cellStyle name="Header2 15 2 7 5" xfId="15605" xr:uid="{00000000-0005-0000-0000-0000FE3C0000}"/>
    <cellStyle name="Header2 15 2 8" xfId="15606" xr:uid="{00000000-0005-0000-0000-0000FF3C0000}"/>
    <cellStyle name="Header2 15 2 8 2" xfId="15607" xr:uid="{00000000-0005-0000-0000-0000003D0000}"/>
    <cellStyle name="Header2 15 2 8 2 2" xfId="15608" xr:uid="{00000000-0005-0000-0000-0000013D0000}"/>
    <cellStyle name="Header2 15 2 8 2 2 2" xfId="15609" xr:uid="{00000000-0005-0000-0000-0000023D0000}"/>
    <cellStyle name="Header2 15 2 8 2 2 3" xfId="15610" xr:uid="{00000000-0005-0000-0000-0000033D0000}"/>
    <cellStyle name="Header2 15 2 8 2 2 4" xfId="15611" xr:uid="{00000000-0005-0000-0000-0000043D0000}"/>
    <cellStyle name="Header2 15 2 8 2 2 5" xfId="15612" xr:uid="{00000000-0005-0000-0000-0000053D0000}"/>
    <cellStyle name="Header2 15 2 8 2 3" xfId="15613" xr:uid="{00000000-0005-0000-0000-0000063D0000}"/>
    <cellStyle name="Header2 15 2 8 2 3 2" xfId="15614" xr:uid="{00000000-0005-0000-0000-0000073D0000}"/>
    <cellStyle name="Header2 15 2 8 2 3 3" xfId="15615" xr:uid="{00000000-0005-0000-0000-0000083D0000}"/>
    <cellStyle name="Header2 15 2 8 2 3 4" xfId="15616" xr:uid="{00000000-0005-0000-0000-0000093D0000}"/>
    <cellStyle name="Header2 15 2 8 2 4" xfId="15617" xr:uid="{00000000-0005-0000-0000-00000A3D0000}"/>
    <cellStyle name="Header2 15 2 8 2 5" xfId="15618" xr:uid="{00000000-0005-0000-0000-00000B3D0000}"/>
    <cellStyle name="Header2 15 2 8 2 6" xfId="15619" xr:uid="{00000000-0005-0000-0000-00000C3D0000}"/>
    <cellStyle name="Header2 15 2 8 3" xfId="15620" xr:uid="{00000000-0005-0000-0000-00000D3D0000}"/>
    <cellStyle name="Header2 15 2 8 3 2" xfId="15621" xr:uid="{00000000-0005-0000-0000-00000E3D0000}"/>
    <cellStyle name="Header2 15 2 8 3 2 2" xfId="15622" xr:uid="{00000000-0005-0000-0000-00000F3D0000}"/>
    <cellStyle name="Header2 15 2 8 3 2 3" xfId="15623" xr:uid="{00000000-0005-0000-0000-0000103D0000}"/>
    <cellStyle name="Header2 15 2 8 3 2 4" xfId="15624" xr:uid="{00000000-0005-0000-0000-0000113D0000}"/>
    <cellStyle name="Header2 15 2 8 3 3" xfId="15625" xr:uid="{00000000-0005-0000-0000-0000123D0000}"/>
    <cellStyle name="Header2 15 2 8 3 3 2" xfId="15626" xr:uid="{00000000-0005-0000-0000-0000133D0000}"/>
    <cellStyle name="Header2 15 2 8 3 3 3" xfId="15627" xr:uid="{00000000-0005-0000-0000-0000143D0000}"/>
    <cellStyle name="Header2 15 2 8 3 3 4" xfId="15628" xr:uid="{00000000-0005-0000-0000-0000153D0000}"/>
    <cellStyle name="Header2 15 2 8 3 4" xfId="15629" xr:uid="{00000000-0005-0000-0000-0000163D0000}"/>
    <cellStyle name="Header2 15 2 8 3 5" xfId="15630" xr:uid="{00000000-0005-0000-0000-0000173D0000}"/>
    <cellStyle name="Header2 15 2 8 3 6" xfId="15631" xr:uid="{00000000-0005-0000-0000-0000183D0000}"/>
    <cellStyle name="Header2 15 2 8 4" xfId="15632" xr:uid="{00000000-0005-0000-0000-0000193D0000}"/>
    <cellStyle name="Header2 15 2 8 5" xfId="15633" xr:uid="{00000000-0005-0000-0000-00001A3D0000}"/>
    <cellStyle name="Header2 15 2 9" xfId="15634" xr:uid="{00000000-0005-0000-0000-00001B3D0000}"/>
    <cellStyle name="Header2 15 2 9 2" xfId="15635" xr:uid="{00000000-0005-0000-0000-00001C3D0000}"/>
    <cellStyle name="Header2 15 2 9 2 2" xfId="15636" xr:uid="{00000000-0005-0000-0000-00001D3D0000}"/>
    <cellStyle name="Header2 15 2 9 2 2 2" xfId="15637" xr:uid="{00000000-0005-0000-0000-00001E3D0000}"/>
    <cellStyle name="Header2 15 2 9 2 2 3" xfId="15638" xr:uid="{00000000-0005-0000-0000-00001F3D0000}"/>
    <cellStyle name="Header2 15 2 9 2 2 4" xfId="15639" xr:uid="{00000000-0005-0000-0000-0000203D0000}"/>
    <cellStyle name="Header2 15 2 9 2 2 5" xfId="15640" xr:uid="{00000000-0005-0000-0000-0000213D0000}"/>
    <cellStyle name="Header2 15 2 9 2 3" xfId="15641" xr:uid="{00000000-0005-0000-0000-0000223D0000}"/>
    <cellStyle name="Header2 15 2 9 2 3 2" xfId="15642" xr:uid="{00000000-0005-0000-0000-0000233D0000}"/>
    <cellStyle name="Header2 15 2 9 2 3 3" xfId="15643" xr:uid="{00000000-0005-0000-0000-0000243D0000}"/>
    <cellStyle name="Header2 15 2 9 2 3 4" xfId="15644" xr:uid="{00000000-0005-0000-0000-0000253D0000}"/>
    <cellStyle name="Header2 15 2 9 2 4" xfId="15645" xr:uid="{00000000-0005-0000-0000-0000263D0000}"/>
    <cellStyle name="Header2 15 2 9 2 5" xfId="15646" xr:uid="{00000000-0005-0000-0000-0000273D0000}"/>
    <cellStyle name="Header2 15 2 9 2 6" xfId="15647" xr:uid="{00000000-0005-0000-0000-0000283D0000}"/>
    <cellStyle name="Header2 15 2 9 3" xfId="15648" xr:uid="{00000000-0005-0000-0000-0000293D0000}"/>
    <cellStyle name="Header2 15 2 9 3 2" xfId="15649" xr:uid="{00000000-0005-0000-0000-00002A3D0000}"/>
    <cellStyle name="Header2 15 2 9 3 2 2" xfId="15650" xr:uid="{00000000-0005-0000-0000-00002B3D0000}"/>
    <cellStyle name="Header2 15 2 9 3 2 3" xfId="15651" xr:uid="{00000000-0005-0000-0000-00002C3D0000}"/>
    <cellStyle name="Header2 15 2 9 3 2 4" xfId="15652" xr:uid="{00000000-0005-0000-0000-00002D3D0000}"/>
    <cellStyle name="Header2 15 2 9 3 3" xfId="15653" xr:uid="{00000000-0005-0000-0000-00002E3D0000}"/>
    <cellStyle name="Header2 15 2 9 3 3 2" xfId="15654" xr:uid="{00000000-0005-0000-0000-00002F3D0000}"/>
    <cellStyle name="Header2 15 2 9 3 3 3" xfId="15655" xr:uid="{00000000-0005-0000-0000-0000303D0000}"/>
    <cellStyle name="Header2 15 2 9 3 3 4" xfId="15656" xr:uid="{00000000-0005-0000-0000-0000313D0000}"/>
    <cellStyle name="Header2 15 2 9 3 4" xfId="15657" xr:uid="{00000000-0005-0000-0000-0000323D0000}"/>
    <cellStyle name="Header2 15 2 9 3 5" xfId="15658" xr:uid="{00000000-0005-0000-0000-0000333D0000}"/>
    <cellStyle name="Header2 15 2 9 3 6" xfId="15659" xr:uid="{00000000-0005-0000-0000-0000343D0000}"/>
    <cellStyle name="Header2 15 2 9 4" xfId="15660" xr:uid="{00000000-0005-0000-0000-0000353D0000}"/>
    <cellStyle name="Header2 15 2 9 5" xfId="15661" xr:uid="{00000000-0005-0000-0000-0000363D0000}"/>
    <cellStyle name="Header2 15 3" xfId="15662" xr:uid="{00000000-0005-0000-0000-0000373D0000}"/>
    <cellStyle name="Header2 15 3 10" xfId="15663" xr:uid="{00000000-0005-0000-0000-0000383D0000}"/>
    <cellStyle name="Header2 15 3 10 2" xfId="15664" xr:uid="{00000000-0005-0000-0000-0000393D0000}"/>
    <cellStyle name="Header2 15 3 10 2 2" xfId="15665" xr:uid="{00000000-0005-0000-0000-00003A3D0000}"/>
    <cellStyle name="Header2 15 3 10 2 2 2" xfId="15666" xr:uid="{00000000-0005-0000-0000-00003B3D0000}"/>
    <cellStyle name="Header2 15 3 10 2 2 3" xfId="15667" xr:uid="{00000000-0005-0000-0000-00003C3D0000}"/>
    <cellStyle name="Header2 15 3 10 2 2 4" xfId="15668" xr:uid="{00000000-0005-0000-0000-00003D3D0000}"/>
    <cellStyle name="Header2 15 3 10 2 2 5" xfId="15669" xr:uid="{00000000-0005-0000-0000-00003E3D0000}"/>
    <cellStyle name="Header2 15 3 10 2 3" xfId="15670" xr:uid="{00000000-0005-0000-0000-00003F3D0000}"/>
    <cellStyle name="Header2 15 3 10 2 3 2" xfId="15671" xr:uid="{00000000-0005-0000-0000-0000403D0000}"/>
    <cellStyle name="Header2 15 3 10 2 3 3" xfId="15672" xr:uid="{00000000-0005-0000-0000-0000413D0000}"/>
    <cellStyle name="Header2 15 3 10 2 3 4" xfId="15673" xr:uid="{00000000-0005-0000-0000-0000423D0000}"/>
    <cellStyle name="Header2 15 3 10 2 4" xfId="15674" xr:uid="{00000000-0005-0000-0000-0000433D0000}"/>
    <cellStyle name="Header2 15 3 10 2 5" xfId="15675" xr:uid="{00000000-0005-0000-0000-0000443D0000}"/>
    <cellStyle name="Header2 15 3 10 2 6" xfId="15676" xr:uid="{00000000-0005-0000-0000-0000453D0000}"/>
    <cellStyle name="Header2 15 3 10 3" xfId="15677" xr:uid="{00000000-0005-0000-0000-0000463D0000}"/>
    <cellStyle name="Header2 15 3 10 3 2" xfId="15678" xr:uid="{00000000-0005-0000-0000-0000473D0000}"/>
    <cellStyle name="Header2 15 3 10 3 2 2" xfId="15679" xr:uid="{00000000-0005-0000-0000-0000483D0000}"/>
    <cellStyle name="Header2 15 3 10 3 2 3" xfId="15680" xr:uid="{00000000-0005-0000-0000-0000493D0000}"/>
    <cellStyle name="Header2 15 3 10 3 2 4" xfId="15681" xr:uid="{00000000-0005-0000-0000-00004A3D0000}"/>
    <cellStyle name="Header2 15 3 10 3 3" xfId="15682" xr:uid="{00000000-0005-0000-0000-00004B3D0000}"/>
    <cellStyle name="Header2 15 3 10 3 3 2" xfId="15683" xr:uid="{00000000-0005-0000-0000-00004C3D0000}"/>
    <cellStyle name="Header2 15 3 10 3 3 3" xfId="15684" xr:uid="{00000000-0005-0000-0000-00004D3D0000}"/>
    <cellStyle name="Header2 15 3 10 3 3 4" xfId="15685" xr:uid="{00000000-0005-0000-0000-00004E3D0000}"/>
    <cellStyle name="Header2 15 3 10 3 4" xfId="15686" xr:uid="{00000000-0005-0000-0000-00004F3D0000}"/>
    <cellStyle name="Header2 15 3 10 3 5" xfId="15687" xr:uid="{00000000-0005-0000-0000-0000503D0000}"/>
    <cellStyle name="Header2 15 3 10 3 6" xfId="15688" xr:uid="{00000000-0005-0000-0000-0000513D0000}"/>
    <cellStyle name="Header2 15 3 10 4" xfId="15689" xr:uid="{00000000-0005-0000-0000-0000523D0000}"/>
    <cellStyle name="Header2 15 3 10 5" xfId="15690" xr:uid="{00000000-0005-0000-0000-0000533D0000}"/>
    <cellStyle name="Header2 15 3 11" xfId="15691" xr:uid="{00000000-0005-0000-0000-0000543D0000}"/>
    <cellStyle name="Header2 15 3 11 2" xfId="15692" xr:uid="{00000000-0005-0000-0000-0000553D0000}"/>
    <cellStyle name="Header2 15 3 11 2 2" xfId="15693" xr:uid="{00000000-0005-0000-0000-0000563D0000}"/>
    <cellStyle name="Header2 15 3 11 2 2 2" xfId="15694" xr:uid="{00000000-0005-0000-0000-0000573D0000}"/>
    <cellStyle name="Header2 15 3 11 2 2 3" xfId="15695" xr:uid="{00000000-0005-0000-0000-0000583D0000}"/>
    <cellStyle name="Header2 15 3 11 2 2 4" xfId="15696" xr:uid="{00000000-0005-0000-0000-0000593D0000}"/>
    <cellStyle name="Header2 15 3 11 2 2 5" xfId="15697" xr:uid="{00000000-0005-0000-0000-00005A3D0000}"/>
    <cellStyle name="Header2 15 3 11 2 3" xfId="15698" xr:uid="{00000000-0005-0000-0000-00005B3D0000}"/>
    <cellStyle name="Header2 15 3 11 2 3 2" xfId="15699" xr:uid="{00000000-0005-0000-0000-00005C3D0000}"/>
    <cellStyle name="Header2 15 3 11 2 3 3" xfId="15700" xr:uid="{00000000-0005-0000-0000-00005D3D0000}"/>
    <cellStyle name="Header2 15 3 11 2 3 4" xfId="15701" xr:uid="{00000000-0005-0000-0000-00005E3D0000}"/>
    <cellStyle name="Header2 15 3 11 2 4" xfId="15702" xr:uid="{00000000-0005-0000-0000-00005F3D0000}"/>
    <cellStyle name="Header2 15 3 11 2 5" xfId="15703" xr:uid="{00000000-0005-0000-0000-0000603D0000}"/>
    <cellStyle name="Header2 15 3 11 2 6" xfId="15704" xr:uid="{00000000-0005-0000-0000-0000613D0000}"/>
    <cellStyle name="Header2 15 3 11 3" xfId="15705" xr:uid="{00000000-0005-0000-0000-0000623D0000}"/>
    <cellStyle name="Header2 15 3 11 3 2" xfId="15706" xr:uid="{00000000-0005-0000-0000-0000633D0000}"/>
    <cellStyle name="Header2 15 3 11 3 2 2" xfId="15707" xr:uid="{00000000-0005-0000-0000-0000643D0000}"/>
    <cellStyle name="Header2 15 3 11 3 2 3" xfId="15708" xr:uid="{00000000-0005-0000-0000-0000653D0000}"/>
    <cellStyle name="Header2 15 3 11 3 2 4" xfId="15709" xr:uid="{00000000-0005-0000-0000-0000663D0000}"/>
    <cellStyle name="Header2 15 3 11 3 3" xfId="15710" xr:uid="{00000000-0005-0000-0000-0000673D0000}"/>
    <cellStyle name="Header2 15 3 11 3 3 2" xfId="15711" xr:uid="{00000000-0005-0000-0000-0000683D0000}"/>
    <cellStyle name="Header2 15 3 11 3 3 3" xfId="15712" xr:uid="{00000000-0005-0000-0000-0000693D0000}"/>
    <cellStyle name="Header2 15 3 11 3 3 4" xfId="15713" xr:uid="{00000000-0005-0000-0000-00006A3D0000}"/>
    <cellStyle name="Header2 15 3 11 3 4" xfId="15714" xr:uid="{00000000-0005-0000-0000-00006B3D0000}"/>
    <cellStyle name="Header2 15 3 11 3 5" xfId="15715" xr:uid="{00000000-0005-0000-0000-00006C3D0000}"/>
    <cellStyle name="Header2 15 3 11 3 6" xfId="15716" xr:uid="{00000000-0005-0000-0000-00006D3D0000}"/>
    <cellStyle name="Header2 15 3 11 4" xfId="15717" xr:uid="{00000000-0005-0000-0000-00006E3D0000}"/>
    <cellStyle name="Header2 15 3 11 5" xfId="15718" xr:uid="{00000000-0005-0000-0000-00006F3D0000}"/>
    <cellStyle name="Header2 15 3 12" xfId="15719" xr:uid="{00000000-0005-0000-0000-0000703D0000}"/>
    <cellStyle name="Header2 15 3 12 2" xfId="15720" xr:uid="{00000000-0005-0000-0000-0000713D0000}"/>
    <cellStyle name="Header2 15 3 12 2 2" xfId="15721" xr:uid="{00000000-0005-0000-0000-0000723D0000}"/>
    <cellStyle name="Header2 15 3 12 2 2 2" xfId="15722" xr:uid="{00000000-0005-0000-0000-0000733D0000}"/>
    <cellStyle name="Header2 15 3 12 2 2 3" xfId="15723" xr:uid="{00000000-0005-0000-0000-0000743D0000}"/>
    <cellStyle name="Header2 15 3 12 2 2 4" xfId="15724" xr:uid="{00000000-0005-0000-0000-0000753D0000}"/>
    <cellStyle name="Header2 15 3 12 2 2 5" xfId="15725" xr:uid="{00000000-0005-0000-0000-0000763D0000}"/>
    <cellStyle name="Header2 15 3 12 2 3" xfId="15726" xr:uid="{00000000-0005-0000-0000-0000773D0000}"/>
    <cellStyle name="Header2 15 3 12 2 3 2" xfId="15727" xr:uid="{00000000-0005-0000-0000-0000783D0000}"/>
    <cellStyle name="Header2 15 3 12 2 3 3" xfId="15728" xr:uid="{00000000-0005-0000-0000-0000793D0000}"/>
    <cellStyle name="Header2 15 3 12 2 3 4" xfId="15729" xr:uid="{00000000-0005-0000-0000-00007A3D0000}"/>
    <cellStyle name="Header2 15 3 12 2 4" xfId="15730" xr:uid="{00000000-0005-0000-0000-00007B3D0000}"/>
    <cellStyle name="Header2 15 3 12 2 5" xfId="15731" xr:uid="{00000000-0005-0000-0000-00007C3D0000}"/>
    <cellStyle name="Header2 15 3 12 2 6" xfId="15732" xr:uid="{00000000-0005-0000-0000-00007D3D0000}"/>
    <cellStyle name="Header2 15 3 12 3" xfId="15733" xr:uid="{00000000-0005-0000-0000-00007E3D0000}"/>
    <cellStyle name="Header2 15 3 12 3 2" xfId="15734" xr:uid="{00000000-0005-0000-0000-00007F3D0000}"/>
    <cellStyle name="Header2 15 3 12 3 2 2" xfId="15735" xr:uid="{00000000-0005-0000-0000-0000803D0000}"/>
    <cellStyle name="Header2 15 3 12 3 2 3" xfId="15736" xr:uid="{00000000-0005-0000-0000-0000813D0000}"/>
    <cellStyle name="Header2 15 3 12 3 2 4" xfId="15737" xr:uid="{00000000-0005-0000-0000-0000823D0000}"/>
    <cellStyle name="Header2 15 3 12 3 3" xfId="15738" xr:uid="{00000000-0005-0000-0000-0000833D0000}"/>
    <cellStyle name="Header2 15 3 12 3 3 2" xfId="15739" xr:uid="{00000000-0005-0000-0000-0000843D0000}"/>
    <cellStyle name="Header2 15 3 12 3 3 3" xfId="15740" xr:uid="{00000000-0005-0000-0000-0000853D0000}"/>
    <cellStyle name="Header2 15 3 12 3 3 4" xfId="15741" xr:uid="{00000000-0005-0000-0000-0000863D0000}"/>
    <cellStyle name="Header2 15 3 12 3 4" xfId="15742" xr:uid="{00000000-0005-0000-0000-0000873D0000}"/>
    <cellStyle name="Header2 15 3 12 3 5" xfId="15743" xr:uid="{00000000-0005-0000-0000-0000883D0000}"/>
    <cellStyle name="Header2 15 3 12 3 6" xfId="15744" xr:uid="{00000000-0005-0000-0000-0000893D0000}"/>
    <cellStyle name="Header2 15 3 12 4" xfId="15745" xr:uid="{00000000-0005-0000-0000-00008A3D0000}"/>
    <cellStyle name="Header2 15 3 12 5" xfId="15746" xr:uid="{00000000-0005-0000-0000-00008B3D0000}"/>
    <cellStyle name="Header2 15 3 13" xfId="58727" xr:uid="{00000000-0005-0000-0000-00008C3D0000}"/>
    <cellStyle name="Header2 15 3 2" xfId="15747" xr:uid="{00000000-0005-0000-0000-00008D3D0000}"/>
    <cellStyle name="Header2 15 3 2 2" xfId="15748" xr:uid="{00000000-0005-0000-0000-00008E3D0000}"/>
    <cellStyle name="Header2 15 3 2 2 2" xfId="15749" xr:uid="{00000000-0005-0000-0000-00008F3D0000}"/>
    <cellStyle name="Header2 15 3 2 2 3" xfId="15750" xr:uid="{00000000-0005-0000-0000-0000903D0000}"/>
    <cellStyle name="Header2 15 3 2 3" xfId="15751" xr:uid="{00000000-0005-0000-0000-0000913D0000}"/>
    <cellStyle name="Header2 15 3 3" xfId="15752" xr:uid="{00000000-0005-0000-0000-0000923D0000}"/>
    <cellStyle name="Header2 15 3 3 2" xfId="15753" xr:uid="{00000000-0005-0000-0000-0000933D0000}"/>
    <cellStyle name="Header2 15 3 3 2 2" xfId="15754" xr:uid="{00000000-0005-0000-0000-0000943D0000}"/>
    <cellStyle name="Header2 15 3 3 2 3" xfId="15755" xr:uid="{00000000-0005-0000-0000-0000953D0000}"/>
    <cellStyle name="Header2 15 3 3 3" xfId="15756" xr:uid="{00000000-0005-0000-0000-0000963D0000}"/>
    <cellStyle name="Header2 15 3 4" xfId="15757" xr:uid="{00000000-0005-0000-0000-0000973D0000}"/>
    <cellStyle name="Header2 15 3 4 2" xfId="15758" xr:uid="{00000000-0005-0000-0000-0000983D0000}"/>
    <cellStyle name="Header2 15 3 4 2 2" xfId="15759" xr:uid="{00000000-0005-0000-0000-0000993D0000}"/>
    <cellStyle name="Header2 15 3 4 2 3" xfId="15760" xr:uid="{00000000-0005-0000-0000-00009A3D0000}"/>
    <cellStyle name="Header2 15 3 4 3" xfId="15761" xr:uid="{00000000-0005-0000-0000-00009B3D0000}"/>
    <cellStyle name="Header2 15 3 5" xfId="15762" xr:uid="{00000000-0005-0000-0000-00009C3D0000}"/>
    <cellStyle name="Header2 15 3 5 2" xfId="15763" xr:uid="{00000000-0005-0000-0000-00009D3D0000}"/>
    <cellStyle name="Header2 15 3 5 2 2" xfId="15764" xr:uid="{00000000-0005-0000-0000-00009E3D0000}"/>
    <cellStyle name="Header2 15 3 5 2 2 2" xfId="15765" xr:uid="{00000000-0005-0000-0000-00009F3D0000}"/>
    <cellStyle name="Header2 15 3 5 2 2 3" xfId="15766" xr:uid="{00000000-0005-0000-0000-0000A03D0000}"/>
    <cellStyle name="Header2 15 3 5 2 2 4" xfId="15767" xr:uid="{00000000-0005-0000-0000-0000A13D0000}"/>
    <cellStyle name="Header2 15 3 5 2 2 5" xfId="15768" xr:uid="{00000000-0005-0000-0000-0000A23D0000}"/>
    <cellStyle name="Header2 15 3 5 2 3" xfId="15769" xr:uid="{00000000-0005-0000-0000-0000A33D0000}"/>
    <cellStyle name="Header2 15 3 5 2 3 2" xfId="15770" xr:uid="{00000000-0005-0000-0000-0000A43D0000}"/>
    <cellStyle name="Header2 15 3 5 2 3 3" xfId="15771" xr:uid="{00000000-0005-0000-0000-0000A53D0000}"/>
    <cellStyle name="Header2 15 3 5 2 3 4" xfId="15772" xr:uid="{00000000-0005-0000-0000-0000A63D0000}"/>
    <cellStyle name="Header2 15 3 5 2 4" xfId="15773" xr:uid="{00000000-0005-0000-0000-0000A73D0000}"/>
    <cellStyle name="Header2 15 3 5 2 5" xfId="15774" xr:uid="{00000000-0005-0000-0000-0000A83D0000}"/>
    <cellStyle name="Header2 15 3 5 2 6" xfId="15775" xr:uid="{00000000-0005-0000-0000-0000A93D0000}"/>
    <cellStyle name="Header2 15 3 5 3" xfId="15776" xr:uid="{00000000-0005-0000-0000-0000AA3D0000}"/>
    <cellStyle name="Header2 15 3 5 3 2" xfId="15777" xr:uid="{00000000-0005-0000-0000-0000AB3D0000}"/>
    <cellStyle name="Header2 15 3 5 3 2 2" xfId="15778" xr:uid="{00000000-0005-0000-0000-0000AC3D0000}"/>
    <cellStyle name="Header2 15 3 5 3 2 3" xfId="15779" xr:uid="{00000000-0005-0000-0000-0000AD3D0000}"/>
    <cellStyle name="Header2 15 3 5 3 2 4" xfId="15780" xr:uid="{00000000-0005-0000-0000-0000AE3D0000}"/>
    <cellStyle name="Header2 15 3 5 3 3" xfId="15781" xr:uid="{00000000-0005-0000-0000-0000AF3D0000}"/>
    <cellStyle name="Header2 15 3 5 3 3 2" xfId="15782" xr:uid="{00000000-0005-0000-0000-0000B03D0000}"/>
    <cellStyle name="Header2 15 3 5 3 3 3" xfId="15783" xr:uid="{00000000-0005-0000-0000-0000B13D0000}"/>
    <cellStyle name="Header2 15 3 5 3 3 4" xfId="15784" xr:uid="{00000000-0005-0000-0000-0000B23D0000}"/>
    <cellStyle name="Header2 15 3 5 3 4" xfId="15785" xr:uid="{00000000-0005-0000-0000-0000B33D0000}"/>
    <cellStyle name="Header2 15 3 5 3 5" xfId="15786" xr:uid="{00000000-0005-0000-0000-0000B43D0000}"/>
    <cellStyle name="Header2 15 3 5 3 6" xfId="15787" xr:uid="{00000000-0005-0000-0000-0000B53D0000}"/>
    <cellStyle name="Header2 15 3 5 4" xfId="15788" xr:uid="{00000000-0005-0000-0000-0000B63D0000}"/>
    <cellStyle name="Header2 15 3 5 5" xfId="15789" xr:uid="{00000000-0005-0000-0000-0000B73D0000}"/>
    <cellStyle name="Header2 15 3 6" xfId="15790" xr:uid="{00000000-0005-0000-0000-0000B83D0000}"/>
    <cellStyle name="Header2 15 3 6 2" xfId="15791" xr:uid="{00000000-0005-0000-0000-0000B93D0000}"/>
    <cellStyle name="Header2 15 3 6 2 2" xfId="15792" xr:uid="{00000000-0005-0000-0000-0000BA3D0000}"/>
    <cellStyle name="Header2 15 3 6 2 2 2" xfId="15793" xr:uid="{00000000-0005-0000-0000-0000BB3D0000}"/>
    <cellStyle name="Header2 15 3 6 2 2 3" xfId="15794" xr:uid="{00000000-0005-0000-0000-0000BC3D0000}"/>
    <cellStyle name="Header2 15 3 6 2 2 4" xfId="15795" xr:uid="{00000000-0005-0000-0000-0000BD3D0000}"/>
    <cellStyle name="Header2 15 3 6 2 2 5" xfId="15796" xr:uid="{00000000-0005-0000-0000-0000BE3D0000}"/>
    <cellStyle name="Header2 15 3 6 2 3" xfId="15797" xr:uid="{00000000-0005-0000-0000-0000BF3D0000}"/>
    <cellStyle name="Header2 15 3 6 2 3 2" xfId="15798" xr:uid="{00000000-0005-0000-0000-0000C03D0000}"/>
    <cellStyle name="Header2 15 3 6 2 3 3" xfId="15799" xr:uid="{00000000-0005-0000-0000-0000C13D0000}"/>
    <cellStyle name="Header2 15 3 6 2 3 4" xfId="15800" xr:uid="{00000000-0005-0000-0000-0000C23D0000}"/>
    <cellStyle name="Header2 15 3 6 2 4" xfId="15801" xr:uid="{00000000-0005-0000-0000-0000C33D0000}"/>
    <cellStyle name="Header2 15 3 6 2 5" xfId="15802" xr:uid="{00000000-0005-0000-0000-0000C43D0000}"/>
    <cellStyle name="Header2 15 3 6 2 6" xfId="15803" xr:uid="{00000000-0005-0000-0000-0000C53D0000}"/>
    <cellStyle name="Header2 15 3 6 3" xfId="15804" xr:uid="{00000000-0005-0000-0000-0000C63D0000}"/>
    <cellStyle name="Header2 15 3 6 3 2" xfId="15805" xr:uid="{00000000-0005-0000-0000-0000C73D0000}"/>
    <cellStyle name="Header2 15 3 6 3 2 2" xfId="15806" xr:uid="{00000000-0005-0000-0000-0000C83D0000}"/>
    <cellStyle name="Header2 15 3 6 3 2 3" xfId="15807" xr:uid="{00000000-0005-0000-0000-0000C93D0000}"/>
    <cellStyle name="Header2 15 3 6 3 2 4" xfId="15808" xr:uid="{00000000-0005-0000-0000-0000CA3D0000}"/>
    <cellStyle name="Header2 15 3 6 3 3" xfId="15809" xr:uid="{00000000-0005-0000-0000-0000CB3D0000}"/>
    <cellStyle name="Header2 15 3 6 3 3 2" xfId="15810" xr:uid="{00000000-0005-0000-0000-0000CC3D0000}"/>
    <cellStyle name="Header2 15 3 6 3 3 3" xfId="15811" xr:uid="{00000000-0005-0000-0000-0000CD3D0000}"/>
    <cellStyle name="Header2 15 3 6 3 3 4" xfId="15812" xr:uid="{00000000-0005-0000-0000-0000CE3D0000}"/>
    <cellStyle name="Header2 15 3 6 3 4" xfId="15813" xr:uid="{00000000-0005-0000-0000-0000CF3D0000}"/>
    <cellStyle name="Header2 15 3 6 3 5" xfId="15814" xr:uid="{00000000-0005-0000-0000-0000D03D0000}"/>
    <cellStyle name="Header2 15 3 6 3 6" xfId="15815" xr:uid="{00000000-0005-0000-0000-0000D13D0000}"/>
    <cellStyle name="Header2 15 3 6 4" xfId="15816" xr:uid="{00000000-0005-0000-0000-0000D23D0000}"/>
    <cellStyle name="Header2 15 3 6 5" xfId="15817" xr:uid="{00000000-0005-0000-0000-0000D33D0000}"/>
    <cellStyle name="Header2 15 3 7" xfId="15818" xr:uid="{00000000-0005-0000-0000-0000D43D0000}"/>
    <cellStyle name="Header2 15 3 7 2" xfId="15819" xr:uid="{00000000-0005-0000-0000-0000D53D0000}"/>
    <cellStyle name="Header2 15 3 7 2 2" xfId="15820" xr:uid="{00000000-0005-0000-0000-0000D63D0000}"/>
    <cellStyle name="Header2 15 3 7 2 2 2" xfId="15821" xr:uid="{00000000-0005-0000-0000-0000D73D0000}"/>
    <cellStyle name="Header2 15 3 7 2 2 3" xfId="15822" xr:uid="{00000000-0005-0000-0000-0000D83D0000}"/>
    <cellStyle name="Header2 15 3 7 2 2 4" xfId="15823" xr:uid="{00000000-0005-0000-0000-0000D93D0000}"/>
    <cellStyle name="Header2 15 3 7 2 2 5" xfId="15824" xr:uid="{00000000-0005-0000-0000-0000DA3D0000}"/>
    <cellStyle name="Header2 15 3 7 2 3" xfId="15825" xr:uid="{00000000-0005-0000-0000-0000DB3D0000}"/>
    <cellStyle name="Header2 15 3 7 2 3 2" xfId="15826" xr:uid="{00000000-0005-0000-0000-0000DC3D0000}"/>
    <cellStyle name="Header2 15 3 7 2 3 3" xfId="15827" xr:uid="{00000000-0005-0000-0000-0000DD3D0000}"/>
    <cellStyle name="Header2 15 3 7 2 3 4" xfId="15828" xr:uid="{00000000-0005-0000-0000-0000DE3D0000}"/>
    <cellStyle name="Header2 15 3 7 2 4" xfId="15829" xr:uid="{00000000-0005-0000-0000-0000DF3D0000}"/>
    <cellStyle name="Header2 15 3 7 2 5" xfId="15830" xr:uid="{00000000-0005-0000-0000-0000E03D0000}"/>
    <cellStyle name="Header2 15 3 7 2 6" xfId="15831" xr:uid="{00000000-0005-0000-0000-0000E13D0000}"/>
    <cellStyle name="Header2 15 3 7 3" xfId="15832" xr:uid="{00000000-0005-0000-0000-0000E23D0000}"/>
    <cellStyle name="Header2 15 3 7 3 2" xfId="15833" xr:uid="{00000000-0005-0000-0000-0000E33D0000}"/>
    <cellStyle name="Header2 15 3 7 3 2 2" xfId="15834" xr:uid="{00000000-0005-0000-0000-0000E43D0000}"/>
    <cellStyle name="Header2 15 3 7 3 2 3" xfId="15835" xr:uid="{00000000-0005-0000-0000-0000E53D0000}"/>
    <cellStyle name="Header2 15 3 7 3 2 4" xfId="15836" xr:uid="{00000000-0005-0000-0000-0000E63D0000}"/>
    <cellStyle name="Header2 15 3 7 3 3" xfId="15837" xr:uid="{00000000-0005-0000-0000-0000E73D0000}"/>
    <cellStyle name="Header2 15 3 7 3 3 2" xfId="15838" xr:uid="{00000000-0005-0000-0000-0000E83D0000}"/>
    <cellStyle name="Header2 15 3 7 3 3 3" xfId="15839" xr:uid="{00000000-0005-0000-0000-0000E93D0000}"/>
    <cellStyle name="Header2 15 3 7 3 3 4" xfId="15840" xr:uid="{00000000-0005-0000-0000-0000EA3D0000}"/>
    <cellStyle name="Header2 15 3 7 3 4" xfId="15841" xr:uid="{00000000-0005-0000-0000-0000EB3D0000}"/>
    <cellStyle name="Header2 15 3 7 3 5" xfId="15842" xr:uid="{00000000-0005-0000-0000-0000EC3D0000}"/>
    <cellStyle name="Header2 15 3 7 3 6" xfId="15843" xr:uid="{00000000-0005-0000-0000-0000ED3D0000}"/>
    <cellStyle name="Header2 15 3 7 4" xfId="15844" xr:uid="{00000000-0005-0000-0000-0000EE3D0000}"/>
    <cellStyle name="Header2 15 3 7 5" xfId="15845" xr:uid="{00000000-0005-0000-0000-0000EF3D0000}"/>
    <cellStyle name="Header2 15 3 8" xfId="15846" xr:uid="{00000000-0005-0000-0000-0000F03D0000}"/>
    <cellStyle name="Header2 15 3 8 2" xfId="15847" xr:uid="{00000000-0005-0000-0000-0000F13D0000}"/>
    <cellStyle name="Header2 15 3 8 2 2" xfId="15848" xr:uid="{00000000-0005-0000-0000-0000F23D0000}"/>
    <cellStyle name="Header2 15 3 8 2 2 2" xfId="15849" xr:uid="{00000000-0005-0000-0000-0000F33D0000}"/>
    <cellStyle name="Header2 15 3 8 2 2 3" xfId="15850" xr:uid="{00000000-0005-0000-0000-0000F43D0000}"/>
    <cellStyle name="Header2 15 3 8 2 2 4" xfId="15851" xr:uid="{00000000-0005-0000-0000-0000F53D0000}"/>
    <cellStyle name="Header2 15 3 8 2 2 5" xfId="15852" xr:uid="{00000000-0005-0000-0000-0000F63D0000}"/>
    <cellStyle name="Header2 15 3 8 2 3" xfId="15853" xr:uid="{00000000-0005-0000-0000-0000F73D0000}"/>
    <cellStyle name="Header2 15 3 8 2 3 2" xfId="15854" xr:uid="{00000000-0005-0000-0000-0000F83D0000}"/>
    <cellStyle name="Header2 15 3 8 2 3 3" xfId="15855" xr:uid="{00000000-0005-0000-0000-0000F93D0000}"/>
    <cellStyle name="Header2 15 3 8 2 3 4" xfId="15856" xr:uid="{00000000-0005-0000-0000-0000FA3D0000}"/>
    <cellStyle name="Header2 15 3 8 2 4" xfId="15857" xr:uid="{00000000-0005-0000-0000-0000FB3D0000}"/>
    <cellStyle name="Header2 15 3 8 2 5" xfId="15858" xr:uid="{00000000-0005-0000-0000-0000FC3D0000}"/>
    <cellStyle name="Header2 15 3 8 2 6" xfId="15859" xr:uid="{00000000-0005-0000-0000-0000FD3D0000}"/>
    <cellStyle name="Header2 15 3 8 3" xfId="15860" xr:uid="{00000000-0005-0000-0000-0000FE3D0000}"/>
    <cellStyle name="Header2 15 3 8 3 2" xfId="15861" xr:uid="{00000000-0005-0000-0000-0000FF3D0000}"/>
    <cellStyle name="Header2 15 3 8 3 2 2" xfId="15862" xr:uid="{00000000-0005-0000-0000-0000003E0000}"/>
    <cellStyle name="Header2 15 3 8 3 2 3" xfId="15863" xr:uid="{00000000-0005-0000-0000-0000013E0000}"/>
    <cellStyle name="Header2 15 3 8 3 2 4" xfId="15864" xr:uid="{00000000-0005-0000-0000-0000023E0000}"/>
    <cellStyle name="Header2 15 3 8 3 3" xfId="15865" xr:uid="{00000000-0005-0000-0000-0000033E0000}"/>
    <cellStyle name="Header2 15 3 8 3 3 2" xfId="15866" xr:uid="{00000000-0005-0000-0000-0000043E0000}"/>
    <cellStyle name="Header2 15 3 8 3 3 3" xfId="15867" xr:uid="{00000000-0005-0000-0000-0000053E0000}"/>
    <cellStyle name="Header2 15 3 8 3 3 4" xfId="15868" xr:uid="{00000000-0005-0000-0000-0000063E0000}"/>
    <cellStyle name="Header2 15 3 8 3 4" xfId="15869" xr:uid="{00000000-0005-0000-0000-0000073E0000}"/>
    <cellStyle name="Header2 15 3 8 3 5" xfId="15870" xr:uid="{00000000-0005-0000-0000-0000083E0000}"/>
    <cellStyle name="Header2 15 3 8 3 6" xfId="15871" xr:uid="{00000000-0005-0000-0000-0000093E0000}"/>
    <cellStyle name="Header2 15 3 8 4" xfId="15872" xr:uid="{00000000-0005-0000-0000-00000A3E0000}"/>
    <cellStyle name="Header2 15 3 8 5" xfId="15873" xr:uid="{00000000-0005-0000-0000-00000B3E0000}"/>
    <cellStyle name="Header2 15 3 9" xfId="15874" xr:uid="{00000000-0005-0000-0000-00000C3E0000}"/>
    <cellStyle name="Header2 15 3 9 2" xfId="15875" xr:uid="{00000000-0005-0000-0000-00000D3E0000}"/>
    <cellStyle name="Header2 15 3 9 2 2" xfId="15876" xr:uid="{00000000-0005-0000-0000-00000E3E0000}"/>
    <cellStyle name="Header2 15 3 9 2 2 2" xfId="15877" xr:uid="{00000000-0005-0000-0000-00000F3E0000}"/>
    <cellStyle name="Header2 15 3 9 2 2 3" xfId="15878" xr:uid="{00000000-0005-0000-0000-0000103E0000}"/>
    <cellStyle name="Header2 15 3 9 2 2 4" xfId="15879" xr:uid="{00000000-0005-0000-0000-0000113E0000}"/>
    <cellStyle name="Header2 15 3 9 2 2 5" xfId="15880" xr:uid="{00000000-0005-0000-0000-0000123E0000}"/>
    <cellStyle name="Header2 15 3 9 2 3" xfId="15881" xr:uid="{00000000-0005-0000-0000-0000133E0000}"/>
    <cellStyle name="Header2 15 3 9 2 3 2" xfId="15882" xr:uid="{00000000-0005-0000-0000-0000143E0000}"/>
    <cellStyle name="Header2 15 3 9 2 3 3" xfId="15883" xr:uid="{00000000-0005-0000-0000-0000153E0000}"/>
    <cellStyle name="Header2 15 3 9 2 3 4" xfId="15884" xr:uid="{00000000-0005-0000-0000-0000163E0000}"/>
    <cellStyle name="Header2 15 3 9 2 4" xfId="15885" xr:uid="{00000000-0005-0000-0000-0000173E0000}"/>
    <cellStyle name="Header2 15 3 9 2 5" xfId="15886" xr:uid="{00000000-0005-0000-0000-0000183E0000}"/>
    <cellStyle name="Header2 15 3 9 2 6" xfId="15887" xr:uid="{00000000-0005-0000-0000-0000193E0000}"/>
    <cellStyle name="Header2 15 3 9 3" xfId="15888" xr:uid="{00000000-0005-0000-0000-00001A3E0000}"/>
    <cellStyle name="Header2 15 3 9 3 2" xfId="15889" xr:uid="{00000000-0005-0000-0000-00001B3E0000}"/>
    <cellStyle name="Header2 15 3 9 3 2 2" xfId="15890" xr:uid="{00000000-0005-0000-0000-00001C3E0000}"/>
    <cellStyle name="Header2 15 3 9 3 2 3" xfId="15891" xr:uid="{00000000-0005-0000-0000-00001D3E0000}"/>
    <cellStyle name="Header2 15 3 9 3 2 4" xfId="15892" xr:uid="{00000000-0005-0000-0000-00001E3E0000}"/>
    <cellStyle name="Header2 15 3 9 3 3" xfId="15893" xr:uid="{00000000-0005-0000-0000-00001F3E0000}"/>
    <cellStyle name="Header2 15 3 9 3 3 2" xfId="15894" xr:uid="{00000000-0005-0000-0000-0000203E0000}"/>
    <cellStyle name="Header2 15 3 9 3 3 3" xfId="15895" xr:uid="{00000000-0005-0000-0000-0000213E0000}"/>
    <cellStyle name="Header2 15 3 9 3 3 4" xfId="15896" xr:uid="{00000000-0005-0000-0000-0000223E0000}"/>
    <cellStyle name="Header2 15 3 9 3 4" xfId="15897" xr:uid="{00000000-0005-0000-0000-0000233E0000}"/>
    <cellStyle name="Header2 15 3 9 3 5" xfId="15898" xr:uid="{00000000-0005-0000-0000-0000243E0000}"/>
    <cellStyle name="Header2 15 3 9 3 6" xfId="15899" xr:uid="{00000000-0005-0000-0000-0000253E0000}"/>
    <cellStyle name="Header2 15 3 9 4" xfId="15900" xr:uid="{00000000-0005-0000-0000-0000263E0000}"/>
    <cellStyle name="Header2 15 3 9 5" xfId="15901" xr:uid="{00000000-0005-0000-0000-0000273E0000}"/>
    <cellStyle name="Header2 16" xfId="15902" xr:uid="{00000000-0005-0000-0000-0000283E0000}"/>
    <cellStyle name="Header2 16 2" xfId="15903" xr:uid="{00000000-0005-0000-0000-0000293E0000}"/>
    <cellStyle name="Header2 16 2 10" xfId="15904" xr:uid="{00000000-0005-0000-0000-00002A3E0000}"/>
    <cellStyle name="Header2 16 2 10 2" xfId="15905" xr:uid="{00000000-0005-0000-0000-00002B3E0000}"/>
    <cellStyle name="Header2 16 2 10 2 2" xfId="15906" xr:uid="{00000000-0005-0000-0000-00002C3E0000}"/>
    <cellStyle name="Header2 16 2 10 2 2 2" xfId="15907" xr:uid="{00000000-0005-0000-0000-00002D3E0000}"/>
    <cellStyle name="Header2 16 2 10 2 2 3" xfId="15908" xr:uid="{00000000-0005-0000-0000-00002E3E0000}"/>
    <cellStyle name="Header2 16 2 10 2 2 4" xfId="15909" xr:uid="{00000000-0005-0000-0000-00002F3E0000}"/>
    <cellStyle name="Header2 16 2 10 2 2 5" xfId="15910" xr:uid="{00000000-0005-0000-0000-0000303E0000}"/>
    <cellStyle name="Header2 16 2 10 2 3" xfId="15911" xr:uid="{00000000-0005-0000-0000-0000313E0000}"/>
    <cellStyle name="Header2 16 2 10 2 3 2" xfId="15912" xr:uid="{00000000-0005-0000-0000-0000323E0000}"/>
    <cellStyle name="Header2 16 2 10 2 3 3" xfId="15913" xr:uid="{00000000-0005-0000-0000-0000333E0000}"/>
    <cellStyle name="Header2 16 2 10 2 3 4" xfId="15914" xr:uid="{00000000-0005-0000-0000-0000343E0000}"/>
    <cellStyle name="Header2 16 2 10 2 4" xfId="15915" xr:uid="{00000000-0005-0000-0000-0000353E0000}"/>
    <cellStyle name="Header2 16 2 10 2 5" xfId="15916" xr:uid="{00000000-0005-0000-0000-0000363E0000}"/>
    <cellStyle name="Header2 16 2 10 2 6" xfId="15917" xr:uid="{00000000-0005-0000-0000-0000373E0000}"/>
    <cellStyle name="Header2 16 2 10 3" xfId="15918" xr:uid="{00000000-0005-0000-0000-0000383E0000}"/>
    <cellStyle name="Header2 16 2 10 3 2" xfId="15919" xr:uid="{00000000-0005-0000-0000-0000393E0000}"/>
    <cellStyle name="Header2 16 2 10 3 2 2" xfId="15920" xr:uid="{00000000-0005-0000-0000-00003A3E0000}"/>
    <cellStyle name="Header2 16 2 10 3 2 3" xfId="15921" xr:uid="{00000000-0005-0000-0000-00003B3E0000}"/>
    <cellStyle name="Header2 16 2 10 3 2 4" xfId="15922" xr:uid="{00000000-0005-0000-0000-00003C3E0000}"/>
    <cellStyle name="Header2 16 2 10 3 3" xfId="15923" xr:uid="{00000000-0005-0000-0000-00003D3E0000}"/>
    <cellStyle name="Header2 16 2 10 3 3 2" xfId="15924" xr:uid="{00000000-0005-0000-0000-00003E3E0000}"/>
    <cellStyle name="Header2 16 2 10 3 3 3" xfId="15925" xr:uid="{00000000-0005-0000-0000-00003F3E0000}"/>
    <cellStyle name="Header2 16 2 10 3 3 4" xfId="15926" xr:uid="{00000000-0005-0000-0000-0000403E0000}"/>
    <cellStyle name="Header2 16 2 10 3 4" xfId="15927" xr:uid="{00000000-0005-0000-0000-0000413E0000}"/>
    <cellStyle name="Header2 16 2 10 3 5" xfId="15928" xr:uid="{00000000-0005-0000-0000-0000423E0000}"/>
    <cellStyle name="Header2 16 2 10 3 6" xfId="15929" xr:uid="{00000000-0005-0000-0000-0000433E0000}"/>
    <cellStyle name="Header2 16 2 10 4" xfId="15930" xr:uid="{00000000-0005-0000-0000-0000443E0000}"/>
    <cellStyle name="Header2 16 2 10 5" xfId="15931" xr:uid="{00000000-0005-0000-0000-0000453E0000}"/>
    <cellStyle name="Header2 16 2 11" xfId="15932" xr:uid="{00000000-0005-0000-0000-0000463E0000}"/>
    <cellStyle name="Header2 16 2 11 2" xfId="15933" xr:uid="{00000000-0005-0000-0000-0000473E0000}"/>
    <cellStyle name="Header2 16 2 11 2 2" xfId="15934" xr:uid="{00000000-0005-0000-0000-0000483E0000}"/>
    <cellStyle name="Header2 16 2 11 2 2 2" xfId="15935" xr:uid="{00000000-0005-0000-0000-0000493E0000}"/>
    <cellStyle name="Header2 16 2 11 2 2 3" xfId="15936" xr:uid="{00000000-0005-0000-0000-00004A3E0000}"/>
    <cellStyle name="Header2 16 2 11 2 2 4" xfId="15937" xr:uid="{00000000-0005-0000-0000-00004B3E0000}"/>
    <cellStyle name="Header2 16 2 11 2 2 5" xfId="15938" xr:uid="{00000000-0005-0000-0000-00004C3E0000}"/>
    <cellStyle name="Header2 16 2 11 2 3" xfId="15939" xr:uid="{00000000-0005-0000-0000-00004D3E0000}"/>
    <cellStyle name="Header2 16 2 11 2 3 2" xfId="15940" xr:uid="{00000000-0005-0000-0000-00004E3E0000}"/>
    <cellStyle name="Header2 16 2 11 2 3 3" xfId="15941" xr:uid="{00000000-0005-0000-0000-00004F3E0000}"/>
    <cellStyle name="Header2 16 2 11 2 3 4" xfId="15942" xr:uid="{00000000-0005-0000-0000-0000503E0000}"/>
    <cellStyle name="Header2 16 2 11 2 4" xfId="15943" xr:uid="{00000000-0005-0000-0000-0000513E0000}"/>
    <cellStyle name="Header2 16 2 11 2 5" xfId="15944" xr:uid="{00000000-0005-0000-0000-0000523E0000}"/>
    <cellStyle name="Header2 16 2 11 2 6" xfId="15945" xr:uid="{00000000-0005-0000-0000-0000533E0000}"/>
    <cellStyle name="Header2 16 2 11 3" xfId="15946" xr:uid="{00000000-0005-0000-0000-0000543E0000}"/>
    <cellStyle name="Header2 16 2 11 3 2" xfId="15947" xr:uid="{00000000-0005-0000-0000-0000553E0000}"/>
    <cellStyle name="Header2 16 2 11 3 2 2" xfId="15948" xr:uid="{00000000-0005-0000-0000-0000563E0000}"/>
    <cellStyle name="Header2 16 2 11 3 2 3" xfId="15949" xr:uid="{00000000-0005-0000-0000-0000573E0000}"/>
    <cellStyle name="Header2 16 2 11 3 2 4" xfId="15950" xr:uid="{00000000-0005-0000-0000-0000583E0000}"/>
    <cellStyle name="Header2 16 2 11 3 3" xfId="15951" xr:uid="{00000000-0005-0000-0000-0000593E0000}"/>
    <cellStyle name="Header2 16 2 11 3 3 2" xfId="15952" xr:uid="{00000000-0005-0000-0000-00005A3E0000}"/>
    <cellStyle name="Header2 16 2 11 3 3 3" xfId="15953" xr:uid="{00000000-0005-0000-0000-00005B3E0000}"/>
    <cellStyle name="Header2 16 2 11 3 3 4" xfId="15954" xr:uid="{00000000-0005-0000-0000-00005C3E0000}"/>
    <cellStyle name="Header2 16 2 11 3 4" xfId="15955" xr:uid="{00000000-0005-0000-0000-00005D3E0000}"/>
    <cellStyle name="Header2 16 2 11 3 5" xfId="15956" xr:uid="{00000000-0005-0000-0000-00005E3E0000}"/>
    <cellStyle name="Header2 16 2 11 3 6" xfId="15957" xr:uid="{00000000-0005-0000-0000-00005F3E0000}"/>
    <cellStyle name="Header2 16 2 11 4" xfId="15958" xr:uid="{00000000-0005-0000-0000-0000603E0000}"/>
    <cellStyle name="Header2 16 2 11 5" xfId="15959" xr:uid="{00000000-0005-0000-0000-0000613E0000}"/>
    <cellStyle name="Header2 16 2 12" xfId="15960" xr:uid="{00000000-0005-0000-0000-0000623E0000}"/>
    <cellStyle name="Header2 16 2 12 2" xfId="15961" xr:uid="{00000000-0005-0000-0000-0000633E0000}"/>
    <cellStyle name="Header2 16 2 12 2 2" xfId="15962" xr:uid="{00000000-0005-0000-0000-0000643E0000}"/>
    <cellStyle name="Header2 16 2 12 2 2 2" xfId="15963" xr:uid="{00000000-0005-0000-0000-0000653E0000}"/>
    <cellStyle name="Header2 16 2 12 2 2 3" xfId="15964" xr:uid="{00000000-0005-0000-0000-0000663E0000}"/>
    <cellStyle name="Header2 16 2 12 2 2 4" xfId="15965" xr:uid="{00000000-0005-0000-0000-0000673E0000}"/>
    <cellStyle name="Header2 16 2 12 2 2 5" xfId="15966" xr:uid="{00000000-0005-0000-0000-0000683E0000}"/>
    <cellStyle name="Header2 16 2 12 2 3" xfId="15967" xr:uid="{00000000-0005-0000-0000-0000693E0000}"/>
    <cellStyle name="Header2 16 2 12 2 3 2" xfId="15968" xr:uid="{00000000-0005-0000-0000-00006A3E0000}"/>
    <cellStyle name="Header2 16 2 12 2 3 3" xfId="15969" xr:uid="{00000000-0005-0000-0000-00006B3E0000}"/>
    <cellStyle name="Header2 16 2 12 2 3 4" xfId="15970" xr:uid="{00000000-0005-0000-0000-00006C3E0000}"/>
    <cellStyle name="Header2 16 2 12 2 4" xfId="15971" xr:uid="{00000000-0005-0000-0000-00006D3E0000}"/>
    <cellStyle name="Header2 16 2 12 2 5" xfId="15972" xr:uid="{00000000-0005-0000-0000-00006E3E0000}"/>
    <cellStyle name="Header2 16 2 12 2 6" xfId="15973" xr:uid="{00000000-0005-0000-0000-00006F3E0000}"/>
    <cellStyle name="Header2 16 2 12 3" xfId="15974" xr:uid="{00000000-0005-0000-0000-0000703E0000}"/>
    <cellStyle name="Header2 16 2 12 3 2" xfId="15975" xr:uid="{00000000-0005-0000-0000-0000713E0000}"/>
    <cellStyle name="Header2 16 2 12 3 2 2" xfId="15976" xr:uid="{00000000-0005-0000-0000-0000723E0000}"/>
    <cellStyle name="Header2 16 2 12 3 2 3" xfId="15977" xr:uid="{00000000-0005-0000-0000-0000733E0000}"/>
    <cellStyle name="Header2 16 2 12 3 2 4" xfId="15978" xr:uid="{00000000-0005-0000-0000-0000743E0000}"/>
    <cellStyle name="Header2 16 2 12 3 3" xfId="15979" xr:uid="{00000000-0005-0000-0000-0000753E0000}"/>
    <cellStyle name="Header2 16 2 12 3 3 2" xfId="15980" xr:uid="{00000000-0005-0000-0000-0000763E0000}"/>
    <cellStyle name="Header2 16 2 12 3 3 3" xfId="15981" xr:uid="{00000000-0005-0000-0000-0000773E0000}"/>
    <cellStyle name="Header2 16 2 12 3 3 4" xfId="15982" xr:uid="{00000000-0005-0000-0000-0000783E0000}"/>
    <cellStyle name="Header2 16 2 12 3 4" xfId="15983" xr:uid="{00000000-0005-0000-0000-0000793E0000}"/>
    <cellStyle name="Header2 16 2 12 3 5" xfId="15984" xr:uid="{00000000-0005-0000-0000-00007A3E0000}"/>
    <cellStyle name="Header2 16 2 12 3 6" xfId="15985" xr:uid="{00000000-0005-0000-0000-00007B3E0000}"/>
    <cellStyle name="Header2 16 2 12 4" xfId="15986" xr:uid="{00000000-0005-0000-0000-00007C3E0000}"/>
    <cellStyle name="Header2 16 2 12 5" xfId="15987" xr:uid="{00000000-0005-0000-0000-00007D3E0000}"/>
    <cellStyle name="Header2 16 2 13" xfId="15988" xr:uid="{00000000-0005-0000-0000-00007E3E0000}"/>
    <cellStyle name="Header2 16 2 13 2" xfId="15989" xr:uid="{00000000-0005-0000-0000-00007F3E0000}"/>
    <cellStyle name="Header2 16 2 13 2 2" xfId="15990" xr:uid="{00000000-0005-0000-0000-0000803E0000}"/>
    <cellStyle name="Header2 16 2 13 2 2 2" xfId="15991" xr:uid="{00000000-0005-0000-0000-0000813E0000}"/>
    <cellStyle name="Header2 16 2 13 2 2 3" xfId="15992" xr:uid="{00000000-0005-0000-0000-0000823E0000}"/>
    <cellStyle name="Header2 16 2 13 2 2 4" xfId="15993" xr:uid="{00000000-0005-0000-0000-0000833E0000}"/>
    <cellStyle name="Header2 16 2 13 2 2 5" xfId="15994" xr:uid="{00000000-0005-0000-0000-0000843E0000}"/>
    <cellStyle name="Header2 16 2 13 2 3" xfId="15995" xr:uid="{00000000-0005-0000-0000-0000853E0000}"/>
    <cellStyle name="Header2 16 2 13 2 3 2" xfId="15996" xr:uid="{00000000-0005-0000-0000-0000863E0000}"/>
    <cellStyle name="Header2 16 2 13 2 3 3" xfId="15997" xr:uid="{00000000-0005-0000-0000-0000873E0000}"/>
    <cellStyle name="Header2 16 2 13 2 3 4" xfId="15998" xr:uid="{00000000-0005-0000-0000-0000883E0000}"/>
    <cellStyle name="Header2 16 2 13 2 4" xfId="15999" xr:uid="{00000000-0005-0000-0000-0000893E0000}"/>
    <cellStyle name="Header2 16 2 13 2 5" xfId="16000" xr:uid="{00000000-0005-0000-0000-00008A3E0000}"/>
    <cellStyle name="Header2 16 2 13 2 6" xfId="16001" xr:uid="{00000000-0005-0000-0000-00008B3E0000}"/>
    <cellStyle name="Header2 16 2 13 3" xfId="16002" xr:uid="{00000000-0005-0000-0000-00008C3E0000}"/>
    <cellStyle name="Header2 16 2 13 3 2" xfId="16003" xr:uid="{00000000-0005-0000-0000-00008D3E0000}"/>
    <cellStyle name="Header2 16 2 13 3 2 2" xfId="16004" xr:uid="{00000000-0005-0000-0000-00008E3E0000}"/>
    <cellStyle name="Header2 16 2 13 3 2 3" xfId="16005" xr:uid="{00000000-0005-0000-0000-00008F3E0000}"/>
    <cellStyle name="Header2 16 2 13 3 2 4" xfId="16006" xr:uid="{00000000-0005-0000-0000-0000903E0000}"/>
    <cellStyle name="Header2 16 2 13 3 3" xfId="16007" xr:uid="{00000000-0005-0000-0000-0000913E0000}"/>
    <cellStyle name="Header2 16 2 13 3 3 2" xfId="16008" xr:uid="{00000000-0005-0000-0000-0000923E0000}"/>
    <cellStyle name="Header2 16 2 13 3 3 3" xfId="16009" xr:uid="{00000000-0005-0000-0000-0000933E0000}"/>
    <cellStyle name="Header2 16 2 13 3 3 4" xfId="16010" xr:uid="{00000000-0005-0000-0000-0000943E0000}"/>
    <cellStyle name="Header2 16 2 13 3 4" xfId="16011" xr:uid="{00000000-0005-0000-0000-0000953E0000}"/>
    <cellStyle name="Header2 16 2 13 3 5" xfId="16012" xr:uid="{00000000-0005-0000-0000-0000963E0000}"/>
    <cellStyle name="Header2 16 2 13 3 6" xfId="16013" xr:uid="{00000000-0005-0000-0000-0000973E0000}"/>
    <cellStyle name="Header2 16 2 13 4" xfId="16014" xr:uid="{00000000-0005-0000-0000-0000983E0000}"/>
    <cellStyle name="Header2 16 2 13 5" xfId="16015" xr:uid="{00000000-0005-0000-0000-0000993E0000}"/>
    <cellStyle name="Header2 16 2 14" xfId="58728" xr:uid="{00000000-0005-0000-0000-00009A3E0000}"/>
    <cellStyle name="Header2 16 2 2" xfId="16016" xr:uid="{00000000-0005-0000-0000-00009B3E0000}"/>
    <cellStyle name="Header2 16 2 2 2" xfId="16017" xr:uid="{00000000-0005-0000-0000-00009C3E0000}"/>
    <cellStyle name="Header2 16 2 2 2 2" xfId="16018" xr:uid="{00000000-0005-0000-0000-00009D3E0000}"/>
    <cellStyle name="Header2 16 2 2 2 2 2" xfId="16019" xr:uid="{00000000-0005-0000-0000-00009E3E0000}"/>
    <cellStyle name="Header2 16 2 2 2 2 2 2" xfId="16020" xr:uid="{00000000-0005-0000-0000-00009F3E0000}"/>
    <cellStyle name="Header2 16 2 2 2 2 2 3" xfId="16021" xr:uid="{00000000-0005-0000-0000-0000A03E0000}"/>
    <cellStyle name="Header2 16 2 2 2 2 2 4" xfId="16022" xr:uid="{00000000-0005-0000-0000-0000A13E0000}"/>
    <cellStyle name="Header2 16 2 2 2 2 2 5" xfId="16023" xr:uid="{00000000-0005-0000-0000-0000A23E0000}"/>
    <cellStyle name="Header2 16 2 2 2 2 3" xfId="16024" xr:uid="{00000000-0005-0000-0000-0000A33E0000}"/>
    <cellStyle name="Header2 16 2 2 2 2 3 2" xfId="16025" xr:uid="{00000000-0005-0000-0000-0000A43E0000}"/>
    <cellStyle name="Header2 16 2 2 2 2 3 3" xfId="16026" xr:uid="{00000000-0005-0000-0000-0000A53E0000}"/>
    <cellStyle name="Header2 16 2 2 2 2 3 4" xfId="16027" xr:uid="{00000000-0005-0000-0000-0000A63E0000}"/>
    <cellStyle name="Header2 16 2 2 2 2 4" xfId="16028" xr:uid="{00000000-0005-0000-0000-0000A73E0000}"/>
    <cellStyle name="Header2 16 2 2 2 2 5" xfId="16029" xr:uid="{00000000-0005-0000-0000-0000A83E0000}"/>
    <cellStyle name="Header2 16 2 2 2 2 6" xfId="16030" xr:uid="{00000000-0005-0000-0000-0000A93E0000}"/>
    <cellStyle name="Header2 16 2 2 2 3" xfId="16031" xr:uid="{00000000-0005-0000-0000-0000AA3E0000}"/>
    <cellStyle name="Header2 16 2 2 2 3 2" xfId="16032" xr:uid="{00000000-0005-0000-0000-0000AB3E0000}"/>
    <cellStyle name="Header2 16 2 2 2 3 2 2" xfId="16033" xr:uid="{00000000-0005-0000-0000-0000AC3E0000}"/>
    <cellStyle name="Header2 16 2 2 2 3 2 3" xfId="16034" xr:uid="{00000000-0005-0000-0000-0000AD3E0000}"/>
    <cellStyle name="Header2 16 2 2 2 3 2 4" xfId="16035" xr:uid="{00000000-0005-0000-0000-0000AE3E0000}"/>
    <cellStyle name="Header2 16 2 2 2 3 3" xfId="16036" xr:uid="{00000000-0005-0000-0000-0000AF3E0000}"/>
    <cellStyle name="Header2 16 2 2 2 3 3 2" xfId="16037" xr:uid="{00000000-0005-0000-0000-0000B03E0000}"/>
    <cellStyle name="Header2 16 2 2 2 3 3 3" xfId="16038" xr:uid="{00000000-0005-0000-0000-0000B13E0000}"/>
    <cellStyle name="Header2 16 2 2 2 3 3 4" xfId="16039" xr:uid="{00000000-0005-0000-0000-0000B23E0000}"/>
    <cellStyle name="Header2 16 2 2 2 3 4" xfId="16040" xr:uid="{00000000-0005-0000-0000-0000B33E0000}"/>
    <cellStyle name="Header2 16 2 2 2 3 5" xfId="16041" xr:uid="{00000000-0005-0000-0000-0000B43E0000}"/>
    <cellStyle name="Header2 16 2 2 2 3 6" xfId="16042" xr:uid="{00000000-0005-0000-0000-0000B53E0000}"/>
    <cellStyle name="Header2 16 2 2 2 4" xfId="16043" xr:uid="{00000000-0005-0000-0000-0000B63E0000}"/>
    <cellStyle name="Header2 16 2 2 2 5" xfId="16044" xr:uid="{00000000-0005-0000-0000-0000B73E0000}"/>
    <cellStyle name="Header2 16 2 2 3" xfId="16045" xr:uid="{00000000-0005-0000-0000-0000B83E0000}"/>
    <cellStyle name="Header2 16 2 2 3 2" xfId="16046" xr:uid="{00000000-0005-0000-0000-0000B93E0000}"/>
    <cellStyle name="Header2 16 2 2 3 2 2" xfId="16047" xr:uid="{00000000-0005-0000-0000-0000BA3E0000}"/>
    <cellStyle name="Header2 16 2 2 3 2 2 2" xfId="16048" xr:uid="{00000000-0005-0000-0000-0000BB3E0000}"/>
    <cellStyle name="Header2 16 2 2 3 2 2 3" xfId="16049" xr:uid="{00000000-0005-0000-0000-0000BC3E0000}"/>
    <cellStyle name="Header2 16 2 2 3 2 2 4" xfId="16050" xr:uid="{00000000-0005-0000-0000-0000BD3E0000}"/>
    <cellStyle name="Header2 16 2 2 3 2 2 5" xfId="16051" xr:uid="{00000000-0005-0000-0000-0000BE3E0000}"/>
    <cellStyle name="Header2 16 2 2 3 2 3" xfId="16052" xr:uid="{00000000-0005-0000-0000-0000BF3E0000}"/>
    <cellStyle name="Header2 16 2 2 3 2 3 2" xfId="16053" xr:uid="{00000000-0005-0000-0000-0000C03E0000}"/>
    <cellStyle name="Header2 16 2 2 3 2 3 3" xfId="16054" xr:uid="{00000000-0005-0000-0000-0000C13E0000}"/>
    <cellStyle name="Header2 16 2 2 3 2 3 4" xfId="16055" xr:uid="{00000000-0005-0000-0000-0000C23E0000}"/>
    <cellStyle name="Header2 16 2 2 3 2 4" xfId="16056" xr:uid="{00000000-0005-0000-0000-0000C33E0000}"/>
    <cellStyle name="Header2 16 2 2 3 2 5" xfId="16057" xr:uid="{00000000-0005-0000-0000-0000C43E0000}"/>
    <cellStyle name="Header2 16 2 2 3 2 6" xfId="16058" xr:uid="{00000000-0005-0000-0000-0000C53E0000}"/>
    <cellStyle name="Header2 16 2 2 3 3" xfId="16059" xr:uid="{00000000-0005-0000-0000-0000C63E0000}"/>
    <cellStyle name="Header2 16 2 2 3 3 2" xfId="16060" xr:uid="{00000000-0005-0000-0000-0000C73E0000}"/>
    <cellStyle name="Header2 16 2 2 3 3 2 2" xfId="16061" xr:uid="{00000000-0005-0000-0000-0000C83E0000}"/>
    <cellStyle name="Header2 16 2 2 3 3 2 3" xfId="16062" xr:uid="{00000000-0005-0000-0000-0000C93E0000}"/>
    <cellStyle name="Header2 16 2 2 3 3 2 4" xfId="16063" xr:uid="{00000000-0005-0000-0000-0000CA3E0000}"/>
    <cellStyle name="Header2 16 2 2 3 3 3" xfId="16064" xr:uid="{00000000-0005-0000-0000-0000CB3E0000}"/>
    <cellStyle name="Header2 16 2 2 3 3 3 2" xfId="16065" xr:uid="{00000000-0005-0000-0000-0000CC3E0000}"/>
    <cellStyle name="Header2 16 2 2 3 3 3 3" xfId="16066" xr:uid="{00000000-0005-0000-0000-0000CD3E0000}"/>
    <cellStyle name="Header2 16 2 2 3 3 3 4" xfId="16067" xr:uid="{00000000-0005-0000-0000-0000CE3E0000}"/>
    <cellStyle name="Header2 16 2 2 3 3 4" xfId="16068" xr:uid="{00000000-0005-0000-0000-0000CF3E0000}"/>
    <cellStyle name="Header2 16 2 2 3 3 5" xfId="16069" xr:uid="{00000000-0005-0000-0000-0000D03E0000}"/>
    <cellStyle name="Header2 16 2 2 3 3 6" xfId="16070" xr:uid="{00000000-0005-0000-0000-0000D13E0000}"/>
    <cellStyle name="Header2 16 2 2 3 4" xfId="16071" xr:uid="{00000000-0005-0000-0000-0000D23E0000}"/>
    <cellStyle name="Header2 16 2 2 3 5" xfId="16072" xr:uid="{00000000-0005-0000-0000-0000D33E0000}"/>
    <cellStyle name="Header2 16 2 3" xfId="16073" xr:uid="{00000000-0005-0000-0000-0000D43E0000}"/>
    <cellStyle name="Header2 16 2 3 2" xfId="16074" xr:uid="{00000000-0005-0000-0000-0000D53E0000}"/>
    <cellStyle name="Header2 16 2 3 2 2" xfId="16075" xr:uid="{00000000-0005-0000-0000-0000D63E0000}"/>
    <cellStyle name="Header2 16 2 3 2 3" xfId="16076" xr:uid="{00000000-0005-0000-0000-0000D73E0000}"/>
    <cellStyle name="Header2 16 2 3 3" xfId="16077" xr:uid="{00000000-0005-0000-0000-0000D83E0000}"/>
    <cellStyle name="Header2 16 2 4" xfId="16078" xr:uid="{00000000-0005-0000-0000-0000D93E0000}"/>
    <cellStyle name="Header2 16 2 4 2" xfId="16079" xr:uid="{00000000-0005-0000-0000-0000DA3E0000}"/>
    <cellStyle name="Header2 16 2 4 2 2" xfId="16080" xr:uid="{00000000-0005-0000-0000-0000DB3E0000}"/>
    <cellStyle name="Header2 16 2 4 2 3" xfId="16081" xr:uid="{00000000-0005-0000-0000-0000DC3E0000}"/>
    <cellStyle name="Header2 16 2 4 3" xfId="16082" xr:uid="{00000000-0005-0000-0000-0000DD3E0000}"/>
    <cellStyle name="Header2 16 2 5" xfId="16083" xr:uid="{00000000-0005-0000-0000-0000DE3E0000}"/>
    <cellStyle name="Header2 16 2 5 2" xfId="16084" xr:uid="{00000000-0005-0000-0000-0000DF3E0000}"/>
    <cellStyle name="Header2 16 2 5 2 2" xfId="16085" xr:uid="{00000000-0005-0000-0000-0000E03E0000}"/>
    <cellStyle name="Header2 16 2 5 2 3" xfId="16086" xr:uid="{00000000-0005-0000-0000-0000E13E0000}"/>
    <cellStyle name="Header2 16 2 5 3" xfId="16087" xr:uid="{00000000-0005-0000-0000-0000E23E0000}"/>
    <cellStyle name="Header2 16 2 6" xfId="16088" xr:uid="{00000000-0005-0000-0000-0000E33E0000}"/>
    <cellStyle name="Header2 16 2 6 2" xfId="16089" xr:uid="{00000000-0005-0000-0000-0000E43E0000}"/>
    <cellStyle name="Header2 16 2 6 2 2" xfId="16090" xr:uid="{00000000-0005-0000-0000-0000E53E0000}"/>
    <cellStyle name="Header2 16 2 6 2 2 2" xfId="16091" xr:uid="{00000000-0005-0000-0000-0000E63E0000}"/>
    <cellStyle name="Header2 16 2 6 2 2 3" xfId="16092" xr:uid="{00000000-0005-0000-0000-0000E73E0000}"/>
    <cellStyle name="Header2 16 2 6 2 2 4" xfId="16093" xr:uid="{00000000-0005-0000-0000-0000E83E0000}"/>
    <cellStyle name="Header2 16 2 6 2 2 5" xfId="16094" xr:uid="{00000000-0005-0000-0000-0000E93E0000}"/>
    <cellStyle name="Header2 16 2 6 2 3" xfId="16095" xr:uid="{00000000-0005-0000-0000-0000EA3E0000}"/>
    <cellStyle name="Header2 16 2 6 2 3 2" xfId="16096" xr:uid="{00000000-0005-0000-0000-0000EB3E0000}"/>
    <cellStyle name="Header2 16 2 6 2 3 3" xfId="16097" xr:uid="{00000000-0005-0000-0000-0000EC3E0000}"/>
    <cellStyle name="Header2 16 2 6 2 3 4" xfId="16098" xr:uid="{00000000-0005-0000-0000-0000ED3E0000}"/>
    <cellStyle name="Header2 16 2 6 2 4" xfId="16099" xr:uid="{00000000-0005-0000-0000-0000EE3E0000}"/>
    <cellStyle name="Header2 16 2 6 2 5" xfId="16100" xr:uid="{00000000-0005-0000-0000-0000EF3E0000}"/>
    <cellStyle name="Header2 16 2 6 2 6" xfId="16101" xr:uid="{00000000-0005-0000-0000-0000F03E0000}"/>
    <cellStyle name="Header2 16 2 6 3" xfId="16102" xr:uid="{00000000-0005-0000-0000-0000F13E0000}"/>
    <cellStyle name="Header2 16 2 6 3 2" xfId="16103" xr:uid="{00000000-0005-0000-0000-0000F23E0000}"/>
    <cellStyle name="Header2 16 2 6 3 2 2" xfId="16104" xr:uid="{00000000-0005-0000-0000-0000F33E0000}"/>
    <cellStyle name="Header2 16 2 6 3 2 3" xfId="16105" xr:uid="{00000000-0005-0000-0000-0000F43E0000}"/>
    <cellStyle name="Header2 16 2 6 3 2 4" xfId="16106" xr:uid="{00000000-0005-0000-0000-0000F53E0000}"/>
    <cellStyle name="Header2 16 2 6 3 3" xfId="16107" xr:uid="{00000000-0005-0000-0000-0000F63E0000}"/>
    <cellStyle name="Header2 16 2 6 3 3 2" xfId="16108" xr:uid="{00000000-0005-0000-0000-0000F73E0000}"/>
    <cellStyle name="Header2 16 2 6 3 3 3" xfId="16109" xr:uid="{00000000-0005-0000-0000-0000F83E0000}"/>
    <cellStyle name="Header2 16 2 6 3 3 4" xfId="16110" xr:uid="{00000000-0005-0000-0000-0000F93E0000}"/>
    <cellStyle name="Header2 16 2 6 3 4" xfId="16111" xr:uid="{00000000-0005-0000-0000-0000FA3E0000}"/>
    <cellStyle name="Header2 16 2 6 3 5" xfId="16112" xr:uid="{00000000-0005-0000-0000-0000FB3E0000}"/>
    <cellStyle name="Header2 16 2 6 3 6" xfId="16113" xr:uid="{00000000-0005-0000-0000-0000FC3E0000}"/>
    <cellStyle name="Header2 16 2 6 4" xfId="16114" xr:uid="{00000000-0005-0000-0000-0000FD3E0000}"/>
    <cellStyle name="Header2 16 2 6 5" xfId="16115" xr:uid="{00000000-0005-0000-0000-0000FE3E0000}"/>
    <cellStyle name="Header2 16 2 7" xfId="16116" xr:uid="{00000000-0005-0000-0000-0000FF3E0000}"/>
    <cellStyle name="Header2 16 2 7 2" xfId="16117" xr:uid="{00000000-0005-0000-0000-0000003F0000}"/>
    <cellStyle name="Header2 16 2 7 2 2" xfId="16118" xr:uid="{00000000-0005-0000-0000-0000013F0000}"/>
    <cellStyle name="Header2 16 2 7 2 2 2" xfId="16119" xr:uid="{00000000-0005-0000-0000-0000023F0000}"/>
    <cellStyle name="Header2 16 2 7 2 2 3" xfId="16120" xr:uid="{00000000-0005-0000-0000-0000033F0000}"/>
    <cellStyle name="Header2 16 2 7 2 2 4" xfId="16121" xr:uid="{00000000-0005-0000-0000-0000043F0000}"/>
    <cellStyle name="Header2 16 2 7 2 2 5" xfId="16122" xr:uid="{00000000-0005-0000-0000-0000053F0000}"/>
    <cellStyle name="Header2 16 2 7 2 3" xfId="16123" xr:uid="{00000000-0005-0000-0000-0000063F0000}"/>
    <cellStyle name="Header2 16 2 7 2 3 2" xfId="16124" xr:uid="{00000000-0005-0000-0000-0000073F0000}"/>
    <cellStyle name="Header2 16 2 7 2 3 3" xfId="16125" xr:uid="{00000000-0005-0000-0000-0000083F0000}"/>
    <cellStyle name="Header2 16 2 7 2 3 4" xfId="16126" xr:uid="{00000000-0005-0000-0000-0000093F0000}"/>
    <cellStyle name="Header2 16 2 7 2 4" xfId="16127" xr:uid="{00000000-0005-0000-0000-00000A3F0000}"/>
    <cellStyle name="Header2 16 2 7 2 5" xfId="16128" xr:uid="{00000000-0005-0000-0000-00000B3F0000}"/>
    <cellStyle name="Header2 16 2 7 2 6" xfId="16129" xr:uid="{00000000-0005-0000-0000-00000C3F0000}"/>
    <cellStyle name="Header2 16 2 7 3" xfId="16130" xr:uid="{00000000-0005-0000-0000-00000D3F0000}"/>
    <cellStyle name="Header2 16 2 7 3 2" xfId="16131" xr:uid="{00000000-0005-0000-0000-00000E3F0000}"/>
    <cellStyle name="Header2 16 2 7 3 2 2" xfId="16132" xr:uid="{00000000-0005-0000-0000-00000F3F0000}"/>
    <cellStyle name="Header2 16 2 7 3 2 3" xfId="16133" xr:uid="{00000000-0005-0000-0000-0000103F0000}"/>
    <cellStyle name="Header2 16 2 7 3 2 4" xfId="16134" xr:uid="{00000000-0005-0000-0000-0000113F0000}"/>
    <cellStyle name="Header2 16 2 7 3 3" xfId="16135" xr:uid="{00000000-0005-0000-0000-0000123F0000}"/>
    <cellStyle name="Header2 16 2 7 3 3 2" xfId="16136" xr:uid="{00000000-0005-0000-0000-0000133F0000}"/>
    <cellStyle name="Header2 16 2 7 3 3 3" xfId="16137" xr:uid="{00000000-0005-0000-0000-0000143F0000}"/>
    <cellStyle name="Header2 16 2 7 3 3 4" xfId="16138" xr:uid="{00000000-0005-0000-0000-0000153F0000}"/>
    <cellStyle name="Header2 16 2 7 3 4" xfId="16139" xr:uid="{00000000-0005-0000-0000-0000163F0000}"/>
    <cellStyle name="Header2 16 2 7 3 5" xfId="16140" xr:uid="{00000000-0005-0000-0000-0000173F0000}"/>
    <cellStyle name="Header2 16 2 7 3 6" xfId="16141" xr:uid="{00000000-0005-0000-0000-0000183F0000}"/>
    <cellStyle name="Header2 16 2 7 4" xfId="16142" xr:uid="{00000000-0005-0000-0000-0000193F0000}"/>
    <cellStyle name="Header2 16 2 7 5" xfId="16143" xr:uid="{00000000-0005-0000-0000-00001A3F0000}"/>
    <cellStyle name="Header2 16 2 8" xfId="16144" xr:uid="{00000000-0005-0000-0000-00001B3F0000}"/>
    <cellStyle name="Header2 16 2 8 2" xfId="16145" xr:uid="{00000000-0005-0000-0000-00001C3F0000}"/>
    <cellStyle name="Header2 16 2 8 2 2" xfId="16146" xr:uid="{00000000-0005-0000-0000-00001D3F0000}"/>
    <cellStyle name="Header2 16 2 8 2 2 2" xfId="16147" xr:uid="{00000000-0005-0000-0000-00001E3F0000}"/>
    <cellStyle name="Header2 16 2 8 2 2 3" xfId="16148" xr:uid="{00000000-0005-0000-0000-00001F3F0000}"/>
    <cellStyle name="Header2 16 2 8 2 2 4" xfId="16149" xr:uid="{00000000-0005-0000-0000-0000203F0000}"/>
    <cellStyle name="Header2 16 2 8 2 2 5" xfId="16150" xr:uid="{00000000-0005-0000-0000-0000213F0000}"/>
    <cellStyle name="Header2 16 2 8 2 3" xfId="16151" xr:uid="{00000000-0005-0000-0000-0000223F0000}"/>
    <cellStyle name="Header2 16 2 8 2 3 2" xfId="16152" xr:uid="{00000000-0005-0000-0000-0000233F0000}"/>
    <cellStyle name="Header2 16 2 8 2 3 3" xfId="16153" xr:uid="{00000000-0005-0000-0000-0000243F0000}"/>
    <cellStyle name="Header2 16 2 8 2 3 4" xfId="16154" xr:uid="{00000000-0005-0000-0000-0000253F0000}"/>
    <cellStyle name="Header2 16 2 8 2 4" xfId="16155" xr:uid="{00000000-0005-0000-0000-0000263F0000}"/>
    <cellStyle name="Header2 16 2 8 2 5" xfId="16156" xr:uid="{00000000-0005-0000-0000-0000273F0000}"/>
    <cellStyle name="Header2 16 2 8 2 6" xfId="16157" xr:uid="{00000000-0005-0000-0000-0000283F0000}"/>
    <cellStyle name="Header2 16 2 8 3" xfId="16158" xr:uid="{00000000-0005-0000-0000-0000293F0000}"/>
    <cellStyle name="Header2 16 2 8 3 2" xfId="16159" xr:uid="{00000000-0005-0000-0000-00002A3F0000}"/>
    <cellStyle name="Header2 16 2 8 3 2 2" xfId="16160" xr:uid="{00000000-0005-0000-0000-00002B3F0000}"/>
    <cellStyle name="Header2 16 2 8 3 2 3" xfId="16161" xr:uid="{00000000-0005-0000-0000-00002C3F0000}"/>
    <cellStyle name="Header2 16 2 8 3 2 4" xfId="16162" xr:uid="{00000000-0005-0000-0000-00002D3F0000}"/>
    <cellStyle name="Header2 16 2 8 3 3" xfId="16163" xr:uid="{00000000-0005-0000-0000-00002E3F0000}"/>
    <cellStyle name="Header2 16 2 8 3 3 2" xfId="16164" xr:uid="{00000000-0005-0000-0000-00002F3F0000}"/>
    <cellStyle name="Header2 16 2 8 3 3 3" xfId="16165" xr:uid="{00000000-0005-0000-0000-0000303F0000}"/>
    <cellStyle name="Header2 16 2 8 3 3 4" xfId="16166" xr:uid="{00000000-0005-0000-0000-0000313F0000}"/>
    <cellStyle name="Header2 16 2 8 3 4" xfId="16167" xr:uid="{00000000-0005-0000-0000-0000323F0000}"/>
    <cellStyle name="Header2 16 2 8 3 5" xfId="16168" xr:uid="{00000000-0005-0000-0000-0000333F0000}"/>
    <cellStyle name="Header2 16 2 8 3 6" xfId="16169" xr:uid="{00000000-0005-0000-0000-0000343F0000}"/>
    <cellStyle name="Header2 16 2 8 4" xfId="16170" xr:uid="{00000000-0005-0000-0000-0000353F0000}"/>
    <cellStyle name="Header2 16 2 8 5" xfId="16171" xr:uid="{00000000-0005-0000-0000-0000363F0000}"/>
    <cellStyle name="Header2 16 2 9" xfId="16172" xr:uid="{00000000-0005-0000-0000-0000373F0000}"/>
    <cellStyle name="Header2 16 2 9 2" xfId="16173" xr:uid="{00000000-0005-0000-0000-0000383F0000}"/>
    <cellStyle name="Header2 16 2 9 2 2" xfId="16174" xr:uid="{00000000-0005-0000-0000-0000393F0000}"/>
    <cellStyle name="Header2 16 2 9 2 2 2" xfId="16175" xr:uid="{00000000-0005-0000-0000-00003A3F0000}"/>
    <cellStyle name="Header2 16 2 9 2 2 3" xfId="16176" xr:uid="{00000000-0005-0000-0000-00003B3F0000}"/>
    <cellStyle name="Header2 16 2 9 2 2 4" xfId="16177" xr:uid="{00000000-0005-0000-0000-00003C3F0000}"/>
    <cellStyle name="Header2 16 2 9 2 2 5" xfId="16178" xr:uid="{00000000-0005-0000-0000-00003D3F0000}"/>
    <cellStyle name="Header2 16 2 9 2 3" xfId="16179" xr:uid="{00000000-0005-0000-0000-00003E3F0000}"/>
    <cellStyle name="Header2 16 2 9 2 3 2" xfId="16180" xr:uid="{00000000-0005-0000-0000-00003F3F0000}"/>
    <cellStyle name="Header2 16 2 9 2 3 3" xfId="16181" xr:uid="{00000000-0005-0000-0000-0000403F0000}"/>
    <cellStyle name="Header2 16 2 9 2 3 4" xfId="16182" xr:uid="{00000000-0005-0000-0000-0000413F0000}"/>
    <cellStyle name="Header2 16 2 9 2 4" xfId="16183" xr:uid="{00000000-0005-0000-0000-0000423F0000}"/>
    <cellStyle name="Header2 16 2 9 2 5" xfId="16184" xr:uid="{00000000-0005-0000-0000-0000433F0000}"/>
    <cellStyle name="Header2 16 2 9 2 6" xfId="16185" xr:uid="{00000000-0005-0000-0000-0000443F0000}"/>
    <cellStyle name="Header2 16 2 9 3" xfId="16186" xr:uid="{00000000-0005-0000-0000-0000453F0000}"/>
    <cellStyle name="Header2 16 2 9 3 2" xfId="16187" xr:uid="{00000000-0005-0000-0000-0000463F0000}"/>
    <cellStyle name="Header2 16 2 9 3 2 2" xfId="16188" xr:uid="{00000000-0005-0000-0000-0000473F0000}"/>
    <cellStyle name="Header2 16 2 9 3 2 3" xfId="16189" xr:uid="{00000000-0005-0000-0000-0000483F0000}"/>
    <cellStyle name="Header2 16 2 9 3 2 4" xfId="16190" xr:uid="{00000000-0005-0000-0000-0000493F0000}"/>
    <cellStyle name="Header2 16 2 9 3 3" xfId="16191" xr:uid="{00000000-0005-0000-0000-00004A3F0000}"/>
    <cellStyle name="Header2 16 2 9 3 3 2" xfId="16192" xr:uid="{00000000-0005-0000-0000-00004B3F0000}"/>
    <cellStyle name="Header2 16 2 9 3 3 3" xfId="16193" xr:uid="{00000000-0005-0000-0000-00004C3F0000}"/>
    <cellStyle name="Header2 16 2 9 3 3 4" xfId="16194" xr:uid="{00000000-0005-0000-0000-00004D3F0000}"/>
    <cellStyle name="Header2 16 2 9 3 4" xfId="16195" xr:uid="{00000000-0005-0000-0000-00004E3F0000}"/>
    <cellStyle name="Header2 16 2 9 3 5" xfId="16196" xr:uid="{00000000-0005-0000-0000-00004F3F0000}"/>
    <cellStyle name="Header2 16 2 9 3 6" xfId="16197" xr:uid="{00000000-0005-0000-0000-0000503F0000}"/>
    <cellStyle name="Header2 16 2 9 4" xfId="16198" xr:uid="{00000000-0005-0000-0000-0000513F0000}"/>
    <cellStyle name="Header2 16 2 9 5" xfId="16199" xr:uid="{00000000-0005-0000-0000-0000523F0000}"/>
    <cellStyle name="Header2 16 3" xfId="16200" xr:uid="{00000000-0005-0000-0000-0000533F0000}"/>
    <cellStyle name="Header2 16 3 10" xfId="16201" xr:uid="{00000000-0005-0000-0000-0000543F0000}"/>
    <cellStyle name="Header2 16 3 10 2" xfId="16202" xr:uid="{00000000-0005-0000-0000-0000553F0000}"/>
    <cellStyle name="Header2 16 3 10 2 2" xfId="16203" xr:uid="{00000000-0005-0000-0000-0000563F0000}"/>
    <cellStyle name="Header2 16 3 10 2 2 2" xfId="16204" xr:uid="{00000000-0005-0000-0000-0000573F0000}"/>
    <cellStyle name="Header2 16 3 10 2 2 3" xfId="16205" xr:uid="{00000000-0005-0000-0000-0000583F0000}"/>
    <cellStyle name="Header2 16 3 10 2 2 4" xfId="16206" xr:uid="{00000000-0005-0000-0000-0000593F0000}"/>
    <cellStyle name="Header2 16 3 10 2 2 5" xfId="16207" xr:uid="{00000000-0005-0000-0000-00005A3F0000}"/>
    <cellStyle name="Header2 16 3 10 2 3" xfId="16208" xr:uid="{00000000-0005-0000-0000-00005B3F0000}"/>
    <cellStyle name="Header2 16 3 10 2 3 2" xfId="16209" xr:uid="{00000000-0005-0000-0000-00005C3F0000}"/>
    <cellStyle name="Header2 16 3 10 2 3 3" xfId="16210" xr:uid="{00000000-0005-0000-0000-00005D3F0000}"/>
    <cellStyle name="Header2 16 3 10 2 3 4" xfId="16211" xr:uid="{00000000-0005-0000-0000-00005E3F0000}"/>
    <cellStyle name="Header2 16 3 10 2 4" xfId="16212" xr:uid="{00000000-0005-0000-0000-00005F3F0000}"/>
    <cellStyle name="Header2 16 3 10 2 5" xfId="16213" xr:uid="{00000000-0005-0000-0000-0000603F0000}"/>
    <cellStyle name="Header2 16 3 10 2 6" xfId="16214" xr:uid="{00000000-0005-0000-0000-0000613F0000}"/>
    <cellStyle name="Header2 16 3 10 3" xfId="16215" xr:uid="{00000000-0005-0000-0000-0000623F0000}"/>
    <cellStyle name="Header2 16 3 10 3 2" xfId="16216" xr:uid="{00000000-0005-0000-0000-0000633F0000}"/>
    <cellStyle name="Header2 16 3 10 3 2 2" xfId="16217" xr:uid="{00000000-0005-0000-0000-0000643F0000}"/>
    <cellStyle name="Header2 16 3 10 3 2 3" xfId="16218" xr:uid="{00000000-0005-0000-0000-0000653F0000}"/>
    <cellStyle name="Header2 16 3 10 3 2 4" xfId="16219" xr:uid="{00000000-0005-0000-0000-0000663F0000}"/>
    <cellStyle name="Header2 16 3 10 3 3" xfId="16220" xr:uid="{00000000-0005-0000-0000-0000673F0000}"/>
    <cellStyle name="Header2 16 3 10 3 3 2" xfId="16221" xr:uid="{00000000-0005-0000-0000-0000683F0000}"/>
    <cellStyle name="Header2 16 3 10 3 3 3" xfId="16222" xr:uid="{00000000-0005-0000-0000-0000693F0000}"/>
    <cellStyle name="Header2 16 3 10 3 3 4" xfId="16223" xr:uid="{00000000-0005-0000-0000-00006A3F0000}"/>
    <cellStyle name="Header2 16 3 10 3 4" xfId="16224" xr:uid="{00000000-0005-0000-0000-00006B3F0000}"/>
    <cellStyle name="Header2 16 3 10 3 5" xfId="16225" xr:uid="{00000000-0005-0000-0000-00006C3F0000}"/>
    <cellStyle name="Header2 16 3 10 3 6" xfId="16226" xr:uid="{00000000-0005-0000-0000-00006D3F0000}"/>
    <cellStyle name="Header2 16 3 10 4" xfId="16227" xr:uid="{00000000-0005-0000-0000-00006E3F0000}"/>
    <cellStyle name="Header2 16 3 10 5" xfId="16228" xr:uid="{00000000-0005-0000-0000-00006F3F0000}"/>
    <cellStyle name="Header2 16 3 11" xfId="16229" xr:uid="{00000000-0005-0000-0000-0000703F0000}"/>
    <cellStyle name="Header2 16 3 11 2" xfId="16230" xr:uid="{00000000-0005-0000-0000-0000713F0000}"/>
    <cellStyle name="Header2 16 3 11 2 2" xfId="16231" xr:uid="{00000000-0005-0000-0000-0000723F0000}"/>
    <cellStyle name="Header2 16 3 11 2 2 2" xfId="16232" xr:uid="{00000000-0005-0000-0000-0000733F0000}"/>
    <cellStyle name="Header2 16 3 11 2 2 3" xfId="16233" xr:uid="{00000000-0005-0000-0000-0000743F0000}"/>
    <cellStyle name="Header2 16 3 11 2 2 4" xfId="16234" xr:uid="{00000000-0005-0000-0000-0000753F0000}"/>
    <cellStyle name="Header2 16 3 11 2 2 5" xfId="16235" xr:uid="{00000000-0005-0000-0000-0000763F0000}"/>
    <cellStyle name="Header2 16 3 11 2 3" xfId="16236" xr:uid="{00000000-0005-0000-0000-0000773F0000}"/>
    <cellStyle name="Header2 16 3 11 2 3 2" xfId="16237" xr:uid="{00000000-0005-0000-0000-0000783F0000}"/>
    <cellStyle name="Header2 16 3 11 2 3 3" xfId="16238" xr:uid="{00000000-0005-0000-0000-0000793F0000}"/>
    <cellStyle name="Header2 16 3 11 2 3 4" xfId="16239" xr:uid="{00000000-0005-0000-0000-00007A3F0000}"/>
    <cellStyle name="Header2 16 3 11 2 4" xfId="16240" xr:uid="{00000000-0005-0000-0000-00007B3F0000}"/>
    <cellStyle name="Header2 16 3 11 2 5" xfId="16241" xr:uid="{00000000-0005-0000-0000-00007C3F0000}"/>
    <cellStyle name="Header2 16 3 11 2 6" xfId="16242" xr:uid="{00000000-0005-0000-0000-00007D3F0000}"/>
    <cellStyle name="Header2 16 3 11 3" xfId="16243" xr:uid="{00000000-0005-0000-0000-00007E3F0000}"/>
    <cellStyle name="Header2 16 3 11 3 2" xfId="16244" xr:uid="{00000000-0005-0000-0000-00007F3F0000}"/>
    <cellStyle name="Header2 16 3 11 3 2 2" xfId="16245" xr:uid="{00000000-0005-0000-0000-0000803F0000}"/>
    <cellStyle name="Header2 16 3 11 3 2 3" xfId="16246" xr:uid="{00000000-0005-0000-0000-0000813F0000}"/>
    <cellStyle name="Header2 16 3 11 3 2 4" xfId="16247" xr:uid="{00000000-0005-0000-0000-0000823F0000}"/>
    <cellStyle name="Header2 16 3 11 3 3" xfId="16248" xr:uid="{00000000-0005-0000-0000-0000833F0000}"/>
    <cellStyle name="Header2 16 3 11 3 3 2" xfId="16249" xr:uid="{00000000-0005-0000-0000-0000843F0000}"/>
    <cellStyle name="Header2 16 3 11 3 3 3" xfId="16250" xr:uid="{00000000-0005-0000-0000-0000853F0000}"/>
    <cellStyle name="Header2 16 3 11 3 3 4" xfId="16251" xr:uid="{00000000-0005-0000-0000-0000863F0000}"/>
    <cellStyle name="Header2 16 3 11 3 4" xfId="16252" xr:uid="{00000000-0005-0000-0000-0000873F0000}"/>
    <cellStyle name="Header2 16 3 11 3 5" xfId="16253" xr:uid="{00000000-0005-0000-0000-0000883F0000}"/>
    <cellStyle name="Header2 16 3 11 3 6" xfId="16254" xr:uid="{00000000-0005-0000-0000-0000893F0000}"/>
    <cellStyle name="Header2 16 3 11 4" xfId="16255" xr:uid="{00000000-0005-0000-0000-00008A3F0000}"/>
    <cellStyle name="Header2 16 3 11 5" xfId="16256" xr:uid="{00000000-0005-0000-0000-00008B3F0000}"/>
    <cellStyle name="Header2 16 3 12" xfId="16257" xr:uid="{00000000-0005-0000-0000-00008C3F0000}"/>
    <cellStyle name="Header2 16 3 12 2" xfId="16258" xr:uid="{00000000-0005-0000-0000-00008D3F0000}"/>
    <cellStyle name="Header2 16 3 12 2 2" xfId="16259" xr:uid="{00000000-0005-0000-0000-00008E3F0000}"/>
    <cellStyle name="Header2 16 3 12 2 2 2" xfId="16260" xr:uid="{00000000-0005-0000-0000-00008F3F0000}"/>
    <cellStyle name="Header2 16 3 12 2 2 3" xfId="16261" xr:uid="{00000000-0005-0000-0000-0000903F0000}"/>
    <cellStyle name="Header2 16 3 12 2 2 4" xfId="16262" xr:uid="{00000000-0005-0000-0000-0000913F0000}"/>
    <cellStyle name="Header2 16 3 12 2 2 5" xfId="16263" xr:uid="{00000000-0005-0000-0000-0000923F0000}"/>
    <cellStyle name="Header2 16 3 12 2 3" xfId="16264" xr:uid="{00000000-0005-0000-0000-0000933F0000}"/>
    <cellStyle name="Header2 16 3 12 2 3 2" xfId="16265" xr:uid="{00000000-0005-0000-0000-0000943F0000}"/>
    <cellStyle name="Header2 16 3 12 2 3 3" xfId="16266" xr:uid="{00000000-0005-0000-0000-0000953F0000}"/>
    <cellStyle name="Header2 16 3 12 2 3 4" xfId="16267" xr:uid="{00000000-0005-0000-0000-0000963F0000}"/>
    <cellStyle name="Header2 16 3 12 2 4" xfId="16268" xr:uid="{00000000-0005-0000-0000-0000973F0000}"/>
    <cellStyle name="Header2 16 3 12 2 5" xfId="16269" xr:uid="{00000000-0005-0000-0000-0000983F0000}"/>
    <cellStyle name="Header2 16 3 12 2 6" xfId="16270" xr:uid="{00000000-0005-0000-0000-0000993F0000}"/>
    <cellStyle name="Header2 16 3 12 3" xfId="16271" xr:uid="{00000000-0005-0000-0000-00009A3F0000}"/>
    <cellStyle name="Header2 16 3 12 3 2" xfId="16272" xr:uid="{00000000-0005-0000-0000-00009B3F0000}"/>
    <cellStyle name="Header2 16 3 12 3 2 2" xfId="16273" xr:uid="{00000000-0005-0000-0000-00009C3F0000}"/>
    <cellStyle name="Header2 16 3 12 3 2 3" xfId="16274" xr:uid="{00000000-0005-0000-0000-00009D3F0000}"/>
    <cellStyle name="Header2 16 3 12 3 2 4" xfId="16275" xr:uid="{00000000-0005-0000-0000-00009E3F0000}"/>
    <cellStyle name="Header2 16 3 12 3 3" xfId="16276" xr:uid="{00000000-0005-0000-0000-00009F3F0000}"/>
    <cellStyle name="Header2 16 3 12 3 3 2" xfId="16277" xr:uid="{00000000-0005-0000-0000-0000A03F0000}"/>
    <cellStyle name="Header2 16 3 12 3 3 3" xfId="16278" xr:uid="{00000000-0005-0000-0000-0000A13F0000}"/>
    <cellStyle name="Header2 16 3 12 3 3 4" xfId="16279" xr:uid="{00000000-0005-0000-0000-0000A23F0000}"/>
    <cellStyle name="Header2 16 3 12 3 4" xfId="16280" xr:uid="{00000000-0005-0000-0000-0000A33F0000}"/>
    <cellStyle name="Header2 16 3 12 3 5" xfId="16281" xr:uid="{00000000-0005-0000-0000-0000A43F0000}"/>
    <cellStyle name="Header2 16 3 12 3 6" xfId="16282" xr:uid="{00000000-0005-0000-0000-0000A53F0000}"/>
    <cellStyle name="Header2 16 3 12 4" xfId="16283" xr:uid="{00000000-0005-0000-0000-0000A63F0000}"/>
    <cellStyle name="Header2 16 3 12 5" xfId="16284" xr:uid="{00000000-0005-0000-0000-0000A73F0000}"/>
    <cellStyle name="Header2 16 3 13" xfId="58729" xr:uid="{00000000-0005-0000-0000-0000A83F0000}"/>
    <cellStyle name="Header2 16 3 2" xfId="16285" xr:uid="{00000000-0005-0000-0000-0000A93F0000}"/>
    <cellStyle name="Header2 16 3 2 2" xfId="16286" xr:uid="{00000000-0005-0000-0000-0000AA3F0000}"/>
    <cellStyle name="Header2 16 3 2 2 2" xfId="16287" xr:uid="{00000000-0005-0000-0000-0000AB3F0000}"/>
    <cellStyle name="Header2 16 3 2 2 3" xfId="16288" xr:uid="{00000000-0005-0000-0000-0000AC3F0000}"/>
    <cellStyle name="Header2 16 3 2 3" xfId="16289" xr:uid="{00000000-0005-0000-0000-0000AD3F0000}"/>
    <cellStyle name="Header2 16 3 3" xfId="16290" xr:uid="{00000000-0005-0000-0000-0000AE3F0000}"/>
    <cellStyle name="Header2 16 3 3 2" xfId="16291" xr:uid="{00000000-0005-0000-0000-0000AF3F0000}"/>
    <cellStyle name="Header2 16 3 3 2 2" xfId="16292" xr:uid="{00000000-0005-0000-0000-0000B03F0000}"/>
    <cellStyle name="Header2 16 3 3 2 3" xfId="16293" xr:uid="{00000000-0005-0000-0000-0000B13F0000}"/>
    <cellStyle name="Header2 16 3 3 3" xfId="16294" xr:uid="{00000000-0005-0000-0000-0000B23F0000}"/>
    <cellStyle name="Header2 16 3 4" xfId="16295" xr:uid="{00000000-0005-0000-0000-0000B33F0000}"/>
    <cellStyle name="Header2 16 3 4 2" xfId="16296" xr:uid="{00000000-0005-0000-0000-0000B43F0000}"/>
    <cellStyle name="Header2 16 3 4 2 2" xfId="16297" xr:uid="{00000000-0005-0000-0000-0000B53F0000}"/>
    <cellStyle name="Header2 16 3 4 2 3" xfId="16298" xr:uid="{00000000-0005-0000-0000-0000B63F0000}"/>
    <cellStyle name="Header2 16 3 4 3" xfId="16299" xr:uid="{00000000-0005-0000-0000-0000B73F0000}"/>
    <cellStyle name="Header2 16 3 5" xfId="16300" xr:uid="{00000000-0005-0000-0000-0000B83F0000}"/>
    <cellStyle name="Header2 16 3 5 2" xfId="16301" xr:uid="{00000000-0005-0000-0000-0000B93F0000}"/>
    <cellStyle name="Header2 16 3 5 2 2" xfId="16302" xr:uid="{00000000-0005-0000-0000-0000BA3F0000}"/>
    <cellStyle name="Header2 16 3 5 2 2 2" xfId="16303" xr:uid="{00000000-0005-0000-0000-0000BB3F0000}"/>
    <cellStyle name="Header2 16 3 5 2 2 3" xfId="16304" xr:uid="{00000000-0005-0000-0000-0000BC3F0000}"/>
    <cellStyle name="Header2 16 3 5 2 2 4" xfId="16305" xr:uid="{00000000-0005-0000-0000-0000BD3F0000}"/>
    <cellStyle name="Header2 16 3 5 2 2 5" xfId="16306" xr:uid="{00000000-0005-0000-0000-0000BE3F0000}"/>
    <cellStyle name="Header2 16 3 5 2 3" xfId="16307" xr:uid="{00000000-0005-0000-0000-0000BF3F0000}"/>
    <cellStyle name="Header2 16 3 5 2 3 2" xfId="16308" xr:uid="{00000000-0005-0000-0000-0000C03F0000}"/>
    <cellStyle name="Header2 16 3 5 2 3 3" xfId="16309" xr:uid="{00000000-0005-0000-0000-0000C13F0000}"/>
    <cellStyle name="Header2 16 3 5 2 3 4" xfId="16310" xr:uid="{00000000-0005-0000-0000-0000C23F0000}"/>
    <cellStyle name="Header2 16 3 5 2 4" xfId="16311" xr:uid="{00000000-0005-0000-0000-0000C33F0000}"/>
    <cellStyle name="Header2 16 3 5 2 5" xfId="16312" xr:uid="{00000000-0005-0000-0000-0000C43F0000}"/>
    <cellStyle name="Header2 16 3 5 2 6" xfId="16313" xr:uid="{00000000-0005-0000-0000-0000C53F0000}"/>
    <cellStyle name="Header2 16 3 5 3" xfId="16314" xr:uid="{00000000-0005-0000-0000-0000C63F0000}"/>
    <cellStyle name="Header2 16 3 5 3 2" xfId="16315" xr:uid="{00000000-0005-0000-0000-0000C73F0000}"/>
    <cellStyle name="Header2 16 3 5 3 2 2" xfId="16316" xr:uid="{00000000-0005-0000-0000-0000C83F0000}"/>
    <cellStyle name="Header2 16 3 5 3 2 3" xfId="16317" xr:uid="{00000000-0005-0000-0000-0000C93F0000}"/>
    <cellStyle name="Header2 16 3 5 3 2 4" xfId="16318" xr:uid="{00000000-0005-0000-0000-0000CA3F0000}"/>
    <cellStyle name="Header2 16 3 5 3 3" xfId="16319" xr:uid="{00000000-0005-0000-0000-0000CB3F0000}"/>
    <cellStyle name="Header2 16 3 5 3 3 2" xfId="16320" xr:uid="{00000000-0005-0000-0000-0000CC3F0000}"/>
    <cellStyle name="Header2 16 3 5 3 3 3" xfId="16321" xr:uid="{00000000-0005-0000-0000-0000CD3F0000}"/>
    <cellStyle name="Header2 16 3 5 3 3 4" xfId="16322" xr:uid="{00000000-0005-0000-0000-0000CE3F0000}"/>
    <cellStyle name="Header2 16 3 5 3 4" xfId="16323" xr:uid="{00000000-0005-0000-0000-0000CF3F0000}"/>
    <cellStyle name="Header2 16 3 5 3 5" xfId="16324" xr:uid="{00000000-0005-0000-0000-0000D03F0000}"/>
    <cellStyle name="Header2 16 3 5 3 6" xfId="16325" xr:uid="{00000000-0005-0000-0000-0000D13F0000}"/>
    <cellStyle name="Header2 16 3 5 4" xfId="16326" xr:uid="{00000000-0005-0000-0000-0000D23F0000}"/>
    <cellStyle name="Header2 16 3 5 5" xfId="16327" xr:uid="{00000000-0005-0000-0000-0000D33F0000}"/>
    <cellStyle name="Header2 16 3 6" xfId="16328" xr:uid="{00000000-0005-0000-0000-0000D43F0000}"/>
    <cellStyle name="Header2 16 3 6 2" xfId="16329" xr:uid="{00000000-0005-0000-0000-0000D53F0000}"/>
    <cellStyle name="Header2 16 3 6 2 2" xfId="16330" xr:uid="{00000000-0005-0000-0000-0000D63F0000}"/>
    <cellStyle name="Header2 16 3 6 2 2 2" xfId="16331" xr:uid="{00000000-0005-0000-0000-0000D73F0000}"/>
    <cellStyle name="Header2 16 3 6 2 2 3" xfId="16332" xr:uid="{00000000-0005-0000-0000-0000D83F0000}"/>
    <cellStyle name="Header2 16 3 6 2 2 4" xfId="16333" xr:uid="{00000000-0005-0000-0000-0000D93F0000}"/>
    <cellStyle name="Header2 16 3 6 2 2 5" xfId="16334" xr:uid="{00000000-0005-0000-0000-0000DA3F0000}"/>
    <cellStyle name="Header2 16 3 6 2 3" xfId="16335" xr:uid="{00000000-0005-0000-0000-0000DB3F0000}"/>
    <cellStyle name="Header2 16 3 6 2 3 2" xfId="16336" xr:uid="{00000000-0005-0000-0000-0000DC3F0000}"/>
    <cellStyle name="Header2 16 3 6 2 3 3" xfId="16337" xr:uid="{00000000-0005-0000-0000-0000DD3F0000}"/>
    <cellStyle name="Header2 16 3 6 2 3 4" xfId="16338" xr:uid="{00000000-0005-0000-0000-0000DE3F0000}"/>
    <cellStyle name="Header2 16 3 6 2 4" xfId="16339" xr:uid="{00000000-0005-0000-0000-0000DF3F0000}"/>
    <cellStyle name="Header2 16 3 6 2 5" xfId="16340" xr:uid="{00000000-0005-0000-0000-0000E03F0000}"/>
    <cellStyle name="Header2 16 3 6 2 6" xfId="16341" xr:uid="{00000000-0005-0000-0000-0000E13F0000}"/>
    <cellStyle name="Header2 16 3 6 3" xfId="16342" xr:uid="{00000000-0005-0000-0000-0000E23F0000}"/>
    <cellStyle name="Header2 16 3 6 3 2" xfId="16343" xr:uid="{00000000-0005-0000-0000-0000E33F0000}"/>
    <cellStyle name="Header2 16 3 6 3 2 2" xfId="16344" xr:uid="{00000000-0005-0000-0000-0000E43F0000}"/>
    <cellStyle name="Header2 16 3 6 3 2 3" xfId="16345" xr:uid="{00000000-0005-0000-0000-0000E53F0000}"/>
    <cellStyle name="Header2 16 3 6 3 2 4" xfId="16346" xr:uid="{00000000-0005-0000-0000-0000E63F0000}"/>
    <cellStyle name="Header2 16 3 6 3 3" xfId="16347" xr:uid="{00000000-0005-0000-0000-0000E73F0000}"/>
    <cellStyle name="Header2 16 3 6 3 3 2" xfId="16348" xr:uid="{00000000-0005-0000-0000-0000E83F0000}"/>
    <cellStyle name="Header2 16 3 6 3 3 3" xfId="16349" xr:uid="{00000000-0005-0000-0000-0000E93F0000}"/>
    <cellStyle name="Header2 16 3 6 3 3 4" xfId="16350" xr:uid="{00000000-0005-0000-0000-0000EA3F0000}"/>
    <cellStyle name="Header2 16 3 6 3 4" xfId="16351" xr:uid="{00000000-0005-0000-0000-0000EB3F0000}"/>
    <cellStyle name="Header2 16 3 6 3 5" xfId="16352" xr:uid="{00000000-0005-0000-0000-0000EC3F0000}"/>
    <cellStyle name="Header2 16 3 6 3 6" xfId="16353" xr:uid="{00000000-0005-0000-0000-0000ED3F0000}"/>
    <cellStyle name="Header2 16 3 6 4" xfId="16354" xr:uid="{00000000-0005-0000-0000-0000EE3F0000}"/>
    <cellStyle name="Header2 16 3 6 5" xfId="16355" xr:uid="{00000000-0005-0000-0000-0000EF3F0000}"/>
    <cellStyle name="Header2 16 3 7" xfId="16356" xr:uid="{00000000-0005-0000-0000-0000F03F0000}"/>
    <cellStyle name="Header2 16 3 7 2" xfId="16357" xr:uid="{00000000-0005-0000-0000-0000F13F0000}"/>
    <cellStyle name="Header2 16 3 7 2 2" xfId="16358" xr:uid="{00000000-0005-0000-0000-0000F23F0000}"/>
    <cellStyle name="Header2 16 3 7 2 2 2" xfId="16359" xr:uid="{00000000-0005-0000-0000-0000F33F0000}"/>
    <cellStyle name="Header2 16 3 7 2 2 3" xfId="16360" xr:uid="{00000000-0005-0000-0000-0000F43F0000}"/>
    <cellStyle name="Header2 16 3 7 2 2 4" xfId="16361" xr:uid="{00000000-0005-0000-0000-0000F53F0000}"/>
    <cellStyle name="Header2 16 3 7 2 2 5" xfId="16362" xr:uid="{00000000-0005-0000-0000-0000F63F0000}"/>
    <cellStyle name="Header2 16 3 7 2 3" xfId="16363" xr:uid="{00000000-0005-0000-0000-0000F73F0000}"/>
    <cellStyle name="Header2 16 3 7 2 3 2" xfId="16364" xr:uid="{00000000-0005-0000-0000-0000F83F0000}"/>
    <cellStyle name="Header2 16 3 7 2 3 3" xfId="16365" xr:uid="{00000000-0005-0000-0000-0000F93F0000}"/>
    <cellStyle name="Header2 16 3 7 2 3 4" xfId="16366" xr:uid="{00000000-0005-0000-0000-0000FA3F0000}"/>
    <cellStyle name="Header2 16 3 7 2 4" xfId="16367" xr:uid="{00000000-0005-0000-0000-0000FB3F0000}"/>
    <cellStyle name="Header2 16 3 7 2 5" xfId="16368" xr:uid="{00000000-0005-0000-0000-0000FC3F0000}"/>
    <cellStyle name="Header2 16 3 7 2 6" xfId="16369" xr:uid="{00000000-0005-0000-0000-0000FD3F0000}"/>
    <cellStyle name="Header2 16 3 7 3" xfId="16370" xr:uid="{00000000-0005-0000-0000-0000FE3F0000}"/>
    <cellStyle name="Header2 16 3 7 3 2" xfId="16371" xr:uid="{00000000-0005-0000-0000-0000FF3F0000}"/>
    <cellStyle name="Header2 16 3 7 3 2 2" xfId="16372" xr:uid="{00000000-0005-0000-0000-000000400000}"/>
    <cellStyle name="Header2 16 3 7 3 2 3" xfId="16373" xr:uid="{00000000-0005-0000-0000-000001400000}"/>
    <cellStyle name="Header2 16 3 7 3 2 4" xfId="16374" xr:uid="{00000000-0005-0000-0000-000002400000}"/>
    <cellStyle name="Header2 16 3 7 3 3" xfId="16375" xr:uid="{00000000-0005-0000-0000-000003400000}"/>
    <cellStyle name="Header2 16 3 7 3 3 2" xfId="16376" xr:uid="{00000000-0005-0000-0000-000004400000}"/>
    <cellStyle name="Header2 16 3 7 3 3 3" xfId="16377" xr:uid="{00000000-0005-0000-0000-000005400000}"/>
    <cellStyle name="Header2 16 3 7 3 3 4" xfId="16378" xr:uid="{00000000-0005-0000-0000-000006400000}"/>
    <cellStyle name="Header2 16 3 7 3 4" xfId="16379" xr:uid="{00000000-0005-0000-0000-000007400000}"/>
    <cellStyle name="Header2 16 3 7 3 5" xfId="16380" xr:uid="{00000000-0005-0000-0000-000008400000}"/>
    <cellStyle name="Header2 16 3 7 3 6" xfId="16381" xr:uid="{00000000-0005-0000-0000-000009400000}"/>
    <cellStyle name="Header2 16 3 7 4" xfId="16382" xr:uid="{00000000-0005-0000-0000-00000A400000}"/>
    <cellStyle name="Header2 16 3 7 5" xfId="16383" xr:uid="{00000000-0005-0000-0000-00000B400000}"/>
    <cellStyle name="Header2 16 3 8" xfId="16384" xr:uid="{00000000-0005-0000-0000-00000C400000}"/>
    <cellStyle name="Header2 16 3 8 2" xfId="16385" xr:uid="{00000000-0005-0000-0000-00000D400000}"/>
    <cellStyle name="Header2 16 3 8 2 2" xfId="16386" xr:uid="{00000000-0005-0000-0000-00000E400000}"/>
    <cellStyle name="Header2 16 3 8 2 2 2" xfId="16387" xr:uid="{00000000-0005-0000-0000-00000F400000}"/>
    <cellStyle name="Header2 16 3 8 2 2 3" xfId="16388" xr:uid="{00000000-0005-0000-0000-000010400000}"/>
    <cellStyle name="Header2 16 3 8 2 2 4" xfId="16389" xr:uid="{00000000-0005-0000-0000-000011400000}"/>
    <cellStyle name="Header2 16 3 8 2 2 5" xfId="16390" xr:uid="{00000000-0005-0000-0000-000012400000}"/>
    <cellStyle name="Header2 16 3 8 2 3" xfId="16391" xr:uid="{00000000-0005-0000-0000-000013400000}"/>
    <cellStyle name="Header2 16 3 8 2 3 2" xfId="16392" xr:uid="{00000000-0005-0000-0000-000014400000}"/>
    <cellStyle name="Header2 16 3 8 2 3 3" xfId="16393" xr:uid="{00000000-0005-0000-0000-000015400000}"/>
    <cellStyle name="Header2 16 3 8 2 3 4" xfId="16394" xr:uid="{00000000-0005-0000-0000-000016400000}"/>
    <cellStyle name="Header2 16 3 8 2 4" xfId="16395" xr:uid="{00000000-0005-0000-0000-000017400000}"/>
    <cellStyle name="Header2 16 3 8 2 5" xfId="16396" xr:uid="{00000000-0005-0000-0000-000018400000}"/>
    <cellStyle name="Header2 16 3 8 2 6" xfId="16397" xr:uid="{00000000-0005-0000-0000-000019400000}"/>
    <cellStyle name="Header2 16 3 8 3" xfId="16398" xr:uid="{00000000-0005-0000-0000-00001A400000}"/>
    <cellStyle name="Header2 16 3 8 3 2" xfId="16399" xr:uid="{00000000-0005-0000-0000-00001B400000}"/>
    <cellStyle name="Header2 16 3 8 3 2 2" xfId="16400" xr:uid="{00000000-0005-0000-0000-00001C400000}"/>
    <cellStyle name="Header2 16 3 8 3 2 3" xfId="16401" xr:uid="{00000000-0005-0000-0000-00001D400000}"/>
    <cellStyle name="Header2 16 3 8 3 2 4" xfId="16402" xr:uid="{00000000-0005-0000-0000-00001E400000}"/>
    <cellStyle name="Header2 16 3 8 3 3" xfId="16403" xr:uid="{00000000-0005-0000-0000-00001F400000}"/>
    <cellStyle name="Header2 16 3 8 3 3 2" xfId="16404" xr:uid="{00000000-0005-0000-0000-000020400000}"/>
    <cellStyle name="Header2 16 3 8 3 3 3" xfId="16405" xr:uid="{00000000-0005-0000-0000-000021400000}"/>
    <cellStyle name="Header2 16 3 8 3 3 4" xfId="16406" xr:uid="{00000000-0005-0000-0000-000022400000}"/>
    <cellStyle name="Header2 16 3 8 3 4" xfId="16407" xr:uid="{00000000-0005-0000-0000-000023400000}"/>
    <cellStyle name="Header2 16 3 8 3 5" xfId="16408" xr:uid="{00000000-0005-0000-0000-000024400000}"/>
    <cellStyle name="Header2 16 3 8 3 6" xfId="16409" xr:uid="{00000000-0005-0000-0000-000025400000}"/>
    <cellStyle name="Header2 16 3 8 4" xfId="16410" xr:uid="{00000000-0005-0000-0000-000026400000}"/>
    <cellStyle name="Header2 16 3 8 5" xfId="16411" xr:uid="{00000000-0005-0000-0000-000027400000}"/>
    <cellStyle name="Header2 16 3 9" xfId="16412" xr:uid="{00000000-0005-0000-0000-000028400000}"/>
    <cellStyle name="Header2 16 3 9 2" xfId="16413" xr:uid="{00000000-0005-0000-0000-000029400000}"/>
    <cellStyle name="Header2 16 3 9 2 2" xfId="16414" xr:uid="{00000000-0005-0000-0000-00002A400000}"/>
    <cellStyle name="Header2 16 3 9 2 2 2" xfId="16415" xr:uid="{00000000-0005-0000-0000-00002B400000}"/>
    <cellStyle name="Header2 16 3 9 2 2 3" xfId="16416" xr:uid="{00000000-0005-0000-0000-00002C400000}"/>
    <cellStyle name="Header2 16 3 9 2 2 4" xfId="16417" xr:uid="{00000000-0005-0000-0000-00002D400000}"/>
    <cellStyle name="Header2 16 3 9 2 2 5" xfId="16418" xr:uid="{00000000-0005-0000-0000-00002E400000}"/>
    <cellStyle name="Header2 16 3 9 2 3" xfId="16419" xr:uid="{00000000-0005-0000-0000-00002F400000}"/>
    <cellStyle name="Header2 16 3 9 2 3 2" xfId="16420" xr:uid="{00000000-0005-0000-0000-000030400000}"/>
    <cellStyle name="Header2 16 3 9 2 3 3" xfId="16421" xr:uid="{00000000-0005-0000-0000-000031400000}"/>
    <cellStyle name="Header2 16 3 9 2 3 4" xfId="16422" xr:uid="{00000000-0005-0000-0000-000032400000}"/>
    <cellStyle name="Header2 16 3 9 2 4" xfId="16423" xr:uid="{00000000-0005-0000-0000-000033400000}"/>
    <cellStyle name="Header2 16 3 9 2 5" xfId="16424" xr:uid="{00000000-0005-0000-0000-000034400000}"/>
    <cellStyle name="Header2 16 3 9 2 6" xfId="16425" xr:uid="{00000000-0005-0000-0000-000035400000}"/>
    <cellStyle name="Header2 16 3 9 3" xfId="16426" xr:uid="{00000000-0005-0000-0000-000036400000}"/>
    <cellStyle name="Header2 16 3 9 3 2" xfId="16427" xr:uid="{00000000-0005-0000-0000-000037400000}"/>
    <cellStyle name="Header2 16 3 9 3 2 2" xfId="16428" xr:uid="{00000000-0005-0000-0000-000038400000}"/>
    <cellStyle name="Header2 16 3 9 3 2 3" xfId="16429" xr:uid="{00000000-0005-0000-0000-000039400000}"/>
    <cellStyle name="Header2 16 3 9 3 2 4" xfId="16430" xr:uid="{00000000-0005-0000-0000-00003A400000}"/>
    <cellStyle name="Header2 16 3 9 3 3" xfId="16431" xr:uid="{00000000-0005-0000-0000-00003B400000}"/>
    <cellStyle name="Header2 16 3 9 3 3 2" xfId="16432" xr:uid="{00000000-0005-0000-0000-00003C400000}"/>
    <cellStyle name="Header2 16 3 9 3 3 3" xfId="16433" xr:uid="{00000000-0005-0000-0000-00003D400000}"/>
    <cellStyle name="Header2 16 3 9 3 3 4" xfId="16434" xr:uid="{00000000-0005-0000-0000-00003E400000}"/>
    <cellStyle name="Header2 16 3 9 3 4" xfId="16435" xr:uid="{00000000-0005-0000-0000-00003F400000}"/>
    <cellStyle name="Header2 16 3 9 3 5" xfId="16436" xr:uid="{00000000-0005-0000-0000-000040400000}"/>
    <cellStyle name="Header2 16 3 9 3 6" xfId="16437" xr:uid="{00000000-0005-0000-0000-000041400000}"/>
    <cellStyle name="Header2 16 3 9 4" xfId="16438" xr:uid="{00000000-0005-0000-0000-000042400000}"/>
    <cellStyle name="Header2 16 3 9 5" xfId="16439" xr:uid="{00000000-0005-0000-0000-000043400000}"/>
    <cellStyle name="Header2 17" xfId="16440" xr:uid="{00000000-0005-0000-0000-000044400000}"/>
    <cellStyle name="Header2 17 2" xfId="16441" xr:uid="{00000000-0005-0000-0000-000045400000}"/>
    <cellStyle name="Header2 17 2 10" xfId="16442" xr:uid="{00000000-0005-0000-0000-000046400000}"/>
    <cellStyle name="Header2 17 2 10 2" xfId="16443" xr:uid="{00000000-0005-0000-0000-000047400000}"/>
    <cellStyle name="Header2 17 2 10 2 2" xfId="16444" xr:uid="{00000000-0005-0000-0000-000048400000}"/>
    <cellStyle name="Header2 17 2 10 2 2 2" xfId="16445" xr:uid="{00000000-0005-0000-0000-000049400000}"/>
    <cellStyle name="Header2 17 2 10 2 2 3" xfId="16446" xr:uid="{00000000-0005-0000-0000-00004A400000}"/>
    <cellStyle name="Header2 17 2 10 2 2 4" xfId="16447" xr:uid="{00000000-0005-0000-0000-00004B400000}"/>
    <cellStyle name="Header2 17 2 10 2 2 5" xfId="16448" xr:uid="{00000000-0005-0000-0000-00004C400000}"/>
    <cellStyle name="Header2 17 2 10 2 3" xfId="16449" xr:uid="{00000000-0005-0000-0000-00004D400000}"/>
    <cellStyle name="Header2 17 2 10 2 3 2" xfId="16450" xr:uid="{00000000-0005-0000-0000-00004E400000}"/>
    <cellStyle name="Header2 17 2 10 2 3 3" xfId="16451" xr:uid="{00000000-0005-0000-0000-00004F400000}"/>
    <cellStyle name="Header2 17 2 10 2 3 4" xfId="16452" xr:uid="{00000000-0005-0000-0000-000050400000}"/>
    <cellStyle name="Header2 17 2 10 2 4" xfId="16453" xr:uid="{00000000-0005-0000-0000-000051400000}"/>
    <cellStyle name="Header2 17 2 10 2 5" xfId="16454" xr:uid="{00000000-0005-0000-0000-000052400000}"/>
    <cellStyle name="Header2 17 2 10 2 6" xfId="16455" xr:uid="{00000000-0005-0000-0000-000053400000}"/>
    <cellStyle name="Header2 17 2 10 3" xfId="16456" xr:uid="{00000000-0005-0000-0000-000054400000}"/>
    <cellStyle name="Header2 17 2 10 3 2" xfId="16457" xr:uid="{00000000-0005-0000-0000-000055400000}"/>
    <cellStyle name="Header2 17 2 10 3 2 2" xfId="16458" xr:uid="{00000000-0005-0000-0000-000056400000}"/>
    <cellStyle name="Header2 17 2 10 3 2 3" xfId="16459" xr:uid="{00000000-0005-0000-0000-000057400000}"/>
    <cellStyle name="Header2 17 2 10 3 2 4" xfId="16460" xr:uid="{00000000-0005-0000-0000-000058400000}"/>
    <cellStyle name="Header2 17 2 10 3 3" xfId="16461" xr:uid="{00000000-0005-0000-0000-000059400000}"/>
    <cellStyle name="Header2 17 2 10 3 3 2" xfId="16462" xr:uid="{00000000-0005-0000-0000-00005A400000}"/>
    <cellStyle name="Header2 17 2 10 3 3 3" xfId="16463" xr:uid="{00000000-0005-0000-0000-00005B400000}"/>
    <cellStyle name="Header2 17 2 10 3 3 4" xfId="16464" xr:uid="{00000000-0005-0000-0000-00005C400000}"/>
    <cellStyle name="Header2 17 2 10 3 4" xfId="16465" xr:uid="{00000000-0005-0000-0000-00005D400000}"/>
    <cellStyle name="Header2 17 2 10 3 5" xfId="16466" xr:uid="{00000000-0005-0000-0000-00005E400000}"/>
    <cellStyle name="Header2 17 2 10 3 6" xfId="16467" xr:uid="{00000000-0005-0000-0000-00005F400000}"/>
    <cellStyle name="Header2 17 2 10 4" xfId="16468" xr:uid="{00000000-0005-0000-0000-000060400000}"/>
    <cellStyle name="Header2 17 2 10 5" xfId="16469" xr:uid="{00000000-0005-0000-0000-000061400000}"/>
    <cellStyle name="Header2 17 2 11" xfId="16470" xr:uid="{00000000-0005-0000-0000-000062400000}"/>
    <cellStyle name="Header2 17 2 11 2" xfId="16471" xr:uid="{00000000-0005-0000-0000-000063400000}"/>
    <cellStyle name="Header2 17 2 11 2 2" xfId="16472" xr:uid="{00000000-0005-0000-0000-000064400000}"/>
    <cellStyle name="Header2 17 2 11 2 2 2" xfId="16473" xr:uid="{00000000-0005-0000-0000-000065400000}"/>
    <cellStyle name="Header2 17 2 11 2 2 3" xfId="16474" xr:uid="{00000000-0005-0000-0000-000066400000}"/>
    <cellStyle name="Header2 17 2 11 2 2 4" xfId="16475" xr:uid="{00000000-0005-0000-0000-000067400000}"/>
    <cellStyle name="Header2 17 2 11 2 2 5" xfId="16476" xr:uid="{00000000-0005-0000-0000-000068400000}"/>
    <cellStyle name="Header2 17 2 11 2 3" xfId="16477" xr:uid="{00000000-0005-0000-0000-000069400000}"/>
    <cellStyle name="Header2 17 2 11 2 3 2" xfId="16478" xr:uid="{00000000-0005-0000-0000-00006A400000}"/>
    <cellStyle name="Header2 17 2 11 2 3 3" xfId="16479" xr:uid="{00000000-0005-0000-0000-00006B400000}"/>
    <cellStyle name="Header2 17 2 11 2 3 4" xfId="16480" xr:uid="{00000000-0005-0000-0000-00006C400000}"/>
    <cellStyle name="Header2 17 2 11 2 4" xfId="16481" xr:uid="{00000000-0005-0000-0000-00006D400000}"/>
    <cellStyle name="Header2 17 2 11 2 5" xfId="16482" xr:uid="{00000000-0005-0000-0000-00006E400000}"/>
    <cellStyle name="Header2 17 2 11 2 6" xfId="16483" xr:uid="{00000000-0005-0000-0000-00006F400000}"/>
    <cellStyle name="Header2 17 2 11 3" xfId="16484" xr:uid="{00000000-0005-0000-0000-000070400000}"/>
    <cellStyle name="Header2 17 2 11 3 2" xfId="16485" xr:uid="{00000000-0005-0000-0000-000071400000}"/>
    <cellStyle name="Header2 17 2 11 3 2 2" xfId="16486" xr:uid="{00000000-0005-0000-0000-000072400000}"/>
    <cellStyle name="Header2 17 2 11 3 2 3" xfId="16487" xr:uid="{00000000-0005-0000-0000-000073400000}"/>
    <cellStyle name="Header2 17 2 11 3 2 4" xfId="16488" xr:uid="{00000000-0005-0000-0000-000074400000}"/>
    <cellStyle name="Header2 17 2 11 3 3" xfId="16489" xr:uid="{00000000-0005-0000-0000-000075400000}"/>
    <cellStyle name="Header2 17 2 11 3 3 2" xfId="16490" xr:uid="{00000000-0005-0000-0000-000076400000}"/>
    <cellStyle name="Header2 17 2 11 3 3 3" xfId="16491" xr:uid="{00000000-0005-0000-0000-000077400000}"/>
    <cellStyle name="Header2 17 2 11 3 3 4" xfId="16492" xr:uid="{00000000-0005-0000-0000-000078400000}"/>
    <cellStyle name="Header2 17 2 11 3 4" xfId="16493" xr:uid="{00000000-0005-0000-0000-000079400000}"/>
    <cellStyle name="Header2 17 2 11 3 5" xfId="16494" xr:uid="{00000000-0005-0000-0000-00007A400000}"/>
    <cellStyle name="Header2 17 2 11 3 6" xfId="16495" xr:uid="{00000000-0005-0000-0000-00007B400000}"/>
    <cellStyle name="Header2 17 2 11 4" xfId="16496" xr:uid="{00000000-0005-0000-0000-00007C400000}"/>
    <cellStyle name="Header2 17 2 11 5" xfId="16497" xr:uid="{00000000-0005-0000-0000-00007D400000}"/>
    <cellStyle name="Header2 17 2 12" xfId="16498" xr:uid="{00000000-0005-0000-0000-00007E400000}"/>
    <cellStyle name="Header2 17 2 12 2" xfId="16499" xr:uid="{00000000-0005-0000-0000-00007F400000}"/>
    <cellStyle name="Header2 17 2 12 2 2" xfId="16500" xr:uid="{00000000-0005-0000-0000-000080400000}"/>
    <cellStyle name="Header2 17 2 12 2 2 2" xfId="16501" xr:uid="{00000000-0005-0000-0000-000081400000}"/>
    <cellStyle name="Header2 17 2 12 2 2 3" xfId="16502" xr:uid="{00000000-0005-0000-0000-000082400000}"/>
    <cellStyle name="Header2 17 2 12 2 2 4" xfId="16503" xr:uid="{00000000-0005-0000-0000-000083400000}"/>
    <cellStyle name="Header2 17 2 12 2 2 5" xfId="16504" xr:uid="{00000000-0005-0000-0000-000084400000}"/>
    <cellStyle name="Header2 17 2 12 2 3" xfId="16505" xr:uid="{00000000-0005-0000-0000-000085400000}"/>
    <cellStyle name="Header2 17 2 12 2 3 2" xfId="16506" xr:uid="{00000000-0005-0000-0000-000086400000}"/>
    <cellStyle name="Header2 17 2 12 2 3 3" xfId="16507" xr:uid="{00000000-0005-0000-0000-000087400000}"/>
    <cellStyle name="Header2 17 2 12 2 3 4" xfId="16508" xr:uid="{00000000-0005-0000-0000-000088400000}"/>
    <cellStyle name="Header2 17 2 12 2 4" xfId="16509" xr:uid="{00000000-0005-0000-0000-000089400000}"/>
    <cellStyle name="Header2 17 2 12 2 5" xfId="16510" xr:uid="{00000000-0005-0000-0000-00008A400000}"/>
    <cellStyle name="Header2 17 2 12 2 6" xfId="16511" xr:uid="{00000000-0005-0000-0000-00008B400000}"/>
    <cellStyle name="Header2 17 2 12 3" xfId="16512" xr:uid="{00000000-0005-0000-0000-00008C400000}"/>
    <cellStyle name="Header2 17 2 12 3 2" xfId="16513" xr:uid="{00000000-0005-0000-0000-00008D400000}"/>
    <cellStyle name="Header2 17 2 12 3 2 2" xfId="16514" xr:uid="{00000000-0005-0000-0000-00008E400000}"/>
    <cellStyle name="Header2 17 2 12 3 2 3" xfId="16515" xr:uid="{00000000-0005-0000-0000-00008F400000}"/>
    <cellStyle name="Header2 17 2 12 3 2 4" xfId="16516" xr:uid="{00000000-0005-0000-0000-000090400000}"/>
    <cellStyle name="Header2 17 2 12 3 3" xfId="16517" xr:uid="{00000000-0005-0000-0000-000091400000}"/>
    <cellStyle name="Header2 17 2 12 3 3 2" xfId="16518" xr:uid="{00000000-0005-0000-0000-000092400000}"/>
    <cellStyle name="Header2 17 2 12 3 3 3" xfId="16519" xr:uid="{00000000-0005-0000-0000-000093400000}"/>
    <cellStyle name="Header2 17 2 12 3 3 4" xfId="16520" xr:uid="{00000000-0005-0000-0000-000094400000}"/>
    <cellStyle name="Header2 17 2 12 3 4" xfId="16521" xr:uid="{00000000-0005-0000-0000-000095400000}"/>
    <cellStyle name="Header2 17 2 12 3 5" xfId="16522" xr:uid="{00000000-0005-0000-0000-000096400000}"/>
    <cellStyle name="Header2 17 2 12 3 6" xfId="16523" xr:uid="{00000000-0005-0000-0000-000097400000}"/>
    <cellStyle name="Header2 17 2 12 4" xfId="16524" xr:uid="{00000000-0005-0000-0000-000098400000}"/>
    <cellStyle name="Header2 17 2 12 5" xfId="16525" xr:uid="{00000000-0005-0000-0000-000099400000}"/>
    <cellStyle name="Header2 17 2 13" xfId="16526" xr:uid="{00000000-0005-0000-0000-00009A400000}"/>
    <cellStyle name="Header2 17 2 13 2" xfId="16527" xr:uid="{00000000-0005-0000-0000-00009B400000}"/>
    <cellStyle name="Header2 17 2 13 2 2" xfId="16528" xr:uid="{00000000-0005-0000-0000-00009C400000}"/>
    <cellStyle name="Header2 17 2 13 2 2 2" xfId="16529" xr:uid="{00000000-0005-0000-0000-00009D400000}"/>
    <cellStyle name="Header2 17 2 13 2 2 3" xfId="16530" xr:uid="{00000000-0005-0000-0000-00009E400000}"/>
    <cellStyle name="Header2 17 2 13 2 2 4" xfId="16531" xr:uid="{00000000-0005-0000-0000-00009F400000}"/>
    <cellStyle name="Header2 17 2 13 2 2 5" xfId="16532" xr:uid="{00000000-0005-0000-0000-0000A0400000}"/>
    <cellStyle name="Header2 17 2 13 2 3" xfId="16533" xr:uid="{00000000-0005-0000-0000-0000A1400000}"/>
    <cellStyle name="Header2 17 2 13 2 3 2" xfId="16534" xr:uid="{00000000-0005-0000-0000-0000A2400000}"/>
    <cellStyle name="Header2 17 2 13 2 3 3" xfId="16535" xr:uid="{00000000-0005-0000-0000-0000A3400000}"/>
    <cellStyle name="Header2 17 2 13 2 3 4" xfId="16536" xr:uid="{00000000-0005-0000-0000-0000A4400000}"/>
    <cellStyle name="Header2 17 2 13 2 4" xfId="16537" xr:uid="{00000000-0005-0000-0000-0000A5400000}"/>
    <cellStyle name="Header2 17 2 13 2 5" xfId="16538" xr:uid="{00000000-0005-0000-0000-0000A6400000}"/>
    <cellStyle name="Header2 17 2 13 2 6" xfId="16539" xr:uid="{00000000-0005-0000-0000-0000A7400000}"/>
    <cellStyle name="Header2 17 2 13 3" xfId="16540" xr:uid="{00000000-0005-0000-0000-0000A8400000}"/>
    <cellStyle name="Header2 17 2 13 3 2" xfId="16541" xr:uid="{00000000-0005-0000-0000-0000A9400000}"/>
    <cellStyle name="Header2 17 2 13 3 2 2" xfId="16542" xr:uid="{00000000-0005-0000-0000-0000AA400000}"/>
    <cellStyle name="Header2 17 2 13 3 2 3" xfId="16543" xr:uid="{00000000-0005-0000-0000-0000AB400000}"/>
    <cellStyle name="Header2 17 2 13 3 2 4" xfId="16544" xr:uid="{00000000-0005-0000-0000-0000AC400000}"/>
    <cellStyle name="Header2 17 2 13 3 3" xfId="16545" xr:uid="{00000000-0005-0000-0000-0000AD400000}"/>
    <cellStyle name="Header2 17 2 13 3 3 2" xfId="16546" xr:uid="{00000000-0005-0000-0000-0000AE400000}"/>
    <cellStyle name="Header2 17 2 13 3 3 3" xfId="16547" xr:uid="{00000000-0005-0000-0000-0000AF400000}"/>
    <cellStyle name="Header2 17 2 13 3 3 4" xfId="16548" xr:uid="{00000000-0005-0000-0000-0000B0400000}"/>
    <cellStyle name="Header2 17 2 13 3 4" xfId="16549" xr:uid="{00000000-0005-0000-0000-0000B1400000}"/>
    <cellStyle name="Header2 17 2 13 3 5" xfId="16550" xr:uid="{00000000-0005-0000-0000-0000B2400000}"/>
    <cellStyle name="Header2 17 2 13 3 6" xfId="16551" xr:uid="{00000000-0005-0000-0000-0000B3400000}"/>
    <cellStyle name="Header2 17 2 13 4" xfId="16552" xr:uid="{00000000-0005-0000-0000-0000B4400000}"/>
    <cellStyle name="Header2 17 2 13 5" xfId="16553" xr:uid="{00000000-0005-0000-0000-0000B5400000}"/>
    <cellStyle name="Header2 17 2 14" xfId="58730" xr:uid="{00000000-0005-0000-0000-0000B6400000}"/>
    <cellStyle name="Header2 17 2 2" xfId="16554" xr:uid="{00000000-0005-0000-0000-0000B7400000}"/>
    <cellStyle name="Header2 17 2 2 2" xfId="16555" xr:uid="{00000000-0005-0000-0000-0000B8400000}"/>
    <cellStyle name="Header2 17 2 2 2 2" xfId="16556" xr:uid="{00000000-0005-0000-0000-0000B9400000}"/>
    <cellStyle name="Header2 17 2 2 2 2 2" xfId="16557" xr:uid="{00000000-0005-0000-0000-0000BA400000}"/>
    <cellStyle name="Header2 17 2 2 2 2 2 2" xfId="16558" xr:uid="{00000000-0005-0000-0000-0000BB400000}"/>
    <cellStyle name="Header2 17 2 2 2 2 2 3" xfId="16559" xr:uid="{00000000-0005-0000-0000-0000BC400000}"/>
    <cellStyle name="Header2 17 2 2 2 2 2 4" xfId="16560" xr:uid="{00000000-0005-0000-0000-0000BD400000}"/>
    <cellStyle name="Header2 17 2 2 2 2 2 5" xfId="16561" xr:uid="{00000000-0005-0000-0000-0000BE400000}"/>
    <cellStyle name="Header2 17 2 2 2 2 3" xfId="16562" xr:uid="{00000000-0005-0000-0000-0000BF400000}"/>
    <cellStyle name="Header2 17 2 2 2 2 3 2" xfId="16563" xr:uid="{00000000-0005-0000-0000-0000C0400000}"/>
    <cellStyle name="Header2 17 2 2 2 2 3 3" xfId="16564" xr:uid="{00000000-0005-0000-0000-0000C1400000}"/>
    <cellStyle name="Header2 17 2 2 2 2 3 4" xfId="16565" xr:uid="{00000000-0005-0000-0000-0000C2400000}"/>
    <cellStyle name="Header2 17 2 2 2 2 4" xfId="16566" xr:uid="{00000000-0005-0000-0000-0000C3400000}"/>
    <cellStyle name="Header2 17 2 2 2 2 5" xfId="16567" xr:uid="{00000000-0005-0000-0000-0000C4400000}"/>
    <cellStyle name="Header2 17 2 2 2 2 6" xfId="16568" xr:uid="{00000000-0005-0000-0000-0000C5400000}"/>
    <cellStyle name="Header2 17 2 2 2 3" xfId="16569" xr:uid="{00000000-0005-0000-0000-0000C6400000}"/>
    <cellStyle name="Header2 17 2 2 2 3 2" xfId="16570" xr:uid="{00000000-0005-0000-0000-0000C7400000}"/>
    <cellStyle name="Header2 17 2 2 2 3 2 2" xfId="16571" xr:uid="{00000000-0005-0000-0000-0000C8400000}"/>
    <cellStyle name="Header2 17 2 2 2 3 2 3" xfId="16572" xr:uid="{00000000-0005-0000-0000-0000C9400000}"/>
    <cellStyle name="Header2 17 2 2 2 3 2 4" xfId="16573" xr:uid="{00000000-0005-0000-0000-0000CA400000}"/>
    <cellStyle name="Header2 17 2 2 2 3 3" xfId="16574" xr:uid="{00000000-0005-0000-0000-0000CB400000}"/>
    <cellStyle name="Header2 17 2 2 2 3 3 2" xfId="16575" xr:uid="{00000000-0005-0000-0000-0000CC400000}"/>
    <cellStyle name="Header2 17 2 2 2 3 3 3" xfId="16576" xr:uid="{00000000-0005-0000-0000-0000CD400000}"/>
    <cellStyle name="Header2 17 2 2 2 3 3 4" xfId="16577" xr:uid="{00000000-0005-0000-0000-0000CE400000}"/>
    <cellStyle name="Header2 17 2 2 2 3 4" xfId="16578" xr:uid="{00000000-0005-0000-0000-0000CF400000}"/>
    <cellStyle name="Header2 17 2 2 2 3 5" xfId="16579" xr:uid="{00000000-0005-0000-0000-0000D0400000}"/>
    <cellStyle name="Header2 17 2 2 2 3 6" xfId="16580" xr:uid="{00000000-0005-0000-0000-0000D1400000}"/>
    <cellStyle name="Header2 17 2 2 2 4" xfId="16581" xr:uid="{00000000-0005-0000-0000-0000D2400000}"/>
    <cellStyle name="Header2 17 2 2 2 5" xfId="16582" xr:uid="{00000000-0005-0000-0000-0000D3400000}"/>
    <cellStyle name="Header2 17 2 2 3" xfId="16583" xr:uid="{00000000-0005-0000-0000-0000D4400000}"/>
    <cellStyle name="Header2 17 2 2 3 2" xfId="16584" xr:uid="{00000000-0005-0000-0000-0000D5400000}"/>
    <cellStyle name="Header2 17 2 2 3 2 2" xfId="16585" xr:uid="{00000000-0005-0000-0000-0000D6400000}"/>
    <cellStyle name="Header2 17 2 2 3 2 2 2" xfId="16586" xr:uid="{00000000-0005-0000-0000-0000D7400000}"/>
    <cellStyle name="Header2 17 2 2 3 2 2 3" xfId="16587" xr:uid="{00000000-0005-0000-0000-0000D8400000}"/>
    <cellStyle name="Header2 17 2 2 3 2 2 4" xfId="16588" xr:uid="{00000000-0005-0000-0000-0000D9400000}"/>
    <cellStyle name="Header2 17 2 2 3 2 2 5" xfId="16589" xr:uid="{00000000-0005-0000-0000-0000DA400000}"/>
    <cellStyle name="Header2 17 2 2 3 2 3" xfId="16590" xr:uid="{00000000-0005-0000-0000-0000DB400000}"/>
    <cellStyle name="Header2 17 2 2 3 2 3 2" xfId="16591" xr:uid="{00000000-0005-0000-0000-0000DC400000}"/>
    <cellStyle name="Header2 17 2 2 3 2 3 3" xfId="16592" xr:uid="{00000000-0005-0000-0000-0000DD400000}"/>
    <cellStyle name="Header2 17 2 2 3 2 3 4" xfId="16593" xr:uid="{00000000-0005-0000-0000-0000DE400000}"/>
    <cellStyle name="Header2 17 2 2 3 2 4" xfId="16594" xr:uid="{00000000-0005-0000-0000-0000DF400000}"/>
    <cellStyle name="Header2 17 2 2 3 2 5" xfId="16595" xr:uid="{00000000-0005-0000-0000-0000E0400000}"/>
    <cellStyle name="Header2 17 2 2 3 2 6" xfId="16596" xr:uid="{00000000-0005-0000-0000-0000E1400000}"/>
    <cellStyle name="Header2 17 2 2 3 3" xfId="16597" xr:uid="{00000000-0005-0000-0000-0000E2400000}"/>
    <cellStyle name="Header2 17 2 2 3 3 2" xfId="16598" xr:uid="{00000000-0005-0000-0000-0000E3400000}"/>
    <cellStyle name="Header2 17 2 2 3 3 2 2" xfId="16599" xr:uid="{00000000-0005-0000-0000-0000E4400000}"/>
    <cellStyle name="Header2 17 2 2 3 3 2 3" xfId="16600" xr:uid="{00000000-0005-0000-0000-0000E5400000}"/>
    <cellStyle name="Header2 17 2 2 3 3 2 4" xfId="16601" xr:uid="{00000000-0005-0000-0000-0000E6400000}"/>
    <cellStyle name="Header2 17 2 2 3 3 3" xfId="16602" xr:uid="{00000000-0005-0000-0000-0000E7400000}"/>
    <cellStyle name="Header2 17 2 2 3 3 3 2" xfId="16603" xr:uid="{00000000-0005-0000-0000-0000E8400000}"/>
    <cellStyle name="Header2 17 2 2 3 3 3 3" xfId="16604" xr:uid="{00000000-0005-0000-0000-0000E9400000}"/>
    <cellStyle name="Header2 17 2 2 3 3 3 4" xfId="16605" xr:uid="{00000000-0005-0000-0000-0000EA400000}"/>
    <cellStyle name="Header2 17 2 2 3 3 4" xfId="16606" xr:uid="{00000000-0005-0000-0000-0000EB400000}"/>
    <cellStyle name="Header2 17 2 2 3 3 5" xfId="16607" xr:uid="{00000000-0005-0000-0000-0000EC400000}"/>
    <cellStyle name="Header2 17 2 2 3 3 6" xfId="16608" xr:uid="{00000000-0005-0000-0000-0000ED400000}"/>
    <cellStyle name="Header2 17 2 2 3 4" xfId="16609" xr:uid="{00000000-0005-0000-0000-0000EE400000}"/>
    <cellStyle name="Header2 17 2 2 3 5" xfId="16610" xr:uid="{00000000-0005-0000-0000-0000EF400000}"/>
    <cellStyle name="Header2 17 2 3" xfId="16611" xr:uid="{00000000-0005-0000-0000-0000F0400000}"/>
    <cellStyle name="Header2 17 2 3 2" xfId="16612" xr:uid="{00000000-0005-0000-0000-0000F1400000}"/>
    <cellStyle name="Header2 17 2 3 2 2" xfId="16613" xr:uid="{00000000-0005-0000-0000-0000F2400000}"/>
    <cellStyle name="Header2 17 2 3 2 3" xfId="16614" xr:uid="{00000000-0005-0000-0000-0000F3400000}"/>
    <cellStyle name="Header2 17 2 3 3" xfId="16615" xr:uid="{00000000-0005-0000-0000-0000F4400000}"/>
    <cellStyle name="Header2 17 2 4" xfId="16616" xr:uid="{00000000-0005-0000-0000-0000F5400000}"/>
    <cellStyle name="Header2 17 2 4 2" xfId="16617" xr:uid="{00000000-0005-0000-0000-0000F6400000}"/>
    <cellStyle name="Header2 17 2 4 2 2" xfId="16618" xr:uid="{00000000-0005-0000-0000-0000F7400000}"/>
    <cellStyle name="Header2 17 2 4 2 3" xfId="16619" xr:uid="{00000000-0005-0000-0000-0000F8400000}"/>
    <cellStyle name="Header2 17 2 4 3" xfId="16620" xr:uid="{00000000-0005-0000-0000-0000F9400000}"/>
    <cellStyle name="Header2 17 2 5" xfId="16621" xr:uid="{00000000-0005-0000-0000-0000FA400000}"/>
    <cellStyle name="Header2 17 2 5 2" xfId="16622" xr:uid="{00000000-0005-0000-0000-0000FB400000}"/>
    <cellStyle name="Header2 17 2 5 2 2" xfId="16623" xr:uid="{00000000-0005-0000-0000-0000FC400000}"/>
    <cellStyle name="Header2 17 2 5 2 3" xfId="16624" xr:uid="{00000000-0005-0000-0000-0000FD400000}"/>
    <cellStyle name="Header2 17 2 5 3" xfId="16625" xr:uid="{00000000-0005-0000-0000-0000FE400000}"/>
    <cellStyle name="Header2 17 2 6" xfId="16626" xr:uid="{00000000-0005-0000-0000-0000FF400000}"/>
    <cellStyle name="Header2 17 2 6 2" xfId="16627" xr:uid="{00000000-0005-0000-0000-000000410000}"/>
    <cellStyle name="Header2 17 2 6 2 2" xfId="16628" xr:uid="{00000000-0005-0000-0000-000001410000}"/>
    <cellStyle name="Header2 17 2 6 2 2 2" xfId="16629" xr:uid="{00000000-0005-0000-0000-000002410000}"/>
    <cellStyle name="Header2 17 2 6 2 2 3" xfId="16630" xr:uid="{00000000-0005-0000-0000-000003410000}"/>
    <cellStyle name="Header2 17 2 6 2 2 4" xfId="16631" xr:uid="{00000000-0005-0000-0000-000004410000}"/>
    <cellStyle name="Header2 17 2 6 2 2 5" xfId="16632" xr:uid="{00000000-0005-0000-0000-000005410000}"/>
    <cellStyle name="Header2 17 2 6 2 3" xfId="16633" xr:uid="{00000000-0005-0000-0000-000006410000}"/>
    <cellStyle name="Header2 17 2 6 2 3 2" xfId="16634" xr:uid="{00000000-0005-0000-0000-000007410000}"/>
    <cellStyle name="Header2 17 2 6 2 3 3" xfId="16635" xr:uid="{00000000-0005-0000-0000-000008410000}"/>
    <cellStyle name="Header2 17 2 6 2 3 4" xfId="16636" xr:uid="{00000000-0005-0000-0000-000009410000}"/>
    <cellStyle name="Header2 17 2 6 2 4" xfId="16637" xr:uid="{00000000-0005-0000-0000-00000A410000}"/>
    <cellStyle name="Header2 17 2 6 2 5" xfId="16638" xr:uid="{00000000-0005-0000-0000-00000B410000}"/>
    <cellStyle name="Header2 17 2 6 2 6" xfId="16639" xr:uid="{00000000-0005-0000-0000-00000C410000}"/>
    <cellStyle name="Header2 17 2 6 3" xfId="16640" xr:uid="{00000000-0005-0000-0000-00000D410000}"/>
    <cellStyle name="Header2 17 2 6 3 2" xfId="16641" xr:uid="{00000000-0005-0000-0000-00000E410000}"/>
    <cellStyle name="Header2 17 2 6 3 2 2" xfId="16642" xr:uid="{00000000-0005-0000-0000-00000F410000}"/>
    <cellStyle name="Header2 17 2 6 3 2 3" xfId="16643" xr:uid="{00000000-0005-0000-0000-000010410000}"/>
    <cellStyle name="Header2 17 2 6 3 2 4" xfId="16644" xr:uid="{00000000-0005-0000-0000-000011410000}"/>
    <cellStyle name="Header2 17 2 6 3 3" xfId="16645" xr:uid="{00000000-0005-0000-0000-000012410000}"/>
    <cellStyle name="Header2 17 2 6 3 3 2" xfId="16646" xr:uid="{00000000-0005-0000-0000-000013410000}"/>
    <cellStyle name="Header2 17 2 6 3 3 3" xfId="16647" xr:uid="{00000000-0005-0000-0000-000014410000}"/>
    <cellStyle name="Header2 17 2 6 3 3 4" xfId="16648" xr:uid="{00000000-0005-0000-0000-000015410000}"/>
    <cellStyle name="Header2 17 2 6 3 4" xfId="16649" xr:uid="{00000000-0005-0000-0000-000016410000}"/>
    <cellStyle name="Header2 17 2 6 3 5" xfId="16650" xr:uid="{00000000-0005-0000-0000-000017410000}"/>
    <cellStyle name="Header2 17 2 6 3 6" xfId="16651" xr:uid="{00000000-0005-0000-0000-000018410000}"/>
    <cellStyle name="Header2 17 2 6 4" xfId="16652" xr:uid="{00000000-0005-0000-0000-000019410000}"/>
    <cellStyle name="Header2 17 2 6 5" xfId="16653" xr:uid="{00000000-0005-0000-0000-00001A410000}"/>
    <cellStyle name="Header2 17 2 7" xfId="16654" xr:uid="{00000000-0005-0000-0000-00001B410000}"/>
    <cellStyle name="Header2 17 2 7 2" xfId="16655" xr:uid="{00000000-0005-0000-0000-00001C410000}"/>
    <cellStyle name="Header2 17 2 7 2 2" xfId="16656" xr:uid="{00000000-0005-0000-0000-00001D410000}"/>
    <cellStyle name="Header2 17 2 7 2 2 2" xfId="16657" xr:uid="{00000000-0005-0000-0000-00001E410000}"/>
    <cellStyle name="Header2 17 2 7 2 2 3" xfId="16658" xr:uid="{00000000-0005-0000-0000-00001F410000}"/>
    <cellStyle name="Header2 17 2 7 2 2 4" xfId="16659" xr:uid="{00000000-0005-0000-0000-000020410000}"/>
    <cellStyle name="Header2 17 2 7 2 2 5" xfId="16660" xr:uid="{00000000-0005-0000-0000-000021410000}"/>
    <cellStyle name="Header2 17 2 7 2 3" xfId="16661" xr:uid="{00000000-0005-0000-0000-000022410000}"/>
    <cellStyle name="Header2 17 2 7 2 3 2" xfId="16662" xr:uid="{00000000-0005-0000-0000-000023410000}"/>
    <cellStyle name="Header2 17 2 7 2 3 3" xfId="16663" xr:uid="{00000000-0005-0000-0000-000024410000}"/>
    <cellStyle name="Header2 17 2 7 2 3 4" xfId="16664" xr:uid="{00000000-0005-0000-0000-000025410000}"/>
    <cellStyle name="Header2 17 2 7 2 4" xfId="16665" xr:uid="{00000000-0005-0000-0000-000026410000}"/>
    <cellStyle name="Header2 17 2 7 2 5" xfId="16666" xr:uid="{00000000-0005-0000-0000-000027410000}"/>
    <cellStyle name="Header2 17 2 7 2 6" xfId="16667" xr:uid="{00000000-0005-0000-0000-000028410000}"/>
    <cellStyle name="Header2 17 2 7 3" xfId="16668" xr:uid="{00000000-0005-0000-0000-000029410000}"/>
    <cellStyle name="Header2 17 2 7 3 2" xfId="16669" xr:uid="{00000000-0005-0000-0000-00002A410000}"/>
    <cellStyle name="Header2 17 2 7 3 2 2" xfId="16670" xr:uid="{00000000-0005-0000-0000-00002B410000}"/>
    <cellStyle name="Header2 17 2 7 3 2 3" xfId="16671" xr:uid="{00000000-0005-0000-0000-00002C410000}"/>
    <cellStyle name="Header2 17 2 7 3 2 4" xfId="16672" xr:uid="{00000000-0005-0000-0000-00002D410000}"/>
    <cellStyle name="Header2 17 2 7 3 3" xfId="16673" xr:uid="{00000000-0005-0000-0000-00002E410000}"/>
    <cellStyle name="Header2 17 2 7 3 3 2" xfId="16674" xr:uid="{00000000-0005-0000-0000-00002F410000}"/>
    <cellStyle name="Header2 17 2 7 3 3 3" xfId="16675" xr:uid="{00000000-0005-0000-0000-000030410000}"/>
    <cellStyle name="Header2 17 2 7 3 3 4" xfId="16676" xr:uid="{00000000-0005-0000-0000-000031410000}"/>
    <cellStyle name="Header2 17 2 7 3 4" xfId="16677" xr:uid="{00000000-0005-0000-0000-000032410000}"/>
    <cellStyle name="Header2 17 2 7 3 5" xfId="16678" xr:uid="{00000000-0005-0000-0000-000033410000}"/>
    <cellStyle name="Header2 17 2 7 3 6" xfId="16679" xr:uid="{00000000-0005-0000-0000-000034410000}"/>
    <cellStyle name="Header2 17 2 7 4" xfId="16680" xr:uid="{00000000-0005-0000-0000-000035410000}"/>
    <cellStyle name="Header2 17 2 7 5" xfId="16681" xr:uid="{00000000-0005-0000-0000-000036410000}"/>
    <cellStyle name="Header2 17 2 8" xfId="16682" xr:uid="{00000000-0005-0000-0000-000037410000}"/>
    <cellStyle name="Header2 17 2 8 2" xfId="16683" xr:uid="{00000000-0005-0000-0000-000038410000}"/>
    <cellStyle name="Header2 17 2 8 2 2" xfId="16684" xr:uid="{00000000-0005-0000-0000-000039410000}"/>
    <cellStyle name="Header2 17 2 8 2 2 2" xfId="16685" xr:uid="{00000000-0005-0000-0000-00003A410000}"/>
    <cellStyle name="Header2 17 2 8 2 2 3" xfId="16686" xr:uid="{00000000-0005-0000-0000-00003B410000}"/>
    <cellStyle name="Header2 17 2 8 2 2 4" xfId="16687" xr:uid="{00000000-0005-0000-0000-00003C410000}"/>
    <cellStyle name="Header2 17 2 8 2 2 5" xfId="16688" xr:uid="{00000000-0005-0000-0000-00003D410000}"/>
    <cellStyle name="Header2 17 2 8 2 3" xfId="16689" xr:uid="{00000000-0005-0000-0000-00003E410000}"/>
    <cellStyle name="Header2 17 2 8 2 3 2" xfId="16690" xr:uid="{00000000-0005-0000-0000-00003F410000}"/>
    <cellStyle name="Header2 17 2 8 2 3 3" xfId="16691" xr:uid="{00000000-0005-0000-0000-000040410000}"/>
    <cellStyle name="Header2 17 2 8 2 3 4" xfId="16692" xr:uid="{00000000-0005-0000-0000-000041410000}"/>
    <cellStyle name="Header2 17 2 8 2 4" xfId="16693" xr:uid="{00000000-0005-0000-0000-000042410000}"/>
    <cellStyle name="Header2 17 2 8 2 5" xfId="16694" xr:uid="{00000000-0005-0000-0000-000043410000}"/>
    <cellStyle name="Header2 17 2 8 2 6" xfId="16695" xr:uid="{00000000-0005-0000-0000-000044410000}"/>
    <cellStyle name="Header2 17 2 8 3" xfId="16696" xr:uid="{00000000-0005-0000-0000-000045410000}"/>
    <cellStyle name="Header2 17 2 8 3 2" xfId="16697" xr:uid="{00000000-0005-0000-0000-000046410000}"/>
    <cellStyle name="Header2 17 2 8 3 2 2" xfId="16698" xr:uid="{00000000-0005-0000-0000-000047410000}"/>
    <cellStyle name="Header2 17 2 8 3 2 3" xfId="16699" xr:uid="{00000000-0005-0000-0000-000048410000}"/>
    <cellStyle name="Header2 17 2 8 3 2 4" xfId="16700" xr:uid="{00000000-0005-0000-0000-000049410000}"/>
    <cellStyle name="Header2 17 2 8 3 3" xfId="16701" xr:uid="{00000000-0005-0000-0000-00004A410000}"/>
    <cellStyle name="Header2 17 2 8 3 3 2" xfId="16702" xr:uid="{00000000-0005-0000-0000-00004B410000}"/>
    <cellStyle name="Header2 17 2 8 3 3 3" xfId="16703" xr:uid="{00000000-0005-0000-0000-00004C410000}"/>
    <cellStyle name="Header2 17 2 8 3 3 4" xfId="16704" xr:uid="{00000000-0005-0000-0000-00004D410000}"/>
    <cellStyle name="Header2 17 2 8 3 4" xfId="16705" xr:uid="{00000000-0005-0000-0000-00004E410000}"/>
    <cellStyle name="Header2 17 2 8 3 5" xfId="16706" xr:uid="{00000000-0005-0000-0000-00004F410000}"/>
    <cellStyle name="Header2 17 2 8 3 6" xfId="16707" xr:uid="{00000000-0005-0000-0000-000050410000}"/>
    <cellStyle name="Header2 17 2 8 4" xfId="16708" xr:uid="{00000000-0005-0000-0000-000051410000}"/>
    <cellStyle name="Header2 17 2 8 5" xfId="16709" xr:uid="{00000000-0005-0000-0000-000052410000}"/>
    <cellStyle name="Header2 17 2 9" xfId="16710" xr:uid="{00000000-0005-0000-0000-000053410000}"/>
    <cellStyle name="Header2 17 2 9 2" xfId="16711" xr:uid="{00000000-0005-0000-0000-000054410000}"/>
    <cellStyle name="Header2 17 2 9 2 2" xfId="16712" xr:uid="{00000000-0005-0000-0000-000055410000}"/>
    <cellStyle name="Header2 17 2 9 2 2 2" xfId="16713" xr:uid="{00000000-0005-0000-0000-000056410000}"/>
    <cellStyle name="Header2 17 2 9 2 2 3" xfId="16714" xr:uid="{00000000-0005-0000-0000-000057410000}"/>
    <cellStyle name="Header2 17 2 9 2 2 4" xfId="16715" xr:uid="{00000000-0005-0000-0000-000058410000}"/>
    <cellStyle name="Header2 17 2 9 2 2 5" xfId="16716" xr:uid="{00000000-0005-0000-0000-000059410000}"/>
    <cellStyle name="Header2 17 2 9 2 3" xfId="16717" xr:uid="{00000000-0005-0000-0000-00005A410000}"/>
    <cellStyle name="Header2 17 2 9 2 3 2" xfId="16718" xr:uid="{00000000-0005-0000-0000-00005B410000}"/>
    <cellStyle name="Header2 17 2 9 2 3 3" xfId="16719" xr:uid="{00000000-0005-0000-0000-00005C410000}"/>
    <cellStyle name="Header2 17 2 9 2 3 4" xfId="16720" xr:uid="{00000000-0005-0000-0000-00005D410000}"/>
    <cellStyle name="Header2 17 2 9 2 4" xfId="16721" xr:uid="{00000000-0005-0000-0000-00005E410000}"/>
    <cellStyle name="Header2 17 2 9 2 5" xfId="16722" xr:uid="{00000000-0005-0000-0000-00005F410000}"/>
    <cellStyle name="Header2 17 2 9 2 6" xfId="16723" xr:uid="{00000000-0005-0000-0000-000060410000}"/>
    <cellStyle name="Header2 17 2 9 3" xfId="16724" xr:uid="{00000000-0005-0000-0000-000061410000}"/>
    <cellStyle name="Header2 17 2 9 3 2" xfId="16725" xr:uid="{00000000-0005-0000-0000-000062410000}"/>
    <cellStyle name="Header2 17 2 9 3 2 2" xfId="16726" xr:uid="{00000000-0005-0000-0000-000063410000}"/>
    <cellStyle name="Header2 17 2 9 3 2 3" xfId="16727" xr:uid="{00000000-0005-0000-0000-000064410000}"/>
    <cellStyle name="Header2 17 2 9 3 2 4" xfId="16728" xr:uid="{00000000-0005-0000-0000-000065410000}"/>
    <cellStyle name="Header2 17 2 9 3 3" xfId="16729" xr:uid="{00000000-0005-0000-0000-000066410000}"/>
    <cellStyle name="Header2 17 2 9 3 3 2" xfId="16730" xr:uid="{00000000-0005-0000-0000-000067410000}"/>
    <cellStyle name="Header2 17 2 9 3 3 3" xfId="16731" xr:uid="{00000000-0005-0000-0000-000068410000}"/>
    <cellStyle name="Header2 17 2 9 3 3 4" xfId="16732" xr:uid="{00000000-0005-0000-0000-000069410000}"/>
    <cellStyle name="Header2 17 2 9 3 4" xfId="16733" xr:uid="{00000000-0005-0000-0000-00006A410000}"/>
    <cellStyle name="Header2 17 2 9 3 5" xfId="16734" xr:uid="{00000000-0005-0000-0000-00006B410000}"/>
    <cellStyle name="Header2 17 2 9 3 6" xfId="16735" xr:uid="{00000000-0005-0000-0000-00006C410000}"/>
    <cellStyle name="Header2 17 2 9 4" xfId="16736" xr:uid="{00000000-0005-0000-0000-00006D410000}"/>
    <cellStyle name="Header2 17 2 9 5" xfId="16737" xr:uid="{00000000-0005-0000-0000-00006E410000}"/>
    <cellStyle name="Header2 17 3" xfId="16738" xr:uid="{00000000-0005-0000-0000-00006F410000}"/>
    <cellStyle name="Header2 17 3 10" xfId="16739" xr:uid="{00000000-0005-0000-0000-000070410000}"/>
    <cellStyle name="Header2 17 3 10 2" xfId="16740" xr:uid="{00000000-0005-0000-0000-000071410000}"/>
    <cellStyle name="Header2 17 3 10 2 2" xfId="16741" xr:uid="{00000000-0005-0000-0000-000072410000}"/>
    <cellStyle name="Header2 17 3 10 2 2 2" xfId="16742" xr:uid="{00000000-0005-0000-0000-000073410000}"/>
    <cellStyle name="Header2 17 3 10 2 2 3" xfId="16743" xr:uid="{00000000-0005-0000-0000-000074410000}"/>
    <cellStyle name="Header2 17 3 10 2 2 4" xfId="16744" xr:uid="{00000000-0005-0000-0000-000075410000}"/>
    <cellStyle name="Header2 17 3 10 2 2 5" xfId="16745" xr:uid="{00000000-0005-0000-0000-000076410000}"/>
    <cellStyle name="Header2 17 3 10 2 3" xfId="16746" xr:uid="{00000000-0005-0000-0000-000077410000}"/>
    <cellStyle name="Header2 17 3 10 2 3 2" xfId="16747" xr:uid="{00000000-0005-0000-0000-000078410000}"/>
    <cellStyle name="Header2 17 3 10 2 3 3" xfId="16748" xr:uid="{00000000-0005-0000-0000-000079410000}"/>
    <cellStyle name="Header2 17 3 10 2 3 4" xfId="16749" xr:uid="{00000000-0005-0000-0000-00007A410000}"/>
    <cellStyle name="Header2 17 3 10 2 4" xfId="16750" xr:uid="{00000000-0005-0000-0000-00007B410000}"/>
    <cellStyle name="Header2 17 3 10 2 5" xfId="16751" xr:uid="{00000000-0005-0000-0000-00007C410000}"/>
    <cellStyle name="Header2 17 3 10 2 6" xfId="16752" xr:uid="{00000000-0005-0000-0000-00007D410000}"/>
    <cellStyle name="Header2 17 3 10 3" xfId="16753" xr:uid="{00000000-0005-0000-0000-00007E410000}"/>
    <cellStyle name="Header2 17 3 10 3 2" xfId="16754" xr:uid="{00000000-0005-0000-0000-00007F410000}"/>
    <cellStyle name="Header2 17 3 10 3 2 2" xfId="16755" xr:uid="{00000000-0005-0000-0000-000080410000}"/>
    <cellStyle name="Header2 17 3 10 3 2 3" xfId="16756" xr:uid="{00000000-0005-0000-0000-000081410000}"/>
    <cellStyle name="Header2 17 3 10 3 2 4" xfId="16757" xr:uid="{00000000-0005-0000-0000-000082410000}"/>
    <cellStyle name="Header2 17 3 10 3 3" xfId="16758" xr:uid="{00000000-0005-0000-0000-000083410000}"/>
    <cellStyle name="Header2 17 3 10 3 3 2" xfId="16759" xr:uid="{00000000-0005-0000-0000-000084410000}"/>
    <cellStyle name="Header2 17 3 10 3 3 3" xfId="16760" xr:uid="{00000000-0005-0000-0000-000085410000}"/>
    <cellStyle name="Header2 17 3 10 3 3 4" xfId="16761" xr:uid="{00000000-0005-0000-0000-000086410000}"/>
    <cellStyle name="Header2 17 3 10 3 4" xfId="16762" xr:uid="{00000000-0005-0000-0000-000087410000}"/>
    <cellStyle name="Header2 17 3 10 3 5" xfId="16763" xr:uid="{00000000-0005-0000-0000-000088410000}"/>
    <cellStyle name="Header2 17 3 10 3 6" xfId="16764" xr:uid="{00000000-0005-0000-0000-000089410000}"/>
    <cellStyle name="Header2 17 3 10 4" xfId="16765" xr:uid="{00000000-0005-0000-0000-00008A410000}"/>
    <cellStyle name="Header2 17 3 10 5" xfId="16766" xr:uid="{00000000-0005-0000-0000-00008B410000}"/>
    <cellStyle name="Header2 17 3 11" xfId="16767" xr:uid="{00000000-0005-0000-0000-00008C410000}"/>
    <cellStyle name="Header2 17 3 11 2" xfId="16768" xr:uid="{00000000-0005-0000-0000-00008D410000}"/>
    <cellStyle name="Header2 17 3 11 2 2" xfId="16769" xr:uid="{00000000-0005-0000-0000-00008E410000}"/>
    <cellStyle name="Header2 17 3 11 2 2 2" xfId="16770" xr:uid="{00000000-0005-0000-0000-00008F410000}"/>
    <cellStyle name="Header2 17 3 11 2 2 3" xfId="16771" xr:uid="{00000000-0005-0000-0000-000090410000}"/>
    <cellStyle name="Header2 17 3 11 2 2 4" xfId="16772" xr:uid="{00000000-0005-0000-0000-000091410000}"/>
    <cellStyle name="Header2 17 3 11 2 2 5" xfId="16773" xr:uid="{00000000-0005-0000-0000-000092410000}"/>
    <cellStyle name="Header2 17 3 11 2 3" xfId="16774" xr:uid="{00000000-0005-0000-0000-000093410000}"/>
    <cellStyle name="Header2 17 3 11 2 3 2" xfId="16775" xr:uid="{00000000-0005-0000-0000-000094410000}"/>
    <cellStyle name="Header2 17 3 11 2 3 3" xfId="16776" xr:uid="{00000000-0005-0000-0000-000095410000}"/>
    <cellStyle name="Header2 17 3 11 2 3 4" xfId="16777" xr:uid="{00000000-0005-0000-0000-000096410000}"/>
    <cellStyle name="Header2 17 3 11 2 4" xfId="16778" xr:uid="{00000000-0005-0000-0000-000097410000}"/>
    <cellStyle name="Header2 17 3 11 2 5" xfId="16779" xr:uid="{00000000-0005-0000-0000-000098410000}"/>
    <cellStyle name="Header2 17 3 11 2 6" xfId="16780" xr:uid="{00000000-0005-0000-0000-000099410000}"/>
    <cellStyle name="Header2 17 3 11 3" xfId="16781" xr:uid="{00000000-0005-0000-0000-00009A410000}"/>
    <cellStyle name="Header2 17 3 11 3 2" xfId="16782" xr:uid="{00000000-0005-0000-0000-00009B410000}"/>
    <cellStyle name="Header2 17 3 11 3 2 2" xfId="16783" xr:uid="{00000000-0005-0000-0000-00009C410000}"/>
    <cellStyle name="Header2 17 3 11 3 2 3" xfId="16784" xr:uid="{00000000-0005-0000-0000-00009D410000}"/>
    <cellStyle name="Header2 17 3 11 3 2 4" xfId="16785" xr:uid="{00000000-0005-0000-0000-00009E410000}"/>
    <cellStyle name="Header2 17 3 11 3 3" xfId="16786" xr:uid="{00000000-0005-0000-0000-00009F410000}"/>
    <cellStyle name="Header2 17 3 11 3 3 2" xfId="16787" xr:uid="{00000000-0005-0000-0000-0000A0410000}"/>
    <cellStyle name="Header2 17 3 11 3 3 3" xfId="16788" xr:uid="{00000000-0005-0000-0000-0000A1410000}"/>
    <cellStyle name="Header2 17 3 11 3 3 4" xfId="16789" xr:uid="{00000000-0005-0000-0000-0000A2410000}"/>
    <cellStyle name="Header2 17 3 11 3 4" xfId="16790" xr:uid="{00000000-0005-0000-0000-0000A3410000}"/>
    <cellStyle name="Header2 17 3 11 3 5" xfId="16791" xr:uid="{00000000-0005-0000-0000-0000A4410000}"/>
    <cellStyle name="Header2 17 3 11 3 6" xfId="16792" xr:uid="{00000000-0005-0000-0000-0000A5410000}"/>
    <cellStyle name="Header2 17 3 11 4" xfId="16793" xr:uid="{00000000-0005-0000-0000-0000A6410000}"/>
    <cellStyle name="Header2 17 3 11 5" xfId="16794" xr:uid="{00000000-0005-0000-0000-0000A7410000}"/>
    <cellStyle name="Header2 17 3 12" xfId="16795" xr:uid="{00000000-0005-0000-0000-0000A8410000}"/>
    <cellStyle name="Header2 17 3 12 2" xfId="16796" xr:uid="{00000000-0005-0000-0000-0000A9410000}"/>
    <cellStyle name="Header2 17 3 12 2 2" xfId="16797" xr:uid="{00000000-0005-0000-0000-0000AA410000}"/>
    <cellStyle name="Header2 17 3 12 2 2 2" xfId="16798" xr:uid="{00000000-0005-0000-0000-0000AB410000}"/>
    <cellStyle name="Header2 17 3 12 2 2 3" xfId="16799" xr:uid="{00000000-0005-0000-0000-0000AC410000}"/>
    <cellStyle name="Header2 17 3 12 2 2 4" xfId="16800" xr:uid="{00000000-0005-0000-0000-0000AD410000}"/>
    <cellStyle name="Header2 17 3 12 2 2 5" xfId="16801" xr:uid="{00000000-0005-0000-0000-0000AE410000}"/>
    <cellStyle name="Header2 17 3 12 2 3" xfId="16802" xr:uid="{00000000-0005-0000-0000-0000AF410000}"/>
    <cellStyle name="Header2 17 3 12 2 3 2" xfId="16803" xr:uid="{00000000-0005-0000-0000-0000B0410000}"/>
    <cellStyle name="Header2 17 3 12 2 3 3" xfId="16804" xr:uid="{00000000-0005-0000-0000-0000B1410000}"/>
    <cellStyle name="Header2 17 3 12 2 3 4" xfId="16805" xr:uid="{00000000-0005-0000-0000-0000B2410000}"/>
    <cellStyle name="Header2 17 3 12 2 4" xfId="16806" xr:uid="{00000000-0005-0000-0000-0000B3410000}"/>
    <cellStyle name="Header2 17 3 12 2 5" xfId="16807" xr:uid="{00000000-0005-0000-0000-0000B4410000}"/>
    <cellStyle name="Header2 17 3 12 2 6" xfId="16808" xr:uid="{00000000-0005-0000-0000-0000B5410000}"/>
    <cellStyle name="Header2 17 3 12 3" xfId="16809" xr:uid="{00000000-0005-0000-0000-0000B6410000}"/>
    <cellStyle name="Header2 17 3 12 3 2" xfId="16810" xr:uid="{00000000-0005-0000-0000-0000B7410000}"/>
    <cellStyle name="Header2 17 3 12 3 2 2" xfId="16811" xr:uid="{00000000-0005-0000-0000-0000B8410000}"/>
    <cellStyle name="Header2 17 3 12 3 2 3" xfId="16812" xr:uid="{00000000-0005-0000-0000-0000B9410000}"/>
    <cellStyle name="Header2 17 3 12 3 2 4" xfId="16813" xr:uid="{00000000-0005-0000-0000-0000BA410000}"/>
    <cellStyle name="Header2 17 3 12 3 3" xfId="16814" xr:uid="{00000000-0005-0000-0000-0000BB410000}"/>
    <cellStyle name="Header2 17 3 12 3 3 2" xfId="16815" xr:uid="{00000000-0005-0000-0000-0000BC410000}"/>
    <cellStyle name="Header2 17 3 12 3 3 3" xfId="16816" xr:uid="{00000000-0005-0000-0000-0000BD410000}"/>
    <cellStyle name="Header2 17 3 12 3 3 4" xfId="16817" xr:uid="{00000000-0005-0000-0000-0000BE410000}"/>
    <cellStyle name="Header2 17 3 12 3 4" xfId="16818" xr:uid="{00000000-0005-0000-0000-0000BF410000}"/>
    <cellStyle name="Header2 17 3 12 3 5" xfId="16819" xr:uid="{00000000-0005-0000-0000-0000C0410000}"/>
    <cellStyle name="Header2 17 3 12 3 6" xfId="16820" xr:uid="{00000000-0005-0000-0000-0000C1410000}"/>
    <cellStyle name="Header2 17 3 12 4" xfId="16821" xr:uid="{00000000-0005-0000-0000-0000C2410000}"/>
    <cellStyle name="Header2 17 3 12 5" xfId="16822" xr:uid="{00000000-0005-0000-0000-0000C3410000}"/>
    <cellStyle name="Header2 17 3 13" xfId="58731" xr:uid="{00000000-0005-0000-0000-0000C4410000}"/>
    <cellStyle name="Header2 17 3 2" xfId="16823" xr:uid="{00000000-0005-0000-0000-0000C5410000}"/>
    <cellStyle name="Header2 17 3 2 2" xfId="16824" xr:uid="{00000000-0005-0000-0000-0000C6410000}"/>
    <cellStyle name="Header2 17 3 2 2 2" xfId="16825" xr:uid="{00000000-0005-0000-0000-0000C7410000}"/>
    <cellStyle name="Header2 17 3 2 2 3" xfId="16826" xr:uid="{00000000-0005-0000-0000-0000C8410000}"/>
    <cellStyle name="Header2 17 3 2 3" xfId="16827" xr:uid="{00000000-0005-0000-0000-0000C9410000}"/>
    <cellStyle name="Header2 17 3 3" xfId="16828" xr:uid="{00000000-0005-0000-0000-0000CA410000}"/>
    <cellStyle name="Header2 17 3 3 2" xfId="16829" xr:uid="{00000000-0005-0000-0000-0000CB410000}"/>
    <cellStyle name="Header2 17 3 3 2 2" xfId="16830" xr:uid="{00000000-0005-0000-0000-0000CC410000}"/>
    <cellStyle name="Header2 17 3 3 2 3" xfId="16831" xr:uid="{00000000-0005-0000-0000-0000CD410000}"/>
    <cellStyle name="Header2 17 3 3 3" xfId="16832" xr:uid="{00000000-0005-0000-0000-0000CE410000}"/>
    <cellStyle name="Header2 17 3 4" xfId="16833" xr:uid="{00000000-0005-0000-0000-0000CF410000}"/>
    <cellStyle name="Header2 17 3 4 2" xfId="16834" xr:uid="{00000000-0005-0000-0000-0000D0410000}"/>
    <cellStyle name="Header2 17 3 4 2 2" xfId="16835" xr:uid="{00000000-0005-0000-0000-0000D1410000}"/>
    <cellStyle name="Header2 17 3 4 2 3" xfId="16836" xr:uid="{00000000-0005-0000-0000-0000D2410000}"/>
    <cellStyle name="Header2 17 3 4 3" xfId="16837" xr:uid="{00000000-0005-0000-0000-0000D3410000}"/>
    <cellStyle name="Header2 17 3 5" xfId="16838" xr:uid="{00000000-0005-0000-0000-0000D4410000}"/>
    <cellStyle name="Header2 17 3 5 2" xfId="16839" xr:uid="{00000000-0005-0000-0000-0000D5410000}"/>
    <cellStyle name="Header2 17 3 5 2 2" xfId="16840" xr:uid="{00000000-0005-0000-0000-0000D6410000}"/>
    <cellStyle name="Header2 17 3 5 2 2 2" xfId="16841" xr:uid="{00000000-0005-0000-0000-0000D7410000}"/>
    <cellStyle name="Header2 17 3 5 2 2 3" xfId="16842" xr:uid="{00000000-0005-0000-0000-0000D8410000}"/>
    <cellStyle name="Header2 17 3 5 2 2 4" xfId="16843" xr:uid="{00000000-0005-0000-0000-0000D9410000}"/>
    <cellStyle name="Header2 17 3 5 2 2 5" xfId="16844" xr:uid="{00000000-0005-0000-0000-0000DA410000}"/>
    <cellStyle name="Header2 17 3 5 2 3" xfId="16845" xr:uid="{00000000-0005-0000-0000-0000DB410000}"/>
    <cellStyle name="Header2 17 3 5 2 3 2" xfId="16846" xr:uid="{00000000-0005-0000-0000-0000DC410000}"/>
    <cellStyle name="Header2 17 3 5 2 3 3" xfId="16847" xr:uid="{00000000-0005-0000-0000-0000DD410000}"/>
    <cellStyle name="Header2 17 3 5 2 3 4" xfId="16848" xr:uid="{00000000-0005-0000-0000-0000DE410000}"/>
    <cellStyle name="Header2 17 3 5 2 4" xfId="16849" xr:uid="{00000000-0005-0000-0000-0000DF410000}"/>
    <cellStyle name="Header2 17 3 5 2 5" xfId="16850" xr:uid="{00000000-0005-0000-0000-0000E0410000}"/>
    <cellStyle name="Header2 17 3 5 2 6" xfId="16851" xr:uid="{00000000-0005-0000-0000-0000E1410000}"/>
    <cellStyle name="Header2 17 3 5 3" xfId="16852" xr:uid="{00000000-0005-0000-0000-0000E2410000}"/>
    <cellStyle name="Header2 17 3 5 3 2" xfId="16853" xr:uid="{00000000-0005-0000-0000-0000E3410000}"/>
    <cellStyle name="Header2 17 3 5 3 2 2" xfId="16854" xr:uid="{00000000-0005-0000-0000-0000E4410000}"/>
    <cellStyle name="Header2 17 3 5 3 2 3" xfId="16855" xr:uid="{00000000-0005-0000-0000-0000E5410000}"/>
    <cellStyle name="Header2 17 3 5 3 2 4" xfId="16856" xr:uid="{00000000-0005-0000-0000-0000E6410000}"/>
    <cellStyle name="Header2 17 3 5 3 3" xfId="16857" xr:uid="{00000000-0005-0000-0000-0000E7410000}"/>
    <cellStyle name="Header2 17 3 5 3 3 2" xfId="16858" xr:uid="{00000000-0005-0000-0000-0000E8410000}"/>
    <cellStyle name="Header2 17 3 5 3 3 3" xfId="16859" xr:uid="{00000000-0005-0000-0000-0000E9410000}"/>
    <cellStyle name="Header2 17 3 5 3 3 4" xfId="16860" xr:uid="{00000000-0005-0000-0000-0000EA410000}"/>
    <cellStyle name="Header2 17 3 5 3 4" xfId="16861" xr:uid="{00000000-0005-0000-0000-0000EB410000}"/>
    <cellStyle name="Header2 17 3 5 3 5" xfId="16862" xr:uid="{00000000-0005-0000-0000-0000EC410000}"/>
    <cellStyle name="Header2 17 3 5 3 6" xfId="16863" xr:uid="{00000000-0005-0000-0000-0000ED410000}"/>
    <cellStyle name="Header2 17 3 5 4" xfId="16864" xr:uid="{00000000-0005-0000-0000-0000EE410000}"/>
    <cellStyle name="Header2 17 3 5 5" xfId="16865" xr:uid="{00000000-0005-0000-0000-0000EF410000}"/>
    <cellStyle name="Header2 17 3 6" xfId="16866" xr:uid="{00000000-0005-0000-0000-0000F0410000}"/>
    <cellStyle name="Header2 17 3 6 2" xfId="16867" xr:uid="{00000000-0005-0000-0000-0000F1410000}"/>
    <cellStyle name="Header2 17 3 6 2 2" xfId="16868" xr:uid="{00000000-0005-0000-0000-0000F2410000}"/>
    <cellStyle name="Header2 17 3 6 2 2 2" xfId="16869" xr:uid="{00000000-0005-0000-0000-0000F3410000}"/>
    <cellStyle name="Header2 17 3 6 2 2 3" xfId="16870" xr:uid="{00000000-0005-0000-0000-0000F4410000}"/>
    <cellStyle name="Header2 17 3 6 2 2 4" xfId="16871" xr:uid="{00000000-0005-0000-0000-0000F5410000}"/>
    <cellStyle name="Header2 17 3 6 2 2 5" xfId="16872" xr:uid="{00000000-0005-0000-0000-0000F6410000}"/>
    <cellStyle name="Header2 17 3 6 2 3" xfId="16873" xr:uid="{00000000-0005-0000-0000-0000F7410000}"/>
    <cellStyle name="Header2 17 3 6 2 3 2" xfId="16874" xr:uid="{00000000-0005-0000-0000-0000F8410000}"/>
    <cellStyle name="Header2 17 3 6 2 3 3" xfId="16875" xr:uid="{00000000-0005-0000-0000-0000F9410000}"/>
    <cellStyle name="Header2 17 3 6 2 3 4" xfId="16876" xr:uid="{00000000-0005-0000-0000-0000FA410000}"/>
    <cellStyle name="Header2 17 3 6 2 4" xfId="16877" xr:uid="{00000000-0005-0000-0000-0000FB410000}"/>
    <cellStyle name="Header2 17 3 6 2 5" xfId="16878" xr:uid="{00000000-0005-0000-0000-0000FC410000}"/>
    <cellStyle name="Header2 17 3 6 2 6" xfId="16879" xr:uid="{00000000-0005-0000-0000-0000FD410000}"/>
    <cellStyle name="Header2 17 3 6 3" xfId="16880" xr:uid="{00000000-0005-0000-0000-0000FE410000}"/>
    <cellStyle name="Header2 17 3 6 3 2" xfId="16881" xr:uid="{00000000-0005-0000-0000-0000FF410000}"/>
    <cellStyle name="Header2 17 3 6 3 2 2" xfId="16882" xr:uid="{00000000-0005-0000-0000-000000420000}"/>
    <cellStyle name="Header2 17 3 6 3 2 3" xfId="16883" xr:uid="{00000000-0005-0000-0000-000001420000}"/>
    <cellStyle name="Header2 17 3 6 3 2 4" xfId="16884" xr:uid="{00000000-0005-0000-0000-000002420000}"/>
    <cellStyle name="Header2 17 3 6 3 3" xfId="16885" xr:uid="{00000000-0005-0000-0000-000003420000}"/>
    <cellStyle name="Header2 17 3 6 3 3 2" xfId="16886" xr:uid="{00000000-0005-0000-0000-000004420000}"/>
    <cellStyle name="Header2 17 3 6 3 3 3" xfId="16887" xr:uid="{00000000-0005-0000-0000-000005420000}"/>
    <cellStyle name="Header2 17 3 6 3 3 4" xfId="16888" xr:uid="{00000000-0005-0000-0000-000006420000}"/>
    <cellStyle name="Header2 17 3 6 3 4" xfId="16889" xr:uid="{00000000-0005-0000-0000-000007420000}"/>
    <cellStyle name="Header2 17 3 6 3 5" xfId="16890" xr:uid="{00000000-0005-0000-0000-000008420000}"/>
    <cellStyle name="Header2 17 3 6 3 6" xfId="16891" xr:uid="{00000000-0005-0000-0000-000009420000}"/>
    <cellStyle name="Header2 17 3 6 4" xfId="16892" xr:uid="{00000000-0005-0000-0000-00000A420000}"/>
    <cellStyle name="Header2 17 3 6 5" xfId="16893" xr:uid="{00000000-0005-0000-0000-00000B420000}"/>
    <cellStyle name="Header2 17 3 7" xfId="16894" xr:uid="{00000000-0005-0000-0000-00000C420000}"/>
    <cellStyle name="Header2 17 3 7 2" xfId="16895" xr:uid="{00000000-0005-0000-0000-00000D420000}"/>
    <cellStyle name="Header2 17 3 7 2 2" xfId="16896" xr:uid="{00000000-0005-0000-0000-00000E420000}"/>
    <cellStyle name="Header2 17 3 7 2 2 2" xfId="16897" xr:uid="{00000000-0005-0000-0000-00000F420000}"/>
    <cellStyle name="Header2 17 3 7 2 2 3" xfId="16898" xr:uid="{00000000-0005-0000-0000-000010420000}"/>
    <cellStyle name="Header2 17 3 7 2 2 4" xfId="16899" xr:uid="{00000000-0005-0000-0000-000011420000}"/>
    <cellStyle name="Header2 17 3 7 2 2 5" xfId="16900" xr:uid="{00000000-0005-0000-0000-000012420000}"/>
    <cellStyle name="Header2 17 3 7 2 3" xfId="16901" xr:uid="{00000000-0005-0000-0000-000013420000}"/>
    <cellStyle name="Header2 17 3 7 2 3 2" xfId="16902" xr:uid="{00000000-0005-0000-0000-000014420000}"/>
    <cellStyle name="Header2 17 3 7 2 3 3" xfId="16903" xr:uid="{00000000-0005-0000-0000-000015420000}"/>
    <cellStyle name="Header2 17 3 7 2 3 4" xfId="16904" xr:uid="{00000000-0005-0000-0000-000016420000}"/>
    <cellStyle name="Header2 17 3 7 2 4" xfId="16905" xr:uid="{00000000-0005-0000-0000-000017420000}"/>
    <cellStyle name="Header2 17 3 7 2 5" xfId="16906" xr:uid="{00000000-0005-0000-0000-000018420000}"/>
    <cellStyle name="Header2 17 3 7 2 6" xfId="16907" xr:uid="{00000000-0005-0000-0000-000019420000}"/>
    <cellStyle name="Header2 17 3 7 3" xfId="16908" xr:uid="{00000000-0005-0000-0000-00001A420000}"/>
    <cellStyle name="Header2 17 3 7 3 2" xfId="16909" xr:uid="{00000000-0005-0000-0000-00001B420000}"/>
    <cellStyle name="Header2 17 3 7 3 2 2" xfId="16910" xr:uid="{00000000-0005-0000-0000-00001C420000}"/>
    <cellStyle name="Header2 17 3 7 3 2 3" xfId="16911" xr:uid="{00000000-0005-0000-0000-00001D420000}"/>
    <cellStyle name="Header2 17 3 7 3 2 4" xfId="16912" xr:uid="{00000000-0005-0000-0000-00001E420000}"/>
    <cellStyle name="Header2 17 3 7 3 3" xfId="16913" xr:uid="{00000000-0005-0000-0000-00001F420000}"/>
    <cellStyle name="Header2 17 3 7 3 3 2" xfId="16914" xr:uid="{00000000-0005-0000-0000-000020420000}"/>
    <cellStyle name="Header2 17 3 7 3 3 3" xfId="16915" xr:uid="{00000000-0005-0000-0000-000021420000}"/>
    <cellStyle name="Header2 17 3 7 3 3 4" xfId="16916" xr:uid="{00000000-0005-0000-0000-000022420000}"/>
    <cellStyle name="Header2 17 3 7 3 4" xfId="16917" xr:uid="{00000000-0005-0000-0000-000023420000}"/>
    <cellStyle name="Header2 17 3 7 3 5" xfId="16918" xr:uid="{00000000-0005-0000-0000-000024420000}"/>
    <cellStyle name="Header2 17 3 7 3 6" xfId="16919" xr:uid="{00000000-0005-0000-0000-000025420000}"/>
    <cellStyle name="Header2 17 3 7 4" xfId="16920" xr:uid="{00000000-0005-0000-0000-000026420000}"/>
    <cellStyle name="Header2 17 3 7 5" xfId="16921" xr:uid="{00000000-0005-0000-0000-000027420000}"/>
    <cellStyle name="Header2 17 3 8" xfId="16922" xr:uid="{00000000-0005-0000-0000-000028420000}"/>
    <cellStyle name="Header2 17 3 8 2" xfId="16923" xr:uid="{00000000-0005-0000-0000-000029420000}"/>
    <cellStyle name="Header2 17 3 8 2 2" xfId="16924" xr:uid="{00000000-0005-0000-0000-00002A420000}"/>
    <cellStyle name="Header2 17 3 8 2 2 2" xfId="16925" xr:uid="{00000000-0005-0000-0000-00002B420000}"/>
    <cellStyle name="Header2 17 3 8 2 2 3" xfId="16926" xr:uid="{00000000-0005-0000-0000-00002C420000}"/>
    <cellStyle name="Header2 17 3 8 2 2 4" xfId="16927" xr:uid="{00000000-0005-0000-0000-00002D420000}"/>
    <cellStyle name="Header2 17 3 8 2 2 5" xfId="16928" xr:uid="{00000000-0005-0000-0000-00002E420000}"/>
    <cellStyle name="Header2 17 3 8 2 3" xfId="16929" xr:uid="{00000000-0005-0000-0000-00002F420000}"/>
    <cellStyle name="Header2 17 3 8 2 3 2" xfId="16930" xr:uid="{00000000-0005-0000-0000-000030420000}"/>
    <cellStyle name="Header2 17 3 8 2 3 3" xfId="16931" xr:uid="{00000000-0005-0000-0000-000031420000}"/>
    <cellStyle name="Header2 17 3 8 2 3 4" xfId="16932" xr:uid="{00000000-0005-0000-0000-000032420000}"/>
    <cellStyle name="Header2 17 3 8 2 4" xfId="16933" xr:uid="{00000000-0005-0000-0000-000033420000}"/>
    <cellStyle name="Header2 17 3 8 2 5" xfId="16934" xr:uid="{00000000-0005-0000-0000-000034420000}"/>
    <cellStyle name="Header2 17 3 8 2 6" xfId="16935" xr:uid="{00000000-0005-0000-0000-000035420000}"/>
    <cellStyle name="Header2 17 3 8 3" xfId="16936" xr:uid="{00000000-0005-0000-0000-000036420000}"/>
    <cellStyle name="Header2 17 3 8 3 2" xfId="16937" xr:uid="{00000000-0005-0000-0000-000037420000}"/>
    <cellStyle name="Header2 17 3 8 3 2 2" xfId="16938" xr:uid="{00000000-0005-0000-0000-000038420000}"/>
    <cellStyle name="Header2 17 3 8 3 2 3" xfId="16939" xr:uid="{00000000-0005-0000-0000-000039420000}"/>
    <cellStyle name="Header2 17 3 8 3 2 4" xfId="16940" xr:uid="{00000000-0005-0000-0000-00003A420000}"/>
    <cellStyle name="Header2 17 3 8 3 3" xfId="16941" xr:uid="{00000000-0005-0000-0000-00003B420000}"/>
    <cellStyle name="Header2 17 3 8 3 3 2" xfId="16942" xr:uid="{00000000-0005-0000-0000-00003C420000}"/>
    <cellStyle name="Header2 17 3 8 3 3 3" xfId="16943" xr:uid="{00000000-0005-0000-0000-00003D420000}"/>
    <cellStyle name="Header2 17 3 8 3 3 4" xfId="16944" xr:uid="{00000000-0005-0000-0000-00003E420000}"/>
    <cellStyle name="Header2 17 3 8 3 4" xfId="16945" xr:uid="{00000000-0005-0000-0000-00003F420000}"/>
    <cellStyle name="Header2 17 3 8 3 5" xfId="16946" xr:uid="{00000000-0005-0000-0000-000040420000}"/>
    <cellStyle name="Header2 17 3 8 3 6" xfId="16947" xr:uid="{00000000-0005-0000-0000-000041420000}"/>
    <cellStyle name="Header2 17 3 8 4" xfId="16948" xr:uid="{00000000-0005-0000-0000-000042420000}"/>
    <cellStyle name="Header2 17 3 8 5" xfId="16949" xr:uid="{00000000-0005-0000-0000-000043420000}"/>
    <cellStyle name="Header2 17 3 9" xfId="16950" xr:uid="{00000000-0005-0000-0000-000044420000}"/>
    <cellStyle name="Header2 17 3 9 2" xfId="16951" xr:uid="{00000000-0005-0000-0000-000045420000}"/>
    <cellStyle name="Header2 17 3 9 2 2" xfId="16952" xr:uid="{00000000-0005-0000-0000-000046420000}"/>
    <cellStyle name="Header2 17 3 9 2 2 2" xfId="16953" xr:uid="{00000000-0005-0000-0000-000047420000}"/>
    <cellStyle name="Header2 17 3 9 2 2 3" xfId="16954" xr:uid="{00000000-0005-0000-0000-000048420000}"/>
    <cellStyle name="Header2 17 3 9 2 2 4" xfId="16955" xr:uid="{00000000-0005-0000-0000-000049420000}"/>
    <cellStyle name="Header2 17 3 9 2 2 5" xfId="16956" xr:uid="{00000000-0005-0000-0000-00004A420000}"/>
    <cellStyle name="Header2 17 3 9 2 3" xfId="16957" xr:uid="{00000000-0005-0000-0000-00004B420000}"/>
    <cellStyle name="Header2 17 3 9 2 3 2" xfId="16958" xr:uid="{00000000-0005-0000-0000-00004C420000}"/>
    <cellStyle name="Header2 17 3 9 2 3 3" xfId="16959" xr:uid="{00000000-0005-0000-0000-00004D420000}"/>
    <cellStyle name="Header2 17 3 9 2 3 4" xfId="16960" xr:uid="{00000000-0005-0000-0000-00004E420000}"/>
    <cellStyle name="Header2 17 3 9 2 4" xfId="16961" xr:uid="{00000000-0005-0000-0000-00004F420000}"/>
    <cellStyle name="Header2 17 3 9 2 5" xfId="16962" xr:uid="{00000000-0005-0000-0000-000050420000}"/>
    <cellStyle name="Header2 17 3 9 2 6" xfId="16963" xr:uid="{00000000-0005-0000-0000-000051420000}"/>
    <cellStyle name="Header2 17 3 9 3" xfId="16964" xr:uid="{00000000-0005-0000-0000-000052420000}"/>
    <cellStyle name="Header2 17 3 9 3 2" xfId="16965" xr:uid="{00000000-0005-0000-0000-000053420000}"/>
    <cellStyle name="Header2 17 3 9 3 2 2" xfId="16966" xr:uid="{00000000-0005-0000-0000-000054420000}"/>
    <cellStyle name="Header2 17 3 9 3 2 3" xfId="16967" xr:uid="{00000000-0005-0000-0000-000055420000}"/>
    <cellStyle name="Header2 17 3 9 3 2 4" xfId="16968" xr:uid="{00000000-0005-0000-0000-000056420000}"/>
    <cellStyle name="Header2 17 3 9 3 3" xfId="16969" xr:uid="{00000000-0005-0000-0000-000057420000}"/>
    <cellStyle name="Header2 17 3 9 3 3 2" xfId="16970" xr:uid="{00000000-0005-0000-0000-000058420000}"/>
    <cellStyle name="Header2 17 3 9 3 3 3" xfId="16971" xr:uid="{00000000-0005-0000-0000-000059420000}"/>
    <cellStyle name="Header2 17 3 9 3 3 4" xfId="16972" xr:uid="{00000000-0005-0000-0000-00005A420000}"/>
    <cellStyle name="Header2 17 3 9 3 4" xfId="16973" xr:uid="{00000000-0005-0000-0000-00005B420000}"/>
    <cellStyle name="Header2 17 3 9 3 5" xfId="16974" xr:uid="{00000000-0005-0000-0000-00005C420000}"/>
    <cellStyle name="Header2 17 3 9 3 6" xfId="16975" xr:uid="{00000000-0005-0000-0000-00005D420000}"/>
    <cellStyle name="Header2 17 3 9 4" xfId="16976" xr:uid="{00000000-0005-0000-0000-00005E420000}"/>
    <cellStyle name="Header2 17 3 9 5" xfId="16977" xr:uid="{00000000-0005-0000-0000-00005F420000}"/>
    <cellStyle name="Header2 18" xfId="16978" xr:uid="{00000000-0005-0000-0000-000060420000}"/>
    <cellStyle name="Header2 18 2" xfId="16979" xr:uid="{00000000-0005-0000-0000-000061420000}"/>
    <cellStyle name="Header2 18 2 10" xfId="16980" xr:uid="{00000000-0005-0000-0000-000062420000}"/>
    <cellStyle name="Header2 18 2 10 2" xfId="16981" xr:uid="{00000000-0005-0000-0000-000063420000}"/>
    <cellStyle name="Header2 18 2 10 2 2" xfId="16982" xr:uid="{00000000-0005-0000-0000-000064420000}"/>
    <cellStyle name="Header2 18 2 10 2 2 2" xfId="16983" xr:uid="{00000000-0005-0000-0000-000065420000}"/>
    <cellStyle name="Header2 18 2 10 2 2 3" xfId="16984" xr:uid="{00000000-0005-0000-0000-000066420000}"/>
    <cellStyle name="Header2 18 2 10 2 2 4" xfId="16985" xr:uid="{00000000-0005-0000-0000-000067420000}"/>
    <cellStyle name="Header2 18 2 10 2 2 5" xfId="16986" xr:uid="{00000000-0005-0000-0000-000068420000}"/>
    <cellStyle name="Header2 18 2 10 2 3" xfId="16987" xr:uid="{00000000-0005-0000-0000-000069420000}"/>
    <cellStyle name="Header2 18 2 10 2 3 2" xfId="16988" xr:uid="{00000000-0005-0000-0000-00006A420000}"/>
    <cellStyle name="Header2 18 2 10 2 3 3" xfId="16989" xr:uid="{00000000-0005-0000-0000-00006B420000}"/>
    <cellStyle name="Header2 18 2 10 2 3 4" xfId="16990" xr:uid="{00000000-0005-0000-0000-00006C420000}"/>
    <cellStyle name="Header2 18 2 10 2 4" xfId="16991" xr:uid="{00000000-0005-0000-0000-00006D420000}"/>
    <cellStyle name="Header2 18 2 10 2 5" xfId="16992" xr:uid="{00000000-0005-0000-0000-00006E420000}"/>
    <cellStyle name="Header2 18 2 10 2 6" xfId="16993" xr:uid="{00000000-0005-0000-0000-00006F420000}"/>
    <cellStyle name="Header2 18 2 10 3" xfId="16994" xr:uid="{00000000-0005-0000-0000-000070420000}"/>
    <cellStyle name="Header2 18 2 10 3 2" xfId="16995" xr:uid="{00000000-0005-0000-0000-000071420000}"/>
    <cellStyle name="Header2 18 2 10 3 2 2" xfId="16996" xr:uid="{00000000-0005-0000-0000-000072420000}"/>
    <cellStyle name="Header2 18 2 10 3 2 3" xfId="16997" xr:uid="{00000000-0005-0000-0000-000073420000}"/>
    <cellStyle name="Header2 18 2 10 3 2 4" xfId="16998" xr:uid="{00000000-0005-0000-0000-000074420000}"/>
    <cellStyle name="Header2 18 2 10 3 3" xfId="16999" xr:uid="{00000000-0005-0000-0000-000075420000}"/>
    <cellStyle name="Header2 18 2 10 3 3 2" xfId="17000" xr:uid="{00000000-0005-0000-0000-000076420000}"/>
    <cellStyle name="Header2 18 2 10 3 3 3" xfId="17001" xr:uid="{00000000-0005-0000-0000-000077420000}"/>
    <cellStyle name="Header2 18 2 10 3 3 4" xfId="17002" xr:uid="{00000000-0005-0000-0000-000078420000}"/>
    <cellStyle name="Header2 18 2 10 3 4" xfId="17003" xr:uid="{00000000-0005-0000-0000-000079420000}"/>
    <cellStyle name="Header2 18 2 10 3 5" xfId="17004" xr:uid="{00000000-0005-0000-0000-00007A420000}"/>
    <cellStyle name="Header2 18 2 10 3 6" xfId="17005" xr:uid="{00000000-0005-0000-0000-00007B420000}"/>
    <cellStyle name="Header2 18 2 10 4" xfId="17006" xr:uid="{00000000-0005-0000-0000-00007C420000}"/>
    <cellStyle name="Header2 18 2 10 5" xfId="17007" xr:uid="{00000000-0005-0000-0000-00007D420000}"/>
    <cellStyle name="Header2 18 2 11" xfId="17008" xr:uid="{00000000-0005-0000-0000-00007E420000}"/>
    <cellStyle name="Header2 18 2 11 2" xfId="17009" xr:uid="{00000000-0005-0000-0000-00007F420000}"/>
    <cellStyle name="Header2 18 2 11 2 2" xfId="17010" xr:uid="{00000000-0005-0000-0000-000080420000}"/>
    <cellStyle name="Header2 18 2 11 2 2 2" xfId="17011" xr:uid="{00000000-0005-0000-0000-000081420000}"/>
    <cellStyle name="Header2 18 2 11 2 2 3" xfId="17012" xr:uid="{00000000-0005-0000-0000-000082420000}"/>
    <cellStyle name="Header2 18 2 11 2 2 4" xfId="17013" xr:uid="{00000000-0005-0000-0000-000083420000}"/>
    <cellStyle name="Header2 18 2 11 2 2 5" xfId="17014" xr:uid="{00000000-0005-0000-0000-000084420000}"/>
    <cellStyle name="Header2 18 2 11 2 3" xfId="17015" xr:uid="{00000000-0005-0000-0000-000085420000}"/>
    <cellStyle name="Header2 18 2 11 2 3 2" xfId="17016" xr:uid="{00000000-0005-0000-0000-000086420000}"/>
    <cellStyle name="Header2 18 2 11 2 3 3" xfId="17017" xr:uid="{00000000-0005-0000-0000-000087420000}"/>
    <cellStyle name="Header2 18 2 11 2 3 4" xfId="17018" xr:uid="{00000000-0005-0000-0000-000088420000}"/>
    <cellStyle name="Header2 18 2 11 2 4" xfId="17019" xr:uid="{00000000-0005-0000-0000-000089420000}"/>
    <cellStyle name="Header2 18 2 11 2 5" xfId="17020" xr:uid="{00000000-0005-0000-0000-00008A420000}"/>
    <cellStyle name="Header2 18 2 11 2 6" xfId="17021" xr:uid="{00000000-0005-0000-0000-00008B420000}"/>
    <cellStyle name="Header2 18 2 11 3" xfId="17022" xr:uid="{00000000-0005-0000-0000-00008C420000}"/>
    <cellStyle name="Header2 18 2 11 3 2" xfId="17023" xr:uid="{00000000-0005-0000-0000-00008D420000}"/>
    <cellStyle name="Header2 18 2 11 3 2 2" xfId="17024" xr:uid="{00000000-0005-0000-0000-00008E420000}"/>
    <cellStyle name="Header2 18 2 11 3 2 3" xfId="17025" xr:uid="{00000000-0005-0000-0000-00008F420000}"/>
    <cellStyle name="Header2 18 2 11 3 2 4" xfId="17026" xr:uid="{00000000-0005-0000-0000-000090420000}"/>
    <cellStyle name="Header2 18 2 11 3 3" xfId="17027" xr:uid="{00000000-0005-0000-0000-000091420000}"/>
    <cellStyle name="Header2 18 2 11 3 3 2" xfId="17028" xr:uid="{00000000-0005-0000-0000-000092420000}"/>
    <cellStyle name="Header2 18 2 11 3 3 3" xfId="17029" xr:uid="{00000000-0005-0000-0000-000093420000}"/>
    <cellStyle name="Header2 18 2 11 3 3 4" xfId="17030" xr:uid="{00000000-0005-0000-0000-000094420000}"/>
    <cellStyle name="Header2 18 2 11 3 4" xfId="17031" xr:uid="{00000000-0005-0000-0000-000095420000}"/>
    <cellStyle name="Header2 18 2 11 3 5" xfId="17032" xr:uid="{00000000-0005-0000-0000-000096420000}"/>
    <cellStyle name="Header2 18 2 11 3 6" xfId="17033" xr:uid="{00000000-0005-0000-0000-000097420000}"/>
    <cellStyle name="Header2 18 2 11 4" xfId="17034" xr:uid="{00000000-0005-0000-0000-000098420000}"/>
    <cellStyle name="Header2 18 2 11 5" xfId="17035" xr:uid="{00000000-0005-0000-0000-000099420000}"/>
    <cellStyle name="Header2 18 2 12" xfId="17036" xr:uid="{00000000-0005-0000-0000-00009A420000}"/>
    <cellStyle name="Header2 18 2 12 2" xfId="17037" xr:uid="{00000000-0005-0000-0000-00009B420000}"/>
    <cellStyle name="Header2 18 2 12 2 2" xfId="17038" xr:uid="{00000000-0005-0000-0000-00009C420000}"/>
    <cellStyle name="Header2 18 2 12 2 2 2" xfId="17039" xr:uid="{00000000-0005-0000-0000-00009D420000}"/>
    <cellStyle name="Header2 18 2 12 2 2 3" xfId="17040" xr:uid="{00000000-0005-0000-0000-00009E420000}"/>
    <cellStyle name="Header2 18 2 12 2 2 4" xfId="17041" xr:uid="{00000000-0005-0000-0000-00009F420000}"/>
    <cellStyle name="Header2 18 2 12 2 2 5" xfId="17042" xr:uid="{00000000-0005-0000-0000-0000A0420000}"/>
    <cellStyle name="Header2 18 2 12 2 3" xfId="17043" xr:uid="{00000000-0005-0000-0000-0000A1420000}"/>
    <cellStyle name="Header2 18 2 12 2 3 2" xfId="17044" xr:uid="{00000000-0005-0000-0000-0000A2420000}"/>
    <cellStyle name="Header2 18 2 12 2 3 3" xfId="17045" xr:uid="{00000000-0005-0000-0000-0000A3420000}"/>
    <cellStyle name="Header2 18 2 12 2 3 4" xfId="17046" xr:uid="{00000000-0005-0000-0000-0000A4420000}"/>
    <cellStyle name="Header2 18 2 12 2 4" xfId="17047" xr:uid="{00000000-0005-0000-0000-0000A5420000}"/>
    <cellStyle name="Header2 18 2 12 2 5" xfId="17048" xr:uid="{00000000-0005-0000-0000-0000A6420000}"/>
    <cellStyle name="Header2 18 2 12 2 6" xfId="17049" xr:uid="{00000000-0005-0000-0000-0000A7420000}"/>
    <cellStyle name="Header2 18 2 12 3" xfId="17050" xr:uid="{00000000-0005-0000-0000-0000A8420000}"/>
    <cellStyle name="Header2 18 2 12 3 2" xfId="17051" xr:uid="{00000000-0005-0000-0000-0000A9420000}"/>
    <cellStyle name="Header2 18 2 12 3 2 2" xfId="17052" xr:uid="{00000000-0005-0000-0000-0000AA420000}"/>
    <cellStyle name="Header2 18 2 12 3 2 3" xfId="17053" xr:uid="{00000000-0005-0000-0000-0000AB420000}"/>
    <cellStyle name="Header2 18 2 12 3 2 4" xfId="17054" xr:uid="{00000000-0005-0000-0000-0000AC420000}"/>
    <cellStyle name="Header2 18 2 12 3 3" xfId="17055" xr:uid="{00000000-0005-0000-0000-0000AD420000}"/>
    <cellStyle name="Header2 18 2 12 3 3 2" xfId="17056" xr:uid="{00000000-0005-0000-0000-0000AE420000}"/>
    <cellStyle name="Header2 18 2 12 3 3 3" xfId="17057" xr:uid="{00000000-0005-0000-0000-0000AF420000}"/>
    <cellStyle name="Header2 18 2 12 3 3 4" xfId="17058" xr:uid="{00000000-0005-0000-0000-0000B0420000}"/>
    <cellStyle name="Header2 18 2 12 3 4" xfId="17059" xr:uid="{00000000-0005-0000-0000-0000B1420000}"/>
    <cellStyle name="Header2 18 2 12 3 5" xfId="17060" xr:uid="{00000000-0005-0000-0000-0000B2420000}"/>
    <cellStyle name="Header2 18 2 12 3 6" xfId="17061" xr:uid="{00000000-0005-0000-0000-0000B3420000}"/>
    <cellStyle name="Header2 18 2 12 4" xfId="17062" xr:uid="{00000000-0005-0000-0000-0000B4420000}"/>
    <cellStyle name="Header2 18 2 12 5" xfId="17063" xr:uid="{00000000-0005-0000-0000-0000B5420000}"/>
    <cellStyle name="Header2 18 2 13" xfId="17064" xr:uid="{00000000-0005-0000-0000-0000B6420000}"/>
    <cellStyle name="Header2 18 2 13 2" xfId="17065" xr:uid="{00000000-0005-0000-0000-0000B7420000}"/>
    <cellStyle name="Header2 18 2 13 2 2" xfId="17066" xr:uid="{00000000-0005-0000-0000-0000B8420000}"/>
    <cellStyle name="Header2 18 2 13 2 2 2" xfId="17067" xr:uid="{00000000-0005-0000-0000-0000B9420000}"/>
    <cellStyle name="Header2 18 2 13 2 2 3" xfId="17068" xr:uid="{00000000-0005-0000-0000-0000BA420000}"/>
    <cellStyle name="Header2 18 2 13 2 2 4" xfId="17069" xr:uid="{00000000-0005-0000-0000-0000BB420000}"/>
    <cellStyle name="Header2 18 2 13 2 2 5" xfId="17070" xr:uid="{00000000-0005-0000-0000-0000BC420000}"/>
    <cellStyle name="Header2 18 2 13 2 3" xfId="17071" xr:uid="{00000000-0005-0000-0000-0000BD420000}"/>
    <cellStyle name="Header2 18 2 13 2 3 2" xfId="17072" xr:uid="{00000000-0005-0000-0000-0000BE420000}"/>
    <cellStyle name="Header2 18 2 13 2 3 3" xfId="17073" xr:uid="{00000000-0005-0000-0000-0000BF420000}"/>
    <cellStyle name="Header2 18 2 13 2 3 4" xfId="17074" xr:uid="{00000000-0005-0000-0000-0000C0420000}"/>
    <cellStyle name="Header2 18 2 13 2 4" xfId="17075" xr:uid="{00000000-0005-0000-0000-0000C1420000}"/>
    <cellStyle name="Header2 18 2 13 2 5" xfId="17076" xr:uid="{00000000-0005-0000-0000-0000C2420000}"/>
    <cellStyle name="Header2 18 2 13 2 6" xfId="17077" xr:uid="{00000000-0005-0000-0000-0000C3420000}"/>
    <cellStyle name="Header2 18 2 13 3" xfId="17078" xr:uid="{00000000-0005-0000-0000-0000C4420000}"/>
    <cellStyle name="Header2 18 2 13 3 2" xfId="17079" xr:uid="{00000000-0005-0000-0000-0000C5420000}"/>
    <cellStyle name="Header2 18 2 13 3 2 2" xfId="17080" xr:uid="{00000000-0005-0000-0000-0000C6420000}"/>
    <cellStyle name="Header2 18 2 13 3 2 3" xfId="17081" xr:uid="{00000000-0005-0000-0000-0000C7420000}"/>
    <cellStyle name="Header2 18 2 13 3 2 4" xfId="17082" xr:uid="{00000000-0005-0000-0000-0000C8420000}"/>
    <cellStyle name="Header2 18 2 13 3 3" xfId="17083" xr:uid="{00000000-0005-0000-0000-0000C9420000}"/>
    <cellStyle name="Header2 18 2 13 3 3 2" xfId="17084" xr:uid="{00000000-0005-0000-0000-0000CA420000}"/>
    <cellStyle name="Header2 18 2 13 3 3 3" xfId="17085" xr:uid="{00000000-0005-0000-0000-0000CB420000}"/>
    <cellStyle name="Header2 18 2 13 3 3 4" xfId="17086" xr:uid="{00000000-0005-0000-0000-0000CC420000}"/>
    <cellStyle name="Header2 18 2 13 3 4" xfId="17087" xr:uid="{00000000-0005-0000-0000-0000CD420000}"/>
    <cellStyle name="Header2 18 2 13 3 5" xfId="17088" xr:uid="{00000000-0005-0000-0000-0000CE420000}"/>
    <cellStyle name="Header2 18 2 13 3 6" xfId="17089" xr:uid="{00000000-0005-0000-0000-0000CF420000}"/>
    <cellStyle name="Header2 18 2 13 4" xfId="17090" xr:uid="{00000000-0005-0000-0000-0000D0420000}"/>
    <cellStyle name="Header2 18 2 13 5" xfId="17091" xr:uid="{00000000-0005-0000-0000-0000D1420000}"/>
    <cellStyle name="Header2 18 2 14" xfId="58732" xr:uid="{00000000-0005-0000-0000-0000D2420000}"/>
    <cellStyle name="Header2 18 2 2" xfId="17092" xr:uid="{00000000-0005-0000-0000-0000D3420000}"/>
    <cellStyle name="Header2 18 2 2 2" xfId="17093" xr:uid="{00000000-0005-0000-0000-0000D4420000}"/>
    <cellStyle name="Header2 18 2 2 2 2" xfId="17094" xr:uid="{00000000-0005-0000-0000-0000D5420000}"/>
    <cellStyle name="Header2 18 2 2 2 2 2" xfId="17095" xr:uid="{00000000-0005-0000-0000-0000D6420000}"/>
    <cellStyle name="Header2 18 2 2 2 2 2 2" xfId="17096" xr:uid="{00000000-0005-0000-0000-0000D7420000}"/>
    <cellStyle name="Header2 18 2 2 2 2 2 3" xfId="17097" xr:uid="{00000000-0005-0000-0000-0000D8420000}"/>
    <cellStyle name="Header2 18 2 2 2 2 2 4" xfId="17098" xr:uid="{00000000-0005-0000-0000-0000D9420000}"/>
    <cellStyle name="Header2 18 2 2 2 2 2 5" xfId="17099" xr:uid="{00000000-0005-0000-0000-0000DA420000}"/>
    <cellStyle name="Header2 18 2 2 2 2 3" xfId="17100" xr:uid="{00000000-0005-0000-0000-0000DB420000}"/>
    <cellStyle name="Header2 18 2 2 2 2 3 2" xfId="17101" xr:uid="{00000000-0005-0000-0000-0000DC420000}"/>
    <cellStyle name="Header2 18 2 2 2 2 3 3" xfId="17102" xr:uid="{00000000-0005-0000-0000-0000DD420000}"/>
    <cellStyle name="Header2 18 2 2 2 2 3 4" xfId="17103" xr:uid="{00000000-0005-0000-0000-0000DE420000}"/>
    <cellStyle name="Header2 18 2 2 2 2 4" xfId="17104" xr:uid="{00000000-0005-0000-0000-0000DF420000}"/>
    <cellStyle name="Header2 18 2 2 2 2 5" xfId="17105" xr:uid="{00000000-0005-0000-0000-0000E0420000}"/>
    <cellStyle name="Header2 18 2 2 2 2 6" xfId="17106" xr:uid="{00000000-0005-0000-0000-0000E1420000}"/>
    <cellStyle name="Header2 18 2 2 2 3" xfId="17107" xr:uid="{00000000-0005-0000-0000-0000E2420000}"/>
    <cellStyle name="Header2 18 2 2 2 3 2" xfId="17108" xr:uid="{00000000-0005-0000-0000-0000E3420000}"/>
    <cellStyle name="Header2 18 2 2 2 3 2 2" xfId="17109" xr:uid="{00000000-0005-0000-0000-0000E4420000}"/>
    <cellStyle name="Header2 18 2 2 2 3 2 3" xfId="17110" xr:uid="{00000000-0005-0000-0000-0000E5420000}"/>
    <cellStyle name="Header2 18 2 2 2 3 2 4" xfId="17111" xr:uid="{00000000-0005-0000-0000-0000E6420000}"/>
    <cellStyle name="Header2 18 2 2 2 3 3" xfId="17112" xr:uid="{00000000-0005-0000-0000-0000E7420000}"/>
    <cellStyle name="Header2 18 2 2 2 3 3 2" xfId="17113" xr:uid="{00000000-0005-0000-0000-0000E8420000}"/>
    <cellStyle name="Header2 18 2 2 2 3 3 3" xfId="17114" xr:uid="{00000000-0005-0000-0000-0000E9420000}"/>
    <cellStyle name="Header2 18 2 2 2 3 3 4" xfId="17115" xr:uid="{00000000-0005-0000-0000-0000EA420000}"/>
    <cellStyle name="Header2 18 2 2 2 3 4" xfId="17116" xr:uid="{00000000-0005-0000-0000-0000EB420000}"/>
    <cellStyle name="Header2 18 2 2 2 3 5" xfId="17117" xr:uid="{00000000-0005-0000-0000-0000EC420000}"/>
    <cellStyle name="Header2 18 2 2 2 3 6" xfId="17118" xr:uid="{00000000-0005-0000-0000-0000ED420000}"/>
    <cellStyle name="Header2 18 2 2 2 4" xfId="17119" xr:uid="{00000000-0005-0000-0000-0000EE420000}"/>
    <cellStyle name="Header2 18 2 2 2 5" xfId="17120" xr:uid="{00000000-0005-0000-0000-0000EF420000}"/>
    <cellStyle name="Header2 18 2 2 3" xfId="17121" xr:uid="{00000000-0005-0000-0000-0000F0420000}"/>
    <cellStyle name="Header2 18 2 2 3 2" xfId="17122" xr:uid="{00000000-0005-0000-0000-0000F1420000}"/>
    <cellStyle name="Header2 18 2 2 3 2 2" xfId="17123" xr:uid="{00000000-0005-0000-0000-0000F2420000}"/>
    <cellStyle name="Header2 18 2 2 3 2 2 2" xfId="17124" xr:uid="{00000000-0005-0000-0000-0000F3420000}"/>
    <cellStyle name="Header2 18 2 2 3 2 2 3" xfId="17125" xr:uid="{00000000-0005-0000-0000-0000F4420000}"/>
    <cellStyle name="Header2 18 2 2 3 2 2 4" xfId="17126" xr:uid="{00000000-0005-0000-0000-0000F5420000}"/>
    <cellStyle name="Header2 18 2 2 3 2 2 5" xfId="17127" xr:uid="{00000000-0005-0000-0000-0000F6420000}"/>
    <cellStyle name="Header2 18 2 2 3 2 3" xfId="17128" xr:uid="{00000000-0005-0000-0000-0000F7420000}"/>
    <cellStyle name="Header2 18 2 2 3 2 3 2" xfId="17129" xr:uid="{00000000-0005-0000-0000-0000F8420000}"/>
    <cellStyle name="Header2 18 2 2 3 2 3 3" xfId="17130" xr:uid="{00000000-0005-0000-0000-0000F9420000}"/>
    <cellStyle name="Header2 18 2 2 3 2 3 4" xfId="17131" xr:uid="{00000000-0005-0000-0000-0000FA420000}"/>
    <cellStyle name="Header2 18 2 2 3 2 4" xfId="17132" xr:uid="{00000000-0005-0000-0000-0000FB420000}"/>
    <cellStyle name="Header2 18 2 2 3 2 5" xfId="17133" xr:uid="{00000000-0005-0000-0000-0000FC420000}"/>
    <cellStyle name="Header2 18 2 2 3 2 6" xfId="17134" xr:uid="{00000000-0005-0000-0000-0000FD420000}"/>
    <cellStyle name="Header2 18 2 2 3 3" xfId="17135" xr:uid="{00000000-0005-0000-0000-0000FE420000}"/>
    <cellStyle name="Header2 18 2 2 3 3 2" xfId="17136" xr:uid="{00000000-0005-0000-0000-0000FF420000}"/>
    <cellStyle name="Header2 18 2 2 3 3 2 2" xfId="17137" xr:uid="{00000000-0005-0000-0000-000000430000}"/>
    <cellStyle name="Header2 18 2 2 3 3 2 3" xfId="17138" xr:uid="{00000000-0005-0000-0000-000001430000}"/>
    <cellStyle name="Header2 18 2 2 3 3 2 4" xfId="17139" xr:uid="{00000000-0005-0000-0000-000002430000}"/>
    <cellStyle name="Header2 18 2 2 3 3 3" xfId="17140" xr:uid="{00000000-0005-0000-0000-000003430000}"/>
    <cellStyle name="Header2 18 2 2 3 3 3 2" xfId="17141" xr:uid="{00000000-0005-0000-0000-000004430000}"/>
    <cellStyle name="Header2 18 2 2 3 3 3 3" xfId="17142" xr:uid="{00000000-0005-0000-0000-000005430000}"/>
    <cellStyle name="Header2 18 2 2 3 3 3 4" xfId="17143" xr:uid="{00000000-0005-0000-0000-000006430000}"/>
    <cellStyle name="Header2 18 2 2 3 3 4" xfId="17144" xr:uid="{00000000-0005-0000-0000-000007430000}"/>
    <cellStyle name="Header2 18 2 2 3 3 5" xfId="17145" xr:uid="{00000000-0005-0000-0000-000008430000}"/>
    <cellStyle name="Header2 18 2 2 3 3 6" xfId="17146" xr:uid="{00000000-0005-0000-0000-000009430000}"/>
    <cellStyle name="Header2 18 2 2 3 4" xfId="17147" xr:uid="{00000000-0005-0000-0000-00000A430000}"/>
    <cellStyle name="Header2 18 2 2 3 5" xfId="17148" xr:uid="{00000000-0005-0000-0000-00000B430000}"/>
    <cellStyle name="Header2 18 2 3" xfId="17149" xr:uid="{00000000-0005-0000-0000-00000C430000}"/>
    <cellStyle name="Header2 18 2 3 2" xfId="17150" xr:uid="{00000000-0005-0000-0000-00000D430000}"/>
    <cellStyle name="Header2 18 2 3 2 2" xfId="17151" xr:uid="{00000000-0005-0000-0000-00000E430000}"/>
    <cellStyle name="Header2 18 2 3 2 3" xfId="17152" xr:uid="{00000000-0005-0000-0000-00000F430000}"/>
    <cellStyle name="Header2 18 2 3 3" xfId="17153" xr:uid="{00000000-0005-0000-0000-000010430000}"/>
    <cellStyle name="Header2 18 2 4" xfId="17154" xr:uid="{00000000-0005-0000-0000-000011430000}"/>
    <cellStyle name="Header2 18 2 4 2" xfId="17155" xr:uid="{00000000-0005-0000-0000-000012430000}"/>
    <cellStyle name="Header2 18 2 4 2 2" xfId="17156" xr:uid="{00000000-0005-0000-0000-000013430000}"/>
    <cellStyle name="Header2 18 2 4 2 3" xfId="17157" xr:uid="{00000000-0005-0000-0000-000014430000}"/>
    <cellStyle name="Header2 18 2 4 3" xfId="17158" xr:uid="{00000000-0005-0000-0000-000015430000}"/>
    <cellStyle name="Header2 18 2 5" xfId="17159" xr:uid="{00000000-0005-0000-0000-000016430000}"/>
    <cellStyle name="Header2 18 2 5 2" xfId="17160" xr:uid="{00000000-0005-0000-0000-000017430000}"/>
    <cellStyle name="Header2 18 2 5 2 2" xfId="17161" xr:uid="{00000000-0005-0000-0000-000018430000}"/>
    <cellStyle name="Header2 18 2 5 2 3" xfId="17162" xr:uid="{00000000-0005-0000-0000-000019430000}"/>
    <cellStyle name="Header2 18 2 5 3" xfId="17163" xr:uid="{00000000-0005-0000-0000-00001A430000}"/>
    <cellStyle name="Header2 18 2 6" xfId="17164" xr:uid="{00000000-0005-0000-0000-00001B430000}"/>
    <cellStyle name="Header2 18 2 6 2" xfId="17165" xr:uid="{00000000-0005-0000-0000-00001C430000}"/>
    <cellStyle name="Header2 18 2 6 2 2" xfId="17166" xr:uid="{00000000-0005-0000-0000-00001D430000}"/>
    <cellStyle name="Header2 18 2 6 2 2 2" xfId="17167" xr:uid="{00000000-0005-0000-0000-00001E430000}"/>
    <cellStyle name="Header2 18 2 6 2 2 3" xfId="17168" xr:uid="{00000000-0005-0000-0000-00001F430000}"/>
    <cellStyle name="Header2 18 2 6 2 2 4" xfId="17169" xr:uid="{00000000-0005-0000-0000-000020430000}"/>
    <cellStyle name="Header2 18 2 6 2 2 5" xfId="17170" xr:uid="{00000000-0005-0000-0000-000021430000}"/>
    <cellStyle name="Header2 18 2 6 2 3" xfId="17171" xr:uid="{00000000-0005-0000-0000-000022430000}"/>
    <cellStyle name="Header2 18 2 6 2 3 2" xfId="17172" xr:uid="{00000000-0005-0000-0000-000023430000}"/>
    <cellStyle name="Header2 18 2 6 2 3 3" xfId="17173" xr:uid="{00000000-0005-0000-0000-000024430000}"/>
    <cellStyle name="Header2 18 2 6 2 3 4" xfId="17174" xr:uid="{00000000-0005-0000-0000-000025430000}"/>
    <cellStyle name="Header2 18 2 6 2 4" xfId="17175" xr:uid="{00000000-0005-0000-0000-000026430000}"/>
    <cellStyle name="Header2 18 2 6 2 5" xfId="17176" xr:uid="{00000000-0005-0000-0000-000027430000}"/>
    <cellStyle name="Header2 18 2 6 2 6" xfId="17177" xr:uid="{00000000-0005-0000-0000-000028430000}"/>
    <cellStyle name="Header2 18 2 6 3" xfId="17178" xr:uid="{00000000-0005-0000-0000-000029430000}"/>
    <cellStyle name="Header2 18 2 6 3 2" xfId="17179" xr:uid="{00000000-0005-0000-0000-00002A430000}"/>
    <cellStyle name="Header2 18 2 6 3 2 2" xfId="17180" xr:uid="{00000000-0005-0000-0000-00002B430000}"/>
    <cellStyle name="Header2 18 2 6 3 2 3" xfId="17181" xr:uid="{00000000-0005-0000-0000-00002C430000}"/>
    <cellStyle name="Header2 18 2 6 3 2 4" xfId="17182" xr:uid="{00000000-0005-0000-0000-00002D430000}"/>
    <cellStyle name="Header2 18 2 6 3 3" xfId="17183" xr:uid="{00000000-0005-0000-0000-00002E430000}"/>
    <cellStyle name="Header2 18 2 6 3 3 2" xfId="17184" xr:uid="{00000000-0005-0000-0000-00002F430000}"/>
    <cellStyle name="Header2 18 2 6 3 3 3" xfId="17185" xr:uid="{00000000-0005-0000-0000-000030430000}"/>
    <cellStyle name="Header2 18 2 6 3 3 4" xfId="17186" xr:uid="{00000000-0005-0000-0000-000031430000}"/>
    <cellStyle name="Header2 18 2 6 3 4" xfId="17187" xr:uid="{00000000-0005-0000-0000-000032430000}"/>
    <cellStyle name="Header2 18 2 6 3 5" xfId="17188" xr:uid="{00000000-0005-0000-0000-000033430000}"/>
    <cellStyle name="Header2 18 2 6 3 6" xfId="17189" xr:uid="{00000000-0005-0000-0000-000034430000}"/>
    <cellStyle name="Header2 18 2 6 4" xfId="17190" xr:uid="{00000000-0005-0000-0000-000035430000}"/>
    <cellStyle name="Header2 18 2 6 5" xfId="17191" xr:uid="{00000000-0005-0000-0000-000036430000}"/>
    <cellStyle name="Header2 18 2 7" xfId="17192" xr:uid="{00000000-0005-0000-0000-000037430000}"/>
    <cellStyle name="Header2 18 2 7 2" xfId="17193" xr:uid="{00000000-0005-0000-0000-000038430000}"/>
    <cellStyle name="Header2 18 2 7 2 2" xfId="17194" xr:uid="{00000000-0005-0000-0000-000039430000}"/>
    <cellStyle name="Header2 18 2 7 2 2 2" xfId="17195" xr:uid="{00000000-0005-0000-0000-00003A430000}"/>
    <cellStyle name="Header2 18 2 7 2 2 3" xfId="17196" xr:uid="{00000000-0005-0000-0000-00003B430000}"/>
    <cellStyle name="Header2 18 2 7 2 2 4" xfId="17197" xr:uid="{00000000-0005-0000-0000-00003C430000}"/>
    <cellStyle name="Header2 18 2 7 2 2 5" xfId="17198" xr:uid="{00000000-0005-0000-0000-00003D430000}"/>
    <cellStyle name="Header2 18 2 7 2 3" xfId="17199" xr:uid="{00000000-0005-0000-0000-00003E430000}"/>
    <cellStyle name="Header2 18 2 7 2 3 2" xfId="17200" xr:uid="{00000000-0005-0000-0000-00003F430000}"/>
    <cellStyle name="Header2 18 2 7 2 3 3" xfId="17201" xr:uid="{00000000-0005-0000-0000-000040430000}"/>
    <cellStyle name="Header2 18 2 7 2 3 4" xfId="17202" xr:uid="{00000000-0005-0000-0000-000041430000}"/>
    <cellStyle name="Header2 18 2 7 2 4" xfId="17203" xr:uid="{00000000-0005-0000-0000-000042430000}"/>
    <cellStyle name="Header2 18 2 7 2 5" xfId="17204" xr:uid="{00000000-0005-0000-0000-000043430000}"/>
    <cellStyle name="Header2 18 2 7 2 6" xfId="17205" xr:uid="{00000000-0005-0000-0000-000044430000}"/>
    <cellStyle name="Header2 18 2 7 3" xfId="17206" xr:uid="{00000000-0005-0000-0000-000045430000}"/>
    <cellStyle name="Header2 18 2 7 3 2" xfId="17207" xr:uid="{00000000-0005-0000-0000-000046430000}"/>
    <cellStyle name="Header2 18 2 7 3 2 2" xfId="17208" xr:uid="{00000000-0005-0000-0000-000047430000}"/>
    <cellStyle name="Header2 18 2 7 3 2 3" xfId="17209" xr:uid="{00000000-0005-0000-0000-000048430000}"/>
    <cellStyle name="Header2 18 2 7 3 2 4" xfId="17210" xr:uid="{00000000-0005-0000-0000-000049430000}"/>
    <cellStyle name="Header2 18 2 7 3 3" xfId="17211" xr:uid="{00000000-0005-0000-0000-00004A430000}"/>
    <cellStyle name="Header2 18 2 7 3 3 2" xfId="17212" xr:uid="{00000000-0005-0000-0000-00004B430000}"/>
    <cellStyle name="Header2 18 2 7 3 3 3" xfId="17213" xr:uid="{00000000-0005-0000-0000-00004C430000}"/>
    <cellStyle name="Header2 18 2 7 3 3 4" xfId="17214" xr:uid="{00000000-0005-0000-0000-00004D430000}"/>
    <cellStyle name="Header2 18 2 7 3 4" xfId="17215" xr:uid="{00000000-0005-0000-0000-00004E430000}"/>
    <cellStyle name="Header2 18 2 7 3 5" xfId="17216" xr:uid="{00000000-0005-0000-0000-00004F430000}"/>
    <cellStyle name="Header2 18 2 7 3 6" xfId="17217" xr:uid="{00000000-0005-0000-0000-000050430000}"/>
    <cellStyle name="Header2 18 2 7 4" xfId="17218" xr:uid="{00000000-0005-0000-0000-000051430000}"/>
    <cellStyle name="Header2 18 2 7 5" xfId="17219" xr:uid="{00000000-0005-0000-0000-000052430000}"/>
    <cellStyle name="Header2 18 2 8" xfId="17220" xr:uid="{00000000-0005-0000-0000-000053430000}"/>
    <cellStyle name="Header2 18 2 8 2" xfId="17221" xr:uid="{00000000-0005-0000-0000-000054430000}"/>
    <cellStyle name="Header2 18 2 8 2 2" xfId="17222" xr:uid="{00000000-0005-0000-0000-000055430000}"/>
    <cellStyle name="Header2 18 2 8 2 2 2" xfId="17223" xr:uid="{00000000-0005-0000-0000-000056430000}"/>
    <cellStyle name="Header2 18 2 8 2 2 3" xfId="17224" xr:uid="{00000000-0005-0000-0000-000057430000}"/>
    <cellStyle name="Header2 18 2 8 2 2 4" xfId="17225" xr:uid="{00000000-0005-0000-0000-000058430000}"/>
    <cellStyle name="Header2 18 2 8 2 2 5" xfId="17226" xr:uid="{00000000-0005-0000-0000-000059430000}"/>
    <cellStyle name="Header2 18 2 8 2 3" xfId="17227" xr:uid="{00000000-0005-0000-0000-00005A430000}"/>
    <cellStyle name="Header2 18 2 8 2 3 2" xfId="17228" xr:uid="{00000000-0005-0000-0000-00005B430000}"/>
    <cellStyle name="Header2 18 2 8 2 3 3" xfId="17229" xr:uid="{00000000-0005-0000-0000-00005C430000}"/>
    <cellStyle name="Header2 18 2 8 2 3 4" xfId="17230" xr:uid="{00000000-0005-0000-0000-00005D430000}"/>
    <cellStyle name="Header2 18 2 8 2 4" xfId="17231" xr:uid="{00000000-0005-0000-0000-00005E430000}"/>
    <cellStyle name="Header2 18 2 8 2 5" xfId="17232" xr:uid="{00000000-0005-0000-0000-00005F430000}"/>
    <cellStyle name="Header2 18 2 8 2 6" xfId="17233" xr:uid="{00000000-0005-0000-0000-000060430000}"/>
    <cellStyle name="Header2 18 2 8 3" xfId="17234" xr:uid="{00000000-0005-0000-0000-000061430000}"/>
    <cellStyle name="Header2 18 2 8 3 2" xfId="17235" xr:uid="{00000000-0005-0000-0000-000062430000}"/>
    <cellStyle name="Header2 18 2 8 3 2 2" xfId="17236" xr:uid="{00000000-0005-0000-0000-000063430000}"/>
    <cellStyle name="Header2 18 2 8 3 2 3" xfId="17237" xr:uid="{00000000-0005-0000-0000-000064430000}"/>
    <cellStyle name="Header2 18 2 8 3 2 4" xfId="17238" xr:uid="{00000000-0005-0000-0000-000065430000}"/>
    <cellStyle name="Header2 18 2 8 3 3" xfId="17239" xr:uid="{00000000-0005-0000-0000-000066430000}"/>
    <cellStyle name="Header2 18 2 8 3 3 2" xfId="17240" xr:uid="{00000000-0005-0000-0000-000067430000}"/>
    <cellStyle name="Header2 18 2 8 3 3 3" xfId="17241" xr:uid="{00000000-0005-0000-0000-000068430000}"/>
    <cellStyle name="Header2 18 2 8 3 3 4" xfId="17242" xr:uid="{00000000-0005-0000-0000-000069430000}"/>
    <cellStyle name="Header2 18 2 8 3 4" xfId="17243" xr:uid="{00000000-0005-0000-0000-00006A430000}"/>
    <cellStyle name="Header2 18 2 8 3 5" xfId="17244" xr:uid="{00000000-0005-0000-0000-00006B430000}"/>
    <cellStyle name="Header2 18 2 8 3 6" xfId="17245" xr:uid="{00000000-0005-0000-0000-00006C430000}"/>
    <cellStyle name="Header2 18 2 8 4" xfId="17246" xr:uid="{00000000-0005-0000-0000-00006D430000}"/>
    <cellStyle name="Header2 18 2 8 5" xfId="17247" xr:uid="{00000000-0005-0000-0000-00006E430000}"/>
    <cellStyle name="Header2 18 2 9" xfId="17248" xr:uid="{00000000-0005-0000-0000-00006F430000}"/>
    <cellStyle name="Header2 18 2 9 2" xfId="17249" xr:uid="{00000000-0005-0000-0000-000070430000}"/>
    <cellStyle name="Header2 18 2 9 2 2" xfId="17250" xr:uid="{00000000-0005-0000-0000-000071430000}"/>
    <cellStyle name="Header2 18 2 9 2 2 2" xfId="17251" xr:uid="{00000000-0005-0000-0000-000072430000}"/>
    <cellStyle name="Header2 18 2 9 2 2 3" xfId="17252" xr:uid="{00000000-0005-0000-0000-000073430000}"/>
    <cellStyle name="Header2 18 2 9 2 2 4" xfId="17253" xr:uid="{00000000-0005-0000-0000-000074430000}"/>
    <cellStyle name="Header2 18 2 9 2 2 5" xfId="17254" xr:uid="{00000000-0005-0000-0000-000075430000}"/>
    <cellStyle name="Header2 18 2 9 2 3" xfId="17255" xr:uid="{00000000-0005-0000-0000-000076430000}"/>
    <cellStyle name="Header2 18 2 9 2 3 2" xfId="17256" xr:uid="{00000000-0005-0000-0000-000077430000}"/>
    <cellStyle name="Header2 18 2 9 2 3 3" xfId="17257" xr:uid="{00000000-0005-0000-0000-000078430000}"/>
    <cellStyle name="Header2 18 2 9 2 3 4" xfId="17258" xr:uid="{00000000-0005-0000-0000-000079430000}"/>
    <cellStyle name="Header2 18 2 9 2 4" xfId="17259" xr:uid="{00000000-0005-0000-0000-00007A430000}"/>
    <cellStyle name="Header2 18 2 9 2 5" xfId="17260" xr:uid="{00000000-0005-0000-0000-00007B430000}"/>
    <cellStyle name="Header2 18 2 9 2 6" xfId="17261" xr:uid="{00000000-0005-0000-0000-00007C430000}"/>
    <cellStyle name="Header2 18 2 9 3" xfId="17262" xr:uid="{00000000-0005-0000-0000-00007D430000}"/>
    <cellStyle name="Header2 18 2 9 3 2" xfId="17263" xr:uid="{00000000-0005-0000-0000-00007E430000}"/>
    <cellStyle name="Header2 18 2 9 3 2 2" xfId="17264" xr:uid="{00000000-0005-0000-0000-00007F430000}"/>
    <cellStyle name="Header2 18 2 9 3 2 3" xfId="17265" xr:uid="{00000000-0005-0000-0000-000080430000}"/>
    <cellStyle name="Header2 18 2 9 3 2 4" xfId="17266" xr:uid="{00000000-0005-0000-0000-000081430000}"/>
    <cellStyle name="Header2 18 2 9 3 3" xfId="17267" xr:uid="{00000000-0005-0000-0000-000082430000}"/>
    <cellStyle name="Header2 18 2 9 3 3 2" xfId="17268" xr:uid="{00000000-0005-0000-0000-000083430000}"/>
    <cellStyle name="Header2 18 2 9 3 3 3" xfId="17269" xr:uid="{00000000-0005-0000-0000-000084430000}"/>
    <cellStyle name="Header2 18 2 9 3 3 4" xfId="17270" xr:uid="{00000000-0005-0000-0000-000085430000}"/>
    <cellStyle name="Header2 18 2 9 3 4" xfId="17271" xr:uid="{00000000-0005-0000-0000-000086430000}"/>
    <cellStyle name="Header2 18 2 9 3 5" xfId="17272" xr:uid="{00000000-0005-0000-0000-000087430000}"/>
    <cellStyle name="Header2 18 2 9 3 6" xfId="17273" xr:uid="{00000000-0005-0000-0000-000088430000}"/>
    <cellStyle name="Header2 18 2 9 4" xfId="17274" xr:uid="{00000000-0005-0000-0000-000089430000}"/>
    <cellStyle name="Header2 18 2 9 5" xfId="17275" xr:uid="{00000000-0005-0000-0000-00008A430000}"/>
    <cellStyle name="Header2 18 3" xfId="17276" xr:uid="{00000000-0005-0000-0000-00008B430000}"/>
    <cellStyle name="Header2 18 3 10" xfId="17277" xr:uid="{00000000-0005-0000-0000-00008C430000}"/>
    <cellStyle name="Header2 18 3 10 2" xfId="17278" xr:uid="{00000000-0005-0000-0000-00008D430000}"/>
    <cellStyle name="Header2 18 3 10 2 2" xfId="17279" xr:uid="{00000000-0005-0000-0000-00008E430000}"/>
    <cellStyle name="Header2 18 3 10 2 2 2" xfId="17280" xr:uid="{00000000-0005-0000-0000-00008F430000}"/>
    <cellStyle name="Header2 18 3 10 2 2 3" xfId="17281" xr:uid="{00000000-0005-0000-0000-000090430000}"/>
    <cellStyle name="Header2 18 3 10 2 2 4" xfId="17282" xr:uid="{00000000-0005-0000-0000-000091430000}"/>
    <cellStyle name="Header2 18 3 10 2 2 5" xfId="17283" xr:uid="{00000000-0005-0000-0000-000092430000}"/>
    <cellStyle name="Header2 18 3 10 2 3" xfId="17284" xr:uid="{00000000-0005-0000-0000-000093430000}"/>
    <cellStyle name="Header2 18 3 10 2 3 2" xfId="17285" xr:uid="{00000000-0005-0000-0000-000094430000}"/>
    <cellStyle name="Header2 18 3 10 2 3 3" xfId="17286" xr:uid="{00000000-0005-0000-0000-000095430000}"/>
    <cellStyle name="Header2 18 3 10 2 3 4" xfId="17287" xr:uid="{00000000-0005-0000-0000-000096430000}"/>
    <cellStyle name="Header2 18 3 10 2 4" xfId="17288" xr:uid="{00000000-0005-0000-0000-000097430000}"/>
    <cellStyle name="Header2 18 3 10 2 5" xfId="17289" xr:uid="{00000000-0005-0000-0000-000098430000}"/>
    <cellStyle name="Header2 18 3 10 2 6" xfId="17290" xr:uid="{00000000-0005-0000-0000-000099430000}"/>
    <cellStyle name="Header2 18 3 10 3" xfId="17291" xr:uid="{00000000-0005-0000-0000-00009A430000}"/>
    <cellStyle name="Header2 18 3 10 3 2" xfId="17292" xr:uid="{00000000-0005-0000-0000-00009B430000}"/>
    <cellStyle name="Header2 18 3 10 3 2 2" xfId="17293" xr:uid="{00000000-0005-0000-0000-00009C430000}"/>
    <cellStyle name="Header2 18 3 10 3 2 3" xfId="17294" xr:uid="{00000000-0005-0000-0000-00009D430000}"/>
    <cellStyle name="Header2 18 3 10 3 2 4" xfId="17295" xr:uid="{00000000-0005-0000-0000-00009E430000}"/>
    <cellStyle name="Header2 18 3 10 3 3" xfId="17296" xr:uid="{00000000-0005-0000-0000-00009F430000}"/>
    <cellStyle name="Header2 18 3 10 3 3 2" xfId="17297" xr:uid="{00000000-0005-0000-0000-0000A0430000}"/>
    <cellStyle name="Header2 18 3 10 3 3 3" xfId="17298" xr:uid="{00000000-0005-0000-0000-0000A1430000}"/>
    <cellStyle name="Header2 18 3 10 3 3 4" xfId="17299" xr:uid="{00000000-0005-0000-0000-0000A2430000}"/>
    <cellStyle name="Header2 18 3 10 3 4" xfId="17300" xr:uid="{00000000-0005-0000-0000-0000A3430000}"/>
    <cellStyle name="Header2 18 3 10 3 5" xfId="17301" xr:uid="{00000000-0005-0000-0000-0000A4430000}"/>
    <cellStyle name="Header2 18 3 10 3 6" xfId="17302" xr:uid="{00000000-0005-0000-0000-0000A5430000}"/>
    <cellStyle name="Header2 18 3 10 4" xfId="17303" xr:uid="{00000000-0005-0000-0000-0000A6430000}"/>
    <cellStyle name="Header2 18 3 10 5" xfId="17304" xr:uid="{00000000-0005-0000-0000-0000A7430000}"/>
    <cellStyle name="Header2 18 3 11" xfId="17305" xr:uid="{00000000-0005-0000-0000-0000A8430000}"/>
    <cellStyle name="Header2 18 3 11 2" xfId="17306" xr:uid="{00000000-0005-0000-0000-0000A9430000}"/>
    <cellStyle name="Header2 18 3 11 2 2" xfId="17307" xr:uid="{00000000-0005-0000-0000-0000AA430000}"/>
    <cellStyle name="Header2 18 3 11 2 2 2" xfId="17308" xr:uid="{00000000-0005-0000-0000-0000AB430000}"/>
    <cellStyle name="Header2 18 3 11 2 2 3" xfId="17309" xr:uid="{00000000-0005-0000-0000-0000AC430000}"/>
    <cellStyle name="Header2 18 3 11 2 2 4" xfId="17310" xr:uid="{00000000-0005-0000-0000-0000AD430000}"/>
    <cellStyle name="Header2 18 3 11 2 2 5" xfId="17311" xr:uid="{00000000-0005-0000-0000-0000AE430000}"/>
    <cellStyle name="Header2 18 3 11 2 3" xfId="17312" xr:uid="{00000000-0005-0000-0000-0000AF430000}"/>
    <cellStyle name="Header2 18 3 11 2 3 2" xfId="17313" xr:uid="{00000000-0005-0000-0000-0000B0430000}"/>
    <cellStyle name="Header2 18 3 11 2 3 3" xfId="17314" xr:uid="{00000000-0005-0000-0000-0000B1430000}"/>
    <cellStyle name="Header2 18 3 11 2 3 4" xfId="17315" xr:uid="{00000000-0005-0000-0000-0000B2430000}"/>
    <cellStyle name="Header2 18 3 11 2 4" xfId="17316" xr:uid="{00000000-0005-0000-0000-0000B3430000}"/>
    <cellStyle name="Header2 18 3 11 2 5" xfId="17317" xr:uid="{00000000-0005-0000-0000-0000B4430000}"/>
    <cellStyle name="Header2 18 3 11 2 6" xfId="17318" xr:uid="{00000000-0005-0000-0000-0000B5430000}"/>
    <cellStyle name="Header2 18 3 11 3" xfId="17319" xr:uid="{00000000-0005-0000-0000-0000B6430000}"/>
    <cellStyle name="Header2 18 3 11 3 2" xfId="17320" xr:uid="{00000000-0005-0000-0000-0000B7430000}"/>
    <cellStyle name="Header2 18 3 11 3 2 2" xfId="17321" xr:uid="{00000000-0005-0000-0000-0000B8430000}"/>
    <cellStyle name="Header2 18 3 11 3 2 3" xfId="17322" xr:uid="{00000000-0005-0000-0000-0000B9430000}"/>
    <cellStyle name="Header2 18 3 11 3 2 4" xfId="17323" xr:uid="{00000000-0005-0000-0000-0000BA430000}"/>
    <cellStyle name="Header2 18 3 11 3 3" xfId="17324" xr:uid="{00000000-0005-0000-0000-0000BB430000}"/>
    <cellStyle name="Header2 18 3 11 3 3 2" xfId="17325" xr:uid="{00000000-0005-0000-0000-0000BC430000}"/>
    <cellStyle name="Header2 18 3 11 3 3 3" xfId="17326" xr:uid="{00000000-0005-0000-0000-0000BD430000}"/>
    <cellStyle name="Header2 18 3 11 3 3 4" xfId="17327" xr:uid="{00000000-0005-0000-0000-0000BE430000}"/>
    <cellStyle name="Header2 18 3 11 3 4" xfId="17328" xr:uid="{00000000-0005-0000-0000-0000BF430000}"/>
    <cellStyle name="Header2 18 3 11 3 5" xfId="17329" xr:uid="{00000000-0005-0000-0000-0000C0430000}"/>
    <cellStyle name="Header2 18 3 11 3 6" xfId="17330" xr:uid="{00000000-0005-0000-0000-0000C1430000}"/>
    <cellStyle name="Header2 18 3 11 4" xfId="17331" xr:uid="{00000000-0005-0000-0000-0000C2430000}"/>
    <cellStyle name="Header2 18 3 11 5" xfId="17332" xr:uid="{00000000-0005-0000-0000-0000C3430000}"/>
    <cellStyle name="Header2 18 3 12" xfId="17333" xr:uid="{00000000-0005-0000-0000-0000C4430000}"/>
    <cellStyle name="Header2 18 3 12 2" xfId="17334" xr:uid="{00000000-0005-0000-0000-0000C5430000}"/>
    <cellStyle name="Header2 18 3 12 2 2" xfId="17335" xr:uid="{00000000-0005-0000-0000-0000C6430000}"/>
    <cellStyle name="Header2 18 3 12 2 2 2" xfId="17336" xr:uid="{00000000-0005-0000-0000-0000C7430000}"/>
    <cellStyle name="Header2 18 3 12 2 2 3" xfId="17337" xr:uid="{00000000-0005-0000-0000-0000C8430000}"/>
    <cellStyle name="Header2 18 3 12 2 2 4" xfId="17338" xr:uid="{00000000-0005-0000-0000-0000C9430000}"/>
    <cellStyle name="Header2 18 3 12 2 2 5" xfId="17339" xr:uid="{00000000-0005-0000-0000-0000CA430000}"/>
    <cellStyle name="Header2 18 3 12 2 3" xfId="17340" xr:uid="{00000000-0005-0000-0000-0000CB430000}"/>
    <cellStyle name="Header2 18 3 12 2 3 2" xfId="17341" xr:uid="{00000000-0005-0000-0000-0000CC430000}"/>
    <cellStyle name="Header2 18 3 12 2 3 3" xfId="17342" xr:uid="{00000000-0005-0000-0000-0000CD430000}"/>
    <cellStyle name="Header2 18 3 12 2 3 4" xfId="17343" xr:uid="{00000000-0005-0000-0000-0000CE430000}"/>
    <cellStyle name="Header2 18 3 12 2 4" xfId="17344" xr:uid="{00000000-0005-0000-0000-0000CF430000}"/>
    <cellStyle name="Header2 18 3 12 2 5" xfId="17345" xr:uid="{00000000-0005-0000-0000-0000D0430000}"/>
    <cellStyle name="Header2 18 3 12 2 6" xfId="17346" xr:uid="{00000000-0005-0000-0000-0000D1430000}"/>
    <cellStyle name="Header2 18 3 12 3" xfId="17347" xr:uid="{00000000-0005-0000-0000-0000D2430000}"/>
    <cellStyle name="Header2 18 3 12 3 2" xfId="17348" xr:uid="{00000000-0005-0000-0000-0000D3430000}"/>
    <cellStyle name="Header2 18 3 12 3 2 2" xfId="17349" xr:uid="{00000000-0005-0000-0000-0000D4430000}"/>
    <cellStyle name="Header2 18 3 12 3 2 3" xfId="17350" xr:uid="{00000000-0005-0000-0000-0000D5430000}"/>
    <cellStyle name="Header2 18 3 12 3 2 4" xfId="17351" xr:uid="{00000000-0005-0000-0000-0000D6430000}"/>
    <cellStyle name="Header2 18 3 12 3 3" xfId="17352" xr:uid="{00000000-0005-0000-0000-0000D7430000}"/>
    <cellStyle name="Header2 18 3 12 3 3 2" xfId="17353" xr:uid="{00000000-0005-0000-0000-0000D8430000}"/>
    <cellStyle name="Header2 18 3 12 3 3 3" xfId="17354" xr:uid="{00000000-0005-0000-0000-0000D9430000}"/>
    <cellStyle name="Header2 18 3 12 3 3 4" xfId="17355" xr:uid="{00000000-0005-0000-0000-0000DA430000}"/>
    <cellStyle name="Header2 18 3 12 3 4" xfId="17356" xr:uid="{00000000-0005-0000-0000-0000DB430000}"/>
    <cellStyle name="Header2 18 3 12 3 5" xfId="17357" xr:uid="{00000000-0005-0000-0000-0000DC430000}"/>
    <cellStyle name="Header2 18 3 12 3 6" xfId="17358" xr:uid="{00000000-0005-0000-0000-0000DD430000}"/>
    <cellStyle name="Header2 18 3 12 4" xfId="17359" xr:uid="{00000000-0005-0000-0000-0000DE430000}"/>
    <cellStyle name="Header2 18 3 12 5" xfId="17360" xr:uid="{00000000-0005-0000-0000-0000DF430000}"/>
    <cellStyle name="Header2 18 3 13" xfId="58733" xr:uid="{00000000-0005-0000-0000-0000E0430000}"/>
    <cellStyle name="Header2 18 3 2" xfId="17361" xr:uid="{00000000-0005-0000-0000-0000E1430000}"/>
    <cellStyle name="Header2 18 3 2 2" xfId="17362" xr:uid="{00000000-0005-0000-0000-0000E2430000}"/>
    <cellStyle name="Header2 18 3 2 2 2" xfId="17363" xr:uid="{00000000-0005-0000-0000-0000E3430000}"/>
    <cellStyle name="Header2 18 3 2 2 3" xfId="17364" xr:uid="{00000000-0005-0000-0000-0000E4430000}"/>
    <cellStyle name="Header2 18 3 2 3" xfId="17365" xr:uid="{00000000-0005-0000-0000-0000E5430000}"/>
    <cellStyle name="Header2 18 3 3" xfId="17366" xr:uid="{00000000-0005-0000-0000-0000E6430000}"/>
    <cellStyle name="Header2 18 3 3 2" xfId="17367" xr:uid="{00000000-0005-0000-0000-0000E7430000}"/>
    <cellStyle name="Header2 18 3 3 2 2" xfId="17368" xr:uid="{00000000-0005-0000-0000-0000E8430000}"/>
    <cellStyle name="Header2 18 3 3 2 3" xfId="17369" xr:uid="{00000000-0005-0000-0000-0000E9430000}"/>
    <cellStyle name="Header2 18 3 3 3" xfId="17370" xr:uid="{00000000-0005-0000-0000-0000EA430000}"/>
    <cellStyle name="Header2 18 3 4" xfId="17371" xr:uid="{00000000-0005-0000-0000-0000EB430000}"/>
    <cellStyle name="Header2 18 3 4 2" xfId="17372" xr:uid="{00000000-0005-0000-0000-0000EC430000}"/>
    <cellStyle name="Header2 18 3 4 2 2" xfId="17373" xr:uid="{00000000-0005-0000-0000-0000ED430000}"/>
    <cellStyle name="Header2 18 3 4 2 3" xfId="17374" xr:uid="{00000000-0005-0000-0000-0000EE430000}"/>
    <cellStyle name="Header2 18 3 4 3" xfId="17375" xr:uid="{00000000-0005-0000-0000-0000EF430000}"/>
    <cellStyle name="Header2 18 3 5" xfId="17376" xr:uid="{00000000-0005-0000-0000-0000F0430000}"/>
    <cellStyle name="Header2 18 3 5 2" xfId="17377" xr:uid="{00000000-0005-0000-0000-0000F1430000}"/>
    <cellStyle name="Header2 18 3 5 2 2" xfId="17378" xr:uid="{00000000-0005-0000-0000-0000F2430000}"/>
    <cellStyle name="Header2 18 3 5 2 2 2" xfId="17379" xr:uid="{00000000-0005-0000-0000-0000F3430000}"/>
    <cellStyle name="Header2 18 3 5 2 2 3" xfId="17380" xr:uid="{00000000-0005-0000-0000-0000F4430000}"/>
    <cellStyle name="Header2 18 3 5 2 2 4" xfId="17381" xr:uid="{00000000-0005-0000-0000-0000F5430000}"/>
    <cellStyle name="Header2 18 3 5 2 2 5" xfId="17382" xr:uid="{00000000-0005-0000-0000-0000F6430000}"/>
    <cellStyle name="Header2 18 3 5 2 3" xfId="17383" xr:uid="{00000000-0005-0000-0000-0000F7430000}"/>
    <cellStyle name="Header2 18 3 5 2 3 2" xfId="17384" xr:uid="{00000000-0005-0000-0000-0000F8430000}"/>
    <cellStyle name="Header2 18 3 5 2 3 3" xfId="17385" xr:uid="{00000000-0005-0000-0000-0000F9430000}"/>
    <cellStyle name="Header2 18 3 5 2 3 4" xfId="17386" xr:uid="{00000000-0005-0000-0000-0000FA430000}"/>
    <cellStyle name="Header2 18 3 5 2 4" xfId="17387" xr:uid="{00000000-0005-0000-0000-0000FB430000}"/>
    <cellStyle name="Header2 18 3 5 2 5" xfId="17388" xr:uid="{00000000-0005-0000-0000-0000FC430000}"/>
    <cellStyle name="Header2 18 3 5 2 6" xfId="17389" xr:uid="{00000000-0005-0000-0000-0000FD430000}"/>
    <cellStyle name="Header2 18 3 5 3" xfId="17390" xr:uid="{00000000-0005-0000-0000-0000FE430000}"/>
    <cellStyle name="Header2 18 3 5 3 2" xfId="17391" xr:uid="{00000000-0005-0000-0000-0000FF430000}"/>
    <cellStyle name="Header2 18 3 5 3 2 2" xfId="17392" xr:uid="{00000000-0005-0000-0000-000000440000}"/>
    <cellStyle name="Header2 18 3 5 3 2 3" xfId="17393" xr:uid="{00000000-0005-0000-0000-000001440000}"/>
    <cellStyle name="Header2 18 3 5 3 2 4" xfId="17394" xr:uid="{00000000-0005-0000-0000-000002440000}"/>
    <cellStyle name="Header2 18 3 5 3 3" xfId="17395" xr:uid="{00000000-0005-0000-0000-000003440000}"/>
    <cellStyle name="Header2 18 3 5 3 3 2" xfId="17396" xr:uid="{00000000-0005-0000-0000-000004440000}"/>
    <cellStyle name="Header2 18 3 5 3 3 3" xfId="17397" xr:uid="{00000000-0005-0000-0000-000005440000}"/>
    <cellStyle name="Header2 18 3 5 3 3 4" xfId="17398" xr:uid="{00000000-0005-0000-0000-000006440000}"/>
    <cellStyle name="Header2 18 3 5 3 4" xfId="17399" xr:uid="{00000000-0005-0000-0000-000007440000}"/>
    <cellStyle name="Header2 18 3 5 3 5" xfId="17400" xr:uid="{00000000-0005-0000-0000-000008440000}"/>
    <cellStyle name="Header2 18 3 5 3 6" xfId="17401" xr:uid="{00000000-0005-0000-0000-000009440000}"/>
    <cellStyle name="Header2 18 3 5 4" xfId="17402" xr:uid="{00000000-0005-0000-0000-00000A440000}"/>
    <cellStyle name="Header2 18 3 5 5" xfId="17403" xr:uid="{00000000-0005-0000-0000-00000B440000}"/>
    <cellStyle name="Header2 18 3 6" xfId="17404" xr:uid="{00000000-0005-0000-0000-00000C440000}"/>
    <cellStyle name="Header2 18 3 6 2" xfId="17405" xr:uid="{00000000-0005-0000-0000-00000D440000}"/>
    <cellStyle name="Header2 18 3 6 2 2" xfId="17406" xr:uid="{00000000-0005-0000-0000-00000E440000}"/>
    <cellStyle name="Header2 18 3 6 2 2 2" xfId="17407" xr:uid="{00000000-0005-0000-0000-00000F440000}"/>
    <cellStyle name="Header2 18 3 6 2 2 3" xfId="17408" xr:uid="{00000000-0005-0000-0000-000010440000}"/>
    <cellStyle name="Header2 18 3 6 2 2 4" xfId="17409" xr:uid="{00000000-0005-0000-0000-000011440000}"/>
    <cellStyle name="Header2 18 3 6 2 2 5" xfId="17410" xr:uid="{00000000-0005-0000-0000-000012440000}"/>
    <cellStyle name="Header2 18 3 6 2 3" xfId="17411" xr:uid="{00000000-0005-0000-0000-000013440000}"/>
    <cellStyle name="Header2 18 3 6 2 3 2" xfId="17412" xr:uid="{00000000-0005-0000-0000-000014440000}"/>
    <cellStyle name="Header2 18 3 6 2 3 3" xfId="17413" xr:uid="{00000000-0005-0000-0000-000015440000}"/>
    <cellStyle name="Header2 18 3 6 2 3 4" xfId="17414" xr:uid="{00000000-0005-0000-0000-000016440000}"/>
    <cellStyle name="Header2 18 3 6 2 4" xfId="17415" xr:uid="{00000000-0005-0000-0000-000017440000}"/>
    <cellStyle name="Header2 18 3 6 2 5" xfId="17416" xr:uid="{00000000-0005-0000-0000-000018440000}"/>
    <cellStyle name="Header2 18 3 6 2 6" xfId="17417" xr:uid="{00000000-0005-0000-0000-000019440000}"/>
    <cellStyle name="Header2 18 3 6 3" xfId="17418" xr:uid="{00000000-0005-0000-0000-00001A440000}"/>
    <cellStyle name="Header2 18 3 6 3 2" xfId="17419" xr:uid="{00000000-0005-0000-0000-00001B440000}"/>
    <cellStyle name="Header2 18 3 6 3 2 2" xfId="17420" xr:uid="{00000000-0005-0000-0000-00001C440000}"/>
    <cellStyle name="Header2 18 3 6 3 2 3" xfId="17421" xr:uid="{00000000-0005-0000-0000-00001D440000}"/>
    <cellStyle name="Header2 18 3 6 3 2 4" xfId="17422" xr:uid="{00000000-0005-0000-0000-00001E440000}"/>
    <cellStyle name="Header2 18 3 6 3 3" xfId="17423" xr:uid="{00000000-0005-0000-0000-00001F440000}"/>
    <cellStyle name="Header2 18 3 6 3 3 2" xfId="17424" xr:uid="{00000000-0005-0000-0000-000020440000}"/>
    <cellStyle name="Header2 18 3 6 3 3 3" xfId="17425" xr:uid="{00000000-0005-0000-0000-000021440000}"/>
    <cellStyle name="Header2 18 3 6 3 3 4" xfId="17426" xr:uid="{00000000-0005-0000-0000-000022440000}"/>
    <cellStyle name="Header2 18 3 6 3 4" xfId="17427" xr:uid="{00000000-0005-0000-0000-000023440000}"/>
    <cellStyle name="Header2 18 3 6 3 5" xfId="17428" xr:uid="{00000000-0005-0000-0000-000024440000}"/>
    <cellStyle name="Header2 18 3 6 3 6" xfId="17429" xr:uid="{00000000-0005-0000-0000-000025440000}"/>
    <cellStyle name="Header2 18 3 6 4" xfId="17430" xr:uid="{00000000-0005-0000-0000-000026440000}"/>
    <cellStyle name="Header2 18 3 6 5" xfId="17431" xr:uid="{00000000-0005-0000-0000-000027440000}"/>
    <cellStyle name="Header2 18 3 7" xfId="17432" xr:uid="{00000000-0005-0000-0000-000028440000}"/>
    <cellStyle name="Header2 18 3 7 2" xfId="17433" xr:uid="{00000000-0005-0000-0000-000029440000}"/>
    <cellStyle name="Header2 18 3 7 2 2" xfId="17434" xr:uid="{00000000-0005-0000-0000-00002A440000}"/>
    <cellStyle name="Header2 18 3 7 2 2 2" xfId="17435" xr:uid="{00000000-0005-0000-0000-00002B440000}"/>
    <cellStyle name="Header2 18 3 7 2 2 3" xfId="17436" xr:uid="{00000000-0005-0000-0000-00002C440000}"/>
    <cellStyle name="Header2 18 3 7 2 2 4" xfId="17437" xr:uid="{00000000-0005-0000-0000-00002D440000}"/>
    <cellStyle name="Header2 18 3 7 2 2 5" xfId="17438" xr:uid="{00000000-0005-0000-0000-00002E440000}"/>
    <cellStyle name="Header2 18 3 7 2 3" xfId="17439" xr:uid="{00000000-0005-0000-0000-00002F440000}"/>
    <cellStyle name="Header2 18 3 7 2 3 2" xfId="17440" xr:uid="{00000000-0005-0000-0000-000030440000}"/>
    <cellStyle name="Header2 18 3 7 2 3 3" xfId="17441" xr:uid="{00000000-0005-0000-0000-000031440000}"/>
    <cellStyle name="Header2 18 3 7 2 3 4" xfId="17442" xr:uid="{00000000-0005-0000-0000-000032440000}"/>
    <cellStyle name="Header2 18 3 7 2 4" xfId="17443" xr:uid="{00000000-0005-0000-0000-000033440000}"/>
    <cellStyle name="Header2 18 3 7 2 5" xfId="17444" xr:uid="{00000000-0005-0000-0000-000034440000}"/>
    <cellStyle name="Header2 18 3 7 2 6" xfId="17445" xr:uid="{00000000-0005-0000-0000-000035440000}"/>
    <cellStyle name="Header2 18 3 7 3" xfId="17446" xr:uid="{00000000-0005-0000-0000-000036440000}"/>
    <cellStyle name="Header2 18 3 7 3 2" xfId="17447" xr:uid="{00000000-0005-0000-0000-000037440000}"/>
    <cellStyle name="Header2 18 3 7 3 2 2" xfId="17448" xr:uid="{00000000-0005-0000-0000-000038440000}"/>
    <cellStyle name="Header2 18 3 7 3 2 3" xfId="17449" xr:uid="{00000000-0005-0000-0000-000039440000}"/>
    <cellStyle name="Header2 18 3 7 3 2 4" xfId="17450" xr:uid="{00000000-0005-0000-0000-00003A440000}"/>
    <cellStyle name="Header2 18 3 7 3 3" xfId="17451" xr:uid="{00000000-0005-0000-0000-00003B440000}"/>
    <cellStyle name="Header2 18 3 7 3 3 2" xfId="17452" xr:uid="{00000000-0005-0000-0000-00003C440000}"/>
    <cellStyle name="Header2 18 3 7 3 3 3" xfId="17453" xr:uid="{00000000-0005-0000-0000-00003D440000}"/>
    <cellStyle name="Header2 18 3 7 3 3 4" xfId="17454" xr:uid="{00000000-0005-0000-0000-00003E440000}"/>
    <cellStyle name="Header2 18 3 7 3 4" xfId="17455" xr:uid="{00000000-0005-0000-0000-00003F440000}"/>
    <cellStyle name="Header2 18 3 7 3 5" xfId="17456" xr:uid="{00000000-0005-0000-0000-000040440000}"/>
    <cellStyle name="Header2 18 3 7 3 6" xfId="17457" xr:uid="{00000000-0005-0000-0000-000041440000}"/>
    <cellStyle name="Header2 18 3 7 4" xfId="17458" xr:uid="{00000000-0005-0000-0000-000042440000}"/>
    <cellStyle name="Header2 18 3 7 5" xfId="17459" xr:uid="{00000000-0005-0000-0000-000043440000}"/>
    <cellStyle name="Header2 18 3 8" xfId="17460" xr:uid="{00000000-0005-0000-0000-000044440000}"/>
    <cellStyle name="Header2 18 3 8 2" xfId="17461" xr:uid="{00000000-0005-0000-0000-000045440000}"/>
    <cellStyle name="Header2 18 3 8 2 2" xfId="17462" xr:uid="{00000000-0005-0000-0000-000046440000}"/>
    <cellStyle name="Header2 18 3 8 2 2 2" xfId="17463" xr:uid="{00000000-0005-0000-0000-000047440000}"/>
    <cellStyle name="Header2 18 3 8 2 2 3" xfId="17464" xr:uid="{00000000-0005-0000-0000-000048440000}"/>
    <cellStyle name="Header2 18 3 8 2 2 4" xfId="17465" xr:uid="{00000000-0005-0000-0000-000049440000}"/>
    <cellStyle name="Header2 18 3 8 2 2 5" xfId="17466" xr:uid="{00000000-0005-0000-0000-00004A440000}"/>
    <cellStyle name="Header2 18 3 8 2 3" xfId="17467" xr:uid="{00000000-0005-0000-0000-00004B440000}"/>
    <cellStyle name="Header2 18 3 8 2 3 2" xfId="17468" xr:uid="{00000000-0005-0000-0000-00004C440000}"/>
    <cellStyle name="Header2 18 3 8 2 3 3" xfId="17469" xr:uid="{00000000-0005-0000-0000-00004D440000}"/>
    <cellStyle name="Header2 18 3 8 2 3 4" xfId="17470" xr:uid="{00000000-0005-0000-0000-00004E440000}"/>
    <cellStyle name="Header2 18 3 8 2 4" xfId="17471" xr:uid="{00000000-0005-0000-0000-00004F440000}"/>
    <cellStyle name="Header2 18 3 8 2 5" xfId="17472" xr:uid="{00000000-0005-0000-0000-000050440000}"/>
    <cellStyle name="Header2 18 3 8 2 6" xfId="17473" xr:uid="{00000000-0005-0000-0000-000051440000}"/>
    <cellStyle name="Header2 18 3 8 3" xfId="17474" xr:uid="{00000000-0005-0000-0000-000052440000}"/>
    <cellStyle name="Header2 18 3 8 3 2" xfId="17475" xr:uid="{00000000-0005-0000-0000-000053440000}"/>
    <cellStyle name="Header2 18 3 8 3 2 2" xfId="17476" xr:uid="{00000000-0005-0000-0000-000054440000}"/>
    <cellStyle name="Header2 18 3 8 3 2 3" xfId="17477" xr:uid="{00000000-0005-0000-0000-000055440000}"/>
    <cellStyle name="Header2 18 3 8 3 2 4" xfId="17478" xr:uid="{00000000-0005-0000-0000-000056440000}"/>
    <cellStyle name="Header2 18 3 8 3 3" xfId="17479" xr:uid="{00000000-0005-0000-0000-000057440000}"/>
    <cellStyle name="Header2 18 3 8 3 3 2" xfId="17480" xr:uid="{00000000-0005-0000-0000-000058440000}"/>
    <cellStyle name="Header2 18 3 8 3 3 3" xfId="17481" xr:uid="{00000000-0005-0000-0000-000059440000}"/>
    <cellStyle name="Header2 18 3 8 3 3 4" xfId="17482" xr:uid="{00000000-0005-0000-0000-00005A440000}"/>
    <cellStyle name="Header2 18 3 8 3 4" xfId="17483" xr:uid="{00000000-0005-0000-0000-00005B440000}"/>
    <cellStyle name="Header2 18 3 8 3 5" xfId="17484" xr:uid="{00000000-0005-0000-0000-00005C440000}"/>
    <cellStyle name="Header2 18 3 8 3 6" xfId="17485" xr:uid="{00000000-0005-0000-0000-00005D440000}"/>
    <cellStyle name="Header2 18 3 8 4" xfId="17486" xr:uid="{00000000-0005-0000-0000-00005E440000}"/>
    <cellStyle name="Header2 18 3 8 5" xfId="17487" xr:uid="{00000000-0005-0000-0000-00005F440000}"/>
    <cellStyle name="Header2 18 3 9" xfId="17488" xr:uid="{00000000-0005-0000-0000-000060440000}"/>
    <cellStyle name="Header2 18 3 9 2" xfId="17489" xr:uid="{00000000-0005-0000-0000-000061440000}"/>
    <cellStyle name="Header2 18 3 9 2 2" xfId="17490" xr:uid="{00000000-0005-0000-0000-000062440000}"/>
    <cellStyle name="Header2 18 3 9 2 2 2" xfId="17491" xr:uid="{00000000-0005-0000-0000-000063440000}"/>
    <cellStyle name="Header2 18 3 9 2 2 3" xfId="17492" xr:uid="{00000000-0005-0000-0000-000064440000}"/>
    <cellStyle name="Header2 18 3 9 2 2 4" xfId="17493" xr:uid="{00000000-0005-0000-0000-000065440000}"/>
    <cellStyle name="Header2 18 3 9 2 2 5" xfId="17494" xr:uid="{00000000-0005-0000-0000-000066440000}"/>
    <cellStyle name="Header2 18 3 9 2 3" xfId="17495" xr:uid="{00000000-0005-0000-0000-000067440000}"/>
    <cellStyle name="Header2 18 3 9 2 3 2" xfId="17496" xr:uid="{00000000-0005-0000-0000-000068440000}"/>
    <cellStyle name="Header2 18 3 9 2 3 3" xfId="17497" xr:uid="{00000000-0005-0000-0000-000069440000}"/>
    <cellStyle name="Header2 18 3 9 2 3 4" xfId="17498" xr:uid="{00000000-0005-0000-0000-00006A440000}"/>
    <cellStyle name="Header2 18 3 9 2 4" xfId="17499" xr:uid="{00000000-0005-0000-0000-00006B440000}"/>
    <cellStyle name="Header2 18 3 9 2 5" xfId="17500" xr:uid="{00000000-0005-0000-0000-00006C440000}"/>
    <cellStyle name="Header2 18 3 9 2 6" xfId="17501" xr:uid="{00000000-0005-0000-0000-00006D440000}"/>
    <cellStyle name="Header2 18 3 9 3" xfId="17502" xr:uid="{00000000-0005-0000-0000-00006E440000}"/>
    <cellStyle name="Header2 18 3 9 3 2" xfId="17503" xr:uid="{00000000-0005-0000-0000-00006F440000}"/>
    <cellStyle name="Header2 18 3 9 3 2 2" xfId="17504" xr:uid="{00000000-0005-0000-0000-000070440000}"/>
    <cellStyle name="Header2 18 3 9 3 2 3" xfId="17505" xr:uid="{00000000-0005-0000-0000-000071440000}"/>
    <cellStyle name="Header2 18 3 9 3 2 4" xfId="17506" xr:uid="{00000000-0005-0000-0000-000072440000}"/>
    <cellStyle name="Header2 18 3 9 3 3" xfId="17507" xr:uid="{00000000-0005-0000-0000-000073440000}"/>
    <cellStyle name="Header2 18 3 9 3 3 2" xfId="17508" xr:uid="{00000000-0005-0000-0000-000074440000}"/>
    <cellStyle name="Header2 18 3 9 3 3 3" xfId="17509" xr:uid="{00000000-0005-0000-0000-000075440000}"/>
    <cellStyle name="Header2 18 3 9 3 3 4" xfId="17510" xr:uid="{00000000-0005-0000-0000-000076440000}"/>
    <cellStyle name="Header2 18 3 9 3 4" xfId="17511" xr:uid="{00000000-0005-0000-0000-000077440000}"/>
    <cellStyle name="Header2 18 3 9 3 5" xfId="17512" xr:uid="{00000000-0005-0000-0000-000078440000}"/>
    <cellStyle name="Header2 18 3 9 3 6" xfId="17513" xr:uid="{00000000-0005-0000-0000-000079440000}"/>
    <cellStyle name="Header2 18 3 9 4" xfId="17514" xr:uid="{00000000-0005-0000-0000-00007A440000}"/>
    <cellStyle name="Header2 18 3 9 5" xfId="17515" xr:uid="{00000000-0005-0000-0000-00007B440000}"/>
    <cellStyle name="Header2 19" xfId="17516" xr:uid="{00000000-0005-0000-0000-00007C440000}"/>
    <cellStyle name="Header2 19 2" xfId="17517" xr:uid="{00000000-0005-0000-0000-00007D440000}"/>
    <cellStyle name="Header2 19 2 10" xfId="17518" xr:uid="{00000000-0005-0000-0000-00007E440000}"/>
    <cellStyle name="Header2 19 2 10 2" xfId="17519" xr:uid="{00000000-0005-0000-0000-00007F440000}"/>
    <cellStyle name="Header2 19 2 10 2 2" xfId="17520" xr:uid="{00000000-0005-0000-0000-000080440000}"/>
    <cellStyle name="Header2 19 2 10 2 2 2" xfId="17521" xr:uid="{00000000-0005-0000-0000-000081440000}"/>
    <cellStyle name="Header2 19 2 10 2 2 3" xfId="17522" xr:uid="{00000000-0005-0000-0000-000082440000}"/>
    <cellStyle name="Header2 19 2 10 2 2 4" xfId="17523" xr:uid="{00000000-0005-0000-0000-000083440000}"/>
    <cellStyle name="Header2 19 2 10 2 2 5" xfId="17524" xr:uid="{00000000-0005-0000-0000-000084440000}"/>
    <cellStyle name="Header2 19 2 10 2 3" xfId="17525" xr:uid="{00000000-0005-0000-0000-000085440000}"/>
    <cellStyle name="Header2 19 2 10 2 3 2" xfId="17526" xr:uid="{00000000-0005-0000-0000-000086440000}"/>
    <cellStyle name="Header2 19 2 10 2 3 3" xfId="17527" xr:uid="{00000000-0005-0000-0000-000087440000}"/>
    <cellStyle name="Header2 19 2 10 2 3 4" xfId="17528" xr:uid="{00000000-0005-0000-0000-000088440000}"/>
    <cellStyle name="Header2 19 2 10 2 4" xfId="17529" xr:uid="{00000000-0005-0000-0000-000089440000}"/>
    <cellStyle name="Header2 19 2 10 2 5" xfId="17530" xr:uid="{00000000-0005-0000-0000-00008A440000}"/>
    <cellStyle name="Header2 19 2 10 2 6" xfId="17531" xr:uid="{00000000-0005-0000-0000-00008B440000}"/>
    <cellStyle name="Header2 19 2 10 3" xfId="17532" xr:uid="{00000000-0005-0000-0000-00008C440000}"/>
    <cellStyle name="Header2 19 2 10 3 2" xfId="17533" xr:uid="{00000000-0005-0000-0000-00008D440000}"/>
    <cellStyle name="Header2 19 2 10 3 2 2" xfId="17534" xr:uid="{00000000-0005-0000-0000-00008E440000}"/>
    <cellStyle name="Header2 19 2 10 3 2 3" xfId="17535" xr:uid="{00000000-0005-0000-0000-00008F440000}"/>
    <cellStyle name="Header2 19 2 10 3 2 4" xfId="17536" xr:uid="{00000000-0005-0000-0000-000090440000}"/>
    <cellStyle name="Header2 19 2 10 3 3" xfId="17537" xr:uid="{00000000-0005-0000-0000-000091440000}"/>
    <cellStyle name="Header2 19 2 10 3 3 2" xfId="17538" xr:uid="{00000000-0005-0000-0000-000092440000}"/>
    <cellStyle name="Header2 19 2 10 3 3 3" xfId="17539" xr:uid="{00000000-0005-0000-0000-000093440000}"/>
    <cellStyle name="Header2 19 2 10 3 3 4" xfId="17540" xr:uid="{00000000-0005-0000-0000-000094440000}"/>
    <cellStyle name="Header2 19 2 10 3 4" xfId="17541" xr:uid="{00000000-0005-0000-0000-000095440000}"/>
    <cellStyle name="Header2 19 2 10 3 5" xfId="17542" xr:uid="{00000000-0005-0000-0000-000096440000}"/>
    <cellStyle name="Header2 19 2 10 3 6" xfId="17543" xr:uid="{00000000-0005-0000-0000-000097440000}"/>
    <cellStyle name="Header2 19 2 10 4" xfId="17544" xr:uid="{00000000-0005-0000-0000-000098440000}"/>
    <cellStyle name="Header2 19 2 10 5" xfId="17545" xr:uid="{00000000-0005-0000-0000-000099440000}"/>
    <cellStyle name="Header2 19 2 11" xfId="17546" xr:uid="{00000000-0005-0000-0000-00009A440000}"/>
    <cellStyle name="Header2 19 2 11 2" xfId="17547" xr:uid="{00000000-0005-0000-0000-00009B440000}"/>
    <cellStyle name="Header2 19 2 11 2 2" xfId="17548" xr:uid="{00000000-0005-0000-0000-00009C440000}"/>
    <cellStyle name="Header2 19 2 11 2 2 2" xfId="17549" xr:uid="{00000000-0005-0000-0000-00009D440000}"/>
    <cellStyle name="Header2 19 2 11 2 2 3" xfId="17550" xr:uid="{00000000-0005-0000-0000-00009E440000}"/>
    <cellStyle name="Header2 19 2 11 2 2 4" xfId="17551" xr:uid="{00000000-0005-0000-0000-00009F440000}"/>
    <cellStyle name="Header2 19 2 11 2 2 5" xfId="17552" xr:uid="{00000000-0005-0000-0000-0000A0440000}"/>
    <cellStyle name="Header2 19 2 11 2 3" xfId="17553" xr:uid="{00000000-0005-0000-0000-0000A1440000}"/>
    <cellStyle name="Header2 19 2 11 2 3 2" xfId="17554" xr:uid="{00000000-0005-0000-0000-0000A2440000}"/>
    <cellStyle name="Header2 19 2 11 2 3 3" xfId="17555" xr:uid="{00000000-0005-0000-0000-0000A3440000}"/>
    <cellStyle name="Header2 19 2 11 2 3 4" xfId="17556" xr:uid="{00000000-0005-0000-0000-0000A4440000}"/>
    <cellStyle name="Header2 19 2 11 2 4" xfId="17557" xr:uid="{00000000-0005-0000-0000-0000A5440000}"/>
    <cellStyle name="Header2 19 2 11 2 5" xfId="17558" xr:uid="{00000000-0005-0000-0000-0000A6440000}"/>
    <cellStyle name="Header2 19 2 11 2 6" xfId="17559" xr:uid="{00000000-0005-0000-0000-0000A7440000}"/>
    <cellStyle name="Header2 19 2 11 3" xfId="17560" xr:uid="{00000000-0005-0000-0000-0000A8440000}"/>
    <cellStyle name="Header2 19 2 11 3 2" xfId="17561" xr:uid="{00000000-0005-0000-0000-0000A9440000}"/>
    <cellStyle name="Header2 19 2 11 3 2 2" xfId="17562" xr:uid="{00000000-0005-0000-0000-0000AA440000}"/>
    <cellStyle name="Header2 19 2 11 3 2 3" xfId="17563" xr:uid="{00000000-0005-0000-0000-0000AB440000}"/>
    <cellStyle name="Header2 19 2 11 3 2 4" xfId="17564" xr:uid="{00000000-0005-0000-0000-0000AC440000}"/>
    <cellStyle name="Header2 19 2 11 3 3" xfId="17565" xr:uid="{00000000-0005-0000-0000-0000AD440000}"/>
    <cellStyle name="Header2 19 2 11 3 3 2" xfId="17566" xr:uid="{00000000-0005-0000-0000-0000AE440000}"/>
    <cellStyle name="Header2 19 2 11 3 3 3" xfId="17567" xr:uid="{00000000-0005-0000-0000-0000AF440000}"/>
    <cellStyle name="Header2 19 2 11 3 3 4" xfId="17568" xr:uid="{00000000-0005-0000-0000-0000B0440000}"/>
    <cellStyle name="Header2 19 2 11 3 4" xfId="17569" xr:uid="{00000000-0005-0000-0000-0000B1440000}"/>
    <cellStyle name="Header2 19 2 11 3 5" xfId="17570" xr:uid="{00000000-0005-0000-0000-0000B2440000}"/>
    <cellStyle name="Header2 19 2 11 3 6" xfId="17571" xr:uid="{00000000-0005-0000-0000-0000B3440000}"/>
    <cellStyle name="Header2 19 2 11 4" xfId="17572" xr:uid="{00000000-0005-0000-0000-0000B4440000}"/>
    <cellStyle name="Header2 19 2 11 5" xfId="17573" xr:uid="{00000000-0005-0000-0000-0000B5440000}"/>
    <cellStyle name="Header2 19 2 12" xfId="17574" xr:uid="{00000000-0005-0000-0000-0000B6440000}"/>
    <cellStyle name="Header2 19 2 12 2" xfId="17575" xr:uid="{00000000-0005-0000-0000-0000B7440000}"/>
    <cellStyle name="Header2 19 2 12 2 2" xfId="17576" xr:uid="{00000000-0005-0000-0000-0000B8440000}"/>
    <cellStyle name="Header2 19 2 12 2 2 2" xfId="17577" xr:uid="{00000000-0005-0000-0000-0000B9440000}"/>
    <cellStyle name="Header2 19 2 12 2 2 3" xfId="17578" xr:uid="{00000000-0005-0000-0000-0000BA440000}"/>
    <cellStyle name="Header2 19 2 12 2 2 4" xfId="17579" xr:uid="{00000000-0005-0000-0000-0000BB440000}"/>
    <cellStyle name="Header2 19 2 12 2 2 5" xfId="17580" xr:uid="{00000000-0005-0000-0000-0000BC440000}"/>
    <cellStyle name="Header2 19 2 12 2 3" xfId="17581" xr:uid="{00000000-0005-0000-0000-0000BD440000}"/>
    <cellStyle name="Header2 19 2 12 2 3 2" xfId="17582" xr:uid="{00000000-0005-0000-0000-0000BE440000}"/>
    <cellStyle name="Header2 19 2 12 2 3 3" xfId="17583" xr:uid="{00000000-0005-0000-0000-0000BF440000}"/>
    <cellStyle name="Header2 19 2 12 2 3 4" xfId="17584" xr:uid="{00000000-0005-0000-0000-0000C0440000}"/>
    <cellStyle name="Header2 19 2 12 2 4" xfId="17585" xr:uid="{00000000-0005-0000-0000-0000C1440000}"/>
    <cellStyle name="Header2 19 2 12 2 5" xfId="17586" xr:uid="{00000000-0005-0000-0000-0000C2440000}"/>
    <cellStyle name="Header2 19 2 12 2 6" xfId="17587" xr:uid="{00000000-0005-0000-0000-0000C3440000}"/>
    <cellStyle name="Header2 19 2 12 3" xfId="17588" xr:uid="{00000000-0005-0000-0000-0000C4440000}"/>
    <cellStyle name="Header2 19 2 12 3 2" xfId="17589" xr:uid="{00000000-0005-0000-0000-0000C5440000}"/>
    <cellStyle name="Header2 19 2 12 3 2 2" xfId="17590" xr:uid="{00000000-0005-0000-0000-0000C6440000}"/>
    <cellStyle name="Header2 19 2 12 3 2 3" xfId="17591" xr:uid="{00000000-0005-0000-0000-0000C7440000}"/>
    <cellStyle name="Header2 19 2 12 3 2 4" xfId="17592" xr:uid="{00000000-0005-0000-0000-0000C8440000}"/>
    <cellStyle name="Header2 19 2 12 3 3" xfId="17593" xr:uid="{00000000-0005-0000-0000-0000C9440000}"/>
    <cellStyle name="Header2 19 2 12 3 3 2" xfId="17594" xr:uid="{00000000-0005-0000-0000-0000CA440000}"/>
    <cellStyle name="Header2 19 2 12 3 3 3" xfId="17595" xr:uid="{00000000-0005-0000-0000-0000CB440000}"/>
    <cellStyle name="Header2 19 2 12 3 3 4" xfId="17596" xr:uid="{00000000-0005-0000-0000-0000CC440000}"/>
    <cellStyle name="Header2 19 2 12 3 4" xfId="17597" xr:uid="{00000000-0005-0000-0000-0000CD440000}"/>
    <cellStyle name="Header2 19 2 12 3 5" xfId="17598" xr:uid="{00000000-0005-0000-0000-0000CE440000}"/>
    <cellStyle name="Header2 19 2 12 3 6" xfId="17599" xr:uid="{00000000-0005-0000-0000-0000CF440000}"/>
    <cellStyle name="Header2 19 2 12 4" xfId="17600" xr:uid="{00000000-0005-0000-0000-0000D0440000}"/>
    <cellStyle name="Header2 19 2 12 5" xfId="17601" xr:uid="{00000000-0005-0000-0000-0000D1440000}"/>
    <cellStyle name="Header2 19 2 13" xfId="17602" xr:uid="{00000000-0005-0000-0000-0000D2440000}"/>
    <cellStyle name="Header2 19 2 13 2" xfId="17603" xr:uid="{00000000-0005-0000-0000-0000D3440000}"/>
    <cellStyle name="Header2 19 2 13 2 2" xfId="17604" xr:uid="{00000000-0005-0000-0000-0000D4440000}"/>
    <cellStyle name="Header2 19 2 13 2 2 2" xfId="17605" xr:uid="{00000000-0005-0000-0000-0000D5440000}"/>
    <cellStyle name="Header2 19 2 13 2 2 3" xfId="17606" xr:uid="{00000000-0005-0000-0000-0000D6440000}"/>
    <cellStyle name="Header2 19 2 13 2 2 4" xfId="17607" xr:uid="{00000000-0005-0000-0000-0000D7440000}"/>
    <cellStyle name="Header2 19 2 13 2 2 5" xfId="17608" xr:uid="{00000000-0005-0000-0000-0000D8440000}"/>
    <cellStyle name="Header2 19 2 13 2 3" xfId="17609" xr:uid="{00000000-0005-0000-0000-0000D9440000}"/>
    <cellStyle name="Header2 19 2 13 2 3 2" xfId="17610" xr:uid="{00000000-0005-0000-0000-0000DA440000}"/>
    <cellStyle name="Header2 19 2 13 2 3 3" xfId="17611" xr:uid="{00000000-0005-0000-0000-0000DB440000}"/>
    <cellStyle name="Header2 19 2 13 2 3 4" xfId="17612" xr:uid="{00000000-0005-0000-0000-0000DC440000}"/>
    <cellStyle name="Header2 19 2 13 2 4" xfId="17613" xr:uid="{00000000-0005-0000-0000-0000DD440000}"/>
    <cellStyle name="Header2 19 2 13 2 5" xfId="17614" xr:uid="{00000000-0005-0000-0000-0000DE440000}"/>
    <cellStyle name="Header2 19 2 13 2 6" xfId="17615" xr:uid="{00000000-0005-0000-0000-0000DF440000}"/>
    <cellStyle name="Header2 19 2 13 3" xfId="17616" xr:uid="{00000000-0005-0000-0000-0000E0440000}"/>
    <cellStyle name="Header2 19 2 13 3 2" xfId="17617" xr:uid="{00000000-0005-0000-0000-0000E1440000}"/>
    <cellStyle name="Header2 19 2 13 3 2 2" xfId="17618" xr:uid="{00000000-0005-0000-0000-0000E2440000}"/>
    <cellStyle name="Header2 19 2 13 3 2 3" xfId="17619" xr:uid="{00000000-0005-0000-0000-0000E3440000}"/>
    <cellStyle name="Header2 19 2 13 3 2 4" xfId="17620" xr:uid="{00000000-0005-0000-0000-0000E4440000}"/>
    <cellStyle name="Header2 19 2 13 3 3" xfId="17621" xr:uid="{00000000-0005-0000-0000-0000E5440000}"/>
    <cellStyle name="Header2 19 2 13 3 3 2" xfId="17622" xr:uid="{00000000-0005-0000-0000-0000E6440000}"/>
    <cellStyle name="Header2 19 2 13 3 3 3" xfId="17623" xr:uid="{00000000-0005-0000-0000-0000E7440000}"/>
    <cellStyle name="Header2 19 2 13 3 3 4" xfId="17624" xr:uid="{00000000-0005-0000-0000-0000E8440000}"/>
    <cellStyle name="Header2 19 2 13 3 4" xfId="17625" xr:uid="{00000000-0005-0000-0000-0000E9440000}"/>
    <cellStyle name="Header2 19 2 13 3 5" xfId="17626" xr:uid="{00000000-0005-0000-0000-0000EA440000}"/>
    <cellStyle name="Header2 19 2 13 3 6" xfId="17627" xr:uid="{00000000-0005-0000-0000-0000EB440000}"/>
    <cellStyle name="Header2 19 2 13 4" xfId="17628" xr:uid="{00000000-0005-0000-0000-0000EC440000}"/>
    <cellStyle name="Header2 19 2 13 5" xfId="17629" xr:uid="{00000000-0005-0000-0000-0000ED440000}"/>
    <cellStyle name="Header2 19 2 14" xfId="58734" xr:uid="{00000000-0005-0000-0000-0000EE440000}"/>
    <cellStyle name="Header2 19 2 2" xfId="17630" xr:uid="{00000000-0005-0000-0000-0000EF440000}"/>
    <cellStyle name="Header2 19 2 2 2" xfId="17631" xr:uid="{00000000-0005-0000-0000-0000F0440000}"/>
    <cellStyle name="Header2 19 2 2 2 2" xfId="17632" xr:uid="{00000000-0005-0000-0000-0000F1440000}"/>
    <cellStyle name="Header2 19 2 2 2 2 2" xfId="17633" xr:uid="{00000000-0005-0000-0000-0000F2440000}"/>
    <cellStyle name="Header2 19 2 2 2 2 2 2" xfId="17634" xr:uid="{00000000-0005-0000-0000-0000F3440000}"/>
    <cellStyle name="Header2 19 2 2 2 2 2 3" xfId="17635" xr:uid="{00000000-0005-0000-0000-0000F4440000}"/>
    <cellStyle name="Header2 19 2 2 2 2 2 4" xfId="17636" xr:uid="{00000000-0005-0000-0000-0000F5440000}"/>
    <cellStyle name="Header2 19 2 2 2 2 2 5" xfId="17637" xr:uid="{00000000-0005-0000-0000-0000F6440000}"/>
    <cellStyle name="Header2 19 2 2 2 2 3" xfId="17638" xr:uid="{00000000-0005-0000-0000-0000F7440000}"/>
    <cellStyle name="Header2 19 2 2 2 2 3 2" xfId="17639" xr:uid="{00000000-0005-0000-0000-0000F8440000}"/>
    <cellStyle name="Header2 19 2 2 2 2 3 3" xfId="17640" xr:uid="{00000000-0005-0000-0000-0000F9440000}"/>
    <cellStyle name="Header2 19 2 2 2 2 3 4" xfId="17641" xr:uid="{00000000-0005-0000-0000-0000FA440000}"/>
    <cellStyle name="Header2 19 2 2 2 2 4" xfId="17642" xr:uid="{00000000-0005-0000-0000-0000FB440000}"/>
    <cellStyle name="Header2 19 2 2 2 2 5" xfId="17643" xr:uid="{00000000-0005-0000-0000-0000FC440000}"/>
    <cellStyle name="Header2 19 2 2 2 2 6" xfId="17644" xr:uid="{00000000-0005-0000-0000-0000FD440000}"/>
    <cellStyle name="Header2 19 2 2 2 3" xfId="17645" xr:uid="{00000000-0005-0000-0000-0000FE440000}"/>
    <cellStyle name="Header2 19 2 2 2 3 2" xfId="17646" xr:uid="{00000000-0005-0000-0000-0000FF440000}"/>
    <cellStyle name="Header2 19 2 2 2 3 2 2" xfId="17647" xr:uid="{00000000-0005-0000-0000-000000450000}"/>
    <cellStyle name="Header2 19 2 2 2 3 2 3" xfId="17648" xr:uid="{00000000-0005-0000-0000-000001450000}"/>
    <cellStyle name="Header2 19 2 2 2 3 2 4" xfId="17649" xr:uid="{00000000-0005-0000-0000-000002450000}"/>
    <cellStyle name="Header2 19 2 2 2 3 3" xfId="17650" xr:uid="{00000000-0005-0000-0000-000003450000}"/>
    <cellStyle name="Header2 19 2 2 2 3 3 2" xfId="17651" xr:uid="{00000000-0005-0000-0000-000004450000}"/>
    <cellStyle name="Header2 19 2 2 2 3 3 3" xfId="17652" xr:uid="{00000000-0005-0000-0000-000005450000}"/>
    <cellStyle name="Header2 19 2 2 2 3 3 4" xfId="17653" xr:uid="{00000000-0005-0000-0000-000006450000}"/>
    <cellStyle name="Header2 19 2 2 2 3 4" xfId="17654" xr:uid="{00000000-0005-0000-0000-000007450000}"/>
    <cellStyle name="Header2 19 2 2 2 3 5" xfId="17655" xr:uid="{00000000-0005-0000-0000-000008450000}"/>
    <cellStyle name="Header2 19 2 2 2 3 6" xfId="17656" xr:uid="{00000000-0005-0000-0000-000009450000}"/>
    <cellStyle name="Header2 19 2 2 2 4" xfId="17657" xr:uid="{00000000-0005-0000-0000-00000A450000}"/>
    <cellStyle name="Header2 19 2 2 2 5" xfId="17658" xr:uid="{00000000-0005-0000-0000-00000B450000}"/>
    <cellStyle name="Header2 19 2 2 3" xfId="17659" xr:uid="{00000000-0005-0000-0000-00000C450000}"/>
    <cellStyle name="Header2 19 2 2 3 2" xfId="17660" xr:uid="{00000000-0005-0000-0000-00000D450000}"/>
    <cellStyle name="Header2 19 2 2 3 2 2" xfId="17661" xr:uid="{00000000-0005-0000-0000-00000E450000}"/>
    <cellStyle name="Header2 19 2 2 3 2 2 2" xfId="17662" xr:uid="{00000000-0005-0000-0000-00000F450000}"/>
    <cellStyle name="Header2 19 2 2 3 2 2 3" xfId="17663" xr:uid="{00000000-0005-0000-0000-000010450000}"/>
    <cellStyle name="Header2 19 2 2 3 2 2 4" xfId="17664" xr:uid="{00000000-0005-0000-0000-000011450000}"/>
    <cellStyle name="Header2 19 2 2 3 2 2 5" xfId="17665" xr:uid="{00000000-0005-0000-0000-000012450000}"/>
    <cellStyle name="Header2 19 2 2 3 2 3" xfId="17666" xr:uid="{00000000-0005-0000-0000-000013450000}"/>
    <cellStyle name="Header2 19 2 2 3 2 3 2" xfId="17667" xr:uid="{00000000-0005-0000-0000-000014450000}"/>
    <cellStyle name="Header2 19 2 2 3 2 3 3" xfId="17668" xr:uid="{00000000-0005-0000-0000-000015450000}"/>
    <cellStyle name="Header2 19 2 2 3 2 3 4" xfId="17669" xr:uid="{00000000-0005-0000-0000-000016450000}"/>
    <cellStyle name="Header2 19 2 2 3 2 4" xfId="17670" xr:uid="{00000000-0005-0000-0000-000017450000}"/>
    <cellStyle name="Header2 19 2 2 3 2 5" xfId="17671" xr:uid="{00000000-0005-0000-0000-000018450000}"/>
    <cellStyle name="Header2 19 2 2 3 2 6" xfId="17672" xr:uid="{00000000-0005-0000-0000-000019450000}"/>
    <cellStyle name="Header2 19 2 2 3 3" xfId="17673" xr:uid="{00000000-0005-0000-0000-00001A450000}"/>
    <cellStyle name="Header2 19 2 2 3 3 2" xfId="17674" xr:uid="{00000000-0005-0000-0000-00001B450000}"/>
    <cellStyle name="Header2 19 2 2 3 3 2 2" xfId="17675" xr:uid="{00000000-0005-0000-0000-00001C450000}"/>
    <cellStyle name="Header2 19 2 2 3 3 2 3" xfId="17676" xr:uid="{00000000-0005-0000-0000-00001D450000}"/>
    <cellStyle name="Header2 19 2 2 3 3 2 4" xfId="17677" xr:uid="{00000000-0005-0000-0000-00001E450000}"/>
    <cellStyle name="Header2 19 2 2 3 3 3" xfId="17678" xr:uid="{00000000-0005-0000-0000-00001F450000}"/>
    <cellStyle name="Header2 19 2 2 3 3 3 2" xfId="17679" xr:uid="{00000000-0005-0000-0000-000020450000}"/>
    <cellStyle name="Header2 19 2 2 3 3 3 3" xfId="17680" xr:uid="{00000000-0005-0000-0000-000021450000}"/>
    <cellStyle name="Header2 19 2 2 3 3 3 4" xfId="17681" xr:uid="{00000000-0005-0000-0000-000022450000}"/>
    <cellStyle name="Header2 19 2 2 3 3 4" xfId="17682" xr:uid="{00000000-0005-0000-0000-000023450000}"/>
    <cellStyle name="Header2 19 2 2 3 3 5" xfId="17683" xr:uid="{00000000-0005-0000-0000-000024450000}"/>
    <cellStyle name="Header2 19 2 2 3 3 6" xfId="17684" xr:uid="{00000000-0005-0000-0000-000025450000}"/>
    <cellStyle name="Header2 19 2 2 3 4" xfId="17685" xr:uid="{00000000-0005-0000-0000-000026450000}"/>
    <cellStyle name="Header2 19 2 2 3 5" xfId="17686" xr:uid="{00000000-0005-0000-0000-000027450000}"/>
    <cellStyle name="Header2 19 2 3" xfId="17687" xr:uid="{00000000-0005-0000-0000-000028450000}"/>
    <cellStyle name="Header2 19 2 3 2" xfId="17688" xr:uid="{00000000-0005-0000-0000-000029450000}"/>
    <cellStyle name="Header2 19 2 3 2 2" xfId="17689" xr:uid="{00000000-0005-0000-0000-00002A450000}"/>
    <cellStyle name="Header2 19 2 3 2 3" xfId="17690" xr:uid="{00000000-0005-0000-0000-00002B450000}"/>
    <cellStyle name="Header2 19 2 3 3" xfId="17691" xr:uid="{00000000-0005-0000-0000-00002C450000}"/>
    <cellStyle name="Header2 19 2 4" xfId="17692" xr:uid="{00000000-0005-0000-0000-00002D450000}"/>
    <cellStyle name="Header2 19 2 4 2" xfId="17693" xr:uid="{00000000-0005-0000-0000-00002E450000}"/>
    <cellStyle name="Header2 19 2 4 2 2" xfId="17694" xr:uid="{00000000-0005-0000-0000-00002F450000}"/>
    <cellStyle name="Header2 19 2 4 2 3" xfId="17695" xr:uid="{00000000-0005-0000-0000-000030450000}"/>
    <cellStyle name="Header2 19 2 4 3" xfId="17696" xr:uid="{00000000-0005-0000-0000-000031450000}"/>
    <cellStyle name="Header2 19 2 5" xfId="17697" xr:uid="{00000000-0005-0000-0000-000032450000}"/>
    <cellStyle name="Header2 19 2 5 2" xfId="17698" xr:uid="{00000000-0005-0000-0000-000033450000}"/>
    <cellStyle name="Header2 19 2 5 2 2" xfId="17699" xr:uid="{00000000-0005-0000-0000-000034450000}"/>
    <cellStyle name="Header2 19 2 5 2 3" xfId="17700" xr:uid="{00000000-0005-0000-0000-000035450000}"/>
    <cellStyle name="Header2 19 2 5 3" xfId="17701" xr:uid="{00000000-0005-0000-0000-000036450000}"/>
    <cellStyle name="Header2 19 2 6" xfId="17702" xr:uid="{00000000-0005-0000-0000-000037450000}"/>
    <cellStyle name="Header2 19 2 6 2" xfId="17703" xr:uid="{00000000-0005-0000-0000-000038450000}"/>
    <cellStyle name="Header2 19 2 6 2 2" xfId="17704" xr:uid="{00000000-0005-0000-0000-000039450000}"/>
    <cellStyle name="Header2 19 2 6 2 2 2" xfId="17705" xr:uid="{00000000-0005-0000-0000-00003A450000}"/>
    <cellStyle name="Header2 19 2 6 2 2 3" xfId="17706" xr:uid="{00000000-0005-0000-0000-00003B450000}"/>
    <cellStyle name="Header2 19 2 6 2 2 4" xfId="17707" xr:uid="{00000000-0005-0000-0000-00003C450000}"/>
    <cellStyle name="Header2 19 2 6 2 2 5" xfId="17708" xr:uid="{00000000-0005-0000-0000-00003D450000}"/>
    <cellStyle name="Header2 19 2 6 2 3" xfId="17709" xr:uid="{00000000-0005-0000-0000-00003E450000}"/>
    <cellStyle name="Header2 19 2 6 2 3 2" xfId="17710" xr:uid="{00000000-0005-0000-0000-00003F450000}"/>
    <cellStyle name="Header2 19 2 6 2 3 3" xfId="17711" xr:uid="{00000000-0005-0000-0000-000040450000}"/>
    <cellStyle name="Header2 19 2 6 2 3 4" xfId="17712" xr:uid="{00000000-0005-0000-0000-000041450000}"/>
    <cellStyle name="Header2 19 2 6 2 4" xfId="17713" xr:uid="{00000000-0005-0000-0000-000042450000}"/>
    <cellStyle name="Header2 19 2 6 2 5" xfId="17714" xr:uid="{00000000-0005-0000-0000-000043450000}"/>
    <cellStyle name="Header2 19 2 6 2 6" xfId="17715" xr:uid="{00000000-0005-0000-0000-000044450000}"/>
    <cellStyle name="Header2 19 2 6 3" xfId="17716" xr:uid="{00000000-0005-0000-0000-000045450000}"/>
    <cellStyle name="Header2 19 2 6 3 2" xfId="17717" xr:uid="{00000000-0005-0000-0000-000046450000}"/>
    <cellStyle name="Header2 19 2 6 3 2 2" xfId="17718" xr:uid="{00000000-0005-0000-0000-000047450000}"/>
    <cellStyle name="Header2 19 2 6 3 2 3" xfId="17719" xr:uid="{00000000-0005-0000-0000-000048450000}"/>
    <cellStyle name="Header2 19 2 6 3 2 4" xfId="17720" xr:uid="{00000000-0005-0000-0000-000049450000}"/>
    <cellStyle name="Header2 19 2 6 3 3" xfId="17721" xr:uid="{00000000-0005-0000-0000-00004A450000}"/>
    <cellStyle name="Header2 19 2 6 3 3 2" xfId="17722" xr:uid="{00000000-0005-0000-0000-00004B450000}"/>
    <cellStyle name="Header2 19 2 6 3 3 3" xfId="17723" xr:uid="{00000000-0005-0000-0000-00004C450000}"/>
    <cellStyle name="Header2 19 2 6 3 3 4" xfId="17724" xr:uid="{00000000-0005-0000-0000-00004D450000}"/>
    <cellStyle name="Header2 19 2 6 3 4" xfId="17725" xr:uid="{00000000-0005-0000-0000-00004E450000}"/>
    <cellStyle name="Header2 19 2 6 3 5" xfId="17726" xr:uid="{00000000-0005-0000-0000-00004F450000}"/>
    <cellStyle name="Header2 19 2 6 3 6" xfId="17727" xr:uid="{00000000-0005-0000-0000-000050450000}"/>
    <cellStyle name="Header2 19 2 6 4" xfId="17728" xr:uid="{00000000-0005-0000-0000-000051450000}"/>
    <cellStyle name="Header2 19 2 6 5" xfId="17729" xr:uid="{00000000-0005-0000-0000-000052450000}"/>
    <cellStyle name="Header2 19 2 7" xfId="17730" xr:uid="{00000000-0005-0000-0000-000053450000}"/>
    <cellStyle name="Header2 19 2 7 2" xfId="17731" xr:uid="{00000000-0005-0000-0000-000054450000}"/>
    <cellStyle name="Header2 19 2 7 2 2" xfId="17732" xr:uid="{00000000-0005-0000-0000-000055450000}"/>
    <cellStyle name="Header2 19 2 7 2 2 2" xfId="17733" xr:uid="{00000000-0005-0000-0000-000056450000}"/>
    <cellStyle name="Header2 19 2 7 2 2 3" xfId="17734" xr:uid="{00000000-0005-0000-0000-000057450000}"/>
    <cellStyle name="Header2 19 2 7 2 2 4" xfId="17735" xr:uid="{00000000-0005-0000-0000-000058450000}"/>
    <cellStyle name="Header2 19 2 7 2 2 5" xfId="17736" xr:uid="{00000000-0005-0000-0000-000059450000}"/>
    <cellStyle name="Header2 19 2 7 2 3" xfId="17737" xr:uid="{00000000-0005-0000-0000-00005A450000}"/>
    <cellStyle name="Header2 19 2 7 2 3 2" xfId="17738" xr:uid="{00000000-0005-0000-0000-00005B450000}"/>
    <cellStyle name="Header2 19 2 7 2 3 3" xfId="17739" xr:uid="{00000000-0005-0000-0000-00005C450000}"/>
    <cellStyle name="Header2 19 2 7 2 3 4" xfId="17740" xr:uid="{00000000-0005-0000-0000-00005D450000}"/>
    <cellStyle name="Header2 19 2 7 2 4" xfId="17741" xr:uid="{00000000-0005-0000-0000-00005E450000}"/>
    <cellStyle name="Header2 19 2 7 2 5" xfId="17742" xr:uid="{00000000-0005-0000-0000-00005F450000}"/>
    <cellStyle name="Header2 19 2 7 2 6" xfId="17743" xr:uid="{00000000-0005-0000-0000-000060450000}"/>
    <cellStyle name="Header2 19 2 7 3" xfId="17744" xr:uid="{00000000-0005-0000-0000-000061450000}"/>
    <cellStyle name="Header2 19 2 7 3 2" xfId="17745" xr:uid="{00000000-0005-0000-0000-000062450000}"/>
    <cellStyle name="Header2 19 2 7 3 2 2" xfId="17746" xr:uid="{00000000-0005-0000-0000-000063450000}"/>
    <cellStyle name="Header2 19 2 7 3 2 3" xfId="17747" xr:uid="{00000000-0005-0000-0000-000064450000}"/>
    <cellStyle name="Header2 19 2 7 3 2 4" xfId="17748" xr:uid="{00000000-0005-0000-0000-000065450000}"/>
    <cellStyle name="Header2 19 2 7 3 3" xfId="17749" xr:uid="{00000000-0005-0000-0000-000066450000}"/>
    <cellStyle name="Header2 19 2 7 3 3 2" xfId="17750" xr:uid="{00000000-0005-0000-0000-000067450000}"/>
    <cellStyle name="Header2 19 2 7 3 3 3" xfId="17751" xr:uid="{00000000-0005-0000-0000-000068450000}"/>
    <cellStyle name="Header2 19 2 7 3 3 4" xfId="17752" xr:uid="{00000000-0005-0000-0000-000069450000}"/>
    <cellStyle name="Header2 19 2 7 3 4" xfId="17753" xr:uid="{00000000-0005-0000-0000-00006A450000}"/>
    <cellStyle name="Header2 19 2 7 3 5" xfId="17754" xr:uid="{00000000-0005-0000-0000-00006B450000}"/>
    <cellStyle name="Header2 19 2 7 3 6" xfId="17755" xr:uid="{00000000-0005-0000-0000-00006C450000}"/>
    <cellStyle name="Header2 19 2 7 4" xfId="17756" xr:uid="{00000000-0005-0000-0000-00006D450000}"/>
    <cellStyle name="Header2 19 2 7 5" xfId="17757" xr:uid="{00000000-0005-0000-0000-00006E450000}"/>
    <cellStyle name="Header2 19 2 8" xfId="17758" xr:uid="{00000000-0005-0000-0000-00006F450000}"/>
    <cellStyle name="Header2 19 2 8 2" xfId="17759" xr:uid="{00000000-0005-0000-0000-000070450000}"/>
    <cellStyle name="Header2 19 2 8 2 2" xfId="17760" xr:uid="{00000000-0005-0000-0000-000071450000}"/>
    <cellStyle name="Header2 19 2 8 2 2 2" xfId="17761" xr:uid="{00000000-0005-0000-0000-000072450000}"/>
    <cellStyle name="Header2 19 2 8 2 2 3" xfId="17762" xr:uid="{00000000-0005-0000-0000-000073450000}"/>
    <cellStyle name="Header2 19 2 8 2 2 4" xfId="17763" xr:uid="{00000000-0005-0000-0000-000074450000}"/>
    <cellStyle name="Header2 19 2 8 2 2 5" xfId="17764" xr:uid="{00000000-0005-0000-0000-000075450000}"/>
    <cellStyle name="Header2 19 2 8 2 3" xfId="17765" xr:uid="{00000000-0005-0000-0000-000076450000}"/>
    <cellStyle name="Header2 19 2 8 2 3 2" xfId="17766" xr:uid="{00000000-0005-0000-0000-000077450000}"/>
    <cellStyle name="Header2 19 2 8 2 3 3" xfId="17767" xr:uid="{00000000-0005-0000-0000-000078450000}"/>
    <cellStyle name="Header2 19 2 8 2 3 4" xfId="17768" xr:uid="{00000000-0005-0000-0000-000079450000}"/>
    <cellStyle name="Header2 19 2 8 2 4" xfId="17769" xr:uid="{00000000-0005-0000-0000-00007A450000}"/>
    <cellStyle name="Header2 19 2 8 2 5" xfId="17770" xr:uid="{00000000-0005-0000-0000-00007B450000}"/>
    <cellStyle name="Header2 19 2 8 2 6" xfId="17771" xr:uid="{00000000-0005-0000-0000-00007C450000}"/>
    <cellStyle name="Header2 19 2 8 3" xfId="17772" xr:uid="{00000000-0005-0000-0000-00007D450000}"/>
    <cellStyle name="Header2 19 2 8 3 2" xfId="17773" xr:uid="{00000000-0005-0000-0000-00007E450000}"/>
    <cellStyle name="Header2 19 2 8 3 2 2" xfId="17774" xr:uid="{00000000-0005-0000-0000-00007F450000}"/>
    <cellStyle name="Header2 19 2 8 3 2 3" xfId="17775" xr:uid="{00000000-0005-0000-0000-000080450000}"/>
    <cellStyle name="Header2 19 2 8 3 2 4" xfId="17776" xr:uid="{00000000-0005-0000-0000-000081450000}"/>
    <cellStyle name="Header2 19 2 8 3 3" xfId="17777" xr:uid="{00000000-0005-0000-0000-000082450000}"/>
    <cellStyle name="Header2 19 2 8 3 3 2" xfId="17778" xr:uid="{00000000-0005-0000-0000-000083450000}"/>
    <cellStyle name="Header2 19 2 8 3 3 3" xfId="17779" xr:uid="{00000000-0005-0000-0000-000084450000}"/>
    <cellStyle name="Header2 19 2 8 3 3 4" xfId="17780" xr:uid="{00000000-0005-0000-0000-000085450000}"/>
    <cellStyle name="Header2 19 2 8 3 4" xfId="17781" xr:uid="{00000000-0005-0000-0000-000086450000}"/>
    <cellStyle name="Header2 19 2 8 3 5" xfId="17782" xr:uid="{00000000-0005-0000-0000-000087450000}"/>
    <cellStyle name="Header2 19 2 8 3 6" xfId="17783" xr:uid="{00000000-0005-0000-0000-000088450000}"/>
    <cellStyle name="Header2 19 2 8 4" xfId="17784" xr:uid="{00000000-0005-0000-0000-000089450000}"/>
    <cellStyle name="Header2 19 2 8 5" xfId="17785" xr:uid="{00000000-0005-0000-0000-00008A450000}"/>
    <cellStyle name="Header2 19 2 9" xfId="17786" xr:uid="{00000000-0005-0000-0000-00008B450000}"/>
    <cellStyle name="Header2 19 2 9 2" xfId="17787" xr:uid="{00000000-0005-0000-0000-00008C450000}"/>
    <cellStyle name="Header2 19 2 9 2 2" xfId="17788" xr:uid="{00000000-0005-0000-0000-00008D450000}"/>
    <cellStyle name="Header2 19 2 9 2 2 2" xfId="17789" xr:uid="{00000000-0005-0000-0000-00008E450000}"/>
    <cellStyle name="Header2 19 2 9 2 2 3" xfId="17790" xr:uid="{00000000-0005-0000-0000-00008F450000}"/>
    <cellStyle name="Header2 19 2 9 2 2 4" xfId="17791" xr:uid="{00000000-0005-0000-0000-000090450000}"/>
    <cellStyle name="Header2 19 2 9 2 2 5" xfId="17792" xr:uid="{00000000-0005-0000-0000-000091450000}"/>
    <cellStyle name="Header2 19 2 9 2 3" xfId="17793" xr:uid="{00000000-0005-0000-0000-000092450000}"/>
    <cellStyle name="Header2 19 2 9 2 3 2" xfId="17794" xr:uid="{00000000-0005-0000-0000-000093450000}"/>
    <cellStyle name="Header2 19 2 9 2 3 3" xfId="17795" xr:uid="{00000000-0005-0000-0000-000094450000}"/>
    <cellStyle name="Header2 19 2 9 2 3 4" xfId="17796" xr:uid="{00000000-0005-0000-0000-000095450000}"/>
    <cellStyle name="Header2 19 2 9 2 4" xfId="17797" xr:uid="{00000000-0005-0000-0000-000096450000}"/>
    <cellStyle name="Header2 19 2 9 2 5" xfId="17798" xr:uid="{00000000-0005-0000-0000-000097450000}"/>
    <cellStyle name="Header2 19 2 9 2 6" xfId="17799" xr:uid="{00000000-0005-0000-0000-000098450000}"/>
    <cellStyle name="Header2 19 2 9 3" xfId="17800" xr:uid="{00000000-0005-0000-0000-000099450000}"/>
    <cellStyle name="Header2 19 2 9 3 2" xfId="17801" xr:uid="{00000000-0005-0000-0000-00009A450000}"/>
    <cellStyle name="Header2 19 2 9 3 2 2" xfId="17802" xr:uid="{00000000-0005-0000-0000-00009B450000}"/>
    <cellStyle name="Header2 19 2 9 3 2 3" xfId="17803" xr:uid="{00000000-0005-0000-0000-00009C450000}"/>
    <cellStyle name="Header2 19 2 9 3 2 4" xfId="17804" xr:uid="{00000000-0005-0000-0000-00009D450000}"/>
    <cellStyle name="Header2 19 2 9 3 3" xfId="17805" xr:uid="{00000000-0005-0000-0000-00009E450000}"/>
    <cellStyle name="Header2 19 2 9 3 3 2" xfId="17806" xr:uid="{00000000-0005-0000-0000-00009F450000}"/>
    <cellStyle name="Header2 19 2 9 3 3 3" xfId="17807" xr:uid="{00000000-0005-0000-0000-0000A0450000}"/>
    <cellStyle name="Header2 19 2 9 3 3 4" xfId="17808" xr:uid="{00000000-0005-0000-0000-0000A1450000}"/>
    <cellStyle name="Header2 19 2 9 3 4" xfId="17809" xr:uid="{00000000-0005-0000-0000-0000A2450000}"/>
    <cellStyle name="Header2 19 2 9 3 5" xfId="17810" xr:uid="{00000000-0005-0000-0000-0000A3450000}"/>
    <cellStyle name="Header2 19 2 9 3 6" xfId="17811" xr:uid="{00000000-0005-0000-0000-0000A4450000}"/>
    <cellStyle name="Header2 19 2 9 4" xfId="17812" xr:uid="{00000000-0005-0000-0000-0000A5450000}"/>
    <cellStyle name="Header2 19 2 9 5" xfId="17813" xr:uid="{00000000-0005-0000-0000-0000A6450000}"/>
    <cellStyle name="Header2 19 3" xfId="17814" xr:uid="{00000000-0005-0000-0000-0000A7450000}"/>
    <cellStyle name="Header2 19 3 10" xfId="17815" xr:uid="{00000000-0005-0000-0000-0000A8450000}"/>
    <cellStyle name="Header2 19 3 10 2" xfId="17816" xr:uid="{00000000-0005-0000-0000-0000A9450000}"/>
    <cellStyle name="Header2 19 3 10 2 2" xfId="17817" xr:uid="{00000000-0005-0000-0000-0000AA450000}"/>
    <cellStyle name="Header2 19 3 10 2 2 2" xfId="17818" xr:uid="{00000000-0005-0000-0000-0000AB450000}"/>
    <cellStyle name="Header2 19 3 10 2 2 3" xfId="17819" xr:uid="{00000000-0005-0000-0000-0000AC450000}"/>
    <cellStyle name="Header2 19 3 10 2 2 4" xfId="17820" xr:uid="{00000000-0005-0000-0000-0000AD450000}"/>
    <cellStyle name="Header2 19 3 10 2 2 5" xfId="17821" xr:uid="{00000000-0005-0000-0000-0000AE450000}"/>
    <cellStyle name="Header2 19 3 10 2 3" xfId="17822" xr:uid="{00000000-0005-0000-0000-0000AF450000}"/>
    <cellStyle name="Header2 19 3 10 2 3 2" xfId="17823" xr:uid="{00000000-0005-0000-0000-0000B0450000}"/>
    <cellStyle name="Header2 19 3 10 2 3 3" xfId="17824" xr:uid="{00000000-0005-0000-0000-0000B1450000}"/>
    <cellStyle name="Header2 19 3 10 2 3 4" xfId="17825" xr:uid="{00000000-0005-0000-0000-0000B2450000}"/>
    <cellStyle name="Header2 19 3 10 2 4" xfId="17826" xr:uid="{00000000-0005-0000-0000-0000B3450000}"/>
    <cellStyle name="Header2 19 3 10 2 5" xfId="17827" xr:uid="{00000000-0005-0000-0000-0000B4450000}"/>
    <cellStyle name="Header2 19 3 10 2 6" xfId="17828" xr:uid="{00000000-0005-0000-0000-0000B5450000}"/>
    <cellStyle name="Header2 19 3 10 3" xfId="17829" xr:uid="{00000000-0005-0000-0000-0000B6450000}"/>
    <cellStyle name="Header2 19 3 10 3 2" xfId="17830" xr:uid="{00000000-0005-0000-0000-0000B7450000}"/>
    <cellStyle name="Header2 19 3 10 3 2 2" xfId="17831" xr:uid="{00000000-0005-0000-0000-0000B8450000}"/>
    <cellStyle name="Header2 19 3 10 3 2 3" xfId="17832" xr:uid="{00000000-0005-0000-0000-0000B9450000}"/>
    <cellStyle name="Header2 19 3 10 3 2 4" xfId="17833" xr:uid="{00000000-0005-0000-0000-0000BA450000}"/>
    <cellStyle name="Header2 19 3 10 3 3" xfId="17834" xr:uid="{00000000-0005-0000-0000-0000BB450000}"/>
    <cellStyle name="Header2 19 3 10 3 3 2" xfId="17835" xr:uid="{00000000-0005-0000-0000-0000BC450000}"/>
    <cellStyle name="Header2 19 3 10 3 3 3" xfId="17836" xr:uid="{00000000-0005-0000-0000-0000BD450000}"/>
    <cellStyle name="Header2 19 3 10 3 3 4" xfId="17837" xr:uid="{00000000-0005-0000-0000-0000BE450000}"/>
    <cellStyle name="Header2 19 3 10 3 4" xfId="17838" xr:uid="{00000000-0005-0000-0000-0000BF450000}"/>
    <cellStyle name="Header2 19 3 10 3 5" xfId="17839" xr:uid="{00000000-0005-0000-0000-0000C0450000}"/>
    <cellStyle name="Header2 19 3 10 3 6" xfId="17840" xr:uid="{00000000-0005-0000-0000-0000C1450000}"/>
    <cellStyle name="Header2 19 3 10 4" xfId="17841" xr:uid="{00000000-0005-0000-0000-0000C2450000}"/>
    <cellStyle name="Header2 19 3 10 5" xfId="17842" xr:uid="{00000000-0005-0000-0000-0000C3450000}"/>
    <cellStyle name="Header2 19 3 11" xfId="17843" xr:uid="{00000000-0005-0000-0000-0000C4450000}"/>
    <cellStyle name="Header2 19 3 11 2" xfId="17844" xr:uid="{00000000-0005-0000-0000-0000C5450000}"/>
    <cellStyle name="Header2 19 3 11 2 2" xfId="17845" xr:uid="{00000000-0005-0000-0000-0000C6450000}"/>
    <cellStyle name="Header2 19 3 11 2 2 2" xfId="17846" xr:uid="{00000000-0005-0000-0000-0000C7450000}"/>
    <cellStyle name="Header2 19 3 11 2 2 3" xfId="17847" xr:uid="{00000000-0005-0000-0000-0000C8450000}"/>
    <cellStyle name="Header2 19 3 11 2 2 4" xfId="17848" xr:uid="{00000000-0005-0000-0000-0000C9450000}"/>
    <cellStyle name="Header2 19 3 11 2 2 5" xfId="17849" xr:uid="{00000000-0005-0000-0000-0000CA450000}"/>
    <cellStyle name="Header2 19 3 11 2 3" xfId="17850" xr:uid="{00000000-0005-0000-0000-0000CB450000}"/>
    <cellStyle name="Header2 19 3 11 2 3 2" xfId="17851" xr:uid="{00000000-0005-0000-0000-0000CC450000}"/>
    <cellStyle name="Header2 19 3 11 2 3 3" xfId="17852" xr:uid="{00000000-0005-0000-0000-0000CD450000}"/>
    <cellStyle name="Header2 19 3 11 2 3 4" xfId="17853" xr:uid="{00000000-0005-0000-0000-0000CE450000}"/>
    <cellStyle name="Header2 19 3 11 2 4" xfId="17854" xr:uid="{00000000-0005-0000-0000-0000CF450000}"/>
    <cellStyle name="Header2 19 3 11 2 5" xfId="17855" xr:uid="{00000000-0005-0000-0000-0000D0450000}"/>
    <cellStyle name="Header2 19 3 11 2 6" xfId="17856" xr:uid="{00000000-0005-0000-0000-0000D1450000}"/>
    <cellStyle name="Header2 19 3 11 3" xfId="17857" xr:uid="{00000000-0005-0000-0000-0000D2450000}"/>
    <cellStyle name="Header2 19 3 11 3 2" xfId="17858" xr:uid="{00000000-0005-0000-0000-0000D3450000}"/>
    <cellStyle name="Header2 19 3 11 3 2 2" xfId="17859" xr:uid="{00000000-0005-0000-0000-0000D4450000}"/>
    <cellStyle name="Header2 19 3 11 3 2 3" xfId="17860" xr:uid="{00000000-0005-0000-0000-0000D5450000}"/>
    <cellStyle name="Header2 19 3 11 3 2 4" xfId="17861" xr:uid="{00000000-0005-0000-0000-0000D6450000}"/>
    <cellStyle name="Header2 19 3 11 3 3" xfId="17862" xr:uid="{00000000-0005-0000-0000-0000D7450000}"/>
    <cellStyle name="Header2 19 3 11 3 3 2" xfId="17863" xr:uid="{00000000-0005-0000-0000-0000D8450000}"/>
    <cellStyle name="Header2 19 3 11 3 3 3" xfId="17864" xr:uid="{00000000-0005-0000-0000-0000D9450000}"/>
    <cellStyle name="Header2 19 3 11 3 3 4" xfId="17865" xr:uid="{00000000-0005-0000-0000-0000DA450000}"/>
    <cellStyle name="Header2 19 3 11 3 4" xfId="17866" xr:uid="{00000000-0005-0000-0000-0000DB450000}"/>
    <cellStyle name="Header2 19 3 11 3 5" xfId="17867" xr:uid="{00000000-0005-0000-0000-0000DC450000}"/>
    <cellStyle name="Header2 19 3 11 3 6" xfId="17868" xr:uid="{00000000-0005-0000-0000-0000DD450000}"/>
    <cellStyle name="Header2 19 3 11 4" xfId="17869" xr:uid="{00000000-0005-0000-0000-0000DE450000}"/>
    <cellStyle name="Header2 19 3 11 5" xfId="17870" xr:uid="{00000000-0005-0000-0000-0000DF450000}"/>
    <cellStyle name="Header2 19 3 12" xfId="17871" xr:uid="{00000000-0005-0000-0000-0000E0450000}"/>
    <cellStyle name="Header2 19 3 12 2" xfId="17872" xr:uid="{00000000-0005-0000-0000-0000E1450000}"/>
    <cellStyle name="Header2 19 3 12 2 2" xfId="17873" xr:uid="{00000000-0005-0000-0000-0000E2450000}"/>
    <cellStyle name="Header2 19 3 12 2 2 2" xfId="17874" xr:uid="{00000000-0005-0000-0000-0000E3450000}"/>
    <cellStyle name="Header2 19 3 12 2 2 3" xfId="17875" xr:uid="{00000000-0005-0000-0000-0000E4450000}"/>
    <cellStyle name="Header2 19 3 12 2 2 4" xfId="17876" xr:uid="{00000000-0005-0000-0000-0000E5450000}"/>
    <cellStyle name="Header2 19 3 12 2 2 5" xfId="17877" xr:uid="{00000000-0005-0000-0000-0000E6450000}"/>
    <cellStyle name="Header2 19 3 12 2 3" xfId="17878" xr:uid="{00000000-0005-0000-0000-0000E7450000}"/>
    <cellStyle name="Header2 19 3 12 2 3 2" xfId="17879" xr:uid="{00000000-0005-0000-0000-0000E8450000}"/>
    <cellStyle name="Header2 19 3 12 2 3 3" xfId="17880" xr:uid="{00000000-0005-0000-0000-0000E9450000}"/>
    <cellStyle name="Header2 19 3 12 2 3 4" xfId="17881" xr:uid="{00000000-0005-0000-0000-0000EA450000}"/>
    <cellStyle name="Header2 19 3 12 2 4" xfId="17882" xr:uid="{00000000-0005-0000-0000-0000EB450000}"/>
    <cellStyle name="Header2 19 3 12 2 5" xfId="17883" xr:uid="{00000000-0005-0000-0000-0000EC450000}"/>
    <cellStyle name="Header2 19 3 12 2 6" xfId="17884" xr:uid="{00000000-0005-0000-0000-0000ED450000}"/>
    <cellStyle name="Header2 19 3 12 3" xfId="17885" xr:uid="{00000000-0005-0000-0000-0000EE450000}"/>
    <cellStyle name="Header2 19 3 12 3 2" xfId="17886" xr:uid="{00000000-0005-0000-0000-0000EF450000}"/>
    <cellStyle name="Header2 19 3 12 3 2 2" xfId="17887" xr:uid="{00000000-0005-0000-0000-0000F0450000}"/>
    <cellStyle name="Header2 19 3 12 3 2 3" xfId="17888" xr:uid="{00000000-0005-0000-0000-0000F1450000}"/>
    <cellStyle name="Header2 19 3 12 3 2 4" xfId="17889" xr:uid="{00000000-0005-0000-0000-0000F2450000}"/>
    <cellStyle name="Header2 19 3 12 3 3" xfId="17890" xr:uid="{00000000-0005-0000-0000-0000F3450000}"/>
    <cellStyle name="Header2 19 3 12 3 3 2" xfId="17891" xr:uid="{00000000-0005-0000-0000-0000F4450000}"/>
    <cellStyle name="Header2 19 3 12 3 3 3" xfId="17892" xr:uid="{00000000-0005-0000-0000-0000F5450000}"/>
    <cellStyle name="Header2 19 3 12 3 3 4" xfId="17893" xr:uid="{00000000-0005-0000-0000-0000F6450000}"/>
    <cellStyle name="Header2 19 3 12 3 4" xfId="17894" xr:uid="{00000000-0005-0000-0000-0000F7450000}"/>
    <cellStyle name="Header2 19 3 12 3 5" xfId="17895" xr:uid="{00000000-0005-0000-0000-0000F8450000}"/>
    <cellStyle name="Header2 19 3 12 3 6" xfId="17896" xr:uid="{00000000-0005-0000-0000-0000F9450000}"/>
    <cellStyle name="Header2 19 3 12 4" xfId="17897" xr:uid="{00000000-0005-0000-0000-0000FA450000}"/>
    <cellStyle name="Header2 19 3 12 5" xfId="17898" xr:uid="{00000000-0005-0000-0000-0000FB450000}"/>
    <cellStyle name="Header2 19 3 13" xfId="58735" xr:uid="{00000000-0005-0000-0000-0000FC450000}"/>
    <cellStyle name="Header2 19 3 2" xfId="17899" xr:uid="{00000000-0005-0000-0000-0000FD450000}"/>
    <cellStyle name="Header2 19 3 2 2" xfId="17900" xr:uid="{00000000-0005-0000-0000-0000FE450000}"/>
    <cellStyle name="Header2 19 3 2 2 2" xfId="17901" xr:uid="{00000000-0005-0000-0000-0000FF450000}"/>
    <cellStyle name="Header2 19 3 2 2 3" xfId="17902" xr:uid="{00000000-0005-0000-0000-000000460000}"/>
    <cellStyle name="Header2 19 3 2 3" xfId="17903" xr:uid="{00000000-0005-0000-0000-000001460000}"/>
    <cellStyle name="Header2 19 3 3" xfId="17904" xr:uid="{00000000-0005-0000-0000-000002460000}"/>
    <cellStyle name="Header2 19 3 3 2" xfId="17905" xr:uid="{00000000-0005-0000-0000-000003460000}"/>
    <cellStyle name="Header2 19 3 3 2 2" xfId="17906" xr:uid="{00000000-0005-0000-0000-000004460000}"/>
    <cellStyle name="Header2 19 3 3 2 3" xfId="17907" xr:uid="{00000000-0005-0000-0000-000005460000}"/>
    <cellStyle name="Header2 19 3 3 3" xfId="17908" xr:uid="{00000000-0005-0000-0000-000006460000}"/>
    <cellStyle name="Header2 19 3 4" xfId="17909" xr:uid="{00000000-0005-0000-0000-000007460000}"/>
    <cellStyle name="Header2 19 3 4 2" xfId="17910" xr:uid="{00000000-0005-0000-0000-000008460000}"/>
    <cellStyle name="Header2 19 3 4 2 2" xfId="17911" xr:uid="{00000000-0005-0000-0000-000009460000}"/>
    <cellStyle name="Header2 19 3 4 2 3" xfId="17912" xr:uid="{00000000-0005-0000-0000-00000A460000}"/>
    <cellStyle name="Header2 19 3 4 3" xfId="17913" xr:uid="{00000000-0005-0000-0000-00000B460000}"/>
    <cellStyle name="Header2 19 3 5" xfId="17914" xr:uid="{00000000-0005-0000-0000-00000C460000}"/>
    <cellStyle name="Header2 19 3 5 2" xfId="17915" xr:uid="{00000000-0005-0000-0000-00000D460000}"/>
    <cellStyle name="Header2 19 3 5 2 2" xfId="17916" xr:uid="{00000000-0005-0000-0000-00000E460000}"/>
    <cellStyle name="Header2 19 3 5 2 2 2" xfId="17917" xr:uid="{00000000-0005-0000-0000-00000F460000}"/>
    <cellStyle name="Header2 19 3 5 2 2 3" xfId="17918" xr:uid="{00000000-0005-0000-0000-000010460000}"/>
    <cellStyle name="Header2 19 3 5 2 2 4" xfId="17919" xr:uid="{00000000-0005-0000-0000-000011460000}"/>
    <cellStyle name="Header2 19 3 5 2 2 5" xfId="17920" xr:uid="{00000000-0005-0000-0000-000012460000}"/>
    <cellStyle name="Header2 19 3 5 2 3" xfId="17921" xr:uid="{00000000-0005-0000-0000-000013460000}"/>
    <cellStyle name="Header2 19 3 5 2 3 2" xfId="17922" xr:uid="{00000000-0005-0000-0000-000014460000}"/>
    <cellStyle name="Header2 19 3 5 2 3 3" xfId="17923" xr:uid="{00000000-0005-0000-0000-000015460000}"/>
    <cellStyle name="Header2 19 3 5 2 3 4" xfId="17924" xr:uid="{00000000-0005-0000-0000-000016460000}"/>
    <cellStyle name="Header2 19 3 5 2 4" xfId="17925" xr:uid="{00000000-0005-0000-0000-000017460000}"/>
    <cellStyle name="Header2 19 3 5 2 5" xfId="17926" xr:uid="{00000000-0005-0000-0000-000018460000}"/>
    <cellStyle name="Header2 19 3 5 2 6" xfId="17927" xr:uid="{00000000-0005-0000-0000-000019460000}"/>
    <cellStyle name="Header2 19 3 5 3" xfId="17928" xr:uid="{00000000-0005-0000-0000-00001A460000}"/>
    <cellStyle name="Header2 19 3 5 3 2" xfId="17929" xr:uid="{00000000-0005-0000-0000-00001B460000}"/>
    <cellStyle name="Header2 19 3 5 3 2 2" xfId="17930" xr:uid="{00000000-0005-0000-0000-00001C460000}"/>
    <cellStyle name="Header2 19 3 5 3 2 3" xfId="17931" xr:uid="{00000000-0005-0000-0000-00001D460000}"/>
    <cellStyle name="Header2 19 3 5 3 2 4" xfId="17932" xr:uid="{00000000-0005-0000-0000-00001E460000}"/>
    <cellStyle name="Header2 19 3 5 3 3" xfId="17933" xr:uid="{00000000-0005-0000-0000-00001F460000}"/>
    <cellStyle name="Header2 19 3 5 3 3 2" xfId="17934" xr:uid="{00000000-0005-0000-0000-000020460000}"/>
    <cellStyle name="Header2 19 3 5 3 3 3" xfId="17935" xr:uid="{00000000-0005-0000-0000-000021460000}"/>
    <cellStyle name="Header2 19 3 5 3 3 4" xfId="17936" xr:uid="{00000000-0005-0000-0000-000022460000}"/>
    <cellStyle name="Header2 19 3 5 3 4" xfId="17937" xr:uid="{00000000-0005-0000-0000-000023460000}"/>
    <cellStyle name="Header2 19 3 5 3 5" xfId="17938" xr:uid="{00000000-0005-0000-0000-000024460000}"/>
    <cellStyle name="Header2 19 3 5 3 6" xfId="17939" xr:uid="{00000000-0005-0000-0000-000025460000}"/>
    <cellStyle name="Header2 19 3 5 4" xfId="17940" xr:uid="{00000000-0005-0000-0000-000026460000}"/>
    <cellStyle name="Header2 19 3 5 5" xfId="17941" xr:uid="{00000000-0005-0000-0000-000027460000}"/>
    <cellStyle name="Header2 19 3 6" xfId="17942" xr:uid="{00000000-0005-0000-0000-000028460000}"/>
    <cellStyle name="Header2 19 3 6 2" xfId="17943" xr:uid="{00000000-0005-0000-0000-000029460000}"/>
    <cellStyle name="Header2 19 3 6 2 2" xfId="17944" xr:uid="{00000000-0005-0000-0000-00002A460000}"/>
    <cellStyle name="Header2 19 3 6 2 2 2" xfId="17945" xr:uid="{00000000-0005-0000-0000-00002B460000}"/>
    <cellStyle name="Header2 19 3 6 2 2 3" xfId="17946" xr:uid="{00000000-0005-0000-0000-00002C460000}"/>
    <cellStyle name="Header2 19 3 6 2 2 4" xfId="17947" xr:uid="{00000000-0005-0000-0000-00002D460000}"/>
    <cellStyle name="Header2 19 3 6 2 2 5" xfId="17948" xr:uid="{00000000-0005-0000-0000-00002E460000}"/>
    <cellStyle name="Header2 19 3 6 2 3" xfId="17949" xr:uid="{00000000-0005-0000-0000-00002F460000}"/>
    <cellStyle name="Header2 19 3 6 2 3 2" xfId="17950" xr:uid="{00000000-0005-0000-0000-000030460000}"/>
    <cellStyle name="Header2 19 3 6 2 3 3" xfId="17951" xr:uid="{00000000-0005-0000-0000-000031460000}"/>
    <cellStyle name="Header2 19 3 6 2 3 4" xfId="17952" xr:uid="{00000000-0005-0000-0000-000032460000}"/>
    <cellStyle name="Header2 19 3 6 2 4" xfId="17953" xr:uid="{00000000-0005-0000-0000-000033460000}"/>
    <cellStyle name="Header2 19 3 6 2 5" xfId="17954" xr:uid="{00000000-0005-0000-0000-000034460000}"/>
    <cellStyle name="Header2 19 3 6 2 6" xfId="17955" xr:uid="{00000000-0005-0000-0000-000035460000}"/>
    <cellStyle name="Header2 19 3 6 3" xfId="17956" xr:uid="{00000000-0005-0000-0000-000036460000}"/>
    <cellStyle name="Header2 19 3 6 3 2" xfId="17957" xr:uid="{00000000-0005-0000-0000-000037460000}"/>
    <cellStyle name="Header2 19 3 6 3 2 2" xfId="17958" xr:uid="{00000000-0005-0000-0000-000038460000}"/>
    <cellStyle name="Header2 19 3 6 3 2 3" xfId="17959" xr:uid="{00000000-0005-0000-0000-000039460000}"/>
    <cellStyle name="Header2 19 3 6 3 2 4" xfId="17960" xr:uid="{00000000-0005-0000-0000-00003A460000}"/>
    <cellStyle name="Header2 19 3 6 3 3" xfId="17961" xr:uid="{00000000-0005-0000-0000-00003B460000}"/>
    <cellStyle name="Header2 19 3 6 3 3 2" xfId="17962" xr:uid="{00000000-0005-0000-0000-00003C460000}"/>
    <cellStyle name="Header2 19 3 6 3 3 3" xfId="17963" xr:uid="{00000000-0005-0000-0000-00003D460000}"/>
    <cellStyle name="Header2 19 3 6 3 3 4" xfId="17964" xr:uid="{00000000-0005-0000-0000-00003E460000}"/>
    <cellStyle name="Header2 19 3 6 3 4" xfId="17965" xr:uid="{00000000-0005-0000-0000-00003F460000}"/>
    <cellStyle name="Header2 19 3 6 3 5" xfId="17966" xr:uid="{00000000-0005-0000-0000-000040460000}"/>
    <cellStyle name="Header2 19 3 6 3 6" xfId="17967" xr:uid="{00000000-0005-0000-0000-000041460000}"/>
    <cellStyle name="Header2 19 3 6 4" xfId="17968" xr:uid="{00000000-0005-0000-0000-000042460000}"/>
    <cellStyle name="Header2 19 3 6 5" xfId="17969" xr:uid="{00000000-0005-0000-0000-000043460000}"/>
    <cellStyle name="Header2 19 3 7" xfId="17970" xr:uid="{00000000-0005-0000-0000-000044460000}"/>
    <cellStyle name="Header2 19 3 7 2" xfId="17971" xr:uid="{00000000-0005-0000-0000-000045460000}"/>
    <cellStyle name="Header2 19 3 7 2 2" xfId="17972" xr:uid="{00000000-0005-0000-0000-000046460000}"/>
    <cellStyle name="Header2 19 3 7 2 2 2" xfId="17973" xr:uid="{00000000-0005-0000-0000-000047460000}"/>
    <cellStyle name="Header2 19 3 7 2 2 3" xfId="17974" xr:uid="{00000000-0005-0000-0000-000048460000}"/>
    <cellStyle name="Header2 19 3 7 2 2 4" xfId="17975" xr:uid="{00000000-0005-0000-0000-000049460000}"/>
    <cellStyle name="Header2 19 3 7 2 2 5" xfId="17976" xr:uid="{00000000-0005-0000-0000-00004A460000}"/>
    <cellStyle name="Header2 19 3 7 2 3" xfId="17977" xr:uid="{00000000-0005-0000-0000-00004B460000}"/>
    <cellStyle name="Header2 19 3 7 2 3 2" xfId="17978" xr:uid="{00000000-0005-0000-0000-00004C460000}"/>
    <cellStyle name="Header2 19 3 7 2 3 3" xfId="17979" xr:uid="{00000000-0005-0000-0000-00004D460000}"/>
    <cellStyle name="Header2 19 3 7 2 3 4" xfId="17980" xr:uid="{00000000-0005-0000-0000-00004E460000}"/>
    <cellStyle name="Header2 19 3 7 2 4" xfId="17981" xr:uid="{00000000-0005-0000-0000-00004F460000}"/>
    <cellStyle name="Header2 19 3 7 2 5" xfId="17982" xr:uid="{00000000-0005-0000-0000-000050460000}"/>
    <cellStyle name="Header2 19 3 7 2 6" xfId="17983" xr:uid="{00000000-0005-0000-0000-000051460000}"/>
    <cellStyle name="Header2 19 3 7 3" xfId="17984" xr:uid="{00000000-0005-0000-0000-000052460000}"/>
    <cellStyle name="Header2 19 3 7 3 2" xfId="17985" xr:uid="{00000000-0005-0000-0000-000053460000}"/>
    <cellStyle name="Header2 19 3 7 3 2 2" xfId="17986" xr:uid="{00000000-0005-0000-0000-000054460000}"/>
    <cellStyle name="Header2 19 3 7 3 2 3" xfId="17987" xr:uid="{00000000-0005-0000-0000-000055460000}"/>
    <cellStyle name="Header2 19 3 7 3 2 4" xfId="17988" xr:uid="{00000000-0005-0000-0000-000056460000}"/>
    <cellStyle name="Header2 19 3 7 3 3" xfId="17989" xr:uid="{00000000-0005-0000-0000-000057460000}"/>
    <cellStyle name="Header2 19 3 7 3 3 2" xfId="17990" xr:uid="{00000000-0005-0000-0000-000058460000}"/>
    <cellStyle name="Header2 19 3 7 3 3 3" xfId="17991" xr:uid="{00000000-0005-0000-0000-000059460000}"/>
    <cellStyle name="Header2 19 3 7 3 3 4" xfId="17992" xr:uid="{00000000-0005-0000-0000-00005A460000}"/>
    <cellStyle name="Header2 19 3 7 3 4" xfId="17993" xr:uid="{00000000-0005-0000-0000-00005B460000}"/>
    <cellStyle name="Header2 19 3 7 3 5" xfId="17994" xr:uid="{00000000-0005-0000-0000-00005C460000}"/>
    <cellStyle name="Header2 19 3 7 3 6" xfId="17995" xr:uid="{00000000-0005-0000-0000-00005D460000}"/>
    <cellStyle name="Header2 19 3 7 4" xfId="17996" xr:uid="{00000000-0005-0000-0000-00005E460000}"/>
    <cellStyle name="Header2 19 3 7 5" xfId="17997" xr:uid="{00000000-0005-0000-0000-00005F460000}"/>
    <cellStyle name="Header2 19 3 8" xfId="17998" xr:uid="{00000000-0005-0000-0000-000060460000}"/>
    <cellStyle name="Header2 19 3 8 2" xfId="17999" xr:uid="{00000000-0005-0000-0000-000061460000}"/>
    <cellStyle name="Header2 19 3 8 2 2" xfId="18000" xr:uid="{00000000-0005-0000-0000-000062460000}"/>
    <cellStyle name="Header2 19 3 8 2 2 2" xfId="18001" xr:uid="{00000000-0005-0000-0000-000063460000}"/>
    <cellStyle name="Header2 19 3 8 2 2 3" xfId="18002" xr:uid="{00000000-0005-0000-0000-000064460000}"/>
    <cellStyle name="Header2 19 3 8 2 2 4" xfId="18003" xr:uid="{00000000-0005-0000-0000-000065460000}"/>
    <cellStyle name="Header2 19 3 8 2 2 5" xfId="18004" xr:uid="{00000000-0005-0000-0000-000066460000}"/>
    <cellStyle name="Header2 19 3 8 2 3" xfId="18005" xr:uid="{00000000-0005-0000-0000-000067460000}"/>
    <cellStyle name="Header2 19 3 8 2 3 2" xfId="18006" xr:uid="{00000000-0005-0000-0000-000068460000}"/>
    <cellStyle name="Header2 19 3 8 2 3 3" xfId="18007" xr:uid="{00000000-0005-0000-0000-000069460000}"/>
    <cellStyle name="Header2 19 3 8 2 3 4" xfId="18008" xr:uid="{00000000-0005-0000-0000-00006A460000}"/>
    <cellStyle name="Header2 19 3 8 2 4" xfId="18009" xr:uid="{00000000-0005-0000-0000-00006B460000}"/>
    <cellStyle name="Header2 19 3 8 2 5" xfId="18010" xr:uid="{00000000-0005-0000-0000-00006C460000}"/>
    <cellStyle name="Header2 19 3 8 2 6" xfId="18011" xr:uid="{00000000-0005-0000-0000-00006D460000}"/>
    <cellStyle name="Header2 19 3 8 3" xfId="18012" xr:uid="{00000000-0005-0000-0000-00006E460000}"/>
    <cellStyle name="Header2 19 3 8 3 2" xfId="18013" xr:uid="{00000000-0005-0000-0000-00006F460000}"/>
    <cellStyle name="Header2 19 3 8 3 2 2" xfId="18014" xr:uid="{00000000-0005-0000-0000-000070460000}"/>
    <cellStyle name="Header2 19 3 8 3 2 3" xfId="18015" xr:uid="{00000000-0005-0000-0000-000071460000}"/>
    <cellStyle name="Header2 19 3 8 3 2 4" xfId="18016" xr:uid="{00000000-0005-0000-0000-000072460000}"/>
    <cellStyle name="Header2 19 3 8 3 3" xfId="18017" xr:uid="{00000000-0005-0000-0000-000073460000}"/>
    <cellStyle name="Header2 19 3 8 3 3 2" xfId="18018" xr:uid="{00000000-0005-0000-0000-000074460000}"/>
    <cellStyle name="Header2 19 3 8 3 3 3" xfId="18019" xr:uid="{00000000-0005-0000-0000-000075460000}"/>
    <cellStyle name="Header2 19 3 8 3 3 4" xfId="18020" xr:uid="{00000000-0005-0000-0000-000076460000}"/>
    <cellStyle name="Header2 19 3 8 3 4" xfId="18021" xr:uid="{00000000-0005-0000-0000-000077460000}"/>
    <cellStyle name="Header2 19 3 8 3 5" xfId="18022" xr:uid="{00000000-0005-0000-0000-000078460000}"/>
    <cellStyle name="Header2 19 3 8 3 6" xfId="18023" xr:uid="{00000000-0005-0000-0000-000079460000}"/>
    <cellStyle name="Header2 19 3 8 4" xfId="18024" xr:uid="{00000000-0005-0000-0000-00007A460000}"/>
    <cellStyle name="Header2 19 3 8 5" xfId="18025" xr:uid="{00000000-0005-0000-0000-00007B460000}"/>
    <cellStyle name="Header2 19 3 9" xfId="18026" xr:uid="{00000000-0005-0000-0000-00007C460000}"/>
    <cellStyle name="Header2 19 3 9 2" xfId="18027" xr:uid="{00000000-0005-0000-0000-00007D460000}"/>
    <cellStyle name="Header2 19 3 9 2 2" xfId="18028" xr:uid="{00000000-0005-0000-0000-00007E460000}"/>
    <cellStyle name="Header2 19 3 9 2 2 2" xfId="18029" xr:uid="{00000000-0005-0000-0000-00007F460000}"/>
    <cellStyle name="Header2 19 3 9 2 2 3" xfId="18030" xr:uid="{00000000-0005-0000-0000-000080460000}"/>
    <cellStyle name="Header2 19 3 9 2 2 4" xfId="18031" xr:uid="{00000000-0005-0000-0000-000081460000}"/>
    <cellStyle name="Header2 19 3 9 2 2 5" xfId="18032" xr:uid="{00000000-0005-0000-0000-000082460000}"/>
    <cellStyle name="Header2 19 3 9 2 3" xfId="18033" xr:uid="{00000000-0005-0000-0000-000083460000}"/>
    <cellStyle name="Header2 19 3 9 2 3 2" xfId="18034" xr:uid="{00000000-0005-0000-0000-000084460000}"/>
    <cellStyle name="Header2 19 3 9 2 3 3" xfId="18035" xr:uid="{00000000-0005-0000-0000-000085460000}"/>
    <cellStyle name="Header2 19 3 9 2 3 4" xfId="18036" xr:uid="{00000000-0005-0000-0000-000086460000}"/>
    <cellStyle name="Header2 19 3 9 2 4" xfId="18037" xr:uid="{00000000-0005-0000-0000-000087460000}"/>
    <cellStyle name="Header2 19 3 9 2 5" xfId="18038" xr:uid="{00000000-0005-0000-0000-000088460000}"/>
    <cellStyle name="Header2 19 3 9 2 6" xfId="18039" xr:uid="{00000000-0005-0000-0000-000089460000}"/>
    <cellStyle name="Header2 19 3 9 3" xfId="18040" xr:uid="{00000000-0005-0000-0000-00008A460000}"/>
    <cellStyle name="Header2 19 3 9 3 2" xfId="18041" xr:uid="{00000000-0005-0000-0000-00008B460000}"/>
    <cellStyle name="Header2 19 3 9 3 2 2" xfId="18042" xr:uid="{00000000-0005-0000-0000-00008C460000}"/>
    <cellStyle name="Header2 19 3 9 3 2 3" xfId="18043" xr:uid="{00000000-0005-0000-0000-00008D460000}"/>
    <cellStyle name="Header2 19 3 9 3 2 4" xfId="18044" xr:uid="{00000000-0005-0000-0000-00008E460000}"/>
    <cellStyle name="Header2 19 3 9 3 3" xfId="18045" xr:uid="{00000000-0005-0000-0000-00008F460000}"/>
    <cellStyle name="Header2 19 3 9 3 3 2" xfId="18046" xr:uid="{00000000-0005-0000-0000-000090460000}"/>
    <cellStyle name="Header2 19 3 9 3 3 3" xfId="18047" xr:uid="{00000000-0005-0000-0000-000091460000}"/>
    <cellStyle name="Header2 19 3 9 3 3 4" xfId="18048" xr:uid="{00000000-0005-0000-0000-000092460000}"/>
    <cellStyle name="Header2 19 3 9 3 4" xfId="18049" xr:uid="{00000000-0005-0000-0000-000093460000}"/>
    <cellStyle name="Header2 19 3 9 3 5" xfId="18050" xr:uid="{00000000-0005-0000-0000-000094460000}"/>
    <cellStyle name="Header2 19 3 9 3 6" xfId="18051" xr:uid="{00000000-0005-0000-0000-000095460000}"/>
    <cellStyle name="Header2 19 3 9 4" xfId="18052" xr:uid="{00000000-0005-0000-0000-000096460000}"/>
    <cellStyle name="Header2 19 3 9 5" xfId="18053" xr:uid="{00000000-0005-0000-0000-000097460000}"/>
    <cellStyle name="Header2 2" xfId="18054" xr:uid="{00000000-0005-0000-0000-000098460000}"/>
    <cellStyle name="Header2 2 2" xfId="18055" xr:uid="{00000000-0005-0000-0000-000099460000}"/>
    <cellStyle name="Header2 2 2 10" xfId="18056" xr:uid="{00000000-0005-0000-0000-00009A460000}"/>
    <cellStyle name="Header2 2 2 10 2" xfId="18057" xr:uid="{00000000-0005-0000-0000-00009B460000}"/>
    <cellStyle name="Header2 2 2 10 2 2" xfId="18058" xr:uid="{00000000-0005-0000-0000-00009C460000}"/>
    <cellStyle name="Header2 2 2 10 2 2 2" xfId="18059" xr:uid="{00000000-0005-0000-0000-00009D460000}"/>
    <cellStyle name="Header2 2 2 10 2 2 3" xfId="18060" xr:uid="{00000000-0005-0000-0000-00009E460000}"/>
    <cellStyle name="Header2 2 2 10 2 2 4" xfId="18061" xr:uid="{00000000-0005-0000-0000-00009F460000}"/>
    <cellStyle name="Header2 2 2 10 2 2 5" xfId="18062" xr:uid="{00000000-0005-0000-0000-0000A0460000}"/>
    <cellStyle name="Header2 2 2 10 2 3" xfId="18063" xr:uid="{00000000-0005-0000-0000-0000A1460000}"/>
    <cellStyle name="Header2 2 2 10 2 3 2" xfId="18064" xr:uid="{00000000-0005-0000-0000-0000A2460000}"/>
    <cellStyle name="Header2 2 2 10 2 3 3" xfId="18065" xr:uid="{00000000-0005-0000-0000-0000A3460000}"/>
    <cellStyle name="Header2 2 2 10 2 3 4" xfId="18066" xr:uid="{00000000-0005-0000-0000-0000A4460000}"/>
    <cellStyle name="Header2 2 2 10 2 4" xfId="18067" xr:uid="{00000000-0005-0000-0000-0000A5460000}"/>
    <cellStyle name="Header2 2 2 10 2 5" xfId="18068" xr:uid="{00000000-0005-0000-0000-0000A6460000}"/>
    <cellStyle name="Header2 2 2 10 2 6" xfId="18069" xr:uid="{00000000-0005-0000-0000-0000A7460000}"/>
    <cellStyle name="Header2 2 2 10 3" xfId="18070" xr:uid="{00000000-0005-0000-0000-0000A8460000}"/>
    <cellStyle name="Header2 2 2 10 3 2" xfId="18071" xr:uid="{00000000-0005-0000-0000-0000A9460000}"/>
    <cellStyle name="Header2 2 2 10 3 2 2" xfId="18072" xr:uid="{00000000-0005-0000-0000-0000AA460000}"/>
    <cellStyle name="Header2 2 2 10 3 2 3" xfId="18073" xr:uid="{00000000-0005-0000-0000-0000AB460000}"/>
    <cellStyle name="Header2 2 2 10 3 2 4" xfId="18074" xr:uid="{00000000-0005-0000-0000-0000AC460000}"/>
    <cellStyle name="Header2 2 2 10 3 3" xfId="18075" xr:uid="{00000000-0005-0000-0000-0000AD460000}"/>
    <cellStyle name="Header2 2 2 10 3 3 2" xfId="18076" xr:uid="{00000000-0005-0000-0000-0000AE460000}"/>
    <cellStyle name="Header2 2 2 10 3 3 3" xfId="18077" xr:uid="{00000000-0005-0000-0000-0000AF460000}"/>
    <cellStyle name="Header2 2 2 10 3 3 4" xfId="18078" xr:uid="{00000000-0005-0000-0000-0000B0460000}"/>
    <cellStyle name="Header2 2 2 10 3 4" xfId="18079" xr:uid="{00000000-0005-0000-0000-0000B1460000}"/>
    <cellStyle name="Header2 2 2 10 3 5" xfId="18080" xr:uid="{00000000-0005-0000-0000-0000B2460000}"/>
    <cellStyle name="Header2 2 2 10 3 6" xfId="18081" xr:uid="{00000000-0005-0000-0000-0000B3460000}"/>
    <cellStyle name="Header2 2 2 10 4" xfId="18082" xr:uid="{00000000-0005-0000-0000-0000B4460000}"/>
    <cellStyle name="Header2 2 2 10 5" xfId="18083" xr:uid="{00000000-0005-0000-0000-0000B5460000}"/>
    <cellStyle name="Header2 2 2 11" xfId="18084" xr:uid="{00000000-0005-0000-0000-0000B6460000}"/>
    <cellStyle name="Header2 2 2 11 2" xfId="18085" xr:uid="{00000000-0005-0000-0000-0000B7460000}"/>
    <cellStyle name="Header2 2 2 11 2 2" xfId="18086" xr:uid="{00000000-0005-0000-0000-0000B8460000}"/>
    <cellStyle name="Header2 2 2 11 2 2 2" xfId="18087" xr:uid="{00000000-0005-0000-0000-0000B9460000}"/>
    <cellStyle name="Header2 2 2 11 2 2 3" xfId="18088" xr:uid="{00000000-0005-0000-0000-0000BA460000}"/>
    <cellStyle name="Header2 2 2 11 2 2 4" xfId="18089" xr:uid="{00000000-0005-0000-0000-0000BB460000}"/>
    <cellStyle name="Header2 2 2 11 2 2 5" xfId="18090" xr:uid="{00000000-0005-0000-0000-0000BC460000}"/>
    <cellStyle name="Header2 2 2 11 2 3" xfId="18091" xr:uid="{00000000-0005-0000-0000-0000BD460000}"/>
    <cellStyle name="Header2 2 2 11 2 3 2" xfId="18092" xr:uid="{00000000-0005-0000-0000-0000BE460000}"/>
    <cellStyle name="Header2 2 2 11 2 3 3" xfId="18093" xr:uid="{00000000-0005-0000-0000-0000BF460000}"/>
    <cellStyle name="Header2 2 2 11 2 3 4" xfId="18094" xr:uid="{00000000-0005-0000-0000-0000C0460000}"/>
    <cellStyle name="Header2 2 2 11 2 4" xfId="18095" xr:uid="{00000000-0005-0000-0000-0000C1460000}"/>
    <cellStyle name="Header2 2 2 11 2 5" xfId="18096" xr:uid="{00000000-0005-0000-0000-0000C2460000}"/>
    <cellStyle name="Header2 2 2 11 2 6" xfId="18097" xr:uid="{00000000-0005-0000-0000-0000C3460000}"/>
    <cellStyle name="Header2 2 2 11 3" xfId="18098" xr:uid="{00000000-0005-0000-0000-0000C4460000}"/>
    <cellStyle name="Header2 2 2 11 3 2" xfId="18099" xr:uid="{00000000-0005-0000-0000-0000C5460000}"/>
    <cellStyle name="Header2 2 2 11 3 2 2" xfId="18100" xr:uid="{00000000-0005-0000-0000-0000C6460000}"/>
    <cellStyle name="Header2 2 2 11 3 2 3" xfId="18101" xr:uid="{00000000-0005-0000-0000-0000C7460000}"/>
    <cellStyle name="Header2 2 2 11 3 2 4" xfId="18102" xr:uid="{00000000-0005-0000-0000-0000C8460000}"/>
    <cellStyle name="Header2 2 2 11 3 3" xfId="18103" xr:uid="{00000000-0005-0000-0000-0000C9460000}"/>
    <cellStyle name="Header2 2 2 11 3 3 2" xfId="18104" xr:uid="{00000000-0005-0000-0000-0000CA460000}"/>
    <cellStyle name="Header2 2 2 11 3 3 3" xfId="18105" xr:uid="{00000000-0005-0000-0000-0000CB460000}"/>
    <cellStyle name="Header2 2 2 11 3 3 4" xfId="18106" xr:uid="{00000000-0005-0000-0000-0000CC460000}"/>
    <cellStyle name="Header2 2 2 11 3 4" xfId="18107" xr:uid="{00000000-0005-0000-0000-0000CD460000}"/>
    <cellStyle name="Header2 2 2 11 3 5" xfId="18108" xr:uid="{00000000-0005-0000-0000-0000CE460000}"/>
    <cellStyle name="Header2 2 2 11 3 6" xfId="18109" xr:uid="{00000000-0005-0000-0000-0000CF460000}"/>
    <cellStyle name="Header2 2 2 11 4" xfId="18110" xr:uid="{00000000-0005-0000-0000-0000D0460000}"/>
    <cellStyle name="Header2 2 2 11 5" xfId="18111" xr:uid="{00000000-0005-0000-0000-0000D1460000}"/>
    <cellStyle name="Header2 2 2 12" xfId="18112" xr:uid="{00000000-0005-0000-0000-0000D2460000}"/>
    <cellStyle name="Header2 2 2 12 2" xfId="18113" xr:uid="{00000000-0005-0000-0000-0000D3460000}"/>
    <cellStyle name="Header2 2 2 12 2 2" xfId="18114" xr:uid="{00000000-0005-0000-0000-0000D4460000}"/>
    <cellStyle name="Header2 2 2 12 2 2 2" xfId="18115" xr:uid="{00000000-0005-0000-0000-0000D5460000}"/>
    <cellStyle name="Header2 2 2 12 2 2 3" xfId="18116" xr:uid="{00000000-0005-0000-0000-0000D6460000}"/>
    <cellStyle name="Header2 2 2 12 2 2 4" xfId="18117" xr:uid="{00000000-0005-0000-0000-0000D7460000}"/>
    <cellStyle name="Header2 2 2 12 2 2 5" xfId="18118" xr:uid="{00000000-0005-0000-0000-0000D8460000}"/>
    <cellStyle name="Header2 2 2 12 2 3" xfId="18119" xr:uid="{00000000-0005-0000-0000-0000D9460000}"/>
    <cellStyle name="Header2 2 2 12 2 3 2" xfId="18120" xr:uid="{00000000-0005-0000-0000-0000DA460000}"/>
    <cellStyle name="Header2 2 2 12 2 3 3" xfId="18121" xr:uid="{00000000-0005-0000-0000-0000DB460000}"/>
    <cellStyle name="Header2 2 2 12 2 3 4" xfId="18122" xr:uid="{00000000-0005-0000-0000-0000DC460000}"/>
    <cellStyle name="Header2 2 2 12 2 4" xfId="18123" xr:uid="{00000000-0005-0000-0000-0000DD460000}"/>
    <cellStyle name="Header2 2 2 12 2 5" xfId="18124" xr:uid="{00000000-0005-0000-0000-0000DE460000}"/>
    <cellStyle name="Header2 2 2 12 2 6" xfId="18125" xr:uid="{00000000-0005-0000-0000-0000DF460000}"/>
    <cellStyle name="Header2 2 2 12 3" xfId="18126" xr:uid="{00000000-0005-0000-0000-0000E0460000}"/>
    <cellStyle name="Header2 2 2 12 3 2" xfId="18127" xr:uid="{00000000-0005-0000-0000-0000E1460000}"/>
    <cellStyle name="Header2 2 2 12 3 2 2" xfId="18128" xr:uid="{00000000-0005-0000-0000-0000E2460000}"/>
    <cellStyle name="Header2 2 2 12 3 2 3" xfId="18129" xr:uid="{00000000-0005-0000-0000-0000E3460000}"/>
    <cellStyle name="Header2 2 2 12 3 2 4" xfId="18130" xr:uid="{00000000-0005-0000-0000-0000E4460000}"/>
    <cellStyle name="Header2 2 2 12 3 3" xfId="18131" xr:uid="{00000000-0005-0000-0000-0000E5460000}"/>
    <cellStyle name="Header2 2 2 12 3 3 2" xfId="18132" xr:uid="{00000000-0005-0000-0000-0000E6460000}"/>
    <cellStyle name="Header2 2 2 12 3 3 3" xfId="18133" xr:uid="{00000000-0005-0000-0000-0000E7460000}"/>
    <cellStyle name="Header2 2 2 12 3 3 4" xfId="18134" xr:uid="{00000000-0005-0000-0000-0000E8460000}"/>
    <cellStyle name="Header2 2 2 12 3 4" xfId="18135" xr:uid="{00000000-0005-0000-0000-0000E9460000}"/>
    <cellStyle name="Header2 2 2 12 3 5" xfId="18136" xr:uid="{00000000-0005-0000-0000-0000EA460000}"/>
    <cellStyle name="Header2 2 2 12 3 6" xfId="18137" xr:uid="{00000000-0005-0000-0000-0000EB460000}"/>
    <cellStyle name="Header2 2 2 12 4" xfId="18138" xr:uid="{00000000-0005-0000-0000-0000EC460000}"/>
    <cellStyle name="Header2 2 2 12 5" xfId="18139" xr:uid="{00000000-0005-0000-0000-0000ED460000}"/>
    <cellStyle name="Header2 2 2 13" xfId="18140" xr:uid="{00000000-0005-0000-0000-0000EE460000}"/>
    <cellStyle name="Header2 2 2 13 2" xfId="18141" xr:uid="{00000000-0005-0000-0000-0000EF460000}"/>
    <cellStyle name="Header2 2 2 13 2 2" xfId="18142" xr:uid="{00000000-0005-0000-0000-0000F0460000}"/>
    <cellStyle name="Header2 2 2 13 2 2 2" xfId="18143" xr:uid="{00000000-0005-0000-0000-0000F1460000}"/>
    <cellStyle name="Header2 2 2 13 2 2 3" xfId="18144" xr:uid="{00000000-0005-0000-0000-0000F2460000}"/>
    <cellStyle name="Header2 2 2 13 2 2 4" xfId="18145" xr:uid="{00000000-0005-0000-0000-0000F3460000}"/>
    <cellStyle name="Header2 2 2 13 2 2 5" xfId="18146" xr:uid="{00000000-0005-0000-0000-0000F4460000}"/>
    <cellStyle name="Header2 2 2 13 2 3" xfId="18147" xr:uid="{00000000-0005-0000-0000-0000F5460000}"/>
    <cellStyle name="Header2 2 2 13 2 3 2" xfId="18148" xr:uid="{00000000-0005-0000-0000-0000F6460000}"/>
    <cellStyle name="Header2 2 2 13 2 3 3" xfId="18149" xr:uid="{00000000-0005-0000-0000-0000F7460000}"/>
    <cellStyle name="Header2 2 2 13 2 3 4" xfId="18150" xr:uid="{00000000-0005-0000-0000-0000F8460000}"/>
    <cellStyle name="Header2 2 2 13 2 4" xfId="18151" xr:uid="{00000000-0005-0000-0000-0000F9460000}"/>
    <cellStyle name="Header2 2 2 13 2 5" xfId="18152" xr:uid="{00000000-0005-0000-0000-0000FA460000}"/>
    <cellStyle name="Header2 2 2 13 2 6" xfId="18153" xr:uid="{00000000-0005-0000-0000-0000FB460000}"/>
    <cellStyle name="Header2 2 2 13 3" xfId="18154" xr:uid="{00000000-0005-0000-0000-0000FC460000}"/>
    <cellStyle name="Header2 2 2 13 3 2" xfId="18155" xr:uid="{00000000-0005-0000-0000-0000FD460000}"/>
    <cellStyle name="Header2 2 2 13 3 2 2" xfId="18156" xr:uid="{00000000-0005-0000-0000-0000FE460000}"/>
    <cellStyle name="Header2 2 2 13 3 2 3" xfId="18157" xr:uid="{00000000-0005-0000-0000-0000FF460000}"/>
    <cellStyle name="Header2 2 2 13 3 2 4" xfId="18158" xr:uid="{00000000-0005-0000-0000-000000470000}"/>
    <cellStyle name="Header2 2 2 13 3 3" xfId="18159" xr:uid="{00000000-0005-0000-0000-000001470000}"/>
    <cellStyle name="Header2 2 2 13 3 3 2" xfId="18160" xr:uid="{00000000-0005-0000-0000-000002470000}"/>
    <cellStyle name="Header2 2 2 13 3 3 3" xfId="18161" xr:uid="{00000000-0005-0000-0000-000003470000}"/>
    <cellStyle name="Header2 2 2 13 3 3 4" xfId="18162" xr:uid="{00000000-0005-0000-0000-000004470000}"/>
    <cellStyle name="Header2 2 2 13 3 4" xfId="18163" xr:uid="{00000000-0005-0000-0000-000005470000}"/>
    <cellStyle name="Header2 2 2 13 3 5" xfId="18164" xr:uid="{00000000-0005-0000-0000-000006470000}"/>
    <cellStyle name="Header2 2 2 13 3 6" xfId="18165" xr:uid="{00000000-0005-0000-0000-000007470000}"/>
    <cellStyle name="Header2 2 2 13 4" xfId="18166" xr:uid="{00000000-0005-0000-0000-000008470000}"/>
    <cellStyle name="Header2 2 2 13 5" xfId="18167" xr:uid="{00000000-0005-0000-0000-000009470000}"/>
    <cellStyle name="Header2 2 2 14" xfId="58736" xr:uid="{00000000-0005-0000-0000-00000A470000}"/>
    <cellStyle name="Header2 2 2 2" xfId="18168" xr:uid="{00000000-0005-0000-0000-00000B470000}"/>
    <cellStyle name="Header2 2 2 2 2" xfId="18169" xr:uid="{00000000-0005-0000-0000-00000C470000}"/>
    <cellStyle name="Header2 2 2 2 2 2" xfId="18170" xr:uid="{00000000-0005-0000-0000-00000D470000}"/>
    <cellStyle name="Header2 2 2 2 2 2 2" xfId="18171" xr:uid="{00000000-0005-0000-0000-00000E470000}"/>
    <cellStyle name="Header2 2 2 2 2 2 2 2" xfId="18172" xr:uid="{00000000-0005-0000-0000-00000F470000}"/>
    <cellStyle name="Header2 2 2 2 2 2 2 3" xfId="18173" xr:uid="{00000000-0005-0000-0000-000010470000}"/>
    <cellStyle name="Header2 2 2 2 2 2 2 4" xfId="18174" xr:uid="{00000000-0005-0000-0000-000011470000}"/>
    <cellStyle name="Header2 2 2 2 2 2 2 5" xfId="18175" xr:uid="{00000000-0005-0000-0000-000012470000}"/>
    <cellStyle name="Header2 2 2 2 2 2 3" xfId="18176" xr:uid="{00000000-0005-0000-0000-000013470000}"/>
    <cellStyle name="Header2 2 2 2 2 2 3 2" xfId="18177" xr:uid="{00000000-0005-0000-0000-000014470000}"/>
    <cellStyle name="Header2 2 2 2 2 2 3 3" xfId="18178" xr:uid="{00000000-0005-0000-0000-000015470000}"/>
    <cellStyle name="Header2 2 2 2 2 2 3 4" xfId="18179" xr:uid="{00000000-0005-0000-0000-000016470000}"/>
    <cellStyle name="Header2 2 2 2 2 2 4" xfId="18180" xr:uid="{00000000-0005-0000-0000-000017470000}"/>
    <cellStyle name="Header2 2 2 2 2 2 5" xfId="18181" xr:uid="{00000000-0005-0000-0000-000018470000}"/>
    <cellStyle name="Header2 2 2 2 2 2 6" xfId="18182" xr:uid="{00000000-0005-0000-0000-000019470000}"/>
    <cellStyle name="Header2 2 2 2 2 3" xfId="18183" xr:uid="{00000000-0005-0000-0000-00001A470000}"/>
    <cellStyle name="Header2 2 2 2 2 3 2" xfId="18184" xr:uid="{00000000-0005-0000-0000-00001B470000}"/>
    <cellStyle name="Header2 2 2 2 2 3 2 2" xfId="18185" xr:uid="{00000000-0005-0000-0000-00001C470000}"/>
    <cellStyle name="Header2 2 2 2 2 3 2 3" xfId="18186" xr:uid="{00000000-0005-0000-0000-00001D470000}"/>
    <cellStyle name="Header2 2 2 2 2 3 2 4" xfId="18187" xr:uid="{00000000-0005-0000-0000-00001E470000}"/>
    <cellStyle name="Header2 2 2 2 2 3 3" xfId="18188" xr:uid="{00000000-0005-0000-0000-00001F470000}"/>
    <cellStyle name="Header2 2 2 2 2 3 3 2" xfId="18189" xr:uid="{00000000-0005-0000-0000-000020470000}"/>
    <cellStyle name="Header2 2 2 2 2 3 3 3" xfId="18190" xr:uid="{00000000-0005-0000-0000-000021470000}"/>
    <cellStyle name="Header2 2 2 2 2 3 3 4" xfId="18191" xr:uid="{00000000-0005-0000-0000-000022470000}"/>
    <cellStyle name="Header2 2 2 2 2 3 4" xfId="18192" xr:uid="{00000000-0005-0000-0000-000023470000}"/>
    <cellStyle name="Header2 2 2 2 2 3 5" xfId="18193" xr:uid="{00000000-0005-0000-0000-000024470000}"/>
    <cellStyle name="Header2 2 2 2 2 3 6" xfId="18194" xr:uid="{00000000-0005-0000-0000-000025470000}"/>
    <cellStyle name="Header2 2 2 2 2 4" xfId="18195" xr:uid="{00000000-0005-0000-0000-000026470000}"/>
    <cellStyle name="Header2 2 2 2 2 5" xfId="18196" xr:uid="{00000000-0005-0000-0000-000027470000}"/>
    <cellStyle name="Header2 2 2 2 3" xfId="18197" xr:uid="{00000000-0005-0000-0000-000028470000}"/>
    <cellStyle name="Header2 2 2 2 3 2" xfId="18198" xr:uid="{00000000-0005-0000-0000-000029470000}"/>
    <cellStyle name="Header2 2 2 2 3 2 2" xfId="18199" xr:uid="{00000000-0005-0000-0000-00002A470000}"/>
    <cellStyle name="Header2 2 2 2 3 2 2 2" xfId="18200" xr:uid="{00000000-0005-0000-0000-00002B470000}"/>
    <cellStyle name="Header2 2 2 2 3 2 2 3" xfId="18201" xr:uid="{00000000-0005-0000-0000-00002C470000}"/>
    <cellStyle name="Header2 2 2 2 3 2 2 4" xfId="18202" xr:uid="{00000000-0005-0000-0000-00002D470000}"/>
    <cellStyle name="Header2 2 2 2 3 2 2 5" xfId="18203" xr:uid="{00000000-0005-0000-0000-00002E470000}"/>
    <cellStyle name="Header2 2 2 2 3 2 3" xfId="18204" xr:uid="{00000000-0005-0000-0000-00002F470000}"/>
    <cellStyle name="Header2 2 2 2 3 2 3 2" xfId="18205" xr:uid="{00000000-0005-0000-0000-000030470000}"/>
    <cellStyle name="Header2 2 2 2 3 2 3 3" xfId="18206" xr:uid="{00000000-0005-0000-0000-000031470000}"/>
    <cellStyle name="Header2 2 2 2 3 2 3 4" xfId="18207" xr:uid="{00000000-0005-0000-0000-000032470000}"/>
    <cellStyle name="Header2 2 2 2 3 2 4" xfId="18208" xr:uid="{00000000-0005-0000-0000-000033470000}"/>
    <cellStyle name="Header2 2 2 2 3 2 5" xfId="18209" xr:uid="{00000000-0005-0000-0000-000034470000}"/>
    <cellStyle name="Header2 2 2 2 3 2 6" xfId="18210" xr:uid="{00000000-0005-0000-0000-000035470000}"/>
    <cellStyle name="Header2 2 2 2 3 3" xfId="18211" xr:uid="{00000000-0005-0000-0000-000036470000}"/>
    <cellStyle name="Header2 2 2 2 3 3 2" xfId="18212" xr:uid="{00000000-0005-0000-0000-000037470000}"/>
    <cellStyle name="Header2 2 2 2 3 3 2 2" xfId="18213" xr:uid="{00000000-0005-0000-0000-000038470000}"/>
    <cellStyle name="Header2 2 2 2 3 3 2 3" xfId="18214" xr:uid="{00000000-0005-0000-0000-000039470000}"/>
    <cellStyle name="Header2 2 2 2 3 3 2 4" xfId="18215" xr:uid="{00000000-0005-0000-0000-00003A470000}"/>
    <cellStyle name="Header2 2 2 2 3 3 3" xfId="18216" xr:uid="{00000000-0005-0000-0000-00003B470000}"/>
    <cellStyle name="Header2 2 2 2 3 3 3 2" xfId="18217" xr:uid="{00000000-0005-0000-0000-00003C470000}"/>
    <cellStyle name="Header2 2 2 2 3 3 3 3" xfId="18218" xr:uid="{00000000-0005-0000-0000-00003D470000}"/>
    <cellStyle name="Header2 2 2 2 3 3 3 4" xfId="18219" xr:uid="{00000000-0005-0000-0000-00003E470000}"/>
    <cellStyle name="Header2 2 2 2 3 3 4" xfId="18220" xr:uid="{00000000-0005-0000-0000-00003F470000}"/>
    <cellStyle name="Header2 2 2 2 3 3 5" xfId="18221" xr:uid="{00000000-0005-0000-0000-000040470000}"/>
    <cellStyle name="Header2 2 2 2 3 3 6" xfId="18222" xr:uid="{00000000-0005-0000-0000-000041470000}"/>
    <cellStyle name="Header2 2 2 2 3 4" xfId="18223" xr:uid="{00000000-0005-0000-0000-000042470000}"/>
    <cellStyle name="Header2 2 2 2 3 5" xfId="18224" xr:uid="{00000000-0005-0000-0000-000043470000}"/>
    <cellStyle name="Header2 2 2 3" xfId="18225" xr:uid="{00000000-0005-0000-0000-000044470000}"/>
    <cellStyle name="Header2 2 2 3 2" xfId="18226" xr:uid="{00000000-0005-0000-0000-000045470000}"/>
    <cellStyle name="Header2 2 2 3 2 2" xfId="18227" xr:uid="{00000000-0005-0000-0000-000046470000}"/>
    <cellStyle name="Header2 2 2 3 2 3" xfId="18228" xr:uid="{00000000-0005-0000-0000-000047470000}"/>
    <cellStyle name="Header2 2 2 3 3" xfId="18229" xr:uid="{00000000-0005-0000-0000-000048470000}"/>
    <cellStyle name="Header2 2 2 4" xfId="18230" xr:uid="{00000000-0005-0000-0000-000049470000}"/>
    <cellStyle name="Header2 2 2 4 2" xfId="18231" xr:uid="{00000000-0005-0000-0000-00004A470000}"/>
    <cellStyle name="Header2 2 2 4 2 2" xfId="18232" xr:uid="{00000000-0005-0000-0000-00004B470000}"/>
    <cellStyle name="Header2 2 2 4 2 3" xfId="18233" xr:uid="{00000000-0005-0000-0000-00004C470000}"/>
    <cellStyle name="Header2 2 2 4 3" xfId="18234" xr:uid="{00000000-0005-0000-0000-00004D470000}"/>
    <cellStyle name="Header2 2 2 5" xfId="18235" xr:uid="{00000000-0005-0000-0000-00004E470000}"/>
    <cellStyle name="Header2 2 2 5 2" xfId="18236" xr:uid="{00000000-0005-0000-0000-00004F470000}"/>
    <cellStyle name="Header2 2 2 5 2 2" xfId="18237" xr:uid="{00000000-0005-0000-0000-000050470000}"/>
    <cellStyle name="Header2 2 2 5 2 3" xfId="18238" xr:uid="{00000000-0005-0000-0000-000051470000}"/>
    <cellStyle name="Header2 2 2 5 3" xfId="18239" xr:uid="{00000000-0005-0000-0000-000052470000}"/>
    <cellStyle name="Header2 2 2 6" xfId="18240" xr:uid="{00000000-0005-0000-0000-000053470000}"/>
    <cellStyle name="Header2 2 2 6 2" xfId="18241" xr:uid="{00000000-0005-0000-0000-000054470000}"/>
    <cellStyle name="Header2 2 2 6 2 2" xfId="18242" xr:uid="{00000000-0005-0000-0000-000055470000}"/>
    <cellStyle name="Header2 2 2 6 2 2 2" xfId="18243" xr:uid="{00000000-0005-0000-0000-000056470000}"/>
    <cellStyle name="Header2 2 2 6 2 2 3" xfId="18244" xr:uid="{00000000-0005-0000-0000-000057470000}"/>
    <cellStyle name="Header2 2 2 6 2 2 4" xfId="18245" xr:uid="{00000000-0005-0000-0000-000058470000}"/>
    <cellStyle name="Header2 2 2 6 2 2 5" xfId="18246" xr:uid="{00000000-0005-0000-0000-000059470000}"/>
    <cellStyle name="Header2 2 2 6 2 3" xfId="18247" xr:uid="{00000000-0005-0000-0000-00005A470000}"/>
    <cellStyle name="Header2 2 2 6 2 3 2" xfId="18248" xr:uid="{00000000-0005-0000-0000-00005B470000}"/>
    <cellStyle name="Header2 2 2 6 2 3 3" xfId="18249" xr:uid="{00000000-0005-0000-0000-00005C470000}"/>
    <cellStyle name="Header2 2 2 6 2 3 4" xfId="18250" xr:uid="{00000000-0005-0000-0000-00005D470000}"/>
    <cellStyle name="Header2 2 2 6 2 4" xfId="18251" xr:uid="{00000000-0005-0000-0000-00005E470000}"/>
    <cellStyle name="Header2 2 2 6 2 5" xfId="18252" xr:uid="{00000000-0005-0000-0000-00005F470000}"/>
    <cellStyle name="Header2 2 2 6 2 6" xfId="18253" xr:uid="{00000000-0005-0000-0000-000060470000}"/>
    <cellStyle name="Header2 2 2 6 3" xfId="18254" xr:uid="{00000000-0005-0000-0000-000061470000}"/>
    <cellStyle name="Header2 2 2 6 3 2" xfId="18255" xr:uid="{00000000-0005-0000-0000-000062470000}"/>
    <cellStyle name="Header2 2 2 6 3 2 2" xfId="18256" xr:uid="{00000000-0005-0000-0000-000063470000}"/>
    <cellStyle name="Header2 2 2 6 3 2 3" xfId="18257" xr:uid="{00000000-0005-0000-0000-000064470000}"/>
    <cellStyle name="Header2 2 2 6 3 2 4" xfId="18258" xr:uid="{00000000-0005-0000-0000-000065470000}"/>
    <cellStyle name="Header2 2 2 6 3 3" xfId="18259" xr:uid="{00000000-0005-0000-0000-000066470000}"/>
    <cellStyle name="Header2 2 2 6 3 3 2" xfId="18260" xr:uid="{00000000-0005-0000-0000-000067470000}"/>
    <cellStyle name="Header2 2 2 6 3 3 3" xfId="18261" xr:uid="{00000000-0005-0000-0000-000068470000}"/>
    <cellStyle name="Header2 2 2 6 3 3 4" xfId="18262" xr:uid="{00000000-0005-0000-0000-000069470000}"/>
    <cellStyle name="Header2 2 2 6 3 4" xfId="18263" xr:uid="{00000000-0005-0000-0000-00006A470000}"/>
    <cellStyle name="Header2 2 2 6 3 5" xfId="18264" xr:uid="{00000000-0005-0000-0000-00006B470000}"/>
    <cellStyle name="Header2 2 2 6 3 6" xfId="18265" xr:uid="{00000000-0005-0000-0000-00006C470000}"/>
    <cellStyle name="Header2 2 2 6 4" xfId="18266" xr:uid="{00000000-0005-0000-0000-00006D470000}"/>
    <cellStyle name="Header2 2 2 6 5" xfId="18267" xr:uid="{00000000-0005-0000-0000-00006E470000}"/>
    <cellStyle name="Header2 2 2 7" xfId="18268" xr:uid="{00000000-0005-0000-0000-00006F470000}"/>
    <cellStyle name="Header2 2 2 7 2" xfId="18269" xr:uid="{00000000-0005-0000-0000-000070470000}"/>
    <cellStyle name="Header2 2 2 7 2 2" xfId="18270" xr:uid="{00000000-0005-0000-0000-000071470000}"/>
    <cellStyle name="Header2 2 2 7 2 2 2" xfId="18271" xr:uid="{00000000-0005-0000-0000-000072470000}"/>
    <cellStyle name="Header2 2 2 7 2 2 3" xfId="18272" xr:uid="{00000000-0005-0000-0000-000073470000}"/>
    <cellStyle name="Header2 2 2 7 2 2 4" xfId="18273" xr:uid="{00000000-0005-0000-0000-000074470000}"/>
    <cellStyle name="Header2 2 2 7 2 2 5" xfId="18274" xr:uid="{00000000-0005-0000-0000-000075470000}"/>
    <cellStyle name="Header2 2 2 7 2 3" xfId="18275" xr:uid="{00000000-0005-0000-0000-000076470000}"/>
    <cellStyle name="Header2 2 2 7 2 3 2" xfId="18276" xr:uid="{00000000-0005-0000-0000-000077470000}"/>
    <cellStyle name="Header2 2 2 7 2 3 3" xfId="18277" xr:uid="{00000000-0005-0000-0000-000078470000}"/>
    <cellStyle name="Header2 2 2 7 2 3 4" xfId="18278" xr:uid="{00000000-0005-0000-0000-000079470000}"/>
    <cellStyle name="Header2 2 2 7 2 4" xfId="18279" xr:uid="{00000000-0005-0000-0000-00007A470000}"/>
    <cellStyle name="Header2 2 2 7 2 5" xfId="18280" xr:uid="{00000000-0005-0000-0000-00007B470000}"/>
    <cellStyle name="Header2 2 2 7 2 6" xfId="18281" xr:uid="{00000000-0005-0000-0000-00007C470000}"/>
    <cellStyle name="Header2 2 2 7 3" xfId="18282" xr:uid="{00000000-0005-0000-0000-00007D470000}"/>
    <cellStyle name="Header2 2 2 7 3 2" xfId="18283" xr:uid="{00000000-0005-0000-0000-00007E470000}"/>
    <cellStyle name="Header2 2 2 7 3 2 2" xfId="18284" xr:uid="{00000000-0005-0000-0000-00007F470000}"/>
    <cellStyle name="Header2 2 2 7 3 2 3" xfId="18285" xr:uid="{00000000-0005-0000-0000-000080470000}"/>
    <cellStyle name="Header2 2 2 7 3 2 4" xfId="18286" xr:uid="{00000000-0005-0000-0000-000081470000}"/>
    <cellStyle name="Header2 2 2 7 3 3" xfId="18287" xr:uid="{00000000-0005-0000-0000-000082470000}"/>
    <cellStyle name="Header2 2 2 7 3 3 2" xfId="18288" xr:uid="{00000000-0005-0000-0000-000083470000}"/>
    <cellStyle name="Header2 2 2 7 3 3 3" xfId="18289" xr:uid="{00000000-0005-0000-0000-000084470000}"/>
    <cellStyle name="Header2 2 2 7 3 3 4" xfId="18290" xr:uid="{00000000-0005-0000-0000-000085470000}"/>
    <cellStyle name="Header2 2 2 7 3 4" xfId="18291" xr:uid="{00000000-0005-0000-0000-000086470000}"/>
    <cellStyle name="Header2 2 2 7 3 5" xfId="18292" xr:uid="{00000000-0005-0000-0000-000087470000}"/>
    <cellStyle name="Header2 2 2 7 3 6" xfId="18293" xr:uid="{00000000-0005-0000-0000-000088470000}"/>
    <cellStyle name="Header2 2 2 7 4" xfId="18294" xr:uid="{00000000-0005-0000-0000-000089470000}"/>
    <cellStyle name="Header2 2 2 7 5" xfId="18295" xr:uid="{00000000-0005-0000-0000-00008A470000}"/>
    <cellStyle name="Header2 2 2 8" xfId="18296" xr:uid="{00000000-0005-0000-0000-00008B470000}"/>
    <cellStyle name="Header2 2 2 8 2" xfId="18297" xr:uid="{00000000-0005-0000-0000-00008C470000}"/>
    <cellStyle name="Header2 2 2 8 2 2" xfId="18298" xr:uid="{00000000-0005-0000-0000-00008D470000}"/>
    <cellStyle name="Header2 2 2 8 2 2 2" xfId="18299" xr:uid="{00000000-0005-0000-0000-00008E470000}"/>
    <cellStyle name="Header2 2 2 8 2 2 3" xfId="18300" xr:uid="{00000000-0005-0000-0000-00008F470000}"/>
    <cellStyle name="Header2 2 2 8 2 2 4" xfId="18301" xr:uid="{00000000-0005-0000-0000-000090470000}"/>
    <cellStyle name="Header2 2 2 8 2 2 5" xfId="18302" xr:uid="{00000000-0005-0000-0000-000091470000}"/>
    <cellStyle name="Header2 2 2 8 2 3" xfId="18303" xr:uid="{00000000-0005-0000-0000-000092470000}"/>
    <cellStyle name="Header2 2 2 8 2 3 2" xfId="18304" xr:uid="{00000000-0005-0000-0000-000093470000}"/>
    <cellStyle name="Header2 2 2 8 2 3 3" xfId="18305" xr:uid="{00000000-0005-0000-0000-000094470000}"/>
    <cellStyle name="Header2 2 2 8 2 3 4" xfId="18306" xr:uid="{00000000-0005-0000-0000-000095470000}"/>
    <cellStyle name="Header2 2 2 8 2 4" xfId="18307" xr:uid="{00000000-0005-0000-0000-000096470000}"/>
    <cellStyle name="Header2 2 2 8 2 5" xfId="18308" xr:uid="{00000000-0005-0000-0000-000097470000}"/>
    <cellStyle name="Header2 2 2 8 2 6" xfId="18309" xr:uid="{00000000-0005-0000-0000-000098470000}"/>
    <cellStyle name="Header2 2 2 8 3" xfId="18310" xr:uid="{00000000-0005-0000-0000-000099470000}"/>
    <cellStyle name="Header2 2 2 8 3 2" xfId="18311" xr:uid="{00000000-0005-0000-0000-00009A470000}"/>
    <cellStyle name="Header2 2 2 8 3 2 2" xfId="18312" xr:uid="{00000000-0005-0000-0000-00009B470000}"/>
    <cellStyle name="Header2 2 2 8 3 2 3" xfId="18313" xr:uid="{00000000-0005-0000-0000-00009C470000}"/>
    <cellStyle name="Header2 2 2 8 3 2 4" xfId="18314" xr:uid="{00000000-0005-0000-0000-00009D470000}"/>
    <cellStyle name="Header2 2 2 8 3 3" xfId="18315" xr:uid="{00000000-0005-0000-0000-00009E470000}"/>
    <cellStyle name="Header2 2 2 8 3 3 2" xfId="18316" xr:uid="{00000000-0005-0000-0000-00009F470000}"/>
    <cellStyle name="Header2 2 2 8 3 3 3" xfId="18317" xr:uid="{00000000-0005-0000-0000-0000A0470000}"/>
    <cellStyle name="Header2 2 2 8 3 3 4" xfId="18318" xr:uid="{00000000-0005-0000-0000-0000A1470000}"/>
    <cellStyle name="Header2 2 2 8 3 4" xfId="18319" xr:uid="{00000000-0005-0000-0000-0000A2470000}"/>
    <cellStyle name="Header2 2 2 8 3 5" xfId="18320" xr:uid="{00000000-0005-0000-0000-0000A3470000}"/>
    <cellStyle name="Header2 2 2 8 3 6" xfId="18321" xr:uid="{00000000-0005-0000-0000-0000A4470000}"/>
    <cellStyle name="Header2 2 2 8 4" xfId="18322" xr:uid="{00000000-0005-0000-0000-0000A5470000}"/>
    <cellStyle name="Header2 2 2 8 5" xfId="18323" xr:uid="{00000000-0005-0000-0000-0000A6470000}"/>
    <cellStyle name="Header2 2 2 9" xfId="18324" xr:uid="{00000000-0005-0000-0000-0000A7470000}"/>
    <cellStyle name="Header2 2 2 9 2" xfId="18325" xr:uid="{00000000-0005-0000-0000-0000A8470000}"/>
    <cellStyle name="Header2 2 2 9 2 2" xfId="18326" xr:uid="{00000000-0005-0000-0000-0000A9470000}"/>
    <cellStyle name="Header2 2 2 9 2 2 2" xfId="18327" xr:uid="{00000000-0005-0000-0000-0000AA470000}"/>
    <cellStyle name="Header2 2 2 9 2 2 3" xfId="18328" xr:uid="{00000000-0005-0000-0000-0000AB470000}"/>
    <cellStyle name="Header2 2 2 9 2 2 4" xfId="18329" xr:uid="{00000000-0005-0000-0000-0000AC470000}"/>
    <cellStyle name="Header2 2 2 9 2 2 5" xfId="18330" xr:uid="{00000000-0005-0000-0000-0000AD470000}"/>
    <cellStyle name="Header2 2 2 9 2 3" xfId="18331" xr:uid="{00000000-0005-0000-0000-0000AE470000}"/>
    <cellStyle name="Header2 2 2 9 2 3 2" xfId="18332" xr:uid="{00000000-0005-0000-0000-0000AF470000}"/>
    <cellStyle name="Header2 2 2 9 2 3 3" xfId="18333" xr:uid="{00000000-0005-0000-0000-0000B0470000}"/>
    <cellStyle name="Header2 2 2 9 2 3 4" xfId="18334" xr:uid="{00000000-0005-0000-0000-0000B1470000}"/>
    <cellStyle name="Header2 2 2 9 2 4" xfId="18335" xr:uid="{00000000-0005-0000-0000-0000B2470000}"/>
    <cellStyle name="Header2 2 2 9 2 5" xfId="18336" xr:uid="{00000000-0005-0000-0000-0000B3470000}"/>
    <cellStyle name="Header2 2 2 9 2 6" xfId="18337" xr:uid="{00000000-0005-0000-0000-0000B4470000}"/>
    <cellStyle name="Header2 2 2 9 3" xfId="18338" xr:uid="{00000000-0005-0000-0000-0000B5470000}"/>
    <cellStyle name="Header2 2 2 9 3 2" xfId="18339" xr:uid="{00000000-0005-0000-0000-0000B6470000}"/>
    <cellStyle name="Header2 2 2 9 3 2 2" xfId="18340" xr:uid="{00000000-0005-0000-0000-0000B7470000}"/>
    <cellStyle name="Header2 2 2 9 3 2 3" xfId="18341" xr:uid="{00000000-0005-0000-0000-0000B8470000}"/>
    <cellStyle name="Header2 2 2 9 3 2 4" xfId="18342" xr:uid="{00000000-0005-0000-0000-0000B9470000}"/>
    <cellStyle name="Header2 2 2 9 3 3" xfId="18343" xr:uid="{00000000-0005-0000-0000-0000BA470000}"/>
    <cellStyle name="Header2 2 2 9 3 3 2" xfId="18344" xr:uid="{00000000-0005-0000-0000-0000BB470000}"/>
    <cellStyle name="Header2 2 2 9 3 3 3" xfId="18345" xr:uid="{00000000-0005-0000-0000-0000BC470000}"/>
    <cellStyle name="Header2 2 2 9 3 3 4" xfId="18346" xr:uid="{00000000-0005-0000-0000-0000BD470000}"/>
    <cellStyle name="Header2 2 2 9 3 4" xfId="18347" xr:uid="{00000000-0005-0000-0000-0000BE470000}"/>
    <cellStyle name="Header2 2 2 9 3 5" xfId="18348" xr:uid="{00000000-0005-0000-0000-0000BF470000}"/>
    <cellStyle name="Header2 2 2 9 3 6" xfId="18349" xr:uid="{00000000-0005-0000-0000-0000C0470000}"/>
    <cellStyle name="Header2 2 2 9 4" xfId="18350" xr:uid="{00000000-0005-0000-0000-0000C1470000}"/>
    <cellStyle name="Header2 2 2 9 5" xfId="18351" xr:uid="{00000000-0005-0000-0000-0000C2470000}"/>
    <cellStyle name="Header2 2 3" xfId="18352" xr:uid="{00000000-0005-0000-0000-0000C3470000}"/>
    <cellStyle name="Header2 2 3 10" xfId="18353" xr:uid="{00000000-0005-0000-0000-0000C4470000}"/>
    <cellStyle name="Header2 2 3 10 2" xfId="18354" xr:uid="{00000000-0005-0000-0000-0000C5470000}"/>
    <cellStyle name="Header2 2 3 10 2 2" xfId="18355" xr:uid="{00000000-0005-0000-0000-0000C6470000}"/>
    <cellStyle name="Header2 2 3 10 2 2 2" xfId="18356" xr:uid="{00000000-0005-0000-0000-0000C7470000}"/>
    <cellStyle name="Header2 2 3 10 2 2 3" xfId="18357" xr:uid="{00000000-0005-0000-0000-0000C8470000}"/>
    <cellStyle name="Header2 2 3 10 2 2 4" xfId="18358" xr:uid="{00000000-0005-0000-0000-0000C9470000}"/>
    <cellStyle name="Header2 2 3 10 2 2 5" xfId="18359" xr:uid="{00000000-0005-0000-0000-0000CA470000}"/>
    <cellStyle name="Header2 2 3 10 2 3" xfId="18360" xr:uid="{00000000-0005-0000-0000-0000CB470000}"/>
    <cellStyle name="Header2 2 3 10 2 3 2" xfId="18361" xr:uid="{00000000-0005-0000-0000-0000CC470000}"/>
    <cellStyle name="Header2 2 3 10 2 3 3" xfId="18362" xr:uid="{00000000-0005-0000-0000-0000CD470000}"/>
    <cellStyle name="Header2 2 3 10 2 3 4" xfId="18363" xr:uid="{00000000-0005-0000-0000-0000CE470000}"/>
    <cellStyle name="Header2 2 3 10 2 4" xfId="18364" xr:uid="{00000000-0005-0000-0000-0000CF470000}"/>
    <cellStyle name="Header2 2 3 10 2 5" xfId="18365" xr:uid="{00000000-0005-0000-0000-0000D0470000}"/>
    <cellStyle name="Header2 2 3 10 2 6" xfId="18366" xr:uid="{00000000-0005-0000-0000-0000D1470000}"/>
    <cellStyle name="Header2 2 3 10 3" xfId="18367" xr:uid="{00000000-0005-0000-0000-0000D2470000}"/>
    <cellStyle name="Header2 2 3 10 3 2" xfId="18368" xr:uid="{00000000-0005-0000-0000-0000D3470000}"/>
    <cellStyle name="Header2 2 3 10 3 2 2" xfId="18369" xr:uid="{00000000-0005-0000-0000-0000D4470000}"/>
    <cellStyle name="Header2 2 3 10 3 2 3" xfId="18370" xr:uid="{00000000-0005-0000-0000-0000D5470000}"/>
    <cellStyle name="Header2 2 3 10 3 2 4" xfId="18371" xr:uid="{00000000-0005-0000-0000-0000D6470000}"/>
    <cellStyle name="Header2 2 3 10 3 3" xfId="18372" xr:uid="{00000000-0005-0000-0000-0000D7470000}"/>
    <cellStyle name="Header2 2 3 10 3 3 2" xfId="18373" xr:uid="{00000000-0005-0000-0000-0000D8470000}"/>
    <cellStyle name="Header2 2 3 10 3 3 3" xfId="18374" xr:uid="{00000000-0005-0000-0000-0000D9470000}"/>
    <cellStyle name="Header2 2 3 10 3 3 4" xfId="18375" xr:uid="{00000000-0005-0000-0000-0000DA470000}"/>
    <cellStyle name="Header2 2 3 10 3 4" xfId="18376" xr:uid="{00000000-0005-0000-0000-0000DB470000}"/>
    <cellStyle name="Header2 2 3 10 3 5" xfId="18377" xr:uid="{00000000-0005-0000-0000-0000DC470000}"/>
    <cellStyle name="Header2 2 3 10 3 6" xfId="18378" xr:uid="{00000000-0005-0000-0000-0000DD470000}"/>
    <cellStyle name="Header2 2 3 10 4" xfId="18379" xr:uid="{00000000-0005-0000-0000-0000DE470000}"/>
    <cellStyle name="Header2 2 3 10 5" xfId="18380" xr:uid="{00000000-0005-0000-0000-0000DF470000}"/>
    <cellStyle name="Header2 2 3 11" xfId="18381" xr:uid="{00000000-0005-0000-0000-0000E0470000}"/>
    <cellStyle name="Header2 2 3 11 2" xfId="18382" xr:uid="{00000000-0005-0000-0000-0000E1470000}"/>
    <cellStyle name="Header2 2 3 11 2 2" xfId="18383" xr:uid="{00000000-0005-0000-0000-0000E2470000}"/>
    <cellStyle name="Header2 2 3 11 2 2 2" xfId="18384" xr:uid="{00000000-0005-0000-0000-0000E3470000}"/>
    <cellStyle name="Header2 2 3 11 2 2 3" xfId="18385" xr:uid="{00000000-0005-0000-0000-0000E4470000}"/>
    <cellStyle name="Header2 2 3 11 2 2 4" xfId="18386" xr:uid="{00000000-0005-0000-0000-0000E5470000}"/>
    <cellStyle name="Header2 2 3 11 2 2 5" xfId="18387" xr:uid="{00000000-0005-0000-0000-0000E6470000}"/>
    <cellStyle name="Header2 2 3 11 2 3" xfId="18388" xr:uid="{00000000-0005-0000-0000-0000E7470000}"/>
    <cellStyle name="Header2 2 3 11 2 3 2" xfId="18389" xr:uid="{00000000-0005-0000-0000-0000E8470000}"/>
    <cellStyle name="Header2 2 3 11 2 3 3" xfId="18390" xr:uid="{00000000-0005-0000-0000-0000E9470000}"/>
    <cellStyle name="Header2 2 3 11 2 3 4" xfId="18391" xr:uid="{00000000-0005-0000-0000-0000EA470000}"/>
    <cellStyle name="Header2 2 3 11 2 4" xfId="18392" xr:uid="{00000000-0005-0000-0000-0000EB470000}"/>
    <cellStyle name="Header2 2 3 11 2 5" xfId="18393" xr:uid="{00000000-0005-0000-0000-0000EC470000}"/>
    <cellStyle name="Header2 2 3 11 2 6" xfId="18394" xr:uid="{00000000-0005-0000-0000-0000ED470000}"/>
    <cellStyle name="Header2 2 3 11 3" xfId="18395" xr:uid="{00000000-0005-0000-0000-0000EE470000}"/>
    <cellStyle name="Header2 2 3 11 3 2" xfId="18396" xr:uid="{00000000-0005-0000-0000-0000EF470000}"/>
    <cellStyle name="Header2 2 3 11 3 2 2" xfId="18397" xr:uid="{00000000-0005-0000-0000-0000F0470000}"/>
    <cellStyle name="Header2 2 3 11 3 2 3" xfId="18398" xr:uid="{00000000-0005-0000-0000-0000F1470000}"/>
    <cellStyle name="Header2 2 3 11 3 2 4" xfId="18399" xr:uid="{00000000-0005-0000-0000-0000F2470000}"/>
    <cellStyle name="Header2 2 3 11 3 3" xfId="18400" xr:uid="{00000000-0005-0000-0000-0000F3470000}"/>
    <cellStyle name="Header2 2 3 11 3 3 2" xfId="18401" xr:uid="{00000000-0005-0000-0000-0000F4470000}"/>
    <cellStyle name="Header2 2 3 11 3 3 3" xfId="18402" xr:uid="{00000000-0005-0000-0000-0000F5470000}"/>
    <cellStyle name="Header2 2 3 11 3 3 4" xfId="18403" xr:uid="{00000000-0005-0000-0000-0000F6470000}"/>
    <cellStyle name="Header2 2 3 11 3 4" xfId="18404" xr:uid="{00000000-0005-0000-0000-0000F7470000}"/>
    <cellStyle name="Header2 2 3 11 3 5" xfId="18405" xr:uid="{00000000-0005-0000-0000-0000F8470000}"/>
    <cellStyle name="Header2 2 3 11 3 6" xfId="18406" xr:uid="{00000000-0005-0000-0000-0000F9470000}"/>
    <cellStyle name="Header2 2 3 11 4" xfId="18407" xr:uid="{00000000-0005-0000-0000-0000FA470000}"/>
    <cellStyle name="Header2 2 3 11 5" xfId="18408" xr:uid="{00000000-0005-0000-0000-0000FB470000}"/>
    <cellStyle name="Header2 2 3 12" xfId="18409" xr:uid="{00000000-0005-0000-0000-0000FC470000}"/>
    <cellStyle name="Header2 2 3 12 2" xfId="18410" xr:uid="{00000000-0005-0000-0000-0000FD470000}"/>
    <cellStyle name="Header2 2 3 12 2 2" xfId="18411" xr:uid="{00000000-0005-0000-0000-0000FE470000}"/>
    <cellStyle name="Header2 2 3 12 2 2 2" xfId="18412" xr:uid="{00000000-0005-0000-0000-0000FF470000}"/>
    <cellStyle name="Header2 2 3 12 2 2 3" xfId="18413" xr:uid="{00000000-0005-0000-0000-000000480000}"/>
    <cellStyle name="Header2 2 3 12 2 2 4" xfId="18414" xr:uid="{00000000-0005-0000-0000-000001480000}"/>
    <cellStyle name="Header2 2 3 12 2 2 5" xfId="18415" xr:uid="{00000000-0005-0000-0000-000002480000}"/>
    <cellStyle name="Header2 2 3 12 2 3" xfId="18416" xr:uid="{00000000-0005-0000-0000-000003480000}"/>
    <cellStyle name="Header2 2 3 12 2 3 2" xfId="18417" xr:uid="{00000000-0005-0000-0000-000004480000}"/>
    <cellStyle name="Header2 2 3 12 2 3 3" xfId="18418" xr:uid="{00000000-0005-0000-0000-000005480000}"/>
    <cellStyle name="Header2 2 3 12 2 3 4" xfId="18419" xr:uid="{00000000-0005-0000-0000-000006480000}"/>
    <cellStyle name="Header2 2 3 12 2 4" xfId="18420" xr:uid="{00000000-0005-0000-0000-000007480000}"/>
    <cellStyle name="Header2 2 3 12 2 5" xfId="18421" xr:uid="{00000000-0005-0000-0000-000008480000}"/>
    <cellStyle name="Header2 2 3 12 2 6" xfId="18422" xr:uid="{00000000-0005-0000-0000-000009480000}"/>
    <cellStyle name="Header2 2 3 12 3" xfId="18423" xr:uid="{00000000-0005-0000-0000-00000A480000}"/>
    <cellStyle name="Header2 2 3 12 3 2" xfId="18424" xr:uid="{00000000-0005-0000-0000-00000B480000}"/>
    <cellStyle name="Header2 2 3 12 3 2 2" xfId="18425" xr:uid="{00000000-0005-0000-0000-00000C480000}"/>
    <cellStyle name="Header2 2 3 12 3 2 3" xfId="18426" xr:uid="{00000000-0005-0000-0000-00000D480000}"/>
    <cellStyle name="Header2 2 3 12 3 2 4" xfId="18427" xr:uid="{00000000-0005-0000-0000-00000E480000}"/>
    <cellStyle name="Header2 2 3 12 3 3" xfId="18428" xr:uid="{00000000-0005-0000-0000-00000F480000}"/>
    <cellStyle name="Header2 2 3 12 3 3 2" xfId="18429" xr:uid="{00000000-0005-0000-0000-000010480000}"/>
    <cellStyle name="Header2 2 3 12 3 3 3" xfId="18430" xr:uid="{00000000-0005-0000-0000-000011480000}"/>
    <cellStyle name="Header2 2 3 12 3 3 4" xfId="18431" xr:uid="{00000000-0005-0000-0000-000012480000}"/>
    <cellStyle name="Header2 2 3 12 3 4" xfId="18432" xr:uid="{00000000-0005-0000-0000-000013480000}"/>
    <cellStyle name="Header2 2 3 12 3 5" xfId="18433" xr:uid="{00000000-0005-0000-0000-000014480000}"/>
    <cellStyle name="Header2 2 3 12 3 6" xfId="18434" xr:uid="{00000000-0005-0000-0000-000015480000}"/>
    <cellStyle name="Header2 2 3 12 4" xfId="18435" xr:uid="{00000000-0005-0000-0000-000016480000}"/>
    <cellStyle name="Header2 2 3 12 5" xfId="18436" xr:uid="{00000000-0005-0000-0000-000017480000}"/>
    <cellStyle name="Header2 2 3 13" xfId="58737" xr:uid="{00000000-0005-0000-0000-000018480000}"/>
    <cellStyle name="Header2 2 3 2" xfId="18437" xr:uid="{00000000-0005-0000-0000-000019480000}"/>
    <cellStyle name="Header2 2 3 2 2" xfId="18438" xr:uid="{00000000-0005-0000-0000-00001A480000}"/>
    <cellStyle name="Header2 2 3 2 2 2" xfId="18439" xr:uid="{00000000-0005-0000-0000-00001B480000}"/>
    <cellStyle name="Header2 2 3 2 2 3" xfId="18440" xr:uid="{00000000-0005-0000-0000-00001C480000}"/>
    <cellStyle name="Header2 2 3 2 3" xfId="18441" xr:uid="{00000000-0005-0000-0000-00001D480000}"/>
    <cellStyle name="Header2 2 3 3" xfId="18442" xr:uid="{00000000-0005-0000-0000-00001E480000}"/>
    <cellStyle name="Header2 2 3 3 2" xfId="18443" xr:uid="{00000000-0005-0000-0000-00001F480000}"/>
    <cellStyle name="Header2 2 3 3 2 2" xfId="18444" xr:uid="{00000000-0005-0000-0000-000020480000}"/>
    <cellStyle name="Header2 2 3 3 2 3" xfId="18445" xr:uid="{00000000-0005-0000-0000-000021480000}"/>
    <cellStyle name="Header2 2 3 3 3" xfId="18446" xr:uid="{00000000-0005-0000-0000-000022480000}"/>
    <cellStyle name="Header2 2 3 4" xfId="18447" xr:uid="{00000000-0005-0000-0000-000023480000}"/>
    <cellStyle name="Header2 2 3 4 2" xfId="18448" xr:uid="{00000000-0005-0000-0000-000024480000}"/>
    <cellStyle name="Header2 2 3 4 2 2" xfId="18449" xr:uid="{00000000-0005-0000-0000-000025480000}"/>
    <cellStyle name="Header2 2 3 4 2 3" xfId="18450" xr:uid="{00000000-0005-0000-0000-000026480000}"/>
    <cellStyle name="Header2 2 3 4 3" xfId="18451" xr:uid="{00000000-0005-0000-0000-000027480000}"/>
    <cellStyle name="Header2 2 3 5" xfId="18452" xr:uid="{00000000-0005-0000-0000-000028480000}"/>
    <cellStyle name="Header2 2 3 5 2" xfId="18453" xr:uid="{00000000-0005-0000-0000-000029480000}"/>
    <cellStyle name="Header2 2 3 5 2 2" xfId="18454" xr:uid="{00000000-0005-0000-0000-00002A480000}"/>
    <cellStyle name="Header2 2 3 5 2 2 2" xfId="18455" xr:uid="{00000000-0005-0000-0000-00002B480000}"/>
    <cellStyle name="Header2 2 3 5 2 2 3" xfId="18456" xr:uid="{00000000-0005-0000-0000-00002C480000}"/>
    <cellStyle name="Header2 2 3 5 2 2 4" xfId="18457" xr:uid="{00000000-0005-0000-0000-00002D480000}"/>
    <cellStyle name="Header2 2 3 5 2 2 5" xfId="18458" xr:uid="{00000000-0005-0000-0000-00002E480000}"/>
    <cellStyle name="Header2 2 3 5 2 3" xfId="18459" xr:uid="{00000000-0005-0000-0000-00002F480000}"/>
    <cellStyle name="Header2 2 3 5 2 3 2" xfId="18460" xr:uid="{00000000-0005-0000-0000-000030480000}"/>
    <cellStyle name="Header2 2 3 5 2 3 3" xfId="18461" xr:uid="{00000000-0005-0000-0000-000031480000}"/>
    <cellStyle name="Header2 2 3 5 2 3 4" xfId="18462" xr:uid="{00000000-0005-0000-0000-000032480000}"/>
    <cellStyle name="Header2 2 3 5 2 4" xfId="18463" xr:uid="{00000000-0005-0000-0000-000033480000}"/>
    <cellStyle name="Header2 2 3 5 2 5" xfId="18464" xr:uid="{00000000-0005-0000-0000-000034480000}"/>
    <cellStyle name="Header2 2 3 5 2 6" xfId="18465" xr:uid="{00000000-0005-0000-0000-000035480000}"/>
    <cellStyle name="Header2 2 3 5 3" xfId="18466" xr:uid="{00000000-0005-0000-0000-000036480000}"/>
    <cellStyle name="Header2 2 3 5 3 2" xfId="18467" xr:uid="{00000000-0005-0000-0000-000037480000}"/>
    <cellStyle name="Header2 2 3 5 3 2 2" xfId="18468" xr:uid="{00000000-0005-0000-0000-000038480000}"/>
    <cellStyle name="Header2 2 3 5 3 2 3" xfId="18469" xr:uid="{00000000-0005-0000-0000-000039480000}"/>
    <cellStyle name="Header2 2 3 5 3 2 4" xfId="18470" xr:uid="{00000000-0005-0000-0000-00003A480000}"/>
    <cellStyle name="Header2 2 3 5 3 3" xfId="18471" xr:uid="{00000000-0005-0000-0000-00003B480000}"/>
    <cellStyle name="Header2 2 3 5 3 3 2" xfId="18472" xr:uid="{00000000-0005-0000-0000-00003C480000}"/>
    <cellStyle name="Header2 2 3 5 3 3 3" xfId="18473" xr:uid="{00000000-0005-0000-0000-00003D480000}"/>
    <cellStyle name="Header2 2 3 5 3 3 4" xfId="18474" xr:uid="{00000000-0005-0000-0000-00003E480000}"/>
    <cellStyle name="Header2 2 3 5 3 4" xfId="18475" xr:uid="{00000000-0005-0000-0000-00003F480000}"/>
    <cellStyle name="Header2 2 3 5 3 5" xfId="18476" xr:uid="{00000000-0005-0000-0000-000040480000}"/>
    <cellStyle name="Header2 2 3 5 3 6" xfId="18477" xr:uid="{00000000-0005-0000-0000-000041480000}"/>
    <cellStyle name="Header2 2 3 5 4" xfId="18478" xr:uid="{00000000-0005-0000-0000-000042480000}"/>
    <cellStyle name="Header2 2 3 5 5" xfId="18479" xr:uid="{00000000-0005-0000-0000-000043480000}"/>
    <cellStyle name="Header2 2 3 6" xfId="18480" xr:uid="{00000000-0005-0000-0000-000044480000}"/>
    <cellStyle name="Header2 2 3 6 2" xfId="18481" xr:uid="{00000000-0005-0000-0000-000045480000}"/>
    <cellStyle name="Header2 2 3 6 2 2" xfId="18482" xr:uid="{00000000-0005-0000-0000-000046480000}"/>
    <cellStyle name="Header2 2 3 6 2 2 2" xfId="18483" xr:uid="{00000000-0005-0000-0000-000047480000}"/>
    <cellStyle name="Header2 2 3 6 2 2 3" xfId="18484" xr:uid="{00000000-0005-0000-0000-000048480000}"/>
    <cellStyle name="Header2 2 3 6 2 2 4" xfId="18485" xr:uid="{00000000-0005-0000-0000-000049480000}"/>
    <cellStyle name="Header2 2 3 6 2 2 5" xfId="18486" xr:uid="{00000000-0005-0000-0000-00004A480000}"/>
    <cellStyle name="Header2 2 3 6 2 3" xfId="18487" xr:uid="{00000000-0005-0000-0000-00004B480000}"/>
    <cellStyle name="Header2 2 3 6 2 3 2" xfId="18488" xr:uid="{00000000-0005-0000-0000-00004C480000}"/>
    <cellStyle name="Header2 2 3 6 2 3 3" xfId="18489" xr:uid="{00000000-0005-0000-0000-00004D480000}"/>
    <cellStyle name="Header2 2 3 6 2 3 4" xfId="18490" xr:uid="{00000000-0005-0000-0000-00004E480000}"/>
    <cellStyle name="Header2 2 3 6 2 4" xfId="18491" xr:uid="{00000000-0005-0000-0000-00004F480000}"/>
    <cellStyle name="Header2 2 3 6 2 5" xfId="18492" xr:uid="{00000000-0005-0000-0000-000050480000}"/>
    <cellStyle name="Header2 2 3 6 2 6" xfId="18493" xr:uid="{00000000-0005-0000-0000-000051480000}"/>
    <cellStyle name="Header2 2 3 6 3" xfId="18494" xr:uid="{00000000-0005-0000-0000-000052480000}"/>
    <cellStyle name="Header2 2 3 6 3 2" xfId="18495" xr:uid="{00000000-0005-0000-0000-000053480000}"/>
    <cellStyle name="Header2 2 3 6 3 2 2" xfId="18496" xr:uid="{00000000-0005-0000-0000-000054480000}"/>
    <cellStyle name="Header2 2 3 6 3 2 3" xfId="18497" xr:uid="{00000000-0005-0000-0000-000055480000}"/>
    <cellStyle name="Header2 2 3 6 3 2 4" xfId="18498" xr:uid="{00000000-0005-0000-0000-000056480000}"/>
    <cellStyle name="Header2 2 3 6 3 3" xfId="18499" xr:uid="{00000000-0005-0000-0000-000057480000}"/>
    <cellStyle name="Header2 2 3 6 3 3 2" xfId="18500" xr:uid="{00000000-0005-0000-0000-000058480000}"/>
    <cellStyle name="Header2 2 3 6 3 3 3" xfId="18501" xr:uid="{00000000-0005-0000-0000-000059480000}"/>
    <cellStyle name="Header2 2 3 6 3 3 4" xfId="18502" xr:uid="{00000000-0005-0000-0000-00005A480000}"/>
    <cellStyle name="Header2 2 3 6 3 4" xfId="18503" xr:uid="{00000000-0005-0000-0000-00005B480000}"/>
    <cellStyle name="Header2 2 3 6 3 5" xfId="18504" xr:uid="{00000000-0005-0000-0000-00005C480000}"/>
    <cellStyle name="Header2 2 3 6 3 6" xfId="18505" xr:uid="{00000000-0005-0000-0000-00005D480000}"/>
    <cellStyle name="Header2 2 3 6 4" xfId="18506" xr:uid="{00000000-0005-0000-0000-00005E480000}"/>
    <cellStyle name="Header2 2 3 6 5" xfId="18507" xr:uid="{00000000-0005-0000-0000-00005F480000}"/>
    <cellStyle name="Header2 2 3 7" xfId="18508" xr:uid="{00000000-0005-0000-0000-000060480000}"/>
    <cellStyle name="Header2 2 3 7 2" xfId="18509" xr:uid="{00000000-0005-0000-0000-000061480000}"/>
    <cellStyle name="Header2 2 3 7 2 2" xfId="18510" xr:uid="{00000000-0005-0000-0000-000062480000}"/>
    <cellStyle name="Header2 2 3 7 2 2 2" xfId="18511" xr:uid="{00000000-0005-0000-0000-000063480000}"/>
    <cellStyle name="Header2 2 3 7 2 2 3" xfId="18512" xr:uid="{00000000-0005-0000-0000-000064480000}"/>
    <cellStyle name="Header2 2 3 7 2 2 4" xfId="18513" xr:uid="{00000000-0005-0000-0000-000065480000}"/>
    <cellStyle name="Header2 2 3 7 2 2 5" xfId="18514" xr:uid="{00000000-0005-0000-0000-000066480000}"/>
    <cellStyle name="Header2 2 3 7 2 3" xfId="18515" xr:uid="{00000000-0005-0000-0000-000067480000}"/>
    <cellStyle name="Header2 2 3 7 2 3 2" xfId="18516" xr:uid="{00000000-0005-0000-0000-000068480000}"/>
    <cellStyle name="Header2 2 3 7 2 3 3" xfId="18517" xr:uid="{00000000-0005-0000-0000-000069480000}"/>
    <cellStyle name="Header2 2 3 7 2 3 4" xfId="18518" xr:uid="{00000000-0005-0000-0000-00006A480000}"/>
    <cellStyle name="Header2 2 3 7 2 4" xfId="18519" xr:uid="{00000000-0005-0000-0000-00006B480000}"/>
    <cellStyle name="Header2 2 3 7 2 5" xfId="18520" xr:uid="{00000000-0005-0000-0000-00006C480000}"/>
    <cellStyle name="Header2 2 3 7 2 6" xfId="18521" xr:uid="{00000000-0005-0000-0000-00006D480000}"/>
    <cellStyle name="Header2 2 3 7 3" xfId="18522" xr:uid="{00000000-0005-0000-0000-00006E480000}"/>
    <cellStyle name="Header2 2 3 7 3 2" xfId="18523" xr:uid="{00000000-0005-0000-0000-00006F480000}"/>
    <cellStyle name="Header2 2 3 7 3 2 2" xfId="18524" xr:uid="{00000000-0005-0000-0000-000070480000}"/>
    <cellStyle name="Header2 2 3 7 3 2 3" xfId="18525" xr:uid="{00000000-0005-0000-0000-000071480000}"/>
    <cellStyle name="Header2 2 3 7 3 2 4" xfId="18526" xr:uid="{00000000-0005-0000-0000-000072480000}"/>
    <cellStyle name="Header2 2 3 7 3 3" xfId="18527" xr:uid="{00000000-0005-0000-0000-000073480000}"/>
    <cellStyle name="Header2 2 3 7 3 3 2" xfId="18528" xr:uid="{00000000-0005-0000-0000-000074480000}"/>
    <cellStyle name="Header2 2 3 7 3 3 3" xfId="18529" xr:uid="{00000000-0005-0000-0000-000075480000}"/>
    <cellStyle name="Header2 2 3 7 3 3 4" xfId="18530" xr:uid="{00000000-0005-0000-0000-000076480000}"/>
    <cellStyle name="Header2 2 3 7 3 4" xfId="18531" xr:uid="{00000000-0005-0000-0000-000077480000}"/>
    <cellStyle name="Header2 2 3 7 3 5" xfId="18532" xr:uid="{00000000-0005-0000-0000-000078480000}"/>
    <cellStyle name="Header2 2 3 7 3 6" xfId="18533" xr:uid="{00000000-0005-0000-0000-000079480000}"/>
    <cellStyle name="Header2 2 3 7 4" xfId="18534" xr:uid="{00000000-0005-0000-0000-00007A480000}"/>
    <cellStyle name="Header2 2 3 7 5" xfId="18535" xr:uid="{00000000-0005-0000-0000-00007B480000}"/>
    <cellStyle name="Header2 2 3 8" xfId="18536" xr:uid="{00000000-0005-0000-0000-00007C480000}"/>
    <cellStyle name="Header2 2 3 8 2" xfId="18537" xr:uid="{00000000-0005-0000-0000-00007D480000}"/>
    <cellStyle name="Header2 2 3 8 2 2" xfId="18538" xr:uid="{00000000-0005-0000-0000-00007E480000}"/>
    <cellStyle name="Header2 2 3 8 2 2 2" xfId="18539" xr:uid="{00000000-0005-0000-0000-00007F480000}"/>
    <cellStyle name="Header2 2 3 8 2 2 3" xfId="18540" xr:uid="{00000000-0005-0000-0000-000080480000}"/>
    <cellStyle name="Header2 2 3 8 2 2 4" xfId="18541" xr:uid="{00000000-0005-0000-0000-000081480000}"/>
    <cellStyle name="Header2 2 3 8 2 2 5" xfId="18542" xr:uid="{00000000-0005-0000-0000-000082480000}"/>
    <cellStyle name="Header2 2 3 8 2 3" xfId="18543" xr:uid="{00000000-0005-0000-0000-000083480000}"/>
    <cellStyle name="Header2 2 3 8 2 3 2" xfId="18544" xr:uid="{00000000-0005-0000-0000-000084480000}"/>
    <cellStyle name="Header2 2 3 8 2 3 3" xfId="18545" xr:uid="{00000000-0005-0000-0000-000085480000}"/>
    <cellStyle name="Header2 2 3 8 2 3 4" xfId="18546" xr:uid="{00000000-0005-0000-0000-000086480000}"/>
    <cellStyle name="Header2 2 3 8 2 4" xfId="18547" xr:uid="{00000000-0005-0000-0000-000087480000}"/>
    <cellStyle name="Header2 2 3 8 2 5" xfId="18548" xr:uid="{00000000-0005-0000-0000-000088480000}"/>
    <cellStyle name="Header2 2 3 8 2 6" xfId="18549" xr:uid="{00000000-0005-0000-0000-000089480000}"/>
    <cellStyle name="Header2 2 3 8 3" xfId="18550" xr:uid="{00000000-0005-0000-0000-00008A480000}"/>
    <cellStyle name="Header2 2 3 8 3 2" xfId="18551" xr:uid="{00000000-0005-0000-0000-00008B480000}"/>
    <cellStyle name="Header2 2 3 8 3 2 2" xfId="18552" xr:uid="{00000000-0005-0000-0000-00008C480000}"/>
    <cellStyle name="Header2 2 3 8 3 2 3" xfId="18553" xr:uid="{00000000-0005-0000-0000-00008D480000}"/>
    <cellStyle name="Header2 2 3 8 3 2 4" xfId="18554" xr:uid="{00000000-0005-0000-0000-00008E480000}"/>
    <cellStyle name="Header2 2 3 8 3 3" xfId="18555" xr:uid="{00000000-0005-0000-0000-00008F480000}"/>
    <cellStyle name="Header2 2 3 8 3 3 2" xfId="18556" xr:uid="{00000000-0005-0000-0000-000090480000}"/>
    <cellStyle name="Header2 2 3 8 3 3 3" xfId="18557" xr:uid="{00000000-0005-0000-0000-000091480000}"/>
    <cellStyle name="Header2 2 3 8 3 3 4" xfId="18558" xr:uid="{00000000-0005-0000-0000-000092480000}"/>
    <cellStyle name="Header2 2 3 8 3 4" xfId="18559" xr:uid="{00000000-0005-0000-0000-000093480000}"/>
    <cellStyle name="Header2 2 3 8 3 5" xfId="18560" xr:uid="{00000000-0005-0000-0000-000094480000}"/>
    <cellStyle name="Header2 2 3 8 3 6" xfId="18561" xr:uid="{00000000-0005-0000-0000-000095480000}"/>
    <cellStyle name="Header2 2 3 8 4" xfId="18562" xr:uid="{00000000-0005-0000-0000-000096480000}"/>
    <cellStyle name="Header2 2 3 8 5" xfId="18563" xr:uid="{00000000-0005-0000-0000-000097480000}"/>
    <cellStyle name="Header2 2 3 9" xfId="18564" xr:uid="{00000000-0005-0000-0000-000098480000}"/>
    <cellStyle name="Header2 2 3 9 2" xfId="18565" xr:uid="{00000000-0005-0000-0000-000099480000}"/>
    <cellStyle name="Header2 2 3 9 2 2" xfId="18566" xr:uid="{00000000-0005-0000-0000-00009A480000}"/>
    <cellStyle name="Header2 2 3 9 2 2 2" xfId="18567" xr:uid="{00000000-0005-0000-0000-00009B480000}"/>
    <cellStyle name="Header2 2 3 9 2 2 3" xfId="18568" xr:uid="{00000000-0005-0000-0000-00009C480000}"/>
    <cellStyle name="Header2 2 3 9 2 2 4" xfId="18569" xr:uid="{00000000-0005-0000-0000-00009D480000}"/>
    <cellStyle name="Header2 2 3 9 2 2 5" xfId="18570" xr:uid="{00000000-0005-0000-0000-00009E480000}"/>
    <cellStyle name="Header2 2 3 9 2 3" xfId="18571" xr:uid="{00000000-0005-0000-0000-00009F480000}"/>
    <cellStyle name="Header2 2 3 9 2 3 2" xfId="18572" xr:uid="{00000000-0005-0000-0000-0000A0480000}"/>
    <cellStyle name="Header2 2 3 9 2 3 3" xfId="18573" xr:uid="{00000000-0005-0000-0000-0000A1480000}"/>
    <cellStyle name="Header2 2 3 9 2 3 4" xfId="18574" xr:uid="{00000000-0005-0000-0000-0000A2480000}"/>
    <cellStyle name="Header2 2 3 9 2 4" xfId="18575" xr:uid="{00000000-0005-0000-0000-0000A3480000}"/>
    <cellStyle name="Header2 2 3 9 2 5" xfId="18576" xr:uid="{00000000-0005-0000-0000-0000A4480000}"/>
    <cellStyle name="Header2 2 3 9 2 6" xfId="18577" xr:uid="{00000000-0005-0000-0000-0000A5480000}"/>
    <cellStyle name="Header2 2 3 9 3" xfId="18578" xr:uid="{00000000-0005-0000-0000-0000A6480000}"/>
    <cellStyle name="Header2 2 3 9 3 2" xfId="18579" xr:uid="{00000000-0005-0000-0000-0000A7480000}"/>
    <cellStyle name="Header2 2 3 9 3 2 2" xfId="18580" xr:uid="{00000000-0005-0000-0000-0000A8480000}"/>
    <cellStyle name="Header2 2 3 9 3 2 3" xfId="18581" xr:uid="{00000000-0005-0000-0000-0000A9480000}"/>
    <cellStyle name="Header2 2 3 9 3 2 4" xfId="18582" xr:uid="{00000000-0005-0000-0000-0000AA480000}"/>
    <cellStyle name="Header2 2 3 9 3 3" xfId="18583" xr:uid="{00000000-0005-0000-0000-0000AB480000}"/>
    <cellStyle name="Header2 2 3 9 3 3 2" xfId="18584" xr:uid="{00000000-0005-0000-0000-0000AC480000}"/>
    <cellStyle name="Header2 2 3 9 3 3 3" xfId="18585" xr:uid="{00000000-0005-0000-0000-0000AD480000}"/>
    <cellStyle name="Header2 2 3 9 3 3 4" xfId="18586" xr:uid="{00000000-0005-0000-0000-0000AE480000}"/>
    <cellStyle name="Header2 2 3 9 3 4" xfId="18587" xr:uid="{00000000-0005-0000-0000-0000AF480000}"/>
    <cellStyle name="Header2 2 3 9 3 5" xfId="18588" xr:uid="{00000000-0005-0000-0000-0000B0480000}"/>
    <cellStyle name="Header2 2 3 9 3 6" xfId="18589" xr:uid="{00000000-0005-0000-0000-0000B1480000}"/>
    <cellStyle name="Header2 2 3 9 4" xfId="18590" xr:uid="{00000000-0005-0000-0000-0000B2480000}"/>
    <cellStyle name="Header2 2 3 9 5" xfId="18591" xr:uid="{00000000-0005-0000-0000-0000B3480000}"/>
    <cellStyle name="Header2 20" xfId="18592" xr:uid="{00000000-0005-0000-0000-0000B4480000}"/>
    <cellStyle name="Header2 20 2" xfId="18593" xr:uid="{00000000-0005-0000-0000-0000B5480000}"/>
    <cellStyle name="Header2 20 2 10" xfId="18594" xr:uid="{00000000-0005-0000-0000-0000B6480000}"/>
    <cellStyle name="Header2 20 2 10 2" xfId="18595" xr:uid="{00000000-0005-0000-0000-0000B7480000}"/>
    <cellStyle name="Header2 20 2 10 2 2" xfId="18596" xr:uid="{00000000-0005-0000-0000-0000B8480000}"/>
    <cellStyle name="Header2 20 2 10 2 2 2" xfId="18597" xr:uid="{00000000-0005-0000-0000-0000B9480000}"/>
    <cellStyle name="Header2 20 2 10 2 2 3" xfId="18598" xr:uid="{00000000-0005-0000-0000-0000BA480000}"/>
    <cellStyle name="Header2 20 2 10 2 2 4" xfId="18599" xr:uid="{00000000-0005-0000-0000-0000BB480000}"/>
    <cellStyle name="Header2 20 2 10 2 2 5" xfId="18600" xr:uid="{00000000-0005-0000-0000-0000BC480000}"/>
    <cellStyle name="Header2 20 2 10 2 3" xfId="18601" xr:uid="{00000000-0005-0000-0000-0000BD480000}"/>
    <cellStyle name="Header2 20 2 10 2 3 2" xfId="18602" xr:uid="{00000000-0005-0000-0000-0000BE480000}"/>
    <cellStyle name="Header2 20 2 10 2 3 3" xfId="18603" xr:uid="{00000000-0005-0000-0000-0000BF480000}"/>
    <cellStyle name="Header2 20 2 10 2 3 4" xfId="18604" xr:uid="{00000000-0005-0000-0000-0000C0480000}"/>
    <cellStyle name="Header2 20 2 10 2 4" xfId="18605" xr:uid="{00000000-0005-0000-0000-0000C1480000}"/>
    <cellStyle name="Header2 20 2 10 2 5" xfId="18606" xr:uid="{00000000-0005-0000-0000-0000C2480000}"/>
    <cellStyle name="Header2 20 2 10 2 6" xfId="18607" xr:uid="{00000000-0005-0000-0000-0000C3480000}"/>
    <cellStyle name="Header2 20 2 10 3" xfId="18608" xr:uid="{00000000-0005-0000-0000-0000C4480000}"/>
    <cellStyle name="Header2 20 2 10 3 2" xfId="18609" xr:uid="{00000000-0005-0000-0000-0000C5480000}"/>
    <cellStyle name="Header2 20 2 10 3 2 2" xfId="18610" xr:uid="{00000000-0005-0000-0000-0000C6480000}"/>
    <cellStyle name="Header2 20 2 10 3 2 3" xfId="18611" xr:uid="{00000000-0005-0000-0000-0000C7480000}"/>
    <cellStyle name="Header2 20 2 10 3 2 4" xfId="18612" xr:uid="{00000000-0005-0000-0000-0000C8480000}"/>
    <cellStyle name="Header2 20 2 10 3 3" xfId="18613" xr:uid="{00000000-0005-0000-0000-0000C9480000}"/>
    <cellStyle name="Header2 20 2 10 3 3 2" xfId="18614" xr:uid="{00000000-0005-0000-0000-0000CA480000}"/>
    <cellStyle name="Header2 20 2 10 3 3 3" xfId="18615" xr:uid="{00000000-0005-0000-0000-0000CB480000}"/>
    <cellStyle name="Header2 20 2 10 3 3 4" xfId="18616" xr:uid="{00000000-0005-0000-0000-0000CC480000}"/>
    <cellStyle name="Header2 20 2 10 3 4" xfId="18617" xr:uid="{00000000-0005-0000-0000-0000CD480000}"/>
    <cellStyle name="Header2 20 2 10 3 5" xfId="18618" xr:uid="{00000000-0005-0000-0000-0000CE480000}"/>
    <cellStyle name="Header2 20 2 10 3 6" xfId="18619" xr:uid="{00000000-0005-0000-0000-0000CF480000}"/>
    <cellStyle name="Header2 20 2 10 4" xfId="18620" xr:uid="{00000000-0005-0000-0000-0000D0480000}"/>
    <cellStyle name="Header2 20 2 10 5" xfId="18621" xr:uid="{00000000-0005-0000-0000-0000D1480000}"/>
    <cellStyle name="Header2 20 2 11" xfId="18622" xr:uid="{00000000-0005-0000-0000-0000D2480000}"/>
    <cellStyle name="Header2 20 2 11 2" xfId="18623" xr:uid="{00000000-0005-0000-0000-0000D3480000}"/>
    <cellStyle name="Header2 20 2 11 2 2" xfId="18624" xr:uid="{00000000-0005-0000-0000-0000D4480000}"/>
    <cellStyle name="Header2 20 2 11 2 2 2" xfId="18625" xr:uid="{00000000-0005-0000-0000-0000D5480000}"/>
    <cellStyle name="Header2 20 2 11 2 2 3" xfId="18626" xr:uid="{00000000-0005-0000-0000-0000D6480000}"/>
    <cellStyle name="Header2 20 2 11 2 2 4" xfId="18627" xr:uid="{00000000-0005-0000-0000-0000D7480000}"/>
    <cellStyle name="Header2 20 2 11 2 2 5" xfId="18628" xr:uid="{00000000-0005-0000-0000-0000D8480000}"/>
    <cellStyle name="Header2 20 2 11 2 3" xfId="18629" xr:uid="{00000000-0005-0000-0000-0000D9480000}"/>
    <cellStyle name="Header2 20 2 11 2 3 2" xfId="18630" xr:uid="{00000000-0005-0000-0000-0000DA480000}"/>
    <cellStyle name="Header2 20 2 11 2 3 3" xfId="18631" xr:uid="{00000000-0005-0000-0000-0000DB480000}"/>
    <cellStyle name="Header2 20 2 11 2 3 4" xfId="18632" xr:uid="{00000000-0005-0000-0000-0000DC480000}"/>
    <cellStyle name="Header2 20 2 11 2 4" xfId="18633" xr:uid="{00000000-0005-0000-0000-0000DD480000}"/>
    <cellStyle name="Header2 20 2 11 2 5" xfId="18634" xr:uid="{00000000-0005-0000-0000-0000DE480000}"/>
    <cellStyle name="Header2 20 2 11 2 6" xfId="18635" xr:uid="{00000000-0005-0000-0000-0000DF480000}"/>
    <cellStyle name="Header2 20 2 11 3" xfId="18636" xr:uid="{00000000-0005-0000-0000-0000E0480000}"/>
    <cellStyle name="Header2 20 2 11 3 2" xfId="18637" xr:uid="{00000000-0005-0000-0000-0000E1480000}"/>
    <cellStyle name="Header2 20 2 11 3 2 2" xfId="18638" xr:uid="{00000000-0005-0000-0000-0000E2480000}"/>
    <cellStyle name="Header2 20 2 11 3 2 3" xfId="18639" xr:uid="{00000000-0005-0000-0000-0000E3480000}"/>
    <cellStyle name="Header2 20 2 11 3 2 4" xfId="18640" xr:uid="{00000000-0005-0000-0000-0000E4480000}"/>
    <cellStyle name="Header2 20 2 11 3 3" xfId="18641" xr:uid="{00000000-0005-0000-0000-0000E5480000}"/>
    <cellStyle name="Header2 20 2 11 3 3 2" xfId="18642" xr:uid="{00000000-0005-0000-0000-0000E6480000}"/>
    <cellStyle name="Header2 20 2 11 3 3 3" xfId="18643" xr:uid="{00000000-0005-0000-0000-0000E7480000}"/>
    <cellStyle name="Header2 20 2 11 3 3 4" xfId="18644" xr:uid="{00000000-0005-0000-0000-0000E8480000}"/>
    <cellStyle name="Header2 20 2 11 3 4" xfId="18645" xr:uid="{00000000-0005-0000-0000-0000E9480000}"/>
    <cellStyle name="Header2 20 2 11 3 5" xfId="18646" xr:uid="{00000000-0005-0000-0000-0000EA480000}"/>
    <cellStyle name="Header2 20 2 11 3 6" xfId="18647" xr:uid="{00000000-0005-0000-0000-0000EB480000}"/>
    <cellStyle name="Header2 20 2 11 4" xfId="18648" xr:uid="{00000000-0005-0000-0000-0000EC480000}"/>
    <cellStyle name="Header2 20 2 11 5" xfId="18649" xr:uid="{00000000-0005-0000-0000-0000ED480000}"/>
    <cellStyle name="Header2 20 2 12" xfId="18650" xr:uid="{00000000-0005-0000-0000-0000EE480000}"/>
    <cellStyle name="Header2 20 2 12 2" xfId="18651" xr:uid="{00000000-0005-0000-0000-0000EF480000}"/>
    <cellStyle name="Header2 20 2 12 2 2" xfId="18652" xr:uid="{00000000-0005-0000-0000-0000F0480000}"/>
    <cellStyle name="Header2 20 2 12 2 2 2" xfId="18653" xr:uid="{00000000-0005-0000-0000-0000F1480000}"/>
    <cellStyle name="Header2 20 2 12 2 2 3" xfId="18654" xr:uid="{00000000-0005-0000-0000-0000F2480000}"/>
    <cellStyle name="Header2 20 2 12 2 2 4" xfId="18655" xr:uid="{00000000-0005-0000-0000-0000F3480000}"/>
    <cellStyle name="Header2 20 2 12 2 2 5" xfId="18656" xr:uid="{00000000-0005-0000-0000-0000F4480000}"/>
    <cellStyle name="Header2 20 2 12 2 3" xfId="18657" xr:uid="{00000000-0005-0000-0000-0000F5480000}"/>
    <cellStyle name="Header2 20 2 12 2 3 2" xfId="18658" xr:uid="{00000000-0005-0000-0000-0000F6480000}"/>
    <cellStyle name="Header2 20 2 12 2 3 3" xfId="18659" xr:uid="{00000000-0005-0000-0000-0000F7480000}"/>
    <cellStyle name="Header2 20 2 12 2 3 4" xfId="18660" xr:uid="{00000000-0005-0000-0000-0000F8480000}"/>
    <cellStyle name="Header2 20 2 12 2 4" xfId="18661" xr:uid="{00000000-0005-0000-0000-0000F9480000}"/>
    <cellStyle name="Header2 20 2 12 2 5" xfId="18662" xr:uid="{00000000-0005-0000-0000-0000FA480000}"/>
    <cellStyle name="Header2 20 2 12 2 6" xfId="18663" xr:uid="{00000000-0005-0000-0000-0000FB480000}"/>
    <cellStyle name="Header2 20 2 12 3" xfId="18664" xr:uid="{00000000-0005-0000-0000-0000FC480000}"/>
    <cellStyle name="Header2 20 2 12 3 2" xfId="18665" xr:uid="{00000000-0005-0000-0000-0000FD480000}"/>
    <cellStyle name="Header2 20 2 12 3 2 2" xfId="18666" xr:uid="{00000000-0005-0000-0000-0000FE480000}"/>
    <cellStyle name="Header2 20 2 12 3 2 3" xfId="18667" xr:uid="{00000000-0005-0000-0000-0000FF480000}"/>
    <cellStyle name="Header2 20 2 12 3 2 4" xfId="18668" xr:uid="{00000000-0005-0000-0000-000000490000}"/>
    <cellStyle name="Header2 20 2 12 3 3" xfId="18669" xr:uid="{00000000-0005-0000-0000-000001490000}"/>
    <cellStyle name="Header2 20 2 12 3 3 2" xfId="18670" xr:uid="{00000000-0005-0000-0000-000002490000}"/>
    <cellStyle name="Header2 20 2 12 3 3 3" xfId="18671" xr:uid="{00000000-0005-0000-0000-000003490000}"/>
    <cellStyle name="Header2 20 2 12 3 3 4" xfId="18672" xr:uid="{00000000-0005-0000-0000-000004490000}"/>
    <cellStyle name="Header2 20 2 12 3 4" xfId="18673" xr:uid="{00000000-0005-0000-0000-000005490000}"/>
    <cellStyle name="Header2 20 2 12 3 5" xfId="18674" xr:uid="{00000000-0005-0000-0000-000006490000}"/>
    <cellStyle name="Header2 20 2 12 3 6" xfId="18675" xr:uid="{00000000-0005-0000-0000-000007490000}"/>
    <cellStyle name="Header2 20 2 12 4" xfId="18676" xr:uid="{00000000-0005-0000-0000-000008490000}"/>
    <cellStyle name="Header2 20 2 12 5" xfId="18677" xr:uid="{00000000-0005-0000-0000-000009490000}"/>
    <cellStyle name="Header2 20 2 13" xfId="18678" xr:uid="{00000000-0005-0000-0000-00000A490000}"/>
    <cellStyle name="Header2 20 2 13 2" xfId="18679" xr:uid="{00000000-0005-0000-0000-00000B490000}"/>
    <cellStyle name="Header2 20 2 13 2 2" xfId="18680" xr:uid="{00000000-0005-0000-0000-00000C490000}"/>
    <cellStyle name="Header2 20 2 13 2 2 2" xfId="18681" xr:uid="{00000000-0005-0000-0000-00000D490000}"/>
    <cellStyle name="Header2 20 2 13 2 2 3" xfId="18682" xr:uid="{00000000-0005-0000-0000-00000E490000}"/>
    <cellStyle name="Header2 20 2 13 2 2 4" xfId="18683" xr:uid="{00000000-0005-0000-0000-00000F490000}"/>
    <cellStyle name="Header2 20 2 13 2 2 5" xfId="18684" xr:uid="{00000000-0005-0000-0000-000010490000}"/>
    <cellStyle name="Header2 20 2 13 2 3" xfId="18685" xr:uid="{00000000-0005-0000-0000-000011490000}"/>
    <cellStyle name="Header2 20 2 13 2 3 2" xfId="18686" xr:uid="{00000000-0005-0000-0000-000012490000}"/>
    <cellStyle name="Header2 20 2 13 2 3 3" xfId="18687" xr:uid="{00000000-0005-0000-0000-000013490000}"/>
    <cellStyle name="Header2 20 2 13 2 3 4" xfId="18688" xr:uid="{00000000-0005-0000-0000-000014490000}"/>
    <cellStyle name="Header2 20 2 13 2 4" xfId="18689" xr:uid="{00000000-0005-0000-0000-000015490000}"/>
    <cellStyle name="Header2 20 2 13 2 5" xfId="18690" xr:uid="{00000000-0005-0000-0000-000016490000}"/>
    <cellStyle name="Header2 20 2 13 2 6" xfId="18691" xr:uid="{00000000-0005-0000-0000-000017490000}"/>
    <cellStyle name="Header2 20 2 13 3" xfId="18692" xr:uid="{00000000-0005-0000-0000-000018490000}"/>
    <cellStyle name="Header2 20 2 13 3 2" xfId="18693" xr:uid="{00000000-0005-0000-0000-000019490000}"/>
    <cellStyle name="Header2 20 2 13 3 2 2" xfId="18694" xr:uid="{00000000-0005-0000-0000-00001A490000}"/>
    <cellStyle name="Header2 20 2 13 3 2 3" xfId="18695" xr:uid="{00000000-0005-0000-0000-00001B490000}"/>
    <cellStyle name="Header2 20 2 13 3 2 4" xfId="18696" xr:uid="{00000000-0005-0000-0000-00001C490000}"/>
    <cellStyle name="Header2 20 2 13 3 3" xfId="18697" xr:uid="{00000000-0005-0000-0000-00001D490000}"/>
    <cellStyle name="Header2 20 2 13 3 3 2" xfId="18698" xr:uid="{00000000-0005-0000-0000-00001E490000}"/>
    <cellStyle name="Header2 20 2 13 3 3 3" xfId="18699" xr:uid="{00000000-0005-0000-0000-00001F490000}"/>
    <cellStyle name="Header2 20 2 13 3 3 4" xfId="18700" xr:uid="{00000000-0005-0000-0000-000020490000}"/>
    <cellStyle name="Header2 20 2 13 3 4" xfId="18701" xr:uid="{00000000-0005-0000-0000-000021490000}"/>
    <cellStyle name="Header2 20 2 13 3 5" xfId="18702" xr:uid="{00000000-0005-0000-0000-000022490000}"/>
    <cellStyle name="Header2 20 2 13 3 6" xfId="18703" xr:uid="{00000000-0005-0000-0000-000023490000}"/>
    <cellStyle name="Header2 20 2 13 4" xfId="18704" xr:uid="{00000000-0005-0000-0000-000024490000}"/>
    <cellStyle name="Header2 20 2 13 5" xfId="18705" xr:uid="{00000000-0005-0000-0000-000025490000}"/>
    <cellStyle name="Header2 20 2 14" xfId="58738" xr:uid="{00000000-0005-0000-0000-000026490000}"/>
    <cellStyle name="Header2 20 2 2" xfId="18706" xr:uid="{00000000-0005-0000-0000-000027490000}"/>
    <cellStyle name="Header2 20 2 2 2" xfId="18707" xr:uid="{00000000-0005-0000-0000-000028490000}"/>
    <cellStyle name="Header2 20 2 2 2 2" xfId="18708" xr:uid="{00000000-0005-0000-0000-000029490000}"/>
    <cellStyle name="Header2 20 2 2 2 2 2" xfId="18709" xr:uid="{00000000-0005-0000-0000-00002A490000}"/>
    <cellStyle name="Header2 20 2 2 2 2 2 2" xfId="18710" xr:uid="{00000000-0005-0000-0000-00002B490000}"/>
    <cellStyle name="Header2 20 2 2 2 2 2 3" xfId="18711" xr:uid="{00000000-0005-0000-0000-00002C490000}"/>
    <cellStyle name="Header2 20 2 2 2 2 2 4" xfId="18712" xr:uid="{00000000-0005-0000-0000-00002D490000}"/>
    <cellStyle name="Header2 20 2 2 2 2 2 5" xfId="18713" xr:uid="{00000000-0005-0000-0000-00002E490000}"/>
    <cellStyle name="Header2 20 2 2 2 2 3" xfId="18714" xr:uid="{00000000-0005-0000-0000-00002F490000}"/>
    <cellStyle name="Header2 20 2 2 2 2 3 2" xfId="18715" xr:uid="{00000000-0005-0000-0000-000030490000}"/>
    <cellStyle name="Header2 20 2 2 2 2 3 3" xfId="18716" xr:uid="{00000000-0005-0000-0000-000031490000}"/>
    <cellStyle name="Header2 20 2 2 2 2 3 4" xfId="18717" xr:uid="{00000000-0005-0000-0000-000032490000}"/>
    <cellStyle name="Header2 20 2 2 2 2 4" xfId="18718" xr:uid="{00000000-0005-0000-0000-000033490000}"/>
    <cellStyle name="Header2 20 2 2 2 2 5" xfId="18719" xr:uid="{00000000-0005-0000-0000-000034490000}"/>
    <cellStyle name="Header2 20 2 2 2 2 6" xfId="18720" xr:uid="{00000000-0005-0000-0000-000035490000}"/>
    <cellStyle name="Header2 20 2 2 2 3" xfId="18721" xr:uid="{00000000-0005-0000-0000-000036490000}"/>
    <cellStyle name="Header2 20 2 2 2 3 2" xfId="18722" xr:uid="{00000000-0005-0000-0000-000037490000}"/>
    <cellStyle name="Header2 20 2 2 2 3 2 2" xfId="18723" xr:uid="{00000000-0005-0000-0000-000038490000}"/>
    <cellStyle name="Header2 20 2 2 2 3 2 3" xfId="18724" xr:uid="{00000000-0005-0000-0000-000039490000}"/>
    <cellStyle name="Header2 20 2 2 2 3 2 4" xfId="18725" xr:uid="{00000000-0005-0000-0000-00003A490000}"/>
    <cellStyle name="Header2 20 2 2 2 3 3" xfId="18726" xr:uid="{00000000-0005-0000-0000-00003B490000}"/>
    <cellStyle name="Header2 20 2 2 2 3 3 2" xfId="18727" xr:uid="{00000000-0005-0000-0000-00003C490000}"/>
    <cellStyle name="Header2 20 2 2 2 3 3 3" xfId="18728" xr:uid="{00000000-0005-0000-0000-00003D490000}"/>
    <cellStyle name="Header2 20 2 2 2 3 3 4" xfId="18729" xr:uid="{00000000-0005-0000-0000-00003E490000}"/>
    <cellStyle name="Header2 20 2 2 2 3 4" xfId="18730" xr:uid="{00000000-0005-0000-0000-00003F490000}"/>
    <cellStyle name="Header2 20 2 2 2 3 5" xfId="18731" xr:uid="{00000000-0005-0000-0000-000040490000}"/>
    <cellStyle name="Header2 20 2 2 2 3 6" xfId="18732" xr:uid="{00000000-0005-0000-0000-000041490000}"/>
    <cellStyle name="Header2 20 2 2 2 4" xfId="18733" xr:uid="{00000000-0005-0000-0000-000042490000}"/>
    <cellStyle name="Header2 20 2 2 2 5" xfId="18734" xr:uid="{00000000-0005-0000-0000-000043490000}"/>
    <cellStyle name="Header2 20 2 2 3" xfId="18735" xr:uid="{00000000-0005-0000-0000-000044490000}"/>
    <cellStyle name="Header2 20 2 2 3 2" xfId="18736" xr:uid="{00000000-0005-0000-0000-000045490000}"/>
    <cellStyle name="Header2 20 2 2 3 2 2" xfId="18737" xr:uid="{00000000-0005-0000-0000-000046490000}"/>
    <cellStyle name="Header2 20 2 2 3 2 2 2" xfId="18738" xr:uid="{00000000-0005-0000-0000-000047490000}"/>
    <cellStyle name="Header2 20 2 2 3 2 2 3" xfId="18739" xr:uid="{00000000-0005-0000-0000-000048490000}"/>
    <cellStyle name="Header2 20 2 2 3 2 2 4" xfId="18740" xr:uid="{00000000-0005-0000-0000-000049490000}"/>
    <cellStyle name="Header2 20 2 2 3 2 2 5" xfId="18741" xr:uid="{00000000-0005-0000-0000-00004A490000}"/>
    <cellStyle name="Header2 20 2 2 3 2 3" xfId="18742" xr:uid="{00000000-0005-0000-0000-00004B490000}"/>
    <cellStyle name="Header2 20 2 2 3 2 3 2" xfId="18743" xr:uid="{00000000-0005-0000-0000-00004C490000}"/>
    <cellStyle name="Header2 20 2 2 3 2 3 3" xfId="18744" xr:uid="{00000000-0005-0000-0000-00004D490000}"/>
    <cellStyle name="Header2 20 2 2 3 2 3 4" xfId="18745" xr:uid="{00000000-0005-0000-0000-00004E490000}"/>
    <cellStyle name="Header2 20 2 2 3 2 4" xfId="18746" xr:uid="{00000000-0005-0000-0000-00004F490000}"/>
    <cellStyle name="Header2 20 2 2 3 2 5" xfId="18747" xr:uid="{00000000-0005-0000-0000-000050490000}"/>
    <cellStyle name="Header2 20 2 2 3 2 6" xfId="18748" xr:uid="{00000000-0005-0000-0000-000051490000}"/>
    <cellStyle name="Header2 20 2 2 3 3" xfId="18749" xr:uid="{00000000-0005-0000-0000-000052490000}"/>
    <cellStyle name="Header2 20 2 2 3 3 2" xfId="18750" xr:uid="{00000000-0005-0000-0000-000053490000}"/>
    <cellStyle name="Header2 20 2 2 3 3 2 2" xfId="18751" xr:uid="{00000000-0005-0000-0000-000054490000}"/>
    <cellStyle name="Header2 20 2 2 3 3 2 3" xfId="18752" xr:uid="{00000000-0005-0000-0000-000055490000}"/>
    <cellStyle name="Header2 20 2 2 3 3 2 4" xfId="18753" xr:uid="{00000000-0005-0000-0000-000056490000}"/>
    <cellStyle name="Header2 20 2 2 3 3 3" xfId="18754" xr:uid="{00000000-0005-0000-0000-000057490000}"/>
    <cellStyle name="Header2 20 2 2 3 3 3 2" xfId="18755" xr:uid="{00000000-0005-0000-0000-000058490000}"/>
    <cellStyle name="Header2 20 2 2 3 3 3 3" xfId="18756" xr:uid="{00000000-0005-0000-0000-000059490000}"/>
    <cellStyle name="Header2 20 2 2 3 3 3 4" xfId="18757" xr:uid="{00000000-0005-0000-0000-00005A490000}"/>
    <cellStyle name="Header2 20 2 2 3 3 4" xfId="18758" xr:uid="{00000000-0005-0000-0000-00005B490000}"/>
    <cellStyle name="Header2 20 2 2 3 3 5" xfId="18759" xr:uid="{00000000-0005-0000-0000-00005C490000}"/>
    <cellStyle name="Header2 20 2 2 3 3 6" xfId="18760" xr:uid="{00000000-0005-0000-0000-00005D490000}"/>
    <cellStyle name="Header2 20 2 2 3 4" xfId="18761" xr:uid="{00000000-0005-0000-0000-00005E490000}"/>
    <cellStyle name="Header2 20 2 2 3 5" xfId="18762" xr:uid="{00000000-0005-0000-0000-00005F490000}"/>
    <cellStyle name="Header2 20 2 3" xfId="18763" xr:uid="{00000000-0005-0000-0000-000060490000}"/>
    <cellStyle name="Header2 20 2 3 2" xfId="18764" xr:uid="{00000000-0005-0000-0000-000061490000}"/>
    <cellStyle name="Header2 20 2 3 2 2" xfId="18765" xr:uid="{00000000-0005-0000-0000-000062490000}"/>
    <cellStyle name="Header2 20 2 3 2 3" xfId="18766" xr:uid="{00000000-0005-0000-0000-000063490000}"/>
    <cellStyle name="Header2 20 2 3 3" xfId="18767" xr:uid="{00000000-0005-0000-0000-000064490000}"/>
    <cellStyle name="Header2 20 2 4" xfId="18768" xr:uid="{00000000-0005-0000-0000-000065490000}"/>
    <cellStyle name="Header2 20 2 4 2" xfId="18769" xr:uid="{00000000-0005-0000-0000-000066490000}"/>
    <cellStyle name="Header2 20 2 4 2 2" xfId="18770" xr:uid="{00000000-0005-0000-0000-000067490000}"/>
    <cellStyle name="Header2 20 2 4 2 3" xfId="18771" xr:uid="{00000000-0005-0000-0000-000068490000}"/>
    <cellStyle name="Header2 20 2 4 3" xfId="18772" xr:uid="{00000000-0005-0000-0000-000069490000}"/>
    <cellStyle name="Header2 20 2 5" xfId="18773" xr:uid="{00000000-0005-0000-0000-00006A490000}"/>
    <cellStyle name="Header2 20 2 5 2" xfId="18774" xr:uid="{00000000-0005-0000-0000-00006B490000}"/>
    <cellStyle name="Header2 20 2 5 2 2" xfId="18775" xr:uid="{00000000-0005-0000-0000-00006C490000}"/>
    <cellStyle name="Header2 20 2 5 2 3" xfId="18776" xr:uid="{00000000-0005-0000-0000-00006D490000}"/>
    <cellStyle name="Header2 20 2 5 3" xfId="18777" xr:uid="{00000000-0005-0000-0000-00006E490000}"/>
    <cellStyle name="Header2 20 2 6" xfId="18778" xr:uid="{00000000-0005-0000-0000-00006F490000}"/>
    <cellStyle name="Header2 20 2 6 2" xfId="18779" xr:uid="{00000000-0005-0000-0000-000070490000}"/>
    <cellStyle name="Header2 20 2 6 2 2" xfId="18780" xr:uid="{00000000-0005-0000-0000-000071490000}"/>
    <cellStyle name="Header2 20 2 6 2 2 2" xfId="18781" xr:uid="{00000000-0005-0000-0000-000072490000}"/>
    <cellStyle name="Header2 20 2 6 2 2 3" xfId="18782" xr:uid="{00000000-0005-0000-0000-000073490000}"/>
    <cellStyle name="Header2 20 2 6 2 2 4" xfId="18783" xr:uid="{00000000-0005-0000-0000-000074490000}"/>
    <cellStyle name="Header2 20 2 6 2 2 5" xfId="18784" xr:uid="{00000000-0005-0000-0000-000075490000}"/>
    <cellStyle name="Header2 20 2 6 2 3" xfId="18785" xr:uid="{00000000-0005-0000-0000-000076490000}"/>
    <cellStyle name="Header2 20 2 6 2 3 2" xfId="18786" xr:uid="{00000000-0005-0000-0000-000077490000}"/>
    <cellStyle name="Header2 20 2 6 2 3 3" xfId="18787" xr:uid="{00000000-0005-0000-0000-000078490000}"/>
    <cellStyle name="Header2 20 2 6 2 3 4" xfId="18788" xr:uid="{00000000-0005-0000-0000-000079490000}"/>
    <cellStyle name="Header2 20 2 6 2 4" xfId="18789" xr:uid="{00000000-0005-0000-0000-00007A490000}"/>
    <cellStyle name="Header2 20 2 6 2 5" xfId="18790" xr:uid="{00000000-0005-0000-0000-00007B490000}"/>
    <cellStyle name="Header2 20 2 6 2 6" xfId="18791" xr:uid="{00000000-0005-0000-0000-00007C490000}"/>
    <cellStyle name="Header2 20 2 6 3" xfId="18792" xr:uid="{00000000-0005-0000-0000-00007D490000}"/>
    <cellStyle name="Header2 20 2 6 3 2" xfId="18793" xr:uid="{00000000-0005-0000-0000-00007E490000}"/>
    <cellStyle name="Header2 20 2 6 3 2 2" xfId="18794" xr:uid="{00000000-0005-0000-0000-00007F490000}"/>
    <cellStyle name="Header2 20 2 6 3 2 3" xfId="18795" xr:uid="{00000000-0005-0000-0000-000080490000}"/>
    <cellStyle name="Header2 20 2 6 3 2 4" xfId="18796" xr:uid="{00000000-0005-0000-0000-000081490000}"/>
    <cellStyle name="Header2 20 2 6 3 3" xfId="18797" xr:uid="{00000000-0005-0000-0000-000082490000}"/>
    <cellStyle name="Header2 20 2 6 3 3 2" xfId="18798" xr:uid="{00000000-0005-0000-0000-000083490000}"/>
    <cellStyle name="Header2 20 2 6 3 3 3" xfId="18799" xr:uid="{00000000-0005-0000-0000-000084490000}"/>
    <cellStyle name="Header2 20 2 6 3 3 4" xfId="18800" xr:uid="{00000000-0005-0000-0000-000085490000}"/>
    <cellStyle name="Header2 20 2 6 3 4" xfId="18801" xr:uid="{00000000-0005-0000-0000-000086490000}"/>
    <cellStyle name="Header2 20 2 6 3 5" xfId="18802" xr:uid="{00000000-0005-0000-0000-000087490000}"/>
    <cellStyle name="Header2 20 2 6 3 6" xfId="18803" xr:uid="{00000000-0005-0000-0000-000088490000}"/>
    <cellStyle name="Header2 20 2 6 4" xfId="18804" xr:uid="{00000000-0005-0000-0000-000089490000}"/>
    <cellStyle name="Header2 20 2 6 5" xfId="18805" xr:uid="{00000000-0005-0000-0000-00008A490000}"/>
    <cellStyle name="Header2 20 2 7" xfId="18806" xr:uid="{00000000-0005-0000-0000-00008B490000}"/>
    <cellStyle name="Header2 20 2 7 2" xfId="18807" xr:uid="{00000000-0005-0000-0000-00008C490000}"/>
    <cellStyle name="Header2 20 2 7 2 2" xfId="18808" xr:uid="{00000000-0005-0000-0000-00008D490000}"/>
    <cellStyle name="Header2 20 2 7 2 2 2" xfId="18809" xr:uid="{00000000-0005-0000-0000-00008E490000}"/>
    <cellStyle name="Header2 20 2 7 2 2 3" xfId="18810" xr:uid="{00000000-0005-0000-0000-00008F490000}"/>
    <cellStyle name="Header2 20 2 7 2 2 4" xfId="18811" xr:uid="{00000000-0005-0000-0000-000090490000}"/>
    <cellStyle name="Header2 20 2 7 2 2 5" xfId="18812" xr:uid="{00000000-0005-0000-0000-000091490000}"/>
    <cellStyle name="Header2 20 2 7 2 3" xfId="18813" xr:uid="{00000000-0005-0000-0000-000092490000}"/>
    <cellStyle name="Header2 20 2 7 2 3 2" xfId="18814" xr:uid="{00000000-0005-0000-0000-000093490000}"/>
    <cellStyle name="Header2 20 2 7 2 3 3" xfId="18815" xr:uid="{00000000-0005-0000-0000-000094490000}"/>
    <cellStyle name="Header2 20 2 7 2 3 4" xfId="18816" xr:uid="{00000000-0005-0000-0000-000095490000}"/>
    <cellStyle name="Header2 20 2 7 2 4" xfId="18817" xr:uid="{00000000-0005-0000-0000-000096490000}"/>
    <cellStyle name="Header2 20 2 7 2 5" xfId="18818" xr:uid="{00000000-0005-0000-0000-000097490000}"/>
    <cellStyle name="Header2 20 2 7 2 6" xfId="18819" xr:uid="{00000000-0005-0000-0000-000098490000}"/>
    <cellStyle name="Header2 20 2 7 3" xfId="18820" xr:uid="{00000000-0005-0000-0000-000099490000}"/>
    <cellStyle name="Header2 20 2 7 3 2" xfId="18821" xr:uid="{00000000-0005-0000-0000-00009A490000}"/>
    <cellStyle name="Header2 20 2 7 3 2 2" xfId="18822" xr:uid="{00000000-0005-0000-0000-00009B490000}"/>
    <cellStyle name="Header2 20 2 7 3 2 3" xfId="18823" xr:uid="{00000000-0005-0000-0000-00009C490000}"/>
    <cellStyle name="Header2 20 2 7 3 2 4" xfId="18824" xr:uid="{00000000-0005-0000-0000-00009D490000}"/>
    <cellStyle name="Header2 20 2 7 3 3" xfId="18825" xr:uid="{00000000-0005-0000-0000-00009E490000}"/>
    <cellStyle name="Header2 20 2 7 3 3 2" xfId="18826" xr:uid="{00000000-0005-0000-0000-00009F490000}"/>
    <cellStyle name="Header2 20 2 7 3 3 3" xfId="18827" xr:uid="{00000000-0005-0000-0000-0000A0490000}"/>
    <cellStyle name="Header2 20 2 7 3 3 4" xfId="18828" xr:uid="{00000000-0005-0000-0000-0000A1490000}"/>
    <cellStyle name="Header2 20 2 7 3 4" xfId="18829" xr:uid="{00000000-0005-0000-0000-0000A2490000}"/>
    <cellStyle name="Header2 20 2 7 3 5" xfId="18830" xr:uid="{00000000-0005-0000-0000-0000A3490000}"/>
    <cellStyle name="Header2 20 2 7 3 6" xfId="18831" xr:uid="{00000000-0005-0000-0000-0000A4490000}"/>
    <cellStyle name="Header2 20 2 7 4" xfId="18832" xr:uid="{00000000-0005-0000-0000-0000A5490000}"/>
    <cellStyle name="Header2 20 2 7 5" xfId="18833" xr:uid="{00000000-0005-0000-0000-0000A6490000}"/>
    <cellStyle name="Header2 20 2 8" xfId="18834" xr:uid="{00000000-0005-0000-0000-0000A7490000}"/>
    <cellStyle name="Header2 20 2 8 2" xfId="18835" xr:uid="{00000000-0005-0000-0000-0000A8490000}"/>
    <cellStyle name="Header2 20 2 8 2 2" xfId="18836" xr:uid="{00000000-0005-0000-0000-0000A9490000}"/>
    <cellStyle name="Header2 20 2 8 2 2 2" xfId="18837" xr:uid="{00000000-0005-0000-0000-0000AA490000}"/>
    <cellStyle name="Header2 20 2 8 2 2 3" xfId="18838" xr:uid="{00000000-0005-0000-0000-0000AB490000}"/>
    <cellStyle name="Header2 20 2 8 2 2 4" xfId="18839" xr:uid="{00000000-0005-0000-0000-0000AC490000}"/>
    <cellStyle name="Header2 20 2 8 2 2 5" xfId="18840" xr:uid="{00000000-0005-0000-0000-0000AD490000}"/>
    <cellStyle name="Header2 20 2 8 2 3" xfId="18841" xr:uid="{00000000-0005-0000-0000-0000AE490000}"/>
    <cellStyle name="Header2 20 2 8 2 3 2" xfId="18842" xr:uid="{00000000-0005-0000-0000-0000AF490000}"/>
    <cellStyle name="Header2 20 2 8 2 3 3" xfId="18843" xr:uid="{00000000-0005-0000-0000-0000B0490000}"/>
    <cellStyle name="Header2 20 2 8 2 3 4" xfId="18844" xr:uid="{00000000-0005-0000-0000-0000B1490000}"/>
    <cellStyle name="Header2 20 2 8 2 4" xfId="18845" xr:uid="{00000000-0005-0000-0000-0000B2490000}"/>
    <cellStyle name="Header2 20 2 8 2 5" xfId="18846" xr:uid="{00000000-0005-0000-0000-0000B3490000}"/>
    <cellStyle name="Header2 20 2 8 2 6" xfId="18847" xr:uid="{00000000-0005-0000-0000-0000B4490000}"/>
    <cellStyle name="Header2 20 2 8 3" xfId="18848" xr:uid="{00000000-0005-0000-0000-0000B5490000}"/>
    <cellStyle name="Header2 20 2 8 3 2" xfId="18849" xr:uid="{00000000-0005-0000-0000-0000B6490000}"/>
    <cellStyle name="Header2 20 2 8 3 2 2" xfId="18850" xr:uid="{00000000-0005-0000-0000-0000B7490000}"/>
    <cellStyle name="Header2 20 2 8 3 2 3" xfId="18851" xr:uid="{00000000-0005-0000-0000-0000B8490000}"/>
    <cellStyle name="Header2 20 2 8 3 2 4" xfId="18852" xr:uid="{00000000-0005-0000-0000-0000B9490000}"/>
    <cellStyle name="Header2 20 2 8 3 3" xfId="18853" xr:uid="{00000000-0005-0000-0000-0000BA490000}"/>
    <cellStyle name="Header2 20 2 8 3 3 2" xfId="18854" xr:uid="{00000000-0005-0000-0000-0000BB490000}"/>
    <cellStyle name="Header2 20 2 8 3 3 3" xfId="18855" xr:uid="{00000000-0005-0000-0000-0000BC490000}"/>
    <cellStyle name="Header2 20 2 8 3 3 4" xfId="18856" xr:uid="{00000000-0005-0000-0000-0000BD490000}"/>
    <cellStyle name="Header2 20 2 8 3 4" xfId="18857" xr:uid="{00000000-0005-0000-0000-0000BE490000}"/>
    <cellStyle name="Header2 20 2 8 3 5" xfId="18858" xr:uid="{00000000-0005-0000-0000-0000BF490000}"/>
    <cellStyle name="Header2 20 2 8 3 6" xfId="18859" xr:uid="{00000000-0005-0000-0000-0000C0490000}"/>
    <cellStyle name="Header2 20 2 8 4" xfId="18860" xr:uid="{00000000-0005-0000-0000-0000C1490000}"/>
    <cellStyle name="Header2 20 2 8 5" xfId="18861" xr:uid="{00000000-0005-0000-0000-0000C2490000}"/>
    <cellStyle name="Header2 20 2 9" xfId="18862" xr:uid="{00000000-0005-0000-0000-0000C3490000}"/>
    <cellStyle name="Header2 20 2 9 2" xfId="18863" xr:uid="{00000000-0005-0000-0000-0000C4490000}"/>
    <cellStyle name="Header2 20 2 9 2 2" xfId="18864" xr:uid="{00000000-0005-0000-0000-0000C5490000}"/>
    <cellStyle name="Header2 20 2 9 2 2 2" xfId="18865" xr:uid="{00000000-0005-0000-0000-0000C6490000}"/>
    <cellStyle name="Header2 20 2 9 2 2 3" xfId="18866" xr:uid="{00000000-0005-0000-0000-0000C7490000}"/>
    <cellStyle name="Header2 20 2 9 2 2 4" xfId="18867" xr:uid="{00000000-0005-0000-0000-0000C8490000}"/>
    <cellStyle name="Header2 20 2 9 2 2 5" xfId="18868" xr:uid="{00000000-0005-0000-0000-0000C9490000}"/>
    <cellStyle name="Header2 20 2 9 2 3" xfId="18869" xr:uid="{00000000-0005-0000-0000-0000CA490000}"/>
    <cellStyle name="Header2 20 2 9 2 3 2" xfId="18870" xr:uid="{00000000-0005-0000-0000-0000CB490000}"/>
    <cellStyle name="Header2 20 2 9 2 3 3" xfId="18871" xr:uid="{00000000-0005-0000-0000-0000CC490000}"/>
    <cellStyle name="Header2 20 2 9 2 3 4" xfId="18872" xr:uid="{00000000-0005-0000-0000-0000CD490000}"/>
    <cellStyle name="Header2 20 2 9 2 4" xfId="18873" xr:uid="{00000000-0005-0000-0000-0000CE490000}"/>
    <cellStyle name="Header2 20 2 9 2 5" xfId="18874" xr:uid="{00000000-0005-0000-0000-0000CF490000}"/>
    <cellStyle name="Header2 20 2 9 2 6" xfId="18875" xr:uid="{00000000-0005-0000-0000-0000D0490000}"/>
    <cellStyle name="Header2 20 2 9 3" xfId="18876" xr:uid="{00000000-0005-0000-0000-0000D1490000}"/>
    <cellStyle name="Header2 20 2 9 3 2" xfId="18877" xr:uid="{00000000-0005-0000-0000-0000D2490000}"/>
    <cellStyle name="Header2 20 2 9 3 2 2" xfId="18878" xr:uid="{00000000-0005-0000-0000-0000D3490000}"/>
    <cellStyle name="Header2 20 2 9 3 2 3" xfId="18879" xr:uid="{00000000-0005-0000-0000-0000D4490000}"/>
    <cellStyle name="Header2 20 2 9 3 2 4" xfId="18880" xr:uid="{00000000-0005-0000-0000-0000D5490000}"/>
    <cellStyle name="Header2 20 2 9 3 3" xfId="18881" xr:uid="{00000000-0005-0000-0000-0000D6490000}"/>
    <cellStyle name="Header2 20 2 9 3 3 2" xfId="18882" xr:uid="{00000000-0005-0000-0000-0000D7490000}"/>
    <cellStyle name="Header2 20 2 9 3 3 3" xfId="18883" xr:uid="{00000000-0005-0000-0000-0000D8490000}"/>
    <cellStyle name="Header2 20 2 9 3 3 4" xfId="18884" xr:uid="{00000000-0005-0000-0000-0000D9490000}"/>
    <cellStyle name="Header2 20 2 9 3 4" xfId="18885" xr:uid="{00000000-0005-0000-0000-0000DA490000}"/>
    <cellStyle name="Header2 20 2 9 3 5" xfId="18886" xr:uid="{00000000-0005-0000-0000-0000DB490000}"/>
    <cellStyle name="Header2 20 2 9 3 6" xfId="18887" xr:uid="{00000000-0005-0000-0000-0000DC490000}"/>
    <cellStyle name="Header2 20 2 9 4" xfId="18888" xr:uid="{00000000-0005-0000-0000-0000DD490000}"/>
    <cellStyle name="Header2 20 2 9 5" xfId="18889" xr:uid="{00000000-0005-0000-0000-0000DE490000}"/>
    <cellStyle name="Header2 20 3" xfId="18890" xr:uid="{00000000-0005-0000-0000-0000DF490000}"/>
    <cellStyle name="Header2 20 3 10" xfId="18891" xr:uid="{00000000-0005-0000-0000-0000E0490000}"/>
    <cellStyle name="Header2 20 3 10 2" xfId="18892" xr:uid="{00000000-0005-0000-0000-0000E1490000}"/>
    <cellStyle name="Header2 20 3 10 2 2" xfId="18893" xr:uid="{00000000-0005-0000-0000-0000E2490000}"/>
    <cellStyle name="Header2 20 3 10 2 2 2" xfId="18894" xr:uid="{00000000-0005-0000-0000-0000E3490000}"/>
    <cellStyle name="Header2 20 3 10 2 2 3" xfId="18895" xr:uid="{00000000-0005-0000-0000-0000E4490000}"/>
    <cellStyle name="Header2 20 3 10 2 2 4" xfId="18896" xr:uid="{00000000-0005-0000-0000-0000E5490000}"/>
    <cellStyle name="Header2 20 3 10 2 2 5" xfId="18897" xr:uid="{00000000-0005-0000-0000-0000E6490000}"/>
    <cellStyle name="Header2 20 3 10 2 3" xfId="18898" xr:uid="{00000000-0005-0000-0000-0000E7490000}"/>
    <cellStyle name="Header2 20 3 10 2 3 2" xfId="18899" xr:uid="{00000000-0005-0000-0000-0000E8490000}"/>
    <cellStyle name="Header2 20 3 10 2 3 3" xfId="18900" xr:uid="{00000000-0005-0000-0000-0000E9490000}"/>
    <cellStyle name="Header2 20 3 10 2 3 4" xfId="18901" xr:uid="{00000000-0005-0000-0000-0000EA490000}"/>
    <cellStyle name="Header2 20 3 10 2 4" xfId="18902" xr:uid="{00000000-0005-0000-0000-0000EB490000}"/>
    <cellStyle name="Header2 20 3 10 2 5" xfId="18903" xr:uid="{00000000-0005-0000-0000-0000EC490000}"/>
    <cellStyle name="Header2 20 3 10 2 6" xfId="18904" xr:uid="{00000000-0005-0000-0000-0000ED490000}"/>
    <cellStyle name="Header2 20 3 10 3" xfId="18905" xr:uid="{00000000-0005-0000-0000-0000EE490000}"/>
    <cellStyle name="Header2 20 3 10 3 2" xfId="18906" xr:uid="{00000000-0005-0000-0000-0000EF490000}"/>
    <cellStyle name="Header2 20 3 10 3 2 2" xfId="18907" xr:uid="{00000000-0005-0000-0000-0000F0490000}"/>
    <cellStyle name="Header2 20 3 10 3 2 3" xfId="18908" xr:uid="{00000000-0005-0000-0000-0000F1490000}"/>
    <cellStyle name="Header2 20 3 10 3 2 4" xfId="18909" xr:uid="{00000000-0005-0000-0000-0000F2490000}"/>
    <cellStyle name="Header2 20 3 10 3 3" xfId="18910" xr:uid="{00000000-0005-0000-0000-0000F3490000}"/>
    <cellStyle name="Header2 20 3 10 3 3 2" xfId="18911" xr:uid="{00000000-0005-0000-0000-0000F4490000}"/>
    <cellStyle name="Header2 20 3 10 3 3 3" xfId="18912" xr:uid="{00000000-0005-0000-0000-0000F5490000}"/>
    <cellStyle name="Header2 20 3 10 3 3 4" xfId="18913" xr:uid="{00000000-0005-0000-0000-0000F6490000}"/>
    <cellStyle name="Header2 20 3 10 3 4" xfId="18914" xr:uid="{00000000-0005-0000-0000-0000F7490000}"/>
    <cellStyle name="Header2 20 3 10 3 5" xfId="18915" xr:uid="{00000000-0005-0000-0000-0000F8490000}"/>
    <cellStyle name="Header2 20 3 10 3 6" xfId="18916" xr:uid="{00000000-0005-0000-0000-0000F9490000}"/>
    <cellStyle name="Header2 20 3 10 4" xfId="18917" xr:uid="{00000000-0005-0000-0000-0000FA490000}"/>
    <cellStyle name="Header2 20 3 10 5" xfId="18918" xr:uid="{00000000-0005-0000-0000-0000FB490000}"/>
    <cellStyle name="Header2 20 3 11" xfId="18919" xr:uid="{00000000-0005-0000-0000-0000FC490000}"/>
    <cellStyle name="Header2 20 3 11 2" xfId="18920" xr:uid="{00000000-0005-0000-0000-0000FD490000}"/>
    <cellStyle name="Header2 20 3 11 2 2" xfId="18921" xr:uid="{00000000-0005-0000-0000-0000FE490000}"/>
    <cellStyle name="Header2 20 3 11 2 2 2" xfId="18922" xr:uid="{00000000-0005-0000-0000-0000FF490000}"/>
    <cellStyle name="Header2 20 3 11 2 2 3" xfId="18923" xr:uid="{00000000-0005-0000-0000-0000004A0000}"/>
    <cellStyle name="Header2 20 3 11 2 2 4" xfId="18924" xr:uid="{00000000-0005-0000-0000-0000014A0000}"/>
    <cellStyle name="Header2 20 3 11 2 2 5" xfId="18925" xr:uid="{00000000-0005-0000-0000-0000024A0000}"/>
    <cellStyle name="Header2 20 3 11 2 3" xfId="18926" xr:uid="{00000000-0005-0000-0000-0000034A0000}"/>
    <cellStyle name="Header2 20 3 11 2 3 2" xfId="18927" xr:uid="{00000000-0005-0000-0000-0000044A0000}"/>
    <cellStyle name="Header2 20 3 11 2 3 3" xfId="18928" xr:uid="{00000000-0005-0000-0000-0000054A0000}"/>
    <cellStyle name="Header2 20 3 11 2 3 4" xfId="18929" xr:uid="{00000000-0005-0000-0000-0000064A0000}"/>
    <cellStyle name="Header2 20 3 11 2 4" xfId="18930" xr:uid="{00000000-0005-0000-0000-0000074A0000}"/>
    <cellStyle name="Header2 20 3 11 2 5" xfId="18931" xr:uid="{00000000-0005-0000-0000-0000084A0000}"/>
    <cellStyle name="Header2 20 3 11 2 6" xfId="18932" xr:uid="{00000000-0005-0000-0000-0000094A0000}"/>
    <cellStyle name="Header2 20 3 11 3" xfId="18933" xr:uid="{00000000-0005-0000-0000-00000A4A0000}"/>
    <cellStyle name="Header2 20 3 11 3 2" xfId="18934" xr:uid="{00000000-0005-0000-0000-00000B4A0000}"/>
    <cellStyle name="Header2 20 3 11 3 2 2" xfId="18935" xr:uid="{00000000-0005-0000-0000-00000C4A0000}"/>
    <cellStyle name="Header2 20 3 11 3 2 3" xfId="18936" xr:uid="{00000000-0005-0000-0000-00000D4A0000}"/>
    <cellStyle name="Header2 20 3 11 3 2 4" xfId="18937" xr:uid="{00000000-0005-0000-0000-00000E4A0000}"/>
    <cellStyle name="Header2 20 3 11 3 3" xfId="18938" xr:uid="{00000000-0005-0000-0000-00000F4A0000}"/>
    <cellStyle name="Header2 20 3 11 3 3 2" xfId="18939" xr:uid="{00000000-0005-0000-0000-0000104A0000}"/>
    <cellStyle name="Header2 20 3 11 3 3 3" xfId="18940" xr:uid="{00000000-0005-0000-0000-0000114A0000}"/>
    <cellStyle name="Header2 20 3 11 3 3 4" xfId="18941" xr:uid="{00000000-0005-0000-0000-0000124A0000}"/>
    <cellStyle name="Header2 20 3 11 3 4" xfId="18942" xr:uid="{00000000-0005-0000-0000-0000134A0000}"/>
    <cellStyle name="Header2 20 3 11 3 5" xfId="18943" xr:uid="{00000000-0005-0000-0000-0000144A0000}"/>
    <cellStyle name="Header2 20 3 11 3 6" xfId="18944" xr:uid="{00000000-0005-0000-0000-0000154A0000}"/>
    <cellStyle name="Header2 20 3 11 4" xfId="18945" xr:uid="{00000000-0005-0000-0000-0000164A0000}"/>
    <cellStyle name="Header2 20 3 11 5" xfId="18946" xr:uid="{00000000-0005-0000-0000-0000174A0000}"/>
    <cellStyle name="Header2 20 3 12" xfId="18947" xr:uid="{00000000-0005-0000-0000-0000184A0000}"/>
    <cellStyle name="Header2 20 3 12 2" xfId="18948" xr:uid="{00000000-0005-0000-0000-0000194A0000}"/>
    <cellStyle name="Header2 20 3 12 2 2" xfId="18949" xr:uid="{00000000-0005-0000-0000-00001A4A0000}"/>
    <cellStyle name="Header2 20 3 12 2 2 2" xfId="18950" xr:uid="{00000000-0005-0000-0000-00001B4A0000}"/>
    <cellStyle name="Header2 20 3 12 2 2 3" xfId="18951" xr:uid="{00000000-0005-0000-0000-00001C4A0000}"/>
    <cellStyle name="Header2 20 3 12 2 2 4" xfId="18952" xr:uid="{00000000-0005-0000-0000-00001D4A0000}"/>
    <cellStyle name="Header2 20 3 12 2 2 5" xfId="18953" xr:uid="{00000000-0005-0000-0000-00001E4A0000}"/>
    <cellStyle name="Header2 20 3 12 2 3" xfId="18954" xr:uid="{00000000-0005-0000-0000-00001F4A0000}"/>
    <cellStyle name="Header2 20 3 12 2 3 2" xfId="18955" xr:uid="{00000000-0005-0000-0000-0000204A0000}"/>
    <cellStyle name="Header2 20 3 12 2 3 3" xfId="18956" xr:uid="{00000000-0005-0000-0000-0000214A0000}"/>
    <cellStyle name="Header2 20 3 12 2 3 4" xfId="18957" xr:uid="{00000000-0005-0000-0000-0000224A0000}"/>
    <cellStyle name="Header2 20 3 12 2 4" xfId="18958" xr:uid="{00000000-0005-0000-0000-0000234A0000}"/>
    <cellStyle name="Header2 20 3 12 2 5" xfId="18959" xr:uid="{00000000-0005-0000-0000-0000244A0000}"/>
    <cellStyle name="Header2 20 3 12 2 6" xfId="18960" xr:uid="{00000000-0005-0000-0000-0000254A0000}"/>
    <cellStyle name="Header2 20 3 12 3" xfId="18961" xr:uid="{00000000-0005-0000-0000-0000264A0000}"/>
    <cellStyle name="Header2 20 3 12 3 2" xfId="18962" xr:uid="{00000000-0005-0000-0000-0000274A0000}"/>
    <cellStyle name="Header2 20 3 12 3 2 2" xfId="18963" xr:uid="{00000000-0005-0000-0000-0000284A0000}"/>
    <cellStyle name="Header2 20 3 12 3 2 3" xfId="18964" xr:uid="{00000000-0005-0000-0000-0000294A0000}"/>
    <cellStyle name="Header2 20 3 12 3 2 4" xfId="18965" xr:uid="{00000000-0005-0000-0000-00002A4A0000}"/>
    <cellStyle name="Header2 20 3 12 3 3" xfId="18966" xr:uid="{00000000-0005-0000-0000-00002B4A0000}"/>
    <cellStyle name="Header2 20 3 12 3 3 2" xfId="18967" xr:uid="{00000000-0005-0000-0000-00002C4A0000}"/>
    <cellStyle name="Header2 20 3 12 3 3 3" xfId="18968" xr:uid="{00000000-0005-0000-0000-00002D4A0000}"/>
    <cellStyle name="Header2 20 3 12 3 3 4" xfId="18969" xr:uid="{00000000-0005-0000-0000-00002E4A0000}"/>
    <cellStyle name="Header2 20 3 12 3 4" xfId="18970" xr:uid="{00000000-0005-0000-0000-00002F4A0000}"/>
    <cellStyle name="Header2 20 3 12 3 5" xfId="18971" xr:uid="{00000000-0005-0000-0000-0000304A0000}"/>
    <cellStyle name="Header2 20 3 12 3 6" xfId="18972" xr:uid="{00000000-0005-0000-0000-0000314A0000}"/>
    <cellStyle name="Header2 20 3 12 4" xfId="18973" xr:uid="{00000000-0005-0000-0000-0000324A0000}"/>
    <cellStyle name="Header2 20 3 12 5" xfId="18974" xr:uid="{00000000-0005-0000-0000-0000334A0000}"/>
    <cellStyle name="Header2 20 3 13" xfId="58739" xr:uid="{00000000-0005-0000-0000-0000344A0000}"/>
    <cellStyle name="Header2 20 3 2" xfId="18975" xr:uid="{00000000-0005-0000-0000-0000354A0000}"/>
    <cellStyle name="Header2 20 3 2 2" xfId="18976" xr:uid="{00000000-0005-0000-0000-0000364A0000}"/>
    <cellStyle name="Header2 20 3 2 2 2" xfId="18977" xr:uid="{00000000-0005-0000-0000-0000374A0000}"/>
    <cellStyle name="Header2 20 3 2 2 3" xfId="18978" xr:uid="{00000000-0005-0000-0000-0000384A0000}"/>
    <cellStyle name="Header2 20 3 2 3" xfId="18979" xr:uid="{00000000-0005-0000-0000-0000394A0000}"/>
    <cellStyle name="Header2 20 3 3" xfId="18980" xr:uid="{00000000-0005-0000-0000-00003A4A0000}"/>
    <cellStyle name="Header2 20 3 3 2" xfId="18981" xr:uid="{00000000-0005-0000-0000-00003B4A0000}"/>
    <cellStyle name="Header2 20 3 3 2 2" xfId="18982" xr:uid="{00000000-0005-0000-0000-00003C4A0000}"/>
    <cellStyle name="Header2 20 3 3 2 3" xfId="18983" xr:uid="{00000000-0005-0000-0000-00003D4A0000}"/>
    <cellStyle name="Header2 20 3 3 3" xfId="18984" xr:uid="{00000000-0005-0000-0000-00003E4A0000}"/>
    <cellStyle name="Header2 20 3 4" xfId="18985" xr:uid="{00000000-0005-0000-0000-00003F4A0000}"/>
    <cellStyle name="Header2 20 3 4 2" xfId="18986" xr:uid="{00000000-0005-0000-0000-0000404A0000}"/>
    <cellStyle name="Header2 20 3 4 2 2" xfId="18987" xr:uid="{00000000-0005-0000-0000-0000414A0000}"/>
    <cellStyle name="Header2 20 3 4 2 3" xfId="18988" xr:uid="{00000000-0005-0000-0000-0000424A0000}"/>
    <cellStyle name="Header2 20 3 4 3" xfId="18989" xr:uid="{00000000-0005-0000-0000-0000434A0000}"/>
    <cellStyle name="Header2 20 3 5" xfId="18990" xr:uid="{00000000-0005-0000-0000-0000444A0000}"/>
    <cellStyle name="Header2 20 3 5 2" xfId="18991" xr:uid="{00000000-0005-0000-0000-0000454A0000}"/>
    <cellStyle name="Header2 20 3 5 2 2" xfId="18992" xr:uid="{00000000-0005-0000-0000-0000464A0000}"/>
    <cellStyle name="Header2 20 3 5 2 2 2" xfId="18993" xr:uid="{00000000-0005-0000-0000-0000474A0000}"/>
    <cellStyle name="Header2 20 3 5 2 2 3" xfId="18994" xr:uid="{00000000-0005-0000-0000-0000484A0000}"/>
    <cellStyle name="Header2 20 3 5 2 2 4" xfId="18995" xr:uid="{00000000-0005-0000-0000-0000494A0000}"/>
    <cellStyle name="Header2 20 3 5 2 2 5" xfId="18996" xr:uid="{00000000-0005-0000-0000-00004A4A0000}"/>
    <cellStyle name="Header2 20 3 5 2 3" xfId="18997" xr:uid="{00000000-0005-0000-0000-00004B4A0000}"/>
    <cellStyle name="Header2 20 3 5 2 3 2" xfId="18998" xr:uid="{00000000-0005-0000-0000-00004C4A0000}"/>
    <cellStyle name="Header2 20 3 5 2 3 3" xfId="18999" xr:uid="{00000000-0005-0000-0000-00004D4A0000}"/>
    <cellStyle name="Header2 20 3 5 2 3 4" xfId="19000" xr:uid="{00000000-0005-0000-0000-00004E4A0000}"/>
    <cellStyle name="Header2 20 3 5 2 4" xfId="19001" xr:uid="{00000000-0005-0000-0000-00004F4A0000}"/>
    <cellStyle name="Header2 20 3 5 2 5" xfId="19002" xr:uid="{00000000-0005-0000-0000-0000504A0000}"/>
    <cellStyle name="Header2 20 3 5 2 6" xfId="19003" xr:uid="{00000000-0005-0000-0000-0000514A0000}"/>
    <cellStyle name="Header2 20 3 5 3" xfId="19004" xr:uid="{00000000-0005-0000-0000-0000524A0000}"/>
    <cellStyle name="Header2 20 3 5 3 2" xfId="19005" xr:uid="{00000000-0005-0000-0000-0000534A0000}"/>
    <cellStyle name="Header2 20 3 5 3 2 2" xfId="19006" xr:uid="{00000000-0005-0000-0000-0000544A0000}"/>
    <cellStyle name="Header2 20 3 5 3 2 3" xfId="19007" xr:uid="{00000000-0005-0000-0000-0000554A0000}"/>
    <cellStyle name="Header2 20 3 5 3 2 4" xfId="19008" xr:uid="{00000000-0005-0000-0000-0000564A0000}"/>
    <cellStyle name="Header2 20 3 5 3 3" xfId="19009" xr:uid="{00000000-0005-0000-0000-0000574A0000}"/>
    <cellStyle name="Header2 20 3 5 3 3 2" xfId="19010" xr:uid="{00000000-0005-0000-0000-0000584A0000}"/>
    <cellStyle name="Header2 20 3 5 3 3 3" xfId="19011" xr:uid="{00000000-0005-0000-0000-0000594A0000}"/>
    <cellStyle name="Header2 20 3 5 3 3 4" xfId="19012" xr:uid="{00000000-0005-0000-0000-00005A4A0000}"/>
    <cellStyle name="Header2 20 3 5 3 4" xfId="19013" xr:uid="{00000000-0005-0000-0000-00005B4A0000}"/>
    <cellStyle name="Header2 20 3 5 3 5" xfId="19014" xr:uid="{00000000-0005-0000-0000-00005C4A0000}"/>
    <cellStyle name="Header2 20 3 5 3 6" xfId="19015" xr:uid="{00000000-0005-0000-0000-00005D4A0000}"/>
    <cellStyle name="Header2 20 3 5 4" xfId="19016" xr:uid="{00000000-0005-0000-0000-00005E4A0000}"/>
    <cellStyle name="Header2 20 3 5 5" xfId="19017" xr:uid="{00000000-0005-0000-0000-00005F4A0000}"/>
    <cellStyle name="Header2 20 3 6" xfId="19018" xr:uid="{00000000-0005-0000-0000-0000604A0000}"/>
    <cellStyle name="Header2 20 3 6 2" xfId="19019" xr:uid="{00000000-0005-0000-0000-0000614A0000}"/>
    <cellStyle name="Header2 20 3 6 2 2" xfId="19020" xr:uid="{00000000-0005-0000-0000-0000624A0000}"/>
    <cellStyle name="Header2 20 3 6 2 2 2" xfId="19021" xr:uid="{00000000-0005-0000-0000-0000634A0000}"/>
    <cellStyle name="Header2 20 3 6 2 2 3" xfId="19022" xr:uid="{00000000-0005-0000-0000-0000644A0000}"/>
    <cellStyle name="Header2 20 3 6 2 2 4" xfId="19023" xr:uid="{00000000-0005-0000-0000-0000654A0000}"/>
    <cellStyle name="Header2 20 3 6 2 2 5" xfId="19024" xr:uid="{00000000-0005-0000-0000-0000664A0000}"/>
    <cellStyle name="Header2 20 3 6 2 3" xfId="19025" xr:uid="{00000000-0005-0000-0000-0000674A0000}"/>
    <cellStyle name="Header2 20 3 6 2 3 2" xfId="19026" xr:uid="{00000000-0005-0000-0000-0000684A0000}"/>
    <cellStyle name="Header2 20 3 6 2 3 3" xfId="19027" xr:uid="{00000000-0005-0000-0000-0000694A0000}"/>
    <cellStyle name="Header2 20 3 6 2 3 4" xfId="19028" xr:uid="{00000000-0005-0000-0000-00006A4A0000}"/>
    <cellStyle name="Header2 20 3 6 2 4" xfId="19029" xr:uid="{00000000-0005-0000-0000-00006B4A0000}"/>
    <cellStyle name="Header2 20 3 6 2 5" xfId="19030" xr:uid="{00000000-0005-0000-0000-00006C4A0000}"/>
    <cellStyle name="Header2 20 3 6 2 6" xfId="19031" xr:uid="{00000000-0005-0000-0000-00006D4A0000}"/>
    <cellStyle name="Header2 20 3 6 3" xfId="19032" xr:uid="{00000000-0005-0000-0000-00006E4A0000}"/>
    <cellStyle name="Header2 20 3 6 3 2" xfId="19033" xr:uid="{00000000-0005-0000-0000-00006F4A0000}"/>
    <cellStyle name="Header2 20 3 6 3 2 2" xfId="19034" xr:uid="{00000000-0005-0000-0000-0000704A0000}"/>
    <cellStyle name="Header2 20 3 6 3 2 3" xfId="19035" xr:uid="{00000000-0005-0000-0000-0000714A0000}"/>
    <cellStyle name="Header2 20 3 6 3 2 4" xfId="19036" xr:uid="{00000000-0005-0000-0000-0000724A0000}"/>
    <cellStyle name="Header2 20 3 6 3 3" xfId="19037" xr:uid="{00000000-0005-0000-0000-0000734A0000}"/>
    <cellStyle name="Header2 20 3 6 3 3 2" xfId="19038" xr:uid="{00000000-0005-0000-0000-0000744A0000}"/>
    <cellStyle name="Header2 20 3 6 3 3 3" xfId="19039" xr:uid="{00000000-0005-0000-0000-0000754A0000}"/>
    <cellStyle name="Header2 20 3 6 3 3 4" xfId="19040" xr:uid="{00000000-0005-0000-0000-0000764A0000}"/>
    <cellStyle name="Header2 20 3 6 3 4" xfId="19041" xr:uid="{00000000-0005-0000-0000-0000774A0000}"/>
    <cellStyle name="Header2 20 3 6 3 5" xfId="19042" xr:uid="{00000000-0005-0000-0000-0000784A0000}"/>
    <cellStyle name="Header2 20 3 6 3 6" xfId="19043" xr:uid="{00000000-0005-0000-0000-0000794A0000}"/>
    <cellStyle name="Header2 20 3 6 4" xfId="19044" xr:uid="{00000000-0005-0000-0000-00007A4A0000}"/>
    <cellStyle name="Header2 20 3 6 5" xfId="19045" xr:uid="{00000000-0005-0000-0000-00007B4A0000}"/>
    <cellStyle name="Header2 20 3 7" xfId="19046" xr:uid="{00000000-0005-0000-0000-00007C4A0000}"/>
    <cellStyle name="Header2 20 3 7 2" xfId="19047" xr:uid="{00000000-0005-0000-0000-00007D4A0000}"/>
    <cellStyle name="Header2 20 3 7 2 2" xfId="19048" xr:uid="{00000000-0005-0000-0000-00007E4A0000}"/>
    <cellStyle name="Header2 20 3 7 2 2 2" xfId="19049" xr:uid="{00000000-0005-0000-0000-00007F4A0000}"/>
    <cellStyle name="Header2 20 3 7 2 2 3" xfId="19050" xr:uid="{00000000-0005-0000-0000-0000804A0000}"/>
    <cellStyle name="Header2 20 3 7 2 2 4" xfId="19051" xr:uid="{00000000-0005-0000-0000-0000814A0000}"/>
    <cellStyle name="Header2 20 3 7 2 2 5" xfId="19052" xr:uid="{00000000-0005-0000-0000-0000824A0000}"/>
    <cellStyle name="Header2 20 3 7 2 3" xfId="19053" xr:uid="{00000000-0005-0000-0000-0000834A0000}"/>
    <cellStyle name="Header2 20 3 7 2 3 2" xfId="19054" xr:uid="{00000000-0005-0000-0000-0000844A0000}"/>
    <cellStyle name="Header2 20 3 7 2 3 3" xfId="19055" xr:uid="{00000000-0005-0000-0000-0000854A0000}"/>
    <cellStyle name="Header2 20 3 7 2 3 4" xfId="19056" xr:uid="{00000000-0005-0000-0000-0000864A0000}"/>
    <cellStyle name="Header2 20 3 7 2 4" xfId="19057" xr:uid="{00000000-0005-0000-0000-0000874A0000}"/>
    <cellStyle name="Header2 20 3 7 2 5" xfId="19058" xr:uid="{00000000-0005-0000-0000-0000884A0000}"/>
    <cellStyle name="Header2 20 3 7 2 6" xfId="19059" xr:uid="{00000000-0005-0000-0000-0000894A0000}"/>
    <cellStyle name="Header2 20 3 7 3" xfId="19060" xr:uid="{00000000-0005-0000-0000-00008A4A0000}"/>
    <cellStyle name="Header2 20 3 7 3 2" xfId="19061" xr:uid="{00000000-0005-0000-0000-00008B4A0000}"/>
    <cellStyle name="Header2 20 3 7 3 2 2" xfId="19062" xr:uid="{00000000-0005-0000-0000-00008C4A0000}"/>
    <cellStyle name="Header2 20 3 7 3 2 3" xfId="19063" xr:uid="{00000000-0005-0000-0000-00008D4A0000}"/>
    <cellStyle name="Header2 20 3 7 3 2 4" xfId="19064" xr:uid="{00000000-0005-0000-0000-00008E4A0000}"/>
    <cellStyle name="Header2 20 3 7 3 3" xfId="19065" xr:uid="{00000000-0005-0000-0000-00008F4A0000}"/>
    <cellStyle name="Header2 20 3 7 3 3 2" xfId="19066" xr:uid="{00000000-0005-0000-0000-0000904A0000}"/>
    <cellStyle name="Header2 20 3 7 3 3 3" xfId="19067" xr:uid="{00000000-0005-0000-0000-0000914A0000}"/>
    <cellStyle name="Header2 20 3 7 3 3 4" xfId="19068" xr:uid="{00000000-0005-0000-0000-0000924A0000}"/>
    <cellStyle name="Header2 20 3 7 3 4" xfId="19069" xr:uid="{00000000-0005-0000-0000-0000934A0000}"/>
    <cellStyle name="Header2 20 3 7 3 5" xfId="19070" xr:uid="{00000000-0005-0000-0000-0000944A0000}"/>
    <cellStyle name="Header2 20 3 7 3 6" xfId="19071" xr:uid="{00000000-0005-0000-0000-0000954A0000}"/>
    <cellStyle name="Header2 20 3 7 4" xfId="19072" xr:uid="{00000000-0005-0000-0000-0000964A0000}"/>
    <cellStyle name="Header2 20 3 7 5" xfId="19073" xr:uid="{00000000-0005-0000-0000-0000974A0000}"/>
    <cellStyle name="Header2 20 3 8" xfId="19074" xr:uid="{00000000-0005-0000-0000-0000984A0000}"/>
    <cellStyle name="Header2 20 3 8 2" xfId="19075" xr:uid="{00000000-0005-0000-0000-0000994A0000}"/>
    <cellStyle name="Header2 20 3 8 2 2" xfId="19076" xr:uid="{00000000-0005-0000-0000-00009A4A0000}"/>
    <cellStyle name="Header2 20 3 8 2 2 2" xfId="19077" xr:uid="{00000000-0005-0000-0000-00009B4A0000}"/>
    <cellStyle name="Header2 20 3 8 2 2 3" xfId="19078" xr:uid="{00000000-0005-0000-0000-00009C4A0000}"/>
    <cellStyle name="Header2 20 3 8 2 2 4" xfId="19079" xr:uid="{00000000-0005-0000-0000-00009D4A0000}"/>
    <cellStyle name="Header2 20 3 8 2 2 5" xfId="19080" xr:uid="{00000000-0005-0000-0000-00009E4A0000}"/>
    <cellStyle name="Header2 20 3 8 2 3" xfId="19081" xr:uid="{00000000-0005-0000-0000-00009F4A0000}"/>
    <cellStyle name="Header2 20 3 8 2 3 2" xfId="19082" xr:uid="{00000000-0005-0000-0000-0000A04A0000}"/>
    <cellStyle name="Header2 20 3 8 2 3 3" xfId="19083" xr:uid="{00000000-0005-0000-0000-0000A14A0000}"/>
    <cellStyle name="Header2 20 3 8 2 3 4" xfId="19084" xr:uid="{00000000-0005-0000-0000-0000A24A0000}"/>
    <cellStyle name="Header2 20 3 8 2 4" xfId="19085" xr:uid="{00000000-0005-0000-0000-0000A34A0000}"/>
    <cellStyle name="Header2 20 3 8 2 5" xfId="19086" xr:uid="{00000000-0005-0000-0000-0000A44A0000}"/>
    <cellStyle name="Header2 20 3 8 2 6" xfId="19087" xr:uid="{00000000-0005-0000-0000-0000A54A0000}"/>
    <cellStyle name="Header2 20 3 8 3" xfId="19088" xr:uid="{00000000-0005-0000-0000-0000A64A0000}"/>
    <cellStyle name="Header2 20 3 8 3 2" xfId="19089" xr:uid="{00000000-0005-0000-0000-0000A74A0000}"/>
    <cellStyle name="Header2 20 3 8 3 2 2" xfId="19090" xr:uid="{00000000-0005-0000-0000-0000A84A0000}"/>
    <cellStyle name="Header2 20 3 8 3 2 3" xfId="19091" xr:uid="{00000000-0005-0000-0000-0000A94A0000}"/>
    <cellStyle name="Header2 20 3 8 3 2 4" xfId="19092" xr:uid="{00000000-0005-0000-0000-0000AA4A0000}"/>
    <cellStyle name="Header2 20 3 8 3 3" xfId="19093" xr:uid="{00000000-0005-0000-0000-0000AB4A0000}"/>
    <cellStyle name="Header2 20 3 8 3 3 2" xfId="19094" xr:uid="{00000000-0005-0000-0000-0000AC4A0000}"/>
    <cellStyle name="Header2 20 3 8 3 3 3" xfId="19095" xr:uid="{00000000-0005-0000-0000-0000AD4A0000}"/>
    <cellStyle name="Header2 20 3 8 3 3 4" xfId="19096" xr:uid="{00000000-0005-0000-0000-0000AE4A0000}"/>
    <cellStyle name="Header2 20 3 8 3 4" xfId="19097" xr:uid="{00000000-0005-0000-0000-0000AF4A0000}"/>
    <cellStyle name="Header2 20 3 8 3 5" xfId="19098" xr:uid="{00000000-0005-0000-0000-0000B04A0000}"/>
    <cellStyle name="Header2 20 3 8 3 6" xfId="19099" xr:uid="{00000000-0005-0000-0000-0000B14A0000}"/>
    <cellStyle name="Header2 20 3 8 4" xfId="19100" xr:uid="{00000000-0005-0000-0000-0000B24A0000}"/>
    <cellStyle name="Header2 20 3 8 5" xfId="19101" xr:uid="{00000000-0005-0000-0000-0000B34A0000}"/>
    <cellStyle name="Header2 20 3 9" xfId="19102" xr:uid="{00000000-0005-0000-0000-0000B44A0000}"/>
    <cellStyle name="Header2 20 3 9 2" xfId="19103" xr:uid="{00000000-0005-0000-0000-0000B54A0000}"/>
    <cellStyle name="Header2 20 3 9 2 2" xfId="19104" xr:uid="{00000000-0005-0000-0000-0000B64A0000}"/>
    <cellStyle name="Header2 20 3 9 2 2 2" xfId="19105" xr:uid="{00000000-0005-0000-0000-0000B74A0000}"/>
    <cellStyle name="Header2 20 3 9 2 2 3" xfId="19106" xr:uid="{00000000-0005-0000-0000-0000B84A0000}"/>
    <cellStyle name="Header2 20 3 9 2 2 4" xfId="19107" xr:uid="{00000000-0005-0000-0000-0000B94A0000}"/>
    <cellStyle name="Header2 20 3 9 2 2 5" xfId="19108" xr:uid="{00000000-0005-0000-0000-0000BA4A0000}"/>
    <cellStyle name="Header2 20 3 9 2 3" xfId="19109" xr:uid="{00000000-0005-0000-0000-0000BB4A0000}"/>
    <cellStyle name="Header2 20 3 9 2 3 2" xfId="19110" xr:uid="{00000000-0005-0000-0000-0000BC4A0000}"/>
    <cellStyle name="Header2 20 3 9 2 3 3" xfId="19111" xr:uid="{00000000-0005-0000-0000-0000BD4A0000}"/>
    <cellStyle name="Header2 20 3 9 2 3 4" xfId="19112" xr:uid="{00000000-0005-0000-0000-0000BE4A0000}"/>
    <cellStyle name="Header2 20 3 9 2 4" xfId="19113" xr:uid="{00000000-0005-0000-0000-0000BF4A0000}"/>
    <cellStyle name="Header2 20 3 9 2 5" xfId="19114" xr:uid="{00000000-0005-0000-0000-0000C04A0000}"/>
    <cellStyle name="Header2 20 3 9 2 6" xfId="19115" xr:uid="{00000000-0005-0000-0000-0000C14A0000}"/>
    <cellStyle name="Header2 20 3 9 3" xfId="19116" xr:uid="{00000000-0005-0000-0000-0000C24A0000}"/>
    <cellStyle name="Header2 20 3 9 3 2" xfId="19117" xr:uid="{00000000-0005-0000-0000-0000C34A0000}"/>
    <cellStyle name="Header2 20 3 9 3 2 2" xfId="19118" xr:uid="{00000000-0005-0000-0000-0000C44A0000}"/>
    <cellStyle name="Header2 20 3 9 3 2 3" xfId="19119" xr:uid="{00000000-0005-0000-0000-0000C54A0000}"/>
    <cellStyle name="Header2 20 3 9 3 2 4" xfId="19120" xr:uid="{00000000-0005-0000-0000-0000C64A0000}"/>
    <cellStyle name="Header2 20 3 9 3 3" xfId="19121" xr:uid="{00000000-0005-0000-0000-0000C74A0000}"/>
    <cellStyle name="Header2 20 3 9 3 3 2" xfId="19122" xr:uid="{00000000-0005-0000-0000-0000C84A0000}"/>
    <cellStyle name="Header2 20 3 9 3 3 3" xfId="19123" xr:uid="{00000000-0005-0000-0000-0000C94A0000}"/>
    <cellStyle name="Header2 20 3 9 3 3 4" xfId="19124" xr:uid="{00000000-0005-0000-0000-0000CA4A0000}"/>
    <cellStyle name="Header2 20 3 9 3 4" xfId="19125" xr:uid="{00000000-0005-0000-0000-0000CB4A0000}"/>
    <cellStyle name="Header2 20 3 9 3 5" xfId="19126" xr:uid="{00000000-0005-0000-0000-0000CC4A0000}"/>
    <cellStyle name="Header2 20 3 9 3 6" xfId="19127" xr:uid="{00000000-0005-0000-0000-0000CD4A0000}"/>
    <cellStyle name="Header2 20 3 9 4" xfId="19128" xr:uid="{00000000-0005-0000-0000-0000CE4A0000}"/>
    <cellStyle name="Header2 20 3 9 5" xfId="19129" xr:uid="{00000000-0005-0000-0000-0000CF4A0000}"/>
    <cellStyle name="Header2 21" xfId="19130" xr:uid="{00000000-0005-0000-0000-0000D04A0000}"/>
    <cellStyle name="Header2 21 2" xfId="19131" xr:uid="{00000000-0005-0000-0000-0000D14A0000}"/>
    <cellStyle name="Header2 21 2 10" xfId="19132" xr:uid="{00000000-0005-0000-0000-0000D24A0000}"/>
    <cellStyle name="Header2 21 2 10 2" xfId="19133" xr:uid="{00000000-0005-0000-0000-0000D34A0000}"/>
    <cellStyle name="Header2 21 2 10 2 2" xfId="19134" xr:uid="{00000000-0005-0000-0000-0000D44A0000}"/>
    <cellStyle name="Header2 21 2 10 2 2 2" xfId="19135" xr:uid="{00000000-0005-0000-0000-0000D54A0000}"/>
    <cellStyle name="Header2 21 2 10 2 2 3" xfId="19136" xr:uid="{00000000-0005-0000-0000-0000D64A0000}"/>
    <cellStyle name="Header2 21 2 10 2 2 4" xfId="19137" xr:uid="{00000000-0005-0000-0000-0000D74A0000}"/>
    <cellStyle name="Header2 21 2 10 2 2 5" xfId="19138" xr:uid="{00000000-0005-0000-0000-0000D84A0000}"/>
    <cellStyle name="Header2 21 2 10 2 3" xfId="19139" xr:uid="{00000000-0005-0000-0000-0000D94A0000}"/>
    <cellStyle name="Header2 21 2 10 2 3 2" xfId="19140" xr:uid="{00000000-0005-0000-0000-0000DA4A0000}"/>
    <cellStyle name="Header2 21 2 10 2 3 3" xfId="19141" xr:uid="{00000000-0005-0000-0000-0000DB4A0000}"/>
    <cellStyle name="Header2 21 2 10 2 3 4" xfId="19142" xr:uid="{00000000-0005-0000-0000-0000DC4A0000}"/>
    <cellStyle name="Header2 21 2 10 2 4" xfId="19143" xr:uid="{00000000-0005-0000-0000-0000DD4A0000}"/>
    <cellStyle name="Header2 21 2 10 2 5" xfId="19144" xr:uid="{00000000-0005-0000-0000-0000DE4A0000}"/>
    <cellStyle name="Header2 21 2 10 2 6" xfId="19145" xr:uid="{00000000-0005-0000-0000-0000DF4A0000}"/>
    <cellStyle name="Header2 21 2 10 3" xfId="19146" xr:uid="{00000000-0005-0000-0000-0000E04A0000}"/>
    <cellStyle name="Header2 21 2 10 3 2" xfId="19147" xr:uid="{00000000-0005-0000-0000-0000E14A0000}"/>
    <cellStyle name="Header2 21 2 10 3 2 2" xfId="19148" xr:uid="{00000000-0005-0000-0000-0000E24A0000}"/>
    <cellStyle name="Header2 21 2 10 3 2 3" xfId="19149" xr:uid="{00000000-0005-0000-0000-0000E34A0000}"/>
    <cellStyle name="Header2 21 2 10 3 2 4" xfId="19150" xr:uid="{00000000-0005-0000-0000-0000E44A0000}"/>
    <cellStyle name="Header2 21 2 10 3 3" xfId="19151" xr:uid="{00000000-0005-0000-0000-0000E54A0000}"/>
    <cellStyle name="Header2 21 2 10 3 3 2" xfId="19152" xr:uid="{00000000-0005-0000-0000-0000E64A0000}"/>
    <cellStyle name="Header2 21 2 10 3 3 3" xfId="19153" xr:uid="{00000000-0005-0000-0000-0000E74A0000}"/>
    <cellStyle name="Header2 21 2 10 3 3 4" xfId="19154" xr:uid="{00000000-0005-0000-0000-0000E84A0000}"/>
    <cellStyle name="Header2 21 2 10 3 4" xfId="19155" xr:uid="{00000000-0005-0000-0000-0000E94A0000}"/>
    <cellStyle name="Header2 21 2 10 3 5" xfId="19156" xr:uid="{00000000-0005-0000-0000-0000EA4A0000}"/>
    <cellStyle name="Header2 21 2 10 3 6" xfId="19157" xr:uid="{00000000-0005-0000-0000-0000EB4A0000}"/>
    <cellStyle name="Header2 21 2 10 4" xfId="19158" xr:uid="{00000000-0005-0000-0000-0000EC4A0000}"/>
    <cellStyle name="Header2 21 2 10 5" xfId="19159" xr:uid="{00000000-0005-0000-0000-0000ED4A0000}"/>
    <cellStyle name="Header2 21 2 11" xfId="19160" xr:uid="{00000000-0005-0000-0000-0000EE4A0000}"/>
    <cellStyle name="Header2 21 2 11 2" xfId="19161" xr:uid="{00000000-0005-0000-0000-0000EF4A0000}"/>
    <cellStyle name="Header2 21 2 11 2 2" xfId="19162" xr:uid="{00000000-0005-0000-0000-0000F04A0000}"/>
    <cellStyle name="Header2 21 2 11 2 2 2" xfId="19163" xr:uid="{00000000-0005-0000-0000-0000F14A0000}"/>
    <cellStyle name="Header2 21 2 11 2 2 3" xfId="19164" xr:uid="{00000000-0005-0000-0000-0000F24A0000}"/>
    <cellStyle name="Header2 21 2 11 2 2 4" xfId="19165" xr:uid="{00000000-0005-0000-0000-0000F34A0000}"/>
    <cellStyle name="Header2 21 2 11 2 2 5" xfId="19166" xr:uid="{00000000-0005-0000-0000-0000F44A0000}"/>
    <cellStyle name="Header2 21 2 11 2 3" xfId="19167" xr:uid="{00000000-0005-0000-0000-0000F54A0000}"/>
    <cellStyle name="Header2 21 2 11 2 3 2" xfId="19168" xr:uid="{00000000-0005-0000-0000-0000F64A0000}"/>
    <cellStyle name="Header2 21 2 11 2 3 3" xfId="19169" xr:uid="{00000000-0005-0000-0000-0000F74A0000}"/>
    <cellStyle name="Header2 21 2 11 2 3 4" xfId="19170" xr:uid="{00000000-0005-0000-0000-0000F84A0000}"/>
    <cellStyle name="Header2 21 2 11 2 4" xfId="19171" xr:uid="{00000000-0005-0000-0000-0000F94A0000}"/>
    <cellStyle name="Header2 21 2 11 2 5" xfId="19172" xr:uid="{00000000-0005-0000-0000-0000FA4A0000}"/>
    <cellStyle name="Header2 21 2 11 2 6" xfId="19173" xr:uid="{00000000-0005-0000-0000-0000FB4A0000}"/>
    <cellStyle name="Header2 21 2 11 3" xfId="19174" xr:uid="{00000000-0005-0000-0000-0000FC4A0000}"/>
    <cellStyle name="Header2 21 2 11 3 2" xfId="19175" xr:uid="{00000000-0005-0000-0000-0000FD4A0000}"/>
    <cellStyle name="Header2 21 2 11 3 2 2" xfId="19176" xr:uid="{00000000-0005-0000-0000-0000FE4A0000}"/>
    <cellStyle name="Header2 21 2 11 3 2 3" xfId="19177" xr:uid="{00000000-0005-0000-0000-0000FF4A0000}"/>
    <cellStyle name="Header2 21 2 11 3 2 4" xfId="19178" xr:uid="{00000000-0005-0000-0000-0000004B0000}"/>
    <cellStyle name="Header2 21 2 11 3 3" xfId="19179" xr:uid="{00000000-0005-0000-0000-0000014B0000}"/>
    <cellStyle name="Header2 21 2 11 3 3 2" xfId="19180" xr:uid="{00000000-0005-0000-0000-0000024B0000}"/>
    <cellStyle name="Header2 21 2 11 3 3 3" xfId="19181" xr:uid="{00000000-0005-0000-0000-0000034B0000}"/>
    <cellStyle name="Header2 21 2 11 3 3 4" xfId="19182" xr:uid="{00000000-0005-0000-0000-0000044B0000}"/>
    <cellStyle name="Header2 21 2 11 3 4" xfId="19183" xr:uid="{00000000-0005-0000-0000-0000054B0000}"/>
    <cellStyle name="Header2 21 2 11 3 5" xfId="19184" xr:uid="{00000000-0005-0000-0000-0000064B0000}"/>
    <cellStyle name="Header2 21 2 11 3 6" xfId="19185" xr:uid="{00000000-0005-0000-0000-0000074B0000}"/>
    <cellStyle name="Header2 21 2 11 4" xfId="19186" xr:uid="{00000000-0005-0000-0000-0000084B0000}"/>
    <cellStyle name="Header2 21 2 11 5" xfId="19187" xr:uid="{00000000-0005-0000-0000-0000094B0000}"/>
    <cellStyle name="Header2 21 2 12" xfId="19188" xr:uid="{00000000-0005-0000-0000-00000A4B0000}"/>
    <cellStyle name="Header2 21 2 12 2" xfId="19189" xr:uid="{00000000-0005-0000-0000-00000B4B0000}"/>
    <cellStyle name="Header2 21 2 12 2 2" xfId="19190" xr:uid="{00000000-0005-0000-0000-00000C4B0000}"/>
    <cellStyle name="Header2 21 2 12 2 2 2" xfId="19191" xr:uid="{00000000-0005-0000-0000-00000D4B0000}"/>
    <cellStyle name="Header2 21 2 12 2 2 3" xfId="19192" xr:uid="{00000000-0005-0000-0000-00000E4B0000}"/>
    <cellStyle name="Header2 21 2 12 2 2 4" xfId="19193" xr:uid="{00000000-0005-0000-0000-00000F4B0000}"/>
    <cellStyle name="Header2 21 2 12 2 2 5" xfId="19194" xr:uid="{00000000-0005-0000-0000-0000104B0000}"/>
    <cellStyle name="Header2 21 2 12 2 3" xfId="19195" xr:uid="{00000000-0005-0000-0000-0000114B0000}"/>
    <cellStyle name="Header2 21 2 12 2 3 2" xfId="19196" xr:uid="{00000000-0005-0000-0000-0000124B0000}"/>
    <cellStyle name="Header2 21 2 12 2 3 3" xfId="19197" xr:uid="{00000000-0005-0000-0000-0000134B0000}"/>
    <cellStyle name="Header2 21 2 12 2 3 4" xfId="19198" xr:uid="{00000000-0005-0000-0000-0000144B0000}"/>
    <cellStyle name="Header2 21 2 12 2 4" xfId="19199" xr:uid="{00000000-0005-0000-0000-0000154B0000}"/>
    <cellStyle name="Header2 21 2 12 2 5" xfId="19200" xr:uid="{00000000-0005-0000-0000-0000164B0000}"/>
    <cellStyle name="Header2 21 2 12 2 6" xfId="19201" xr:uid="{00000000-0005-0000-0000-0000174B0000}"/>
    <cellStyle name="Header2 21 2 12 3" xfId="19202" xr:uid="{00000000-0005-0000-0000-0000184B0000}"/>
    <cellStyle name="Header2 21 2 12 3 2" xfId="19203" xr:uid="{00000000-0005-0000-0000-0000194B0000}"/>
    <cellStyle name="Header2 21 2 12 3 2 2" xfId="19204" xr:uid="{00000000-0005-0000-0000-00001A4B0000}"/>
    <cellStyle name="Header2 21 2 12 3 2 3" xfId="19205" xr:uid="{00000000-0005-0000-0000-00001B4B0000}"/>
    <cellStyle name="Header2 21 2 12 3 2 4" xfId="19206" xr:uid="{00000000-0005-0000-0000-00001C4B0000}"/>
    <cellStyle name="Header2 21 2 12 3 3" xfId="19207" xr:uid="{00000000-0005-0000-0000-00001D4B0000}"/>
    <cellStyle name="Header2 21 2 12 3 3 2" xfId="19208" xr:uid="{00000000-0005-0000-0000-00001E4B0000}"/>
    <cellStyle name="Header2 21 2 12 3 3 3" xfId="19209" xr:uid="{00000000-0005-0000-0000-00001F4B0000}"/>
    <cellStyle name="Header2 21 2 12 3 3 4" xfId="19210" xr:uid="{00000000-0005-0000-0000-0000204B0000}"/>
    <cellStyle name="Header2 21 2 12 3 4" xfId="19211" xr:uid="{00000000-0005-0000-0000-0000214B0000}"/>
    <cellStyle name="Header2 21 2 12 3 5" xfId="19212" xr:uid="{00000000-0005-0000-0000-0000224B0000}"/>
    <cellStyle name="Header2 21 2 12 3 6" xfId="19213" xr:uid="{00000000-0005-0000-0000-0000234B0000}"/>
    <cellStyle name="Header2 21 2 12 4" xfId="19214" xr:uid="{00000000-0005-0000-0000-0000244B0000}"/>
    <cellStyle name="Header2 21 2 12 5" xfId="19215" xr:uid="{00000000-0005-0000-0000-0000254B0000}"/>
    <cellStyle name="Header2 21 2 13" xfId="19216" xr:uid="{00000000-0005-0000-0000-0000264B0000}"/>
    <cellStyle name="Header2 21 2 13 2" xfId="19217" xr:uid="{00000000-0005-0000-0000-0000274B0000}"/>
    <cellStyle name="Header2 21 2 13 2 2" xfId="19218" xr:uid="{00000000-0005-0000-0000-0000284B0000}"/>
    <cellStyle name="Header2 21 2 13 2 2 2" xfId="19219" xr:uid="{00000000-0005-0000-0000-0000294B0000}"/>
    <cellStyle name="Header2 21 2 13 2 2 3" xfId="19220" xr:uid="{00000000-0005-0000-0000-00002A4B0000}"/>
    <cellStyle name="Header2 21 2 13 2 2 4" xfId="19221" xr:uid="{00000000-0005-0000-0000-00002B4B0000}"/>
    <cellStyle name="Header2 21 2 13 2 2 5" xfId="19222" xr:uid="{00000000-0005-0000-0000-00002C4B0000}"/>
    <cellStyle name="Header2 21 2 13 2 3" xfId="19223" xr:uid="{00000000-0005-0000-0000-00002D4B0000}"/>
    <cellStyle name="Header2 21 2 13 2 3 2" xfId="19224" xr:uid="{00000000-0005-0000-0000-00002E4B0000}"/>
    <cellStyle name="Header2 21 2 13 2 3 3" xfId="19225" xr:uid="{00000000-0005-0000-0000-00002F4B0000}"/>
    <cellStyle name="Header2 21 2 13 2 3 4" xfId="19226" xr:uid="{00000000-0005-0000-0000-0000304B0000}"/>
    <cellStyle name="Header2 21 2 13 2 4" xfId="19227" xr:uid="{00000000-0005-0000-0000-0000314B0000}"/>
    <cellStyle name="Header2 21 2 13 2 5" xfId="19228" xr:uid="{00000000-0005-0000-0000-0000324B0000}"/>
    <cellStyle name="Header2 21 2 13 2 6" xfId="19229" xr:uid="{00000000-0005-0000-0000-0000334B0000}"/>
    <cellStyle name="Header2 21 2 13 3" xfId="19230" xr:uid="{00000000-0005-0000-0000-0000344B0000}"/>
    <cellStyle name="Header2 21 2 13 3 2" xfId="19231" xr:uid="{00000000-0005-0000-0000-0000354B0000}"/>
    <cellStyle name="Header2 21 2 13 3 2 2" xfId="19232" xr:uid="{00000000-0005-0000-0000-0000364B0000}"/>
    <cellStyle name="Header2 21 2 13 3 2 3" xfId="19233" xr:uid="{00000000-0005-0000-0000-0000374B0000}"/>
    <cellStyle name="Header2 21 2 13 3 2 4" xfId="19234" xr:uid="{00000000-0005-0000-0000-0000384B0000}"/>
    <cellStyle name="Header2 21 2 13 3 3" xfId="19235" xr:uid="{00000000-0005-0000-0000-0000394B0000}"/>
    <cellStyle name="Header2 21 2 13 3 3 2" xfId="19236" xr:uid="{00000000-0005-0000-0000-00003A4B0000}"/>
    <cellStyle name="Header2 21 2 13 3 3 3" xfId="19237" xr:uid="{00000000-0005-0000-0000-00003B4B0000}"/>
    <cellStyle name="Header2 21 2 13 3 3 4" xfId="19238" xr:uid="{00000000-0005-0000-0000-00003C4B0000}"/>
    <cellStyle name="Header2 21 2 13 3 4" xfId="19239" xr:uid="{00000000-0005-0000-0000-00003D4B0000}"/>
    <cellStyle name="Header2 21 2 13 3 5" xfId="19240" xr:uid="{00000000-0005-0000-0000-00003E4B0000}"/>
    <cellStyle name="Header2 21 2 13 3 6" xfId="19241" xr:uid="{00000000-0005-0000-0000-00003F4B0000}"/>
    <cellStyle name="Header2 21 2 13 4" xfId="19242" xr:uid="{00000000-0005-0000-0000-0000404B0000}"/>
    <cellStyle name="Header2 21 2 13 5" xfId="19243" xr:uid="{00000000-0005-0000-0000-0000414B0000}"/>
    <cellStyle name="Header2 21 2 14" xfId="58740" xr:uid="{00000000-0005-0000-0000-0000424B0000}"/>
    <cellStyle name="Header2 21 2 2" xfId="19244" xr:uid="{00000000-0005-0000-0000-0000434B0000}"/>
    <cellStyle name="Header2 21 2 2 2" xfId="19245" xr:uid="{00000000-0005-0000-0000-0000444B0000}"/>
    <cellStyle name="Header2 21 2 2 2 2" xfId="19246" xr:uid="{00000000-0005-0000-0000-0000454B0000}"/>
    <cellStyle name="Header2 21 2 2 2 2 2" xfId="19247" xr:uid="{00000000-0005-0000-0000-0000464B0000}"/>
    <cellStyle name="Header2 21 2 2 2 2 2 2" xfId="19248" xr:uid="{00000000-0005-0000-0000-0000474B0000}"/>
    <cellStyle name="Header2 21 2 2 2 2 2 3" xfId="19249" xr:uid="{00000000-0005-0000-0000-0000484B0000}"/>
    <cellStyle name="Header2 21 2 2 2 2 2 4" xfId="19250" xr:uid="{00000000-0005-0000-0000-0000494B0000}"/>
    <cellStyle name="Header2 21 2 2 2 2 2 5" xfId="19251" xr:uid="{00000000-0005-0000-0000-00004A4B0000}"/>
    <cellStyle name="Header2 21 2 2 2 2 3" xfId="19252" xr:uid="{00000000-0005-0000-0000-00004B4B0000}"/>
    <cellStyle name="Header2 21 2 2 2 2 3 2" xfId="19253" xr:uid="{00000000-0005-0000-0000-00004C4B0000}"/>
    <cellStyle name="Header2 21 2 2 2 2 3 3" xfId="19254" xr:uid="{00000000-0005-0000-0000-00004D4B0000}"/>
    <cellStyle name="Header2 21 2 2 2 2 3 4" xfId="19255" xr:uid="{00000000-0005-0000-0000-00004E4B0000}"/>
    <cellStyle name="Header2 21 2 2 2 2 4" xfId="19256" xr:uid="{00000000-0005-0000-0000-00004F4B0000}"/>
    <cellStyle name="Header2 21 2 2 2 2 5" xfId="19257" xr:uid="{00000000-0005-0000-0000-0000504B0000}"/>
    <cellStyle name="Header2 21 2 2 2 2 6" xfId="19258" xr:uid="{00000000-0005-0000-0000-0000514B0000}"/>
    <cellStyle name="Header2 21 2 2 2 3" xfId="19259" xr:uid="{00000000-0005-0000-0000-0000524B0000}"/>
    <cellStyle name="Header2 21 2 2 2 3 2" xfId="19260" xr:uid="{00000000-0005-0000-0000-0000534B0000}"/>
    <cellStyle name="Header2 21 2 2 2 3 2 2" xfId="19261" xr:uid="{00000000-0005-0000-0000-0000544B0000}"/>
    <cellStyle name="Header2 21 2 2 2 3 2 3" xfId="19262" xr:uid="{00000000-0005-0000-0000-0000554B0000}"/>
    <cellStyle name="Header2 21 2 2 2 3 2 4" xfId="19263" xr:uid="{00000000-0005-0000-0000-0000564B0000}"/>
    <cellStyle name="Header2 21 2 2 2 3 3" xfId="19264" xr:uid="{00000000-0005-0000-0000-0000574B0000}"/>
    <cellStyle name="Header2 21 2 2 2 3 3 2" xfId="19265" xr:uid="{00000000-0005-0000-0000-0000584B0000}"/>
    <cellStyle name="Header2 21 2 2 2 3 3 3" xfId="19266" xr:uid="{00000000-0005-0000-0000-0000594B0000}"/>
    <cellStyle name="Header2 21 2 2 2 3 3 4" xfId="19267" xr:uid="{00000000-0005-0000-0000-00005A4B0000}"/>
    <cellStyle name="Header2 21 2 2 2 3 4" xfId="19268" xr:uid="{00000000-0005-0000-0000-00005B4B0000}"/>
    <cellStyle name="Header2 21 2 2 2 3 5" xfId="19269" xr:uid="{00000000-0005-0000-0000-00005C4B0000}"/>
    <cellStyle name="Header2 21 2 2 2 3 6" xfId="19270" xr:uid="{00000000-0005-0000-0000-00005D4B0000}"/>
    <cellStyle name="Header2 21 2 2 2 4" xfId="19271" xr:uid="{00000000-0005-0000-0000-00005E4B0000}"/>
    <cellStyle name="Header2 21 2 2 2 5" xfId="19272" xr:uid="{00000000-0005-0000-0000-00005F4B0000}"/>
    <cellStyle name="Header2 21 2 2 3" xfId="19273" xr:uid="{00000000-0005-0000-0000-0000604B0000}"/>
    <cellStyle name="Header2 21 2 2 3 2" xfId="19274" xr:uid="{00000000-0005-0000-0000-0000614B0000}"/>
    <cellStyle name="Header2 21 2 2 3 2 2" xfId="19275" xr:uid="{00000000-0005-0000-0000-0000624B0000}"/>
    <cellStyle name="Header2 21 2 2 3 2 2 2" xfId="19276" xr:uid="{00000000-0005-0000-0000-0000634B0000}"/>
    <cellStyle name="Header2 21 2 2 3 2 2 3" xfId="19277" xr:uid="{00000000-0005-0000-0000-0000644B0000}"/>
    <cellStyle name="Header2 21 2 2 3 2 2 4" xfId="19278" xr:uid="{00000000-0005-0000-0000-0000654B0000}"/>
    <cellStyle name="Header2 21 2 2 3 2 2 5" xfId="19279" xr:uid="{00000000-0005-0000-0000-0000664B0000}"/>
    <cellStyle name="Header2 21 2 2 3 2 3" xfId="19280" xr:uid="{00000000-0005-0000-0000-0000674B0000}"/>
    <cellStyle name="Header2 21 2 2 3 2 3 2" xfId="19281" xr:uid="{00000000-0005-0000-0000-0000684B0000}"/>
    <cellStyle name="Header2 21 2 2 3 2 3 3" xfId="19282" xr:uid="{00000000-0005-0000-0000-0000694B0000}"/>
    <cellStyle name="Header2 21 2 2 3 2 3 4" xfId="19283" xr:uid="{00000000-0005-0000-0000-00006A4B0000}"/>
    <cellStyle name="Header2 21 2 2 3 2 4" xfId="19284" xr:uid="{00000000-0005-0000-0000-00006B4B0000}"/>
    <cellStyle name="Header2 21 2 2 3 2 5" xfId="19285" xr:uid="{00000000-0005-0000-0000-00006C4B0000}"/>
    <cellStyle name="Header2 21 2 2 3 2 6" xfId="19286" xr:uid="{00000000-0005-0000-0000-00006D4B0000}"/>
    <cellStyle name="Header2 21 2 2 3 3" xfId="19287" xr:uid="{00000000-0005-0000-0000-00006E4B0000}"/>
    <cellStyle name="Header2 21 2 2 3 3 2" xfId="19288" xr:uid="{00000000-0005-0000-0000-00006F4B0000}"/>
    <cellStyle name="Header2 21 2 2 3 3 2 2" xfId="19289" xr:uid="{00000000-0005-0000-0000-0000704B0000}"/>
    <cellStyle name="Header2 21 2 2 3 3 2 3" xfId="19290" xr:uid="{00000000-0005-0000-0000-0000714B0000}"/>
    <cellStyle name="Header2 21 2 2 3 3 2 4" xfId="19291" xr:uid="{00000000-0005-0000-0000-0000724B0000}"/>
    <cellStyle name="Header2 21 2 2 3 3 3" xfId="19292" xr:uid="{00000000-0005-0000-0000-0000734B0000}"/>
    <cellStyle name="Header2 21 2 2 3 3 3 2" xfId="19293" xr:uid="{00000000-0005-0000-0000-0000744B0000}"/>
    <cellStyle name="Header2 21 2 2 3 3 3 3" xfId="19294" xr:uid="{00000000-0005-0000-0000-0000754B0000}"/>
    <cellStyle name="Header2 21 2 2 3 3 3 4" xfId="19295" xr:uid="{00000000-0005-0000-0000-0000764B0000}"/>
    <cellStyle name="Header2 21 2 2 3 3 4" xfId="19296" xr:uid="{00000000-0005-0000-0000-0000774B0000}"/>
    <cellStyle name="Header2 21 2 2 3 3 5" xfId="19297" xr:uid="{00000000-0005-0000-0000-0000784B0000}"/>
    <cellStyle name="Header2 21 2 2 3 3 6" xfId="19298" xr:uid="{00000000-0005-0000-0000-0000794B0000}"/>
    <cellStyle name="Header2 21 2 2 3 4" xfId="19299" xr:uid="{00000000-0005-0000-0000-00007A4B0000}"/>
    <cellStyle name="Header2 21 2 2 3 5" xfId="19300" xr:uid="{00000000-0005-0000-0000-00007B4B0000}"/>
    <cellStyle name="Header2 21 2 3" xfId="19301" xr:uid="{00000000-0005-0000-0000-00007C4B0000}"/>
    <cellStyle name="Header2 21 2 3 2" xfId="19302" xr:uid="{00000000-0005-0000-0000-00007D4B0000}"/>
    <cellStyle name="Header2 21 2 3 2 2" xfId="19303" xr:uid="{00000000-0005-0000-0000-00007E4B0000}"/>
    <cellStyle name="Header2 21 2 3 2 3" xfId="19304" xr:uid="{00000000-0005-0000-0000-00007F4B0000}"/>
    <cellStyle name="Header2 21 2 3 3" xfId="19305" xr:uid="{00000000-0005-0000-0000-0000804B0000}"/>
    <cellStyle name="Header2 21 2 4" xfId="19306" xr:uid="{00000000-0005-0000-0000-0000814B0000}"/>
    <cellStyle name="Header2 21 2 4 2" xfId="19307" xr:uid="{00000000-0005-0000-0000-0000824B0000}"/>
    <cellStyle name="Header2 21 2 4 2 2" xfId="19308" xr:uid="{00000000-0005-0000-0000-0000834B0000}"/>
    <cellStyle name="Header2 21 2 4 2 3" xfId="19309" xr:uid="{00000000-0005-0000-0000-0000844B0000}"/>
    <cellStyle name="Header2 21 2 4 3" xfId="19310" xr:uid="{00000000-0005-0000-0000-0000854B0000}"/>
    <cellStyle name="Header2 21 2 5" xfId="19311" xr:uid="{00000000-0005-0000-0000-0000864B0000}"/>
    <cellStyle name="Header2 21 2 5 2" xfId="19312" xr:uid="{00000000-0005-0000-0000-0000874B0000}"/>
    <cellStyle name="Header2 21 2 5 2 2" xfId="19313" xr:uid="{00000000-0005-0000-0000-0000884B0000}"/>
    <cellStyle name="Header2 21 2 5 2 3" xfId="19314" xr:uid="{00000000-0005-0000-0000-0000894B0000}"/>
    <cellStyle name="Header2 21 2 5 3" xfId="19315" xr:uid="{00000000-0005-0000-0000-00008A4B0000}"/>
    <cellStyle name="Header2 21 2 6" xfId="19316" xr:uid="{00000000-0005-0000-0000-00008B4B0000}"/>
    <cellStyle name="Header2 21 2 6 2" xfId="19317" xr:uid="{00000000-0005-0000-0000-00008C4B0000}"/>
    <cellStyle name="Header2 21 2 6 2 2" xfId="19318" xr:uid="{00000000-0005-0000-0000-00008D4B0000}"/>
    <cellStyle name="Header2 21 2 6 2 2 2" xfId="19319" xr:uid="{00000000-0005-0000-0000-00008E4B0000}"/>
    <cellStyle name="Header2 21 2 6 2 2 3" xfId="19320" xr:uid="{00000000-0005-0000-0000-00008F4B0000}"/>
    <cellStyle name="Header2 21 2 6 2 2 4" xfId="19321" xr:uid="{00000000-0005-0000-0000-0000904B0000}"/>
    <cellStyle name="Header2 21 2 6 2 2 5" xfId="19322" xr:uid="{00000000-0005-0000-0000-0000914B0000}"/>
    <cellStyle name="Header2 21 2 6 2 3" xfId="19323" xr:uid="{00000000-0005-0000-0000-0000924B0000}"/>
    <cellStyle name="Header2 21 2 6 2 3 2" xfId="19324" xr:uid="{00000000-0005-0000-0000-0000934B0000}"/>
    <cellStyle name="Header2 21 2 6 2 3 3" xfId="19325" xr:uid="{00000000-0005-0000-0000-0000944B0000}"/>
    <cellStyle name="Header2 21 2 6 2 3 4" xfId="19326" xr:uid="{00000000-0005-0000-0000-0000954B0000}"/>
    <cellStyle name="Header2 21 2 6 2 4" xfId="19327" xr:uid="{00000000-0005-0000-0000-0000964B0000}"/>
    <cellStyle name="Header2 21 2 6 2 5" xfId="19328" xr:uid="{00000000-0005-0000-0000-0000974B0000}"/>
    <cellStyle name="Header2 21 2 6 2 6" xfId="19329" xr:uid="{00000000-0005-0000-0000-0000984B0000}"/>
    <cellStyle name="Header2 21 2 6 3" xfId="19330" xr:uid="{00000000-0005-0000-0000-0000994B0000}"/>
    <cellStyle name="Header2 21 2 6 3 2" xfId="19331" xr:uid="{00000000-0005-0000-0000-00009A4B0000}"/>
    <cellStyle name="Header2 21 2 6 3 2 2" xfId="19332" xr:uid="{00000000-0005-0000-0000-00009B4B0000}"/>
    <cellStyle name="Header2 21 2 6 3 2 3" xfId="19333" xr:uid="{00000000-0005-0000-0000-00009C4B0000}"/>
    <cellStyle name="Header2 21 2 6 3 2 4" xfId="19334" xr:uid="{00000000-0005-0000-0000-00009D4B0000}"/>
    <cellStyle name="Header2 21 2 6 3 3" xfId="19335" xr:uid="{00000000-0005-0000-0000-00009E4B0000}"/>
    <cellStyle name="Header2 21 2 6 3 3 2" xfId="19336" xr:uid="{00000000-0005-0000-0000-00009F4B0000}"/>
    <cellStyle name="Header2 21 2 6 3 3 3" xfId="19337" xr:uid="{00000000-0005-0000-0000-0000A04B0000}"/>
    <cellStyle name="Header2 21 2 6 3 3 4" xfId="19338" xr:uid="{00000000-0005-0000-0000-0000A14B0000}"/>
    <cellStyle name="Header2 21 2 6 3 4" xfId="19339" xr:uid="{00000000-0005-0000-0000-0000A24B0000}"/>
    <cellStyle name="Header2 21 2 6 3 5" xfId="19340" xr:uid="{00000000-0005-0000-0000-0000A34B0000}"/>
    <cellStyle name="Header2 21 2 6 3 6" xfId="19341" xr:uid="{00000000-0005-0000-0000-0000A44B0000}"/>
    <cellStyle name="Header2 21 2 6 4" xfId="19342" xr:uid="{00000000-0005-0000-0000-0000A54B0000}"/>
    <cellStyle name="Header2 21 2 6 5" xfId="19343" xr:uid="{00000000-0005-0000-0000-0000A64B0000}"/>
    <cellStyle name="Header2 21 2 7" xfId="19344" xr:uid="{00000000-0005-0000-0000-0000A74B0000}"/>
    <cellStyle name="Header2 21 2 7 2" xfId="19345" xr:uid="{00000000-0005-0000-0000-0000A84B0000}"/>
    <cellStyle name="Header2 21 2 7 2 2" xfId="19346" xr:uid="{00000000-0005-0000-0000-0000A94B0000}"/>
    <cellStyle name="Header2 21 2 7 2 2 2" xfId="19347" xr:uid="{00000000-0005-0000-0000-0000AA4B0000}"/>
    <cellStyle name="Header2 21 2 7 2 2 3" xfId="19348" xr:uid="{00000000-0005-0000-0000-0000AB4B0000}"/>
    <cellStyle name="Header2 21 2 7 2 2 4" xfId="19349" xr:uid="{00000000-0005-0000-0000-0000AC4B0000}"/>
    <cellStyle name="Header2 21 2 7 2 2 5" xfId="19350" xr:uid="{00000000-0005-0000-0000-0000AD4B0000}"/>
    <cellStyle name="Header2 21 2 7 2 3" xfId="19351" xr:uid="{00000000-0005-0000-0000-0000AE4B0000}"/>
    <cellStyle name="Header2 21 2 7 2 3 2" xfId="19352" xr:uid="{00000000-0005-0000-0000-0000AF4B0000}"/>
    <cellStyle name="Header2 21 2 7 2 3 3" xfId="19353" xr:uid="{00000000-0005-0000-0000-0000B04B0000}"/>
    <cellStyle name="Header2 21 2 7 2 3 4" xfId="19354" xr:uid="{00000000-0005-0000-0000-0000B14B0000}"/>
    <cellStyle name="Header2 21 2 7 2 4" xfId="19355" xr:uid="{00000000-0005-0000-0000-0000B24B0000}"/>
    <cellStyle name="Header2 21 2 7 2 5" xfId="19356" xr:uid="{00000000-0005-0000-0000-0000B34B0000}"/>
    <cellStyle name="Header2 21 2 7 2 6" xfId="19357" xr:uid="{00000000-0005-0000-0000-0000B44B0000}"/>
    <cellStyle name="Header2 21 2 7 3" xfId="19358" xr:uid="{00000000-0005-0000-0000-0000B54B0000}"/>
    <cellStyle name="Header2 21 2 7 3 2" xfId="19359" xr:uid="{00000000-0005-0000-0000-0000B64B0000}"/>
    <cellStyle name="Header2 21 2 7 3 2 2" xfId="19360" xr:uid="{00000000-0005-0000-0000-0000B74B0000}"/>
    <cellStyle name="Header2 21 2 7 3 2 3" xfId="19361" xr:uid="{00000000-0005-0000-0000-0000B84B0000}"/>
    <cellStyle name="Header2 21 2 7 3 2 4" xfId="19362" xr:uid="{00000000-0005-0000-0000-0000B94B0000}"/>
    <cellStyle name="Header2 21 2 7 3 3" xfId="19363" xr:uid="{00000000-0005-0000-0000-0000BA4B0000}"/>
    <cellStyle name="Header2 21 2 7 3 3 2" xfId="19364" xr:uid="{00000000-0005-0000-0000-0000BB4B0000}"/>
    <cellStyle name="Header2 21 2 7 3 3 3" xfId="19365" xr:uid="{00000000-0005-0000-0000-0000BC4B0000}"/>
    <cellStyle name="Header2 21 2 7 3 3 4" xfId="19366" xr:uid="{00000000-0005-0000-0000-0000BD4B0000}"/>
    <cellStyle name="Header2 21 2 7 3 4" xfId="19367" xr:uid="{00000000-0005-0000-0000-0000BE4B0000}"/>
    <cellStyle name="Header2 21 2 7 3 5" xfId="19368" xr:uid="{00000000-0005-0000-0000-0000BF4B0000}"/>
    <cellStyle name="Header2 21 2 7 3 6" xfId="19369" xr:uid="{00000000-0005-0000-0000-0000C04B0000}"/>
    <cellStyle name="Header2 21 2 7 4" xfId="19370" xr:uid="{00000000-0005-0000-0000-0000C14B0000}"/>
    <cellStyle name="Header2 21 2 7 5" xfId="19371" xr:uid="{00000000-0005-0000-0000-0000C24B0000}"/>
    <cellStyle name="Header2 21 2 8" xfId="19372" xr:uid="{00000000-0005-0000-0000-0000C34B0000}"/>
    <cellStyle name="Header2 21 2 8 2" xfId="19373" xr:uid="{00000000-0005-0000-0000-0000C44B0000}"/>
    <cellStyle name="Header2 21 2 8 2 2" xfId="19374" xr:uid="{00000000-0005-0000-0000-0000C54B0000}"/>
    <cellStyle name="Header2 21 2 8 2 2 2" xfId="19375" xr:uid="{00000000-0005-0000-0000-0000C64B0000}"/>
    <cellStyle name="Header2 21 2 8 2 2 3" xfId="19376" xr:uid="{00000000-0005-0000-0000-0000C74B0000}"/>
    <cellStyle name="Header2 21 2 8 2 2 4" xfId="19377" xr:uid="{00000000-0005-0000-0000-0000C84B0000}"/>
    <cellStyle name="Header2 21 2 8 2 2 5" xfId="19378" xr:uid="{00000000-0005-0000-0000-0000C94B0000}"/>
    <cellStyle name="Header2 21 2 8 2 3" xfId="19379" xr:uid="{00000000-0005-0000-0000-0000CA4B0000}"/>
    <cellStyle name="Header2 21 2 8 2 3 2" xfId="19380" xr:uid="{00000000-0005-0000-0000-0000CB4B0000}"/>
    <cellStyle name="Header2 21 2 8 2 3 3" xfId="19381" xr:uid="{00000000-0005-0000-0000-0000CC4B0000}"/>
    <cellStyle name="Header2 21 2 8 2 3 4" xfId="19382" xr:uid="{00000000-0005-0000-0000-0000CD4B0000}"/>
    <cellStyle name="Header2 21 2 8 2 4" xfId="19383" xr:uid="{00000000-0005-0000-0000-0000CE4B0000}"/>
    <cellStyle name="Header2 21 2 8 2 5" xfId="19384" xr:uid="{00000000-0005-0000-0000-0000CF4B0000}"/>
    <cellStyle name="Header2 21 2 8 2 6" xfId="19385" xr:uid="{00000000-0005-0000-0000-0000D04B0000}"/>
    <cellStyle name="Header2 21 2 8 3" xfId="19386" xr:uid="{00000000-0005-0000-0000-0000D14B0000}"/>
    <cellStyle name="Header2 21 2 8 3 2" xfId="19387" xr:uid="{00000000-0005-0000-0000-0000D24B0000}"/>
    <cellStyle name="Header2 21 2 8 3 2 2" xfId="19388" xr:uid="{00000000-0005-0000-0000-0000D34B0000}"/>
    <cellStyle name="Header2 21 2 8 3 2 3" xfId="19389" xr:uid="{00000000-0005-0000-0000-0000D44B0000}"/>
    <cellStyle name="Header2 21 2 8 3 2 4" xfId="19390" xr:uid="{00000000-0005-0000-0000-0000D54B0000}"/>
    <cellStyle name="Header2 21 2 8 3 3" xfId="19391" xr:uid="{00000000-0005-0000-0000-0000D64B0000}"/>
    <cellStyle name="Header2 21 2 8 3 3 2" xfId="19392" xr:uid="{00000000-0005-0000-0000-0000D74B0000}"/>
    <cellStyle name="Header2 21 2 8 3 3 3" xfId="19393" xr:uid="{00000000-0005-0000-0000-0000D84B0000}"/>
    <cellStyle name="Header2 21 2 8 3 3 4" xfId="19394" xr:uid="{00000000-0005-0000-0000-0000D94B0000}"/>
    <cellStyle name="Header2 21 2 8 3 4" xfId="19395" xr:uid="{00000000-0005-0000-0000-0000DA4B0000}"/>
    <cellStyle name="Header2 21 2 8 3 5" xfId="19396" xr:uid="{00000000-0005-0000-0000-0000DB4B0000}"/>
    <cellStyle name="Header2 21 2 8 3 6" xfId="19397" xr:uid="{00000000-0005-0000-0000-0000DC4B0000}"/>
    <cellStyle name="Header2 21 2 8 4" xfId="19398" xr:uid="{00000000-0005-0000-0000-0000DD4B0000}"/>
    <cellStyle name="Header2 21 2 8 5" xfId="19399" xr:uid="{00000000-0005-0000-0000-0000DE4B0000}"/>
    <cellStyle name="Header2 21 2 9" xfId="19400" xr:uid="{00000000-0005-0000-0000-0000DF4B0000}"/>
    <cellStyle name="Header2 21 2 9 2" xfId="19401" xr:uid="{00000000-0005-0000-0000-0000E04B0000}"/>
    <cellStyle name="Header2 21 2 9 2 2" xfId="19402" xr:uid="{00000000-0005-0000-0000-0000E14B0000}"/>
    <cellStyle name="Header2 21 2 9 2 2 2" xfId="19403" xr:uid="{00000000-0005-0000-0000-0000E24B0000}"/>
    <cellStyle name="Header2 21 2 9 2 2 3" xfId="19404" xr:uid="{00000000-0005-0000-0000-0000E34B0000}"/>
    <cellStyle name="Header2 21 2 9 2 2 4" xfId="19405" xr:uid="{00000000-0005-0000-0000-0000E44B0000}"/>
    <cellStyle name="Header2 21 2 9 2 2 5" xfId="19406" xr:uid="{00000000-0005-0000-0000-0000E54B0000}"/>
    <cellStyle name="Header2 21 2 9 2 3" xfId="19407" xr:uid="{00000000-0005-0000-0000-0000E64B0000}"/>
    <cellStyle name="Header2 21 2 9 2 3 2" xfId="19408" xr:uid="{00000000-0005-0000-0000-0000E74B0000}"/>
    <cellStyle name="Header2 21 2 9 2 3 3" xfId="19409" xr:uid="{00000000-0005-0000-0000-0000E84B0000}"/>
    <cellStyle name="Header2 21 2 9 2 3 4" xfId="19410" xr:uid="{00000000-0005-0000-0000-0000E94B0000}"/>
    <cellStyle name="Header2 21 2 9 2 4" xfId="19411" xr:uid="{00000000-0005-0000-0000-0000EA4B0000}"/>
    <cellStyle name="Header2 21 2 9 2 5" xfId="19412" xr:uid="{00000000-0005-0000-0000-0000EB4B0000}"/>
    <cellStyle name="Header2 21 2 9 2 6" xfId="19413" xr:uid="{00000000-0005-0000-0000-0000EC4B0000}"/>
    <cellStyle name="Header2 21 2 9 3" xfId="19414" xr:uid="{00000000-0005-0000-0000-0000ED4B0000}"/>
    <cellStyle name="Header2 21 2 9 3 2" xfId="19415" xr:uid="{00000000-0005-0000-0000-0000EE4B0000}"/>
    <cellStyle name="Header2 21 2 9 3 2 2" xfId="19416" xr:uid="{00000000-0005-0000-0000-0000EF4B0000}"/>
    <cellStyle name="Header2 21 2 9 3 2 3" xfId="19417" xr:uid="{00000000-0005-0000-0000-0000F04B0000}"/>
    <cellStyle name="Header2 21 2 9 3 2 4" xfId="19418" xr:uid="{00000000-0005-0000-0000-0000F14B0000}"/>
    <cellStyle name="Header2 21 2 9 3 3" xfId="19419" xr:uid="{00000000-0005-0000-0000-0000F24B0000}"/>
    <cellStyle name="Header2 21 2 9 3 3 2" xfId="19420" xr:uid="{00000000-0005-0000-0000-0000F34B0000}"/>
    <cellStyle name="Header2 21 2 9 3 3 3" xfId="19421" xr:uid="{00000000-0005-0000-0000-0000F44B0000}"/>
    <cellStyle name="Header2 21 2 9 3 3 4" xfId="19422" xr:uid="{00000000-0005-0000-0000-0000F54B0000}"/>
    <cellStyle name="Header2 21 2 9 3 4" xfId="19423" xr:uid="{00000000-0005-0000-0000-0000F64B0000}"/>
    <cellStyle name="Header2 21 2 9 3 5" xfId="19424" xr:uid="{00000000-0005-0000-0000-0000F74B0000}"/>
    <cellStyle name="Header2 21 2 9 3 6" xfId="19425" xr:uid="{00000000-0005-0000-0000-0000F84B0000}"/>
    <cellStyle name="Header2 21 2 9 4" xfId="19426" xr:uid="{00000000-0005-0000-0000-0000F94B0000}"/>
    <cellStyle name="Header2 21 2 9 5" xfId="19427" xr:uid="{00000000-0005-0000-0000-0000FA4B0000}"/>
    <cellStyle name="Header2 21 3" xfId="19428" xr:uid="{00000000-0005-0000-0000-0000FB4B0000}"/>
    <cellStyle name="Header2 21 3 10" xfId="19429" xr:uid="{00000000-0005-0000-0000-0000FC4B0000}"/>
    <cellStyle name="Header2 21 3 10 2" xfId="19430" xr:uid="{00000000-0005-0000-0000-0000FD4B0000}"/>
    <cellStyle name="Header2 21 3 10 2 2" xfId="19431" xr:uid="{00000000-0005-0000-0000-0000FE4B0000}"/>
    <cellStyle name="Header2 21 3 10 2 2 2" xfId="19432" xr:uid="{00000000-0005-0000-0000-0000FF4B0000}"/>
    <cellStyle name="Header2 21 3 10 2 2 3" xfId="19433" xr:uid="{00000000-0005-0000-0000-0000004C0000}"/>
    <cellStyle name="Header2 21 3 10 2 2 4" xfId="19434" xr:uid="{00000000-0005-0000-0000-0000014C0000}"/>
    <cellStyle name="Header2 21 3 10 2 2 5" xfId="19435" xr:uid="{00000000-0005-0000-0000-0000024C0000}"/>
    <cellStyle name="Header2 21 3 10 2 3" xfId="19436" xr:uid="{00000000-0005-0000-0000-0000034C0000}"/>
    <cellStyle name="Header2 21 3 10 2 3 2" xfId="19437" xr:uid="{00000000-0005-0000-0000-0000044C0000}"/>
    <cellStyle name="Header2 21 3 10 2 3 3" xfId="19438" xr:uid="{00000000-0005-0000-0000-0000054C0000}"/>
    <cellStyle name="Header2 21 3 10 2 3 4" xfId="19439" xr:uid="{00000000-0005-0000-0000-0000064C0000}"/>
    <cellStyle name="Header2 21 3 10 2 4" xfId="19440" xr:uid="{00000000-0005-0000-0000-0000074C0000}"/>
    <cellStyle name="Header2 21 3 10 2 5" xfId="19441" xr:uid="{00000000-0005-0000-0000-0000084C0000}"/>
    <cellStyle name="Header2 21 3 10 2 6" xfId="19442" xr:uid="{00000000-0005-0000-0000-0000094C0000}"/>
    <cellStyle name="Header2 21 3 10 3" xfId="19443" xr:uid="{00000000-0005-0000-0000-00000A4C0000}"/>
    <cellStyle name="Header2 21 3 10 3 2" xfId="19444" xr:uid="{00000000-0005-0000-0000-00000B4C0000}"/>
    <cellStyle name="Header2 21 3 10 3 2 2" xfId="19445" xr:uid="{00000000-0005-0000-0000-00000C4C0000}"/>
    <cellStyle name="Header2 21 3 10 3 2 3" xfId="19446" xr:uid="{00000000-0005-0000-0000-00000D4C0000}"/>
    <cellStyle name="Header2 21 3 10 3 2 4" xfId="19447" xr:uid="{00000000-0005-0000-0000-00000E4C0000}"/>
    <cellStyle name="Header2 21 3 10 3 3" xfId="19448" xr:uid="{00000000-0005-0000-0000-00000F4C0000}"/>
    <cellStyle name="Header2 21 3 10 3 3 2" xfId="19449" xr:uid="{00000000-0005-0000-0000-0000104C0000}"/>
    <cellStyle name="Header2 21 3 10 3 3 3" xfId="19450" xr:uid="{00000000-0005-0000-0000-0000114C0000}"/>
    <cellStyle name="Header2 21 3 10 3 3 4" xfId="19451" xr:uid="{00000000-0005-0000-0000-0000124C0000}"/>
    <cellStyle name="Header2 21 3 10 3 4" xfId="19452" xr:uid="{00000000-0005-0000-0000-0000134C0000}"/>
    <cellStyle name="Header2 21 3 10 3 5" xfId="19453" xr:uid="{00000000-0005-0000-0000-0000144C0000}"/>
    <cellStyle name="Header2 21 3 10 3 6" xfId="19454" xr:uid="{00000000-0005-0000-0000-0000154C0000}"/>
    <cellStyle name="Header2 21 3 10 4" xfId="19455" xr:uid="{00000000-0005-0000-0000-0000164C0000}"/>
    <cellStyle name="Header2 21 3 10 5" xfId="19456" xr:uid="{00000000-0005-0000-0000-0000174C0000}"/>
    <cellStyle name="Header2 21 3 11" xfId="19457" xr:uid="{00000000-0005-0000-0000-0000184C0000}"/>
    <cellStyle name="Header2 21 3 11 2" xfId="19458" xr:uid="{00000000-0005-0000-0000-0000194C0000}"/>
    <cellStyle name="Header2 21 3 11 2 2" xfId="19459" xr:uid="{00000000-0005-0000-0000-00001A4C0000}"/>
    <cellStyle name="Header2 21 3 11 2 2 2" xfId="19460" xr:uid="{00000000-0005-0000-0000-00001B4C0000}"/>
    <cellStyle name="Header2 21 3 11 2 2 3" xfId="19461" xr:uid="{00000000-0005-0000-0000-00001C4C0000}"/>
    <cellStyle name="Header2 21 3 11 2 2 4" xfId="19462" xr:uid="{00000000-0005-0000-0000-00001D4C0000}"/>
    <cellStyle name="Header2 21 3 11 2 2 5" xfId="19463" xr:uid="{00000000-0005-0000-0000-00001E4C0000}"/>
    <cellStyle name="Header2 21 3 11 2 3" xfId="19464" xr:uid="{00000000-0005-0000-0000-00001F4C0000}"/>
    <cellStyle name="Header2 21 3 11 2 3 2" xfId="19465" xr:uid="{00000000-0005-0000-0000-0000204C0000}"/>
    <cellStyle name="Header2 21 3 11 2 3 3" xfId="19466" xr:uid="{00000000-0005-0000-0000-0000214C0000}"/>
    <cellStyle name="Header2 21 3 11 2 3 4" xfId="19467" xr:uid="{00000000-0005-0000-0000-0000224C0000}"/>
    <cellStyle name="Header2 21 3 11 2 4" xfId="19468" xr:uid="{00000000-0005-0000-0000-0000234C0000}"/>
    <cellStyle name="Header2 21 3 11 2 5" xfId="19469" xr:uid="{00000000-0005-0000-0000-0000244C0000}"/>
    <cellStyle name="Header2 21 3 11 2 6" xfId="19470" xr:uid="{00000000-0005-0000-0000-0000254C0000}"/>
    <cellStyle name="Header2 21 3 11 3" xfId="19471" xr:uid="{00000000-0005-0000-0000-0000264C0000}"/>
    <cellStyle name="Header2 21 3 11 3 2" xfId="19472" xr:uid="{00000000-0005-0000-0000-0000274C0000}"/>
    <cellStyle name="Header2 21 3 11 3 2 2" xfId="19473" xr:uid="{00000000-0005-0000-0000-0000284C0000}"/>
    <cellStyle name="Header2 21 3 11 3 2 3" xfId="19474" xr:uid="{00000000-0005-0000-0000-0000294C0000}"/>
    <cellStyle name="Header2 21 3 11 3 2 4" xfId="19475" xr:uid="{00000000-0005-0000-0000-00002A4C0000}"/>
    <cellStyle name="Header2 21 3 11 3 3" xfId="19476" xr:uid="{00000000-0005-0000-0000-00002B4C0000}"/>
    <cellStyle name="Header2 21 3 11 3 3 2" xfId="19477" xr:uid="{00000000-0005-0000-0000-00002C4C0000}"/>
    <cellStyle name="Header2 21 3 11 3 3 3" xfId="19478" xr:uid="{00000000-0005-0000-0000-00002D4C0000}"/>
    <cellStyle name="Header2 21 3 11 3 3 4" xfId="19479" xr:uid="{00000000-0005-0000-0000-00002E4C0000}"/>
    <cellStyle name="Header2 21 3 11 3 4" xfId="19480" xr:uid="{00000000-0005-0000-0000-00002F4C0000}"/>
    <cellStyle name="Header2 21 3 11 3 5" xfId="19481" xr:uid="{00000000-0005-0000-0000-0000304C0000}"/>
    <cellStyle name="Header2 21 3 11 3 6" xfId="19482" xr:uid="{00000000-0005-0000-0000-0000314C0000}"/>
    <cellStyle name="Header2 21 3 11 4" xfId="19483" xr:uid="{00000000-0005-0000-0000-0000324C0000}"/>
    <cellStyle name="Header2 21 3 11 5" xfId="19484" xr:uid="{00000000-0005-0000-0000-0000334C0000}"/>
    <cellStyle name="Header2 21 3 12" xfId="19485" xr:uid="{00000000-0005-0000-0000-0000344C0000}"/>
    <cellStyle name="Header2 21 3 12 2" xfId="19486" xr:uid="{00000000-0005-0000-0000-0000354C0000}"/>
    <cellStyle name="Header2 21 3 12 2 2" xfId="19487" xr:uid="{00000000-0005-0000-0000-0000364C0000}"/>
    <cellStyle name="Header2 21 3 12 2 2 2" xfId="19488" xr:uid="{00000000-0005-0000-0000-0000374C0000}"/>
    <cellStyle name="Header2 21 3 12 2 2 3" xfId="19489" xr:uid="{00000000-0005-0000-0000-0000384C0000}"/>
    <cellStyle name="Header2 21 3 12 2 2 4" xfId="19490" xr:uid="{00000000-0005-0000-0000-0000394C0000}"/>
    <cellStyle name="Header2 21 3 12 2 2 5" xfId="19491" xr:uid="{00000000-0005-0000-0000-00003A4C0000}"/>
    <cellStyle name="Header2 21 3 12 2 3" xfId="19492" xr:uid="{00000000-0005-0000-0000-00003B4C0000}"/>
    <cellStyle name="Header2 21 3 12 2 3 2" xfId="19493" xr:uid="{00000000-0005-0000-0000-00003C4C0000}"/>
    <cellStyle name="Header2 21 3 12 2 3 3" xfId="19494" xr:uid="{00000000-0005-0000-0000-00003D4C0000}"/>
    <cellStyle name="Header2 21 3 12 2 3 4" xfId="19495" xr:uid="{00000000-0005-0000-0000-00003E4C0000}"/>
    <cellStyle name="Header2 21 3 12 2 4" xfId="19496" xr:uid="{00000000-0005-0000-0000-00003F4C0000}"/>
    <cellStyle name="Header2 21 3 12 2 5" xfId="19497" xr:uid="{00000000-0005-0000-0000-0000404C0000}"/>
    <cellStyle name="Header2 21 3 12 2 6" xfId="19498" xr:uid="{00000000-0005-0000-0000-0000414C0000}"/>
    <cellStyle name="Header2 21 3 12 3" xfId="19499" xr:uid="{00000000-0005-0000-0000-0000424C0000}"/>
    <cellStyle name="Header2 21 3 12 3 2" xfId="19500" xr:uid="{00000000-0005-0000-0000-0000434C0000}"/>
    <cellStyle name="Header2 21 3 12 3 2 2" xfId="19501" xr:uid="{00000000-0005-0000-0000-0000444C0000}"/>
    <cellStyle name="Header2 21 3 12 3 2 3" xfId="19502" xr:uid="{00000000-0005-0000-0000-0000454C0000}"/>
    <cellStyle name="Header2 21 3 12 3 2 4" xfId="19503" xr:uid="{00000000-0005-0000-0000-0000464C0000}"/>
    <cellStyle name="Header2 21 3 12 3 3" xfId="19504" xr:uid="{00000000-0005-0000-0000-0000474C0000}"/>
    <cellStyle name="Header2 21 3 12 3 3 2" xfId="19505" xr:uid="{00000000-0005-0000-0000-0000484C0000}"/>
    <cellStyle name="Header2 21 3 12 3 3 3" xfId="19506" xr:uid="{00000000-0005-0000-0000-0000494C0000}"/>
    <cellStyle name="Header2 21 3 12 3 3 4" xfId="19507" xr:uid="{00000000-0005-0000-0000-00004A4C0000}"/>
    <cellStyle name="Header2 21 3 12 3 4" xfId="19508" xr:uid="{00000000-0005-0000-0000-00004B4C0000}"/>
    <cellStyle name="Header2 21 3 12 3 5" xfId="19509" xr:uid="{00000000-0005-0000-0000-00004C4C0000}"/>
    <cellStyle name="Header2 21 3 12 3 6" xfId="19510" xr:uid="{00000000-0005-0000-0000-00004D4C0000}"/>
    <cellStyle name="Header2 21 3 12 4" xfId="19511" xr:uid="{00000000-0005-0000-0000-00004E4C0000}"/>
    <cellStyle name="Header2 21 3 12 5" xfId="19512" xr:uid="{00000000-0005-0000-0000-00004F4C0000}"/>
    <cellStyle name="Header2 21 3 13" xfId="58741" xr:uid="{00000000-0005-0000-0000-0000504C0000}"/>
    <cellStyle name="Header2 21 3 2" xfId="19513" xr:uid="{00000000-0005-0000-0000-0000514C0000}"/>
    <cellStyle name="Header2 21 3 2 2" xfId="19514" xr:uid="{00000000-0005-0000-0000-0000524C0000}"/>
    <cellStyle name="Header2 21 3 2 2 2" xfId="19515" xr:uid="{00000000-0005-0000-0000-0000534C0000}"/>
    <cellStyle name="Header2 21 3 2 2 3" xfId="19516" xr:uid="{00000000-0005-0000-0000-0000544C0000}"/>
    <cellStyle name="Header2 21 3 2 3" xfId="19517" xr:uid="{00000000-0005-0000-0000-0000554C0000}"/>
    <cellStyle name="Header2 21 3 3" xfId="19518" xr:uid="{00000000-0005-0000-0000-0000564C0000}"/>
    <cellStyle name="Header2 21 3 3 2" xfId="19519" xr:uid="{00000000-0005-0000-0000-0000574C0000}"/>
    <cellStyle name="Header2 21 3 3 2 2" xfId="19520" xr:uid="{00000000-0005-0000-0000-0000584C0000}"/>
    <cellStyle name="Header2 21 3 3 2 3" xfId="19521" xr:uid="{00000000-0005-0000-0000-0000594C0000}"/>
    <cellStyle name="Header2 21 3 3 3" xfId="19522" xr:uid="{00000000-0005-0000-0000-00005A4C0000}"/>
    <cellStyle name="Header2 21 3 4" xfId="19523" xr:uid="{00000000-0005-0000-0000-00005B4C0000}"/>
    <cellStyle name="Header2 21 3 4 2" xfId="19524" xr:uid="{00000000-0005-0000-0000-00005C4C0000}"/>
    <cellStyle name="Header2 21 3 4 2 2" xfId="19525" xr:uid="{00000000-0005-0000-0000-00005D4C0000}"/>
    <cellStyle name="Header2 21 3 4 2 3" xfId="19526" xr:uid="{00000000-0005-0000-0000-00005E4C0000}"/>
    <cellStyle name="Header2 21 3 4 3" xfId="19527" xr:uid="{00000000-0005-0000-0000-00005F4C0000}"/>
    <cellStyle name="Header2 21 3 5" xfId="19528" xr:uid="{00000000-0005-0000-0000-0000604C0000}"/>
    <cellStyle name="Header2 21 3 5 2" xfId="19529" xr:uid="{00000000-0005-0000-0000-0000614C0000}"/>
    <cellStyle name="Header2 21 3 5 2 2" xfId="19530" xr:uid="{00000000-0005-0000-0000-0000624C0000}"/>
    <cellStyle name="Header2 21 3 5 2 2 2" xfId="19531" xr:uid="{00000000-0005-0000-0000-0000634C0000}"/>
    <cellStyle name="Header2 21 3 5 2 2 3" xfId="19532" xr:uid="{00000000-0005-0000-0000-0000644C0000}"/>
    <cellStyle name="Header2 21 3 5 2 2 4" xfId="19533" xr:uid="{00000000-0005-0000-0000-0000654C0000}"/>
    <cellStyle name="Header2 21 3 5 2 2 5" xfId="19534" xr:uid="{00000000-0005-0000-0000-0000664C0000}"/>
    <cellStyle name="Header2 21 3 5 2 3" xfId="19535" xr:uid="{00000000-0005-0000-0000-0000674C0000}"/>
    <cellStyle name="Header2 21 3 5 2 3 2" xfId="19536" xr:uid="{00000000-0005-0000-0000-0000684C0000}"/>
    <cellStyle name="Header2 21 3 5 2 3 3" xfId="19537" xr:uid="{00000000-0005-0000-0000-0000694C0000}"/>
    <cellStyle name="Header2 21 3 5 2 3 4" xfId="19538" xr:uid="{00000000-0005-0000-0000-00006A4C0000}"/>
    <cellStyle name="Header2 21 3 5 2 4" xfId="19539" xr:uid="{00000000-0005-0000-0000-00006B4C0000}"/>
    <cellStyle name="Header2 21 3 5 2 5" xfId="19540" xr:uid="{00000000-0005-0000-0000-00006C4C0000}"/>
    <cellStyle name="Header2 21 3 5 2 6" xfId="19541" xr:uid="{00000000-0005-0000-0000-00006D4C0000}"/>
    <cellStyle name="Header2 21 3 5 3" xfId="19542" xr:uid="{00000000-0005-0000-0000-00006E4C0000}"/>
    <cellStyle name="Header2 21 3 5 3 2" xfId="19543" xr:uid="{00000000-0005-0000-0000-00006F4C0000}"/>
    <cellStyle name="Header2 21 3 5 3 2 2" xfId="19544" xr:uid="{00000000-0005-0000-0000-0000704C0000}"/>
    <cellStyle name="Header2 21 3 5 3 2 3" xfId="19545" xr:uid="{00000000-0005-0000-0000-0000714C0000}"/>
    <cellStyle name="Header2 21 3 5 3 2 4" xfId="19546" xr:uid="{00000000-0005-0000-0000-0000724C0000}"/>
    <cellStyle name="Header2 21 3 5 3 3" xfId="19547" xr:uid="{00000000-0005-0000-0000-0000734C0000}"/>
    <cellStyle name="Header2 21 3 5 3 3 2" xfId="19548" xr:uid="{00000000-0005-0000-0000-0000744C0000}"/>
    <cellStyle name="Header2 21 3 5 3 3 3" xfId="19549" xr:uid="{00000000-0005-0000-0000-0000754C0000}"/>
    <cellStyle name="Header2 21 3 5 3 3 4" xfId="19550" xr:uid="{00000000-0005-0000-0000-0000764C0000}"/>
    <cellStyle name="Header2 21 3 5 3 4" xfId="19551" xr:uid="{00000000-0005-0000-0000-0000774C0000}"/>
    <cellStyle name="Header2 21 3 5 3 5" xfId="19552" xr:uid="{00000000-0005-0000-0000-0000784C0000}"/>
    <cellStyle name="Header2 21 3 5 3 6" xfId="19553" xr:uid="{00000000-0005-0000-0000-0000794C0000}"/>
    <cellStyle name="Header2 21 3 5 4" xfId="19554" xr:uid="{00000000-0005-0000-0000-00007A4C0000}"/>
    <cellStyle name="Header2 21 3 5 5" xfId="19555" xr:uid="{00000000-0005-0000-0000-00007B4C0000}"/>
    <cellStyle name="Header2 21 3 6" xfId="19556" xr:uid="{00000000-0005-0000-0000-00007C4C0000}"/>
    <cellStyle name="Header2 21 3 6 2" xfId="19557" xr:uid="{00000000-0005-0000-0000-00007D4C0000}"/>
    <cellStyle name="Header2 21 3 6 2 2" xfId="19558" xr:uid="{00000000-0005-0000-0000-00007E4C0000}"/>
    <cellStyle name="Header2 21 3 6 2 2 2" xfId="19559" xr:uid="{00000000-0005-0000-0000-00007F4C0000}"/>
    <cellStyle name="Header2 21 3 6 2 2 3" xfId="19560" xr:uid="{00000000-0005-0000-0000-0000804C0000}"/>
    <cellStyle name="Header2 21 3 6 2 2 4" xfId="19561" xr:uid="{00000000-0005-0000-0000-0000814C0000}"/>
    <cellStyle name="Header2 21 3 6 2 2 5" xfId="19562" xr:uid="{00000000-0005-0000-0000-0000824C0000}"/>
    <cellStyle name="Header2 21 3 6 2 3" xfId="19563" xr:uid="{00000000-0005-0000-0000-0000834C0000}"/>
    <cellStyle name="Header2 21 3 6 2 3 2" xfId="19564" xr:uid="{00000000-0005-0000-0000-0000844C0000}"/>
    <cellStyle name="Header2 21 3 6 2 3 3" xfId="19565" xr:uid="{00000000-0005-0000-0000-0000854C0000}"/>
    <cellStyle name="Header2 21 3 6 2 3 4" xfId="19566" xr:uid="{00000000-0005-0000-0000-0000864C0000}"/>
    <cellStyle name="Header2 21 3 6 2 4" xfId="19567" xr:uid="{00000000-0005-0000-0000-0000874C0000}"/>
    <cellStyle name="Header2 21 3 6 2 5" xfId="19568" xr:uid="{00000000-0005-0000-0000-0000884C0000}"/>
    <cellStyle name="Header2 21 3 6 2 6" xfId="19569" xr:uid="{00000000-0005-0000-0000-0000894C0000}"/>
    <cellStyle name="Header2 21 3 6 3" xfId="19570" xr:uid="{00000000-0005-0000-0000-00008A4C0000}"/>
    <cellStyle name="Header2 21 3 6 3 2" xfId="19571" xr:uid="{00000000-0005-0000-0000-00008B4C0000}"/>
    <cellStyle name="Header2 21 3 6 3 2 2" xfId="19572" xr:uid="{00000000-0005-0000-0000-00008C4C0000}"/>
    <cellStyle name="Header2 21 3 6 3 2 3" xfId="19573" xr:uid="{00000000-0005-0000-0000-00008D4C0000}"/>
    <cellStyle name="Header2 21 3 6 3 2 4" xfId="19574" xr:uid="{00000000-0005-0000-0000-00008E4C0000}"/>
    <cellStyle name="Header2 21 3 6 3 3" xfId="19575" xr:uid="{00000000-0005-0000-0000-00008F4C0000}"/>
    <cellStyle name="Header2 21 3 6 3 3 2" xfId="19576" xr:uid="{00000000-0005-0000-0000-0000904C0000}"/>
    <cellStyle name="Header2 21 3 6 3 3 3" xfId="19577" xr:uid="{00000000-0005-0000-0000-0000914C0000}"/>
    <cellStyle name="Header2 21 3 6 3 3 4" xfId="19578" xr:uid="{00000000-0005-0000-0000-0000924C0000}"/>
    <cellStyle name="Header2 21 3 6 3 4" xfId="19579" xr:uid="{00000000-0005-0000-0000-0000934C0000}"/>
    <cellStyle name="Header2 21 3 6 3 5" xfId="19580" xr:uid="{00000000-0005-0000-0000-0000944C0000}"/>
    <cellStyle name="Header2 21 3 6 3 6" xfId="19581" xr:uid="{00000000-0005-0000-0000-0000954C0000}"/>
    <cellStyle name="Header2 21 3 6 4" xfId="19582" xr:uid="{00000000-0005-0000-0000-0000964C0000}"/>
    <cellStyle name="Header2 21 3 6 5" xfId="19583" xr:uid="{00000000-0005-0000-0000-0000974C0000}"/>
    <cellStyle name="Header2 21 3 7" xfId="19584" xr:uid="{00000000-0005-0000-0000-0000984C0000}"/>
    <cellStyle name="Header2 21 3 7 2" xfId="19585" xr:uid="{00000000-0005-0000-0000-0000994C0000}"/>
    <cellStyle name="Header2 21 3 7 2 2" xfId="19586" xr:uid="{00000000-0005-0000-0000-00009A4C0000}"/>
    <cellStyle name="Header2 21 3 7 2 2 2" xfId="19587" xr:uid="{00000000-0005-0000-0000-00009B4C0000}"/>
    <cellStyle name="Header2 21 3 7 2 2 3" xfId="19588" xr:uid="{00000000-0005-0000-0000-00009C4C0000}"/>
    <cellStyle name="Header2 21 3 7 2 2 4" xfId="19589" xr:uid="{00000000-0005-0000-0000-00009D4C0000}"/>
    <cellStyle name="Header2 21 3 7 2 2 5" xfId="19590" xr:uid="{00000000-0005-0000-0000-00009E4C0000}"/>
    <cellStyle name="Header2 21 3 7 2 3" xfId="19591" xr:uid="{00000000-0005-0000-0000-00009F4C0000}"/>
    <cellStyle name="Header2 21 3 7 2 3 2" xfId="19592" xr:uid="{00000000-0005-0000-0000-0000A04C0000}"/>
    <cellStyle name="Header2 21 3 7 2 3 3" xfId="19593" xr:uid="{00000000-0005-0000-0000-0000A14C0000}"/>
    <cellStyle name="Header2 21 3 7 2 3 4" xfId="19594" xr:uid="{00000000-0005-0000-0000-0000A24C0000}"/>
    <cellStyle name="Header2 21 3 7 2 4" xfId="19595" xr:uid="{00000000-0005-0000-0000-0000A34C0000}"/>
    <cellStyle name="Header2 21 3 7 2 5" xfId="19596" xr:uid="{00000000-0005-0000-0000-0000A44C0000}"/>
    <cellStyle name="Header2 21 3 7 2 6" xfId="19597" xr:uid="{00000000-0005-0000-0000-0000A54C0000}"/>
    <cellStyle name="Header2 21 3 7 3" xfId="19598" xr:uid="{00000000-0005-0000-0000-0000A64C0000}"/>
    <cellStyle name="Header2 21 3 7 3 2" xfId="19599" xr:uid="{00000000-0005-0000-0000-0000A74C0000}"/>
    <cellStyle name="Header2 21 3 7 3 2 2" xfId="19600" xr:uid="{00000000-0005-0000-0000-0000A84C0000}"/>
    <cellStyle name="Header2 21 3 7 3 2 3" xfId="19601" xr:uid="{00000000-0005-0000-0000-0000A94C0000}"/>
    <cellStyle name="Header2 21 3 7 3 2 4" xfId="19602" xr:uid="{00000000-0005-0000-0000-0000AA4C0000}"/>
    <cellStyle name="Header2 21 3 7 3 3" xfId="19603" xr:uid="{00000000-0005-0000-0000-0000AB4C0000}"/>
    <cellStyle name="Header2 21 3 7 3 3 2" xfId="19604" xr:uid="{00000000-0005-0000-0000-0000AC4C0000}"/>
    <cellStyle name="Header2 21 3 7 3 3 3" xfId="19605" xr:uid="{00000000-0005-0000-0000-0000AD4C0000}"/>
    <cellStyle name="Header2 21 3 7 3 3 4" xfId="19606" xr:uid="{00000000-0005-0000-0000-0000AE4C0000}"/>
    <cellStyle name="Header2 21 3 7 3 4" xfId="19607" xr:uid="{00000000-0005-0000-0000-0000AF4C0000}"/>
    <cellStyle name="Header2 21 3 7 3 5" xfId="19608" xr:uid="{00000000-0005-0000-0000-0000B04C0000}"/>
    <cellStyle name="Header2 21 3 7 3 6" xfId="19609" xr:uid="{00000000-0005-0000-0000-0000B14C0000}"/>
    <cellStyle name="Header2 21 3 7 4" xfId="19610" xr:uid="{00000000-0005-0000-0000-0000B24C0000}"/>
    <cellStyle name="Header2 21 3 7 5" xfId="19611" xr:uid="{00000000-0005-0000-0000-0000B34C0000}"/>
    <cellStyle name="Header2 21 3 8" xfId="19612" xr:uid="{00000000-0005-0000-0000-0000B44C0000}"/>
    <cellStyle name="Header2 21 3 8 2" xfId="19613" xr:uid="{00000000-0005-0000-0000-0000B54C0000}"/>
    <cellStyle name="Header2 21 3 8 2 2" xfId="19614" xr:uid="{00000000-0005-0000-0000-0000B64C0000}"/>
    <cellStyle name="Header2 21 3 8 2 2 2" xfId="19615" xr:uid="{00000000-0005-0000-0000-0000B74C0000}"/>
    <cellStyle name="Header2 21 3 8 2 2 3" xfId="19616" xr:uid="{00000000-0005-0000-0000-0000B84C0000}"/>
    <cellStyle name="Header2 21 3 8 2 2 4" xfId="19617" xr:uid="{00000000-0005-0000-0000-0000B94C0000}"/>
    <cellStyle name="Header2 21 3 8 2 2 5" xfId="19618" xr:uid="{00000000-0005-0000-0000-0000BA4C0000}"/>
    <cellStyle name="Header2 21 3 8 2 3" xfId="19619" xr:uid="{00000000-0005-0000-0000-0000BB4C0000}"/>
    <cellStyle name="Header2 21 3 8 2 3 2" xfId="19620" xr:uid="{00000000-0005-0000-0000-0000BC4C0000}"/>
    <cellStyle name="Header2 21 3 8 2 3 3" xfId="19621" xr:uid="{00000000-0005-0000-0000-0000BD4C0000}"/>
    <cellStyle name="Header2 21 3 8 2 3 4" xfId="19622" xr:uid="{00000000-0005-0000-0000-0000BE4C0000}"/>
    <cellStyle name="Header2 21 3 8 2 4" xfId="19623" xr:uid="{00000000-0005-0000-0000-0000BF4C0000}"/>
    <cellStyle name="Header2 21 3 8 2 5" xfId="19624" xr:uid="{00000000-0005-0000-0000-0000C04C0000}"/>
    <cellStyle name="Header2 21 3 8 2 6" xfId="19625" xr:uid="{00000000-0005-0000-0000-0000C14C0000}"/>
    <cellStyle name="Header2 21 3 8 3" xfId="19626" xr:uid="{00000000-0005-0000-0000-0000C24C0000}"/>
    <cellStyle name="Header2 21 3 8 3 2" xfId="19627" xr:uid="{00000000-0005-0000-0000-0000C34C0000}"/>
    <cellStyle name="Header2 21 3 8 3 2 2" xfId="19628" xr:uid="{00000000-0005-0000-0000-0000C44C0000}"/>
    <cellStyle name="Header2 21 3 8 3 2 3" xfId="19629" xr:uid="{00000000-0005-0000-0000-0000C54C0000}"/>
    <cellStyle name="Header2 21 3 8 3 2 4" xfId="19630" xr:uid="{00000000-0005-0000-0000-0000C64C0000}"/>
    <cellStyle name="Header2 21 3 8 3 3" xfId="19631" xr:uid="{00000000-0005-0000-0000-0000C74C0000}"/>
    <cellStyle name="Header2 21 3 8 3 3 2" xfId="19632" xr:uid="{00000000-0005-0000-0000-0000C84C0000}"/>
    <cellStyle name="Header2 21 3 8 3 3 3" xfId="19633" xr:uid="{00000000-0005-0000-0000-0000C94C0000}"/>
    <cellStyle name="Header2 21 3 8 3 3 4" xfId="19634" xr:uid="{00000000-0005-0000-0000-0000CA4C0000}"/>
    <cellStyle name="Header2 21 3 8 3 4" xfId="19635" xr:uid="{00000000-0005-0000-0000-0000CB4C0000}"/>
    <cellStyle name="Header2 21 3 8 3 5" xfId="19636" xr:uid="{00000000-0005-0000-0000-0000CC4C0000}"/>
    <cellStyle name="Header2 21 3 8 3 6" xfId="19637" xr:uid="{00000000-0005-0000-0000-0000CD4C0000}"/>
    <cellStyle name="Header2 21 3 8 4" xfId="19638" xr:uid="{00000000-0005-0000-0000-0000CE4C0000}"/>
    <cellStyle name="Header2 21 3 8 5" xfId="19639" xr:uid="{00000000-0005-0000-0000-0000CF4C0000}"/>
    <cellStyle name="Header2 21 3 9" xfId="19640" xr:uid="{00000000-0005-0000-0000-0000D04C0000}"/>
    <cellStyle name="Header2 21 3 9 2" xfId="19641" xr:uid="{00000000-0005-0000-0000-0000D14C0000}"/>
    <cellStyle name="Header2 21 3 9 2 2" xfId="19642" xr:uid="{00000000-0005-0000-0000-0000D24C0000}"/>
    <cellStyle name="Header2 21 3 9 2 2 2" xfId="19643" xr:uid="{00000000-0005-0000-0000-0000D34C0000}"/>
    <cellStyle name="Header2 21 3 9 2 2 3" xfId="19644" xr:uid="{00000000-0005-0000-0000-0000D44C0000}"/>
    <cellStyle name="Header2 21 3 9 2 2 4" xfId="19645" xr:uid="{00000000-0005-0000-0000-0000D54C0000}"/>
    <cellStyle name="Header2 21 3 9 2 2 5" xfId="19646" xr:uid="{00000000-0005-0000-0000-0000D64C0000}"/>
    <cellStyle name="Header2 21 3 9 2 3" xfId="19647" xr:uid="{00000000-0005-0000-0000-0000D74C0000}"/>
    <cellStyle name="Header2 21 3 9 2 3 2" xfId="19648" xr:uid="{00000000-0005-0000-0000-0000D84C0000}"/>
    <cellStyle name="Header2 21 3 9 2 3 3" xfId="19649" xr:uid="{00000000-0005-0000-0000-0000D94C0000}"/>
    <cellStyle name="Header2 21 3 9 2 3 4" xfId="19650" xr:uid="{00000000-0005-0000-0000-0000DA4C0000}"/>
    <cellStyle name="Header2 21 3 9 2 4" xfId="19651" xr:uid="{00000000-0005-0000-0000-0000DB4C0000}"/>
    <cellStyle name="Header2 21 3 9 2 5" xfId="19652" xr:uid="{00000000-0005-0000-0000-0000DC4C0000}"/>
    <cellStyle name="Header2 21 3 9 2 6" xfId="19653" xr:uid="{00000000-0005-0000-0000-0000DD4C0000}"/>
    <cellStyle name="Header2 21 3 9 3" xfId="19654" xr:uid="{00000000-0005-0000-0000-0000DE4C0000}"/>
    <cellStyle name="Header2 21 3 9 3 2" xfId="19655" xr:uid="{00000000-0005-0000-0000-0000DF4C0000}"/>
    <cellStyle name="Header2 21 3 9 3 2 2" xfId="19656" xr:uid="{00000000-0005-0000-0000-0000E04C0000}"/>
    <cellStyle name="Header2 21 3 9 3 2 3" xfId="19657" xr:uid="{00000000-0005-0000-0000-0000E14C0000}"/>
    <cellStyle name="Header2 21 3 9 3 2 4" xfId="19658" xr:uid="{00000000-0005-0000-0000-0000E24C0000}"/>
    <cellStyle name="Header2 21 3 9 3 3" xfId="19659" xr:uid="{00000000-0005-0000-0000-0000E34C0000}"/>
    <cellStyle name="Header2 21 3 9 3 3 2" xfId="19660" xr:uid="{00000000-0005-0000-0000-0000E44C0000}"/>
    <cellStyle name="Header2 21 3 9 3 3 3" xfId="19661" xr:uid="{00000000-0005-0000-0000-0000E54C0000}"/>
    <cellStyle name="Header2 21 3 9 3 3 4" xfId="19662" xr:uid="{00000000-0005-0000-0000-0000E64C0000}"/>
    <cellStyle name="Header2 21 3 9 3 4" xfId="19663" xr:uid="{00000000-0005-0000-0000-0000E74C0000}"/>
    <cellStyle name="Header2 21 3 9 3 5" xfId="19664" xr:uid="{00000000-0005-0000-0000-0000E84C0000}"/>
    <cellStyle name="Header2 21 3 9 3 6" xfId="19665" xr:uid="{00000000-0005-0000-0000-0000E94C0000}"/>
    <cellStyle name="Header2 21 3 9 4" xfId="19666" xr:uid="{00000000-0005-0000-0000-0000EA4C0000}"/>
    <cellStyle name="Header2 21 3 9 5" xfId="19667" xr:uid="{00000000-0005-0000-0000-0000EB4C0000}"/>
    <cellStyle name="Header2 22" xfId="19668" xr:uid="{00000000-0005-0000-0000-0000EC4C0000}"/>
    <cellStyle name="Header2 22 2" xfId="19669" xr:uid="{00000000-0005-0000-0000-0000ED4C0000}"/>
    <cellStyle name="Header2 22 2 10" xfId="19670" xr:uid="{00000000-0005-0000-0000-0000EE4C0000}"/>
    <cellStyle name="Header2 22 2 10 2" xfId="19671" xr:uid="{00000000-0005-0000-0000-0000EF4C0000}"/>
    <cellStyle name="Header2 22 2 10 2 2" xfId="19672" xr:uid="{00000000-0005-0000-0000-0000F04C0000}"/>
    <cellStyle name="Header2 22 2 10 2 2 2" xfId="19673" xr:uid="{00000000-0005-0000-0000-0000F14C0000}"/>
    <cellStyle name="Header2 22 2 10 2 2 3" xfId="19674" xr:uid="{00000000-0005-0000-0000-0000F24C0000}"/>
    <cellStyle name="Header2 22 2 10 2 2 4" xfId="19675" xr:uid="{00000000-0005-0000-0000-0000F34C0000}"/>
    <cellStyle name="Header2 22 2 10 2 2 5" xfId="19676" xr:uid="{00000000-0005-0000-0000-0000F44C0000}"/>
    <cellStyle name="Header2 22 2 10 2 3" xfId="19677" xr:uid="{00000000-0005-0000-0000-0000F54C0000}"/>
    <cellStyle name="Header2 22 2 10 2 3 2" xfId="19678" xr:uid="{00000000-0005-0000-0000-0000F64C0000}"/>
    <cellStyle name="Header2 22 2 10 2 3 3" xfId="19679" xr:uid="{00000000-0005-0000-0000-0000F74C0000}"/>
    <cellStyle name="Header2 22 2 10 2 3 4" xfId="19680" xr:uid="{00000000-0005-0000-0000-0000F84C0000}"/>
    <cellStyle name="Header2 22 2 10 2 4" xfId="19681" xr:uid="{00000000-0005-0000-0000-0000F94C0000}"/>
    <cellStyle name="Header2 22 2 10 2 5" xfId="19682" xr:uid="{00000000-0005-0000-0000-0000FA4C0000}"/>
    <cellStyle name="Header2 22 2 10 2 6" xfId="19683" xr:uid="{00000000-0005-0000-0000-0000FB4C0000}"/>
    <cellStyle name="Header2 22 2 10 3" xfId="19684" xr:uid="{00000000-0005-0000-0000-0000FC4C0000}"/>
    <cellStyle name="Header2 22 2 10 3 2" xfId="19685" xr:uid="{00000000-0005-0000-0000-0000FD4C0000}"/>
    <cellStyle name="Header2 22 2 10 3 2 2" xfId="19686" xr:uid="{00000000-0005-0000-0000-0000FE4C0000}"/>
    <cellStyle name="Header2 22 2 10 3 2 3" xfId="19687" xr:uid="{00000000-0005-0000-0000-0000FF4C0000}"/>
    <cellStyle name="Header2 22 2 10 3 2 4" xfId="19688" xr:uid="{00000000-0005-0000-0000-0000004D0000}"/>
    <cellStyle name="Header2 22 2 10 3 3" xfId="19689" xr:uid="{00000000-0005-0000-0000-0000014D0000}"/>
    <cellStyle name="Header2 22 2 10 3 3 2" xfId="19690" xr:uid="{00000000-0005-0000-0000-0000024D0000}"/>
    <cellStyle name="Header2 22 2 10 3 3 3" xfId="19691" xr:uid="{00000000-0005-0000-0000-0000034D0000}"/>
    <cellStyle name="Header2 22 2 10 3 3 4" xfId="19692" xr:uid="{00000000-0005-0000-0000-0000044D0000}"/>
    <cellStyle name="Header2 22 2 10 3 4" xfId="19693" xr:uid="{00000000-0005-0000-0000-0000054D0000}"/>
    <cellStyle name="Header2 22 2 10 3 5" xfId="19694" xr:uid="{00000000-0005-0000-0000-0000064D0000}"/>
    <cellStyle name="Header2 22 2 10 3 6" xfId="19695" xr:uid="{00000000-0005-0000-0000-0000074D0000}"/>
    <cellStyle name="Header2 22 2 10 4" xfId="19696" xr:uid="{00000000-0005-0000-0000-0000084D0000}"/>
    <cellStyle name="Header2 22 2 10 5" xfId="19697" xr:uid="{00000000-0005-0000-0000-0000094D0000}"/>
    <cellStyle name="Header2 22 2 11" xfId="19698" xr:uid="{00000000-0005-0000-0000-00000A4D0000}"/>
    <cellStyle name="Header2 22 2 11 2" xfId="19699" xr:uid="{00000000-0005-0000-0000-00000B4D0000}"/>
    <cellStyle name="Header2 22 2 11 2 2" xfId="19700" xr:uid="{00000000-0005-0000-0000-00000C4D0000}"/>
    <cellStyle name="Header2 22 2 11 2 2 2" xfId="19701" xr:uid="{00000000-0005-0000-0000-00000D4D0000}"/>
    <cellStyle name="Header2 22 2 11 2 2 3" xfId="19702" xr:uid="{00000000-0005-0000-0000-00000E4D0000}"/>
    <cellStyle name="Header2 22 2 11 2 2 4" xfId="19703" xr:uid="{00000000-0005-0000-0000-00000F4D0000}"/>
    <cellStyle name="Header2 22 2 11 2 2 5" xfId="19704" xr:uid="{00000000-0005-0000-0000-0000104D0000}"/>
    <cellStyle name="Header2 22 2 11 2 3" xfId="19705" xr:uid="{00000000-0005-0000-0000-0000114D0000}"/>
    <cellStyle name="Header2 22 2 11 2 3 2" xfId="19706" xr:uid="{00000000-0005-0000-0000-0000124D0000}"/>
    <cellStyle name="Header2 22 2 11 2 3 3" xfId="19707" xr:uid="{00000000-0005-0000-0000-0000134D0000}"/>
    <cellStyle name="Header2 22 2 11 2 3 4" xfId="19708" xr:uid="{00000000-0005-0000-0000-0000144D0000}"/>
    <cellStyle name="Header2 22 2 11 2 4" xfId="19709" xr:uid="{00000000-0005-0000-0000-0000154D0000}"/>
    <cellStyle name="Header2 22 2 11 2 5" xfId="19710" xr:uid="{00000000-0005-0000-0000-0000164D0000}"/>
    <cellStyle name="Header2 22 2 11 2 6" xfId="19711" xr:uid="{00000000-0005-0000-0000-0000174D0000}"/>
    <cellStyle name="Header2 22 2 11 3" xfId="19712" xr:uid="{00000000-0005-0000-0000-0000184D0000}"/>
    <cellStyle name="Header2 22 2 11 3 2" xfId="19713" xr:uid="{00000000-0005-0000-0000-0000194D0000}"/>
    <cellStyle name="Header2 22 2 11 3 2 2" xfId="19714" xr:uid="{00000000-0005-0000-0000-00001A4D0000}"/>
    <cellStyle name="Header2 22 2 11 3 2 3" xfId="19715" xr:uid="{00000000-0005-0000-0000-00001B4D0000}"/>
    <cellStyle name="Header2 22 2 11 3 2 4" xfId="19716" xr:uid="{00000000-0005-0000-0000-00001C4D0000}"/>
    <cellStyle name="Header2 22 2 11 3 3" xfId="19717" xr:uid="{00000000-0005-0000-0000-00001D4D0000}"/>
    <cellStyle name="Header2 22 2 11 3 3 2" xfId="19718" xr:uid="{00000000-0005-0000-0000-00001E4D0000}"/>
    <cellStyle name="Header2 22 2 11 3 3 3" xfId="19719" xr:uid="{00000000-0005-0000-0000-00001F4D0000}"/>
    <cellStyle name="Header2 22 2 11 3 3 4" xfId="19720" xr:uid="{00000000-0005-0000-0000-0000204D0000}"/>
    <cellStyle name="Header2 22 2 11 3 4" xfId="19721" xr:uid="{00000000-0005-0000-0000-0000214D0000}"/>
    <cellStyle name="Header2 22 2 11 3 5" xfId="19722" xr:uid="{00000000-0005-0000-0000-0000224D0000}"/>
    <cellStyle name="Header2 22 2 11 3 6" xfId="19723" xr:uid="{00000000-0005-0000-0000-0000234D0000}"/>
    <cellStyle name="Header2 22 2 11 4" xfId="19724" xr:uid="{00000000-0005-0000-0000-0000244D0000}"/>
    <cellStyle name="Header2 22 2 11 5" xfId="19725" xr:uid="{00000000-0005-0000-0000-0000254D0000}"/>
    <cellStyle name="Header2 22 2 12" xfId="19726" xr:uid="{00000000-0005-0000-0000-0000264D0000}"/>
    <cellStyle name="Header2 22 2 12 2" xfId="19727" xr:uid="{00000000-0005-0000-0000-0000274D0000}"/>
    <cellStyle name="Header2 22 2 12 2 2" xfId="19728" xr:uid="{00000000-0005-0000-0000-0000284D0000}"/>
    <cellStyle name="Header2 22 2 12 2 2 2" xfId="19729" xr:uid="{00000000-0005-0000-0000-0000294D0000}"/>
    <cellStyle name="Header2 22 2 12 2 2 3" xfId="19730" xr:uid="{00000000-0005-0000-0000-00002A4D0000}"/>
    <cellStyle name="Header2 22 2 12 2 2 4" xfId="19731" xr:uid="{00000000-0005-0000-0000-00002B4D0000}"/>
    <cellStyle name="Header2 22 2 12 2 2 5" xfId="19732" xr:uid="{00000000-0005-0000-0000-00002C4D0000}"/>
    <cellStyle name="Header2 22 2 12 2 3" xfId="19733" xr:uid="{00000000-0005-0000-0000-00002D4D0000}"/>
    <cellStyle name="Header2 22 2 12 2 3 2" xfId="19734" xr:uid="{00000000-0005-0000-0000-00002E4D0000}"/>
    <cellStyle name="Header2 22 2 12 2 3 3" xfId="19735" xr:uid="{00000000-0005-0000-0000-00002F4D0000}"/>
    <cellStyle name="Header2 22 2 12 2 3 4" xfId="19736" xr:uid="{00000000-0005-0000-0000-0000304D0000}"/>
    <cellStyle name="Header2 22 2 12 2 4" xfId="19737" xr:uid="{00000000-0005-0000-0000-0000314D0000}"/>
    <cellStyle name="Header2 22 2 12 2 5" xfId="19738" xr:uid="{00000000-0005-0000-0000-0000324D0000}"/>
    <cellStyle name="Header2 22 2 12 2 6" xfId="19739" xr:uid="{00000000-0005-0000-0000-0000334D0000}"/>
    <cellStyle name="Header2 22 2 12 3" xfId="19740" xr:uid="{00000000-0005-0000-0000-0000344D0000}"/>
    <cellStyle name="Header2 22 2 12 3 2" xfId="19741" xr:uid="{00000000-0005-0000-0000-0000354D0000}"/>
    <cellStyle name="Header2 22 2 12 3 2 2" xfId="19742" xr:uid="{00000000-0005-0000-0000-0000364D0000}"/>
    <cellStyle name="Header2 22 2 12 3 2 3" xfId="19743" xr:uid="{00000000-0005-0000-0000-0000374D0000}"/>
    <cellStyle name="Header2 22 2 12 3 2 4" xfId="19744" xr:uid="{00000000-0005-0000-0000-0000384D0000}"/>
    <cellStyle name="Header2 22 2 12 3 3" xfId="19745" xr:uid="{00000000-0005-0000-0000-0000394D0000}"/>
    <cellStyle name="Header2 22 2 12 3 3 2" xfId="19746" xr:uid="{00000000-0005-0000-0000-00003A4D0000}"/>
    <cellStyle name="Header2 22 2 12 3 3 3" xfId="19747" xr:uid="{00000000-0005-0000-0000-00003B4D0000}"/>
    <cellStyle name="Header2 22 2 12 3 3 4" xfId="19748" xr:uid="{00000000-0005-0000-0000-00003C4D0000}"/>
    <cellStyle name="Header2 22 2 12 3 4" xfId="19749" xr:uid="{00000000-0005-0000-0000-00003D4D0000}"/>
    <cellStyle name="Header2 22 2 12 3 5" xfId="19750" xr:uid="{00000000-0005-0000-0000-00003E4D0000}"/>
    <cellStyle name="Header2 22 2 12 3 6" xfId="19751" xr:uid="{00000000-0005-0000-0000-00003F4D0000}"/>
    <cellStyle name="Header2 22 2 12 4" xfId="19752" xr:uid="{00000000-0005-0000-0000-0000404D0000}"/>
    <cellStyle name="Header2 22 2 12 5" xfId="19753" xr:uid="{00000000-0005-0000-0000-0000414D0000}"/>
    <cellStyle name="Header2 22 2 13" xfId="19754" xr:uid="{00000000-0005-0000-0000-0000424D0000}"/>
    <cellStyle name="Header2 22 2 13 2" xfId="19755" xr:uid="{00000000-0005-0000-0000-0000434D0000}"/>
    <cellStyle name="Header2 22 2 13 2 2" xfId="19756" xr:uid="{00000000-0005-0000-0000-0000444D0000}"/>
    <cellStyle name="Header2 22 2 13 2 2 2" xfId="19757" xr:uid="{00000000-0005-0000-0000-0000454D0000}"/>
    <cellStyle name="Header2 22 2 13 2 2 3" xfId="19758" xr:uid="{00000000-0005-0000-0000-0000464D0000}"/>
    <cellStyle name="Header2 22 2 13 2 2 4" xfId="19759" xr:uid="{00000000-0005-0000-0000-0000474D0000}"/>
    <cellStyle name="Header2 22 2 13 2 2 5" xfId="19760" xr:uid="{00000000-0005-0000-0000-0000484D0000}"/>
    <cellStyle name="Header2 22 2 13 2 3" xfId="19761" xr:uid="{00000000-0005-0000-0000-0000494D0000}"/>
    <cellStyle name="Header2 22 2 13 2 3 2" xfId="19762" xr:uid="{00000000-0005-0000-0000-00004A4D0000}"/>
    <cellStyle name="Header2 22 2 13 2 3 3" xfId="19763" xr:uid="{00000000-0005-0000-0000-00004B4D0000}"/>
    <cellStyle name="Header2 22 2 13 2 3 4" xfId="19764" xr:uid="{00000000-0005-0000-0000-00004C4D0000}"/>
    <cellStyle name="Header2 22 2 13 2 4" xfId="19765" xr:uid="{00000000-0005-0000-0000-00004D4D0000}"/>
    <cellStyle name="Header2 22 2 13 2 5" xfId="19766" xr:uid="{00000000-0005-0000-0000-00004E4D0000}"/>
    <cellStyle name="Header2 22 2 13 2 6" xfId="19767" xr:uid="{00000000-0005-0000-0000-00004F4D0000}"/>
    <cellStyle name="Header2 22 2 13 3" xfId="19768" xr:uid="{00000000-0005-0000-0000-0000504D0000}"/>
    <cellStyle name="Header2 22 2 13 3 2" xfId="19769" xr:uid="{00000000-0005-0000-0000-0000514D0000}"/>
    <cellStyle name="Header2 22 2 13 3 2 2" xfId="19770" xr:uid="{00000000-0005-0000-0000-0000524D0000}"/>
    <cellStyle name="Header2 22 2 13 3 2 3" xfId="19771" xr:uid="{00000000-0005-0000-0000-0000534D0000}"/>
    <cellStyle name="Header2 22 2 13 3 2 4" xfId="19772" xr:uid="{00000000-0005-0000-0000-0000544D0000}"/>
    <cellStyle name="Header2 22 2 13 3 3" xfId="19773" xr:uid="{00000000-0005-0000-0000-0000554D0000}"/>
    <cellStyle name="Header2 22 2 13 3 3 2" xfId="19774" xr:uid="{00000000-0005-0000-0000-0000564D0000}"/>
    <cellStyle name="Header2 22 2 13 3 3 3" xfId="19775" xr:uid="{00000000-0005-0000-0000-0000574D0000}"/>
    <cellStyle name="Header2 22 2 13 3 3 4" xfId="19776" xr:uid="{00000000-0005-0000-0000-0000584D0000}"/>
    <cellStyle name="Header2 22 2 13 3 4" xfId="19777" xr:uid="{00000000-0005-0000-0000-0000594D0000}"/>
    <cellStyle name="Header2 22 2 13 3 5" xfId="19778" xr:uid="{00000000-0005-0000-0000-00005A4D0000}"/>
    <cellStyle name="Header2 22 2 13 3 6" xfId="19779" xr:uid="{00000000-0005-0000-0000-00005B4D0000}"/>
    <cellStyle name="Header2 22 2 13 4" xfId="19780" xr:uid="{00000000-0005-0000-0000-00005C4D0000}"/>
    <cellStyle name="Header2 22 2 13 5" xfId="19781" xr:uid="{00000000-0005-0000-0000-00005D4D0000}"/>
    <cellStyle name="Header2 22 2 14" xfId="58742" xr:uid="{00000000-0005-0000-0000-00005E4D0000}"/>
    <cellStyle name="Header2 22 2 2" xfId="19782" xr:uid="{00000000-0005-0000-0000-00005F4D0000}"/>
    <cellStyle name="Header2 22 2 2 2" xfId="19783" xr:uid="{00000000-0005-0000-0000-0000604D0000}"/>
    <cellStyle name="Header2 22 2 2 2 2" xfId="19784" xr:uid="{00000000-0005-0000-0000-0000614D0000}"/>
    <cellStyle name="Header2 22 2 2 2 2 2" xfId="19785" xr:uid="{00000000-0005-0000-0000-0000624D0000}"/>
    <cellStyle name="Header2 22 2 2 2 2 2 2" xfId="19786" xr:uid="{00000000-0005-0000-0000-0000634D0000}"/>
    <cellStyle name="Header2 22 2 2 2 2 2 3" xfId="19787" xr:uid="{00000000-0005-0000-0000-0000644D0000}"/>
    <cellStyle name="Header2 22 2 2 2 2 2 4" xfId="19788" xr:uid="{00000000-0005-0000-0000-0000654D0000}"/>
    <cellStyle name="Header2 22 2 2 2 2 2 5" xfId="19789" xr:uid="{00000000-0005-0000-0000-0000664D0000}"/>
    <cellStyle name="Header2 22 2 2 2 2 3" xfId="19790" xr:uid="{00000000-0005-0000-0000-0000674D0000}"/>
    <cellStyle name="Header2 22 2 2 2 2 3 2" xfId="19791" xr:uid="{00000000-0005-0000-0000-0000684D0000}"/>
    <cellStyle name="Header2 22 2 2 2 2 3 3" xfId="19792" xr:uid="{00000000-0005-0000-0000-0000694D0000}"/>
    <cellStyle name="Header2 22 2 2 2 2 3 4" xfId="19793" xr:uid="{00000000-0005-0000-0000-00006A4D0000}"/>
    <cellStyle name="Header2 22 2 2 2 2 4" xfId="19794" xr:uid="{00000000-0005-0000-0000-00006B4D0000}"/>
    <cellStyle name="Header2 22 2 2 2 2 5" xfId="19795" xr:uid="{00000000-0005-0000-0000-00006C4D0000}"/>
    <cellStyle name="Header2 22 2 2 2 2 6" xfId="19796" xr:uid="{00000000-0005-0000-0000-00006D4D0000}"/>
    <cellStyle name="Header2 22 2 2 2 3" xfId="19797" xr:uid="{00000000-0005-0000-0000-00006E4D0000}"/>
    <cellStyle name="Header2 22 2 2 2 3 2" xfId="19798" xr:uid="{00000000-0005-0000-0000-00006F4D0000}"/>
    <cellStyle name="Header2 22 2 2 2 3 2 2" xfId="19799" xr:uid="{00000000-0005-0000-0000-0000704D0000}"/>
    <cellStyle name="Header2 22 2 2 2 3 2 3" xfId="19800" xr:uid="{00000000-0005-0000-0000-0000714D0000}"/>
    <cellStyle name="Header2 22 2 2 2 3 2 4" xfId="19801" xr:uid="{00000000-0005-0000-0000-0000724D0000}"/>
    <cellStyle name="Header2 22 2 2 2 3 3" xfId="19802" xr:uid="{00000000-0005-0000-0000-0000734D0000}"/>
    <cellStyle name="Header2 22 2 2 2 3 3 2" xfId="19803" xr:uid="{00000000-0005-0000-0000-0000744D0000}"/>
    <cellStyle name="Header2 22 2 2 2 3 3 3" xfId="19804" xr:uid="{00000000-0005-0000-0000-0000754D0000}"/>
    <cellStyle name="Header2 22 2 2 2 3 3 4" xfId="19805" xr:uid="{00000000-0005-0000-0000-0000764D0000}"/>
    <cellStyle name="Header2 22 2 2 2 3 4" xfId="19806" xr:uid="{00000000-0005-0000-0000-0000774D0000}"/>
    <cellStyle name="Header2 22 2 2 2 3 5" xfId="19807" xr:uid="{00000000-0005-0000-0000-0000784D0000}"/>
    <cellStyle name="Header2 22 2 2 2 3 6" xfId="19808" xr:uid="{00000000-0005-0000-0000-0000794D0000}"/>
    <cellStyle name="Header2 22 2 2 2 4" xfId="19809" xr:uid="{00000000-0005-0000-0000-00007A4D0000}"/>
    <cellStyle name="Header2 22 2 2 2 5" xfId="19810" xr:uid="{00000000-0005-0000-0000-00007B4D0000}"/>
    <cellStyle name="Header2 22 2 2 3" xfId="19811" xr:uid="{00000000-0005-0000-0000-00007C4D0000}"/>
    <cellStyle name="Header2 22 2 2 3 2" xfId="19812" xr:uid="{00000000-0005-0000-0000-00007D4D0000}"/>
    <cellStyle name="Header2 22 2 2 3 2 2" xfId="19813" xr:uid="{00000000-0005-0000-0000-00007E4D0000}"/>
    <cellStyle name="Header2 22 2 2 3 2 2 2" xfId="19814" xr:uid="{00000000-0005-0000-0000-00007F4D0000}"/>
    <cellStyle name="Header2 22 2 2 3 2 2 3" xfId="19815" xr:uid="{00000000-0005-0000-0000-0000804D0000}"/>
    <cellStyle name="Header2 22 2 2 3 2 2 4" xfId="19816" xr:uid="{00000000-0005-0000-0000-0000814D0000}"/>
    <cellStyle name="Header2 22 2 2 3 2 2 5" xfId="19817" xr:uid="{00000000-0005-0000-0000-0000824D0000}"/>
    <cellStyle name="Header2 22 2 2 3 2 3" xfId="19818" xr:uid="{00000000-0005-0000-0000-0000834D0000}"/>
    <cellStyle name="Header2 22 2 2 3 2 3 2" xfId="19819" xr:uid="{00000000-0005-0000-0000-0000844D0000}"/>
    <cellStyle name="Header2 22 2 2 3 2 3 3" xfId="19820" xr:uid="{00000000-0005-0000-0000-0000854D0000}"/>
    <cellStyle name="Header2 22 2 2 3 2 3 4" xfId="19821" xr:uid="{00000000-0005-0000-0000-0000864D0000}"/>
    <cellStyle name="Header2 22 2 2 3 2 4" xfId="19822" xr:uid="{00000000-0005-0000-0000-0000874D0000}"/>
    <cellStyle name="Header2 22 2 2 3 2 5" xfId="19823" xr:uid="{00000000-0005-0000-0000-0000884D0000}"/>
    <cellStyle name="Header2 22 2 2 3 2 6" xfId="19824" xr:uid="{00000000-0005-0000-0000-0000894D0000}"/>
    <cellStyle name="Header2 22 2 2 3 3" xfId="19825" xr:uid="{00000000-0005-0000-0000-00008A4D0000}"/>
    <cellStyle name="Header2 22 2 2 3 3 2" xfId="19826" xr:uid="{00000000-0005-0000-0000-00008B4D0000}"/>
    <cellStyle name="Header2 22 2 2 3 3 2 2" xfId="19827" xr:uid="{00000000-0005-0000-0000-00008C4D0000}"/>
    <cellStyle name="Header2 22 2 2 3 3 2 3" xfId="19828" xr:uid="{00000000-0005-0000-0000-00008D4D0000}"/>
    <cellStyle name="Header2 22 2 2 3 3 2 4" xfId="19829" xr:uid="{00000000-0005-0000-0000-00008E4D0000}"/>
    <cellStyle name="Header2 22 2 2 3 3 3" xfId="19830" xr:uid="{00000000-0005-0000-0000-00008F4D0000}"/>
    <cellStyle name="Header2 22 2 2 3 3 3 2" xfId="19831" xr:uid="{00000000-0005-0000-0000-0000904D0000}"/>
    <cellStyle name="Header2 22 2 2 3 3 3 3" xfId="19832" xr:uid="{00000000-0005-0000-0000-0000914D0000}"/>
    <cellStyle name="Header2 22 2 2 3 3 3 4" xfId="19833" xr:uid="{00000000-0005-0000-0000-0000924D0000}"/>
    <cellStyle name="Header2 22 2 2 3 3 4" xfId="19834" xr:uid="{00000000-0005-0000-0000-0000934D0000}"/>
    <cellStyle name="Header2 22 2 2 3 3 5" xfId="19835" xr:uid="{00000000-0005-0000-0000-0000944D0000}"/>
    <cellStyle name="Header2 22 2 2 3 3 6" xfId="19836" xr:uid="{00000000-0005-0000-0000-0000954D0000}"/>
    <cellStyle name="Header2 22 2 2 3 4" xfId="19837" xr:uid="{00000000-0005-0000-0000-0000964D0000}"/>
    <cellStyle name="Header2 22 2 2 3 5" xfId="19838" xr:uid="{00000000-0005-0000-0000-0000974D0000}"/>
    <cellStyle name="Header2 22 2 3" xfId="19839" xr:uid="{00000000-0005-0000-0000-0000984D0000}"/>
    <cellStyle name="Header2 22 2 3 2" xfId="19840" xr:uid="{00000000-0005-0000-0000-0000994D0000}"/>
    <cellStyle name="Header2 22 2 3 2 2" xfId="19841" xr:uid="{00000000-0005-0000-0000-00009A4D0000}"/>
    <cellStyle name="Header2 22 2 3 2 3" xfId="19842" xr:uid="{00000000-0005-0000-0000-00009B4D0000}"/>
    <cellStyle name="Header2 22 2 3 3" xfId="19843" xr:uid="{00000000-0005-0000-0000-00009C4D0000}"/>
    <cellStyle name="Header2 22 2 4" xfId="19844" xr:uid="{00000000-0005-0000-0000-00009D4D0000}"/>
    <cellStyle name="Header2 22 2 4 2" xfId="19845" xr:uid="{00000000-0005-0000-0000-00009E4D0000}"/>
    <cellStyle name="Header2 22 2 4 2 2" xfId="19846" xr:uid="{00000000-0005-0000-0000-00009F4D0000}"/>
    <cellStyle name="Header2 22 2 4 2 3" xfId="19847" xr:uid="{00000000-0005-0000-0000-0000A04D0000}"/>
    <cellStyle name="Header2 22 2 4 3" xfId="19848" xr:uid="{00000000-0005-0000-0000-0000A14D0000}"/>
    <cellStyle name="Header2 22 2 5" xfId="19849" xr:uid="{00000000-0005-0000-0000-0000A24D0000}"/>
    <cellStyle name="Header2 22 2 5 2" xfId="19850" xr:uid="{00000000-0005-0000-0000-0000A34D0000}"/>
    <cellStyle name="Header2 22 2 5 2 2" xfId="19851" xr:uid="{00000000-0005-0000-0000-0000A44D0000}"/>
    <cellStyle name="Header2 22 2 5 2 3" xfId="19852" xr:uid="{00000000-0005-0000-0000-0000A54D0000}"/>
    <cellStyle name="Header2 22 2 5 3" xfId="19853" xr:uid="{00000000-0005-0000-0000-0000A64D0000}"/>
    <cellStyle name="Header2 22 2 6" xfId="19854" xr:uid="{00000000-0005-0000-0000-0000A74D0000}"/>
    <cellStyle name="Header2 22 2 6 2" xfId="19855" xr:uid="{00000000-0005-0000-0000-0000A84D0000}"/>
    <cellStyle name="Header2 22 2 6 2 2" xfId="19856" xr:uid="{00000000-0005-0000-0000-0000A94D0000}"/>
    <cellStyle name="Header2 22 2 6 2 2 2" xfId="19857" xr:uid="{00000000-0005-0000-0000-0000AA4D0000}"/>
    <cellStyle name="Header2 22 2 6 2 2 3" xfId="19858" xr:uid="{00000000-0005-0000-0000-0000AB4D0000}"/>
    <cellStyle name="Header2 22 2 6 2 2 4" xfId="19859" xr:uid="{00000000-0005-0000-0000-0000AC4D0000}"/>
    <cellStyle name="Header2 22 2 6 2 2 5" xfId="19860" xr:uid="{00000000-0005-0000-0000-0000AD4D0000}"/>
    <cellStyle name="Header2 22 2 6 2 3" xfId="19861" xr:uid="{00000000-0005-0000-0000-0000AE4D0000}"/>
    <cellStyle name="Header2 22 2 6 2 3 2" xfId="19862" xr:uid="{00000000-0005-0000-0000-0000AF4D0000}"/>
    <cellStyle name="Header2 22 2 6 2 3 3" xfId="19863" xr:uid="{00000000-0005-0000-0000-0000B04D0000}"/>
    <cellStyle name="Header2 22 2 6 2 3 4" xfId="19864" xr:uid="{00000000-0005-0000-0000-0000B14D0000}"/>
    <cellStyle name="Header2 22 2 6 2 4" xfId="19865" xr:uid="{00000000-0005-0000-0000-0000B24D0000}"/>
    <cellStyle name="Header2 22 2 6 2 5" xfId="19866" xr:uid="{00000000-0005-0000-0000-0000B34D0000}"/>
    <cellStyle name="Header2 22 2 6 2 6" xfId="19867" xr:uid="{00000000-0005-0000-0000-0000B44D0000}"/>
    <cellStyle name="Header2 22 2 6 3" xfId="19868" xr:uid="{00000000-0005-0000-0000-0000B54D0000}"/>
    <cellStyle name="Header2 22 2 6 3 2" xfId="19869" xr:uid="{00000000-0005-0000-0000-0000B64D0000}"/>
    <cellStyle name="Header2 22 2 6 3 2 2" xfId="19870" xr:uid="{00000000-0005-0000-0000-0000B74D0000}"/>
    <cellStyle name="Header2 22 2 6 3 2 3" xfId="19871" xr:uid="{00000000-0005-0000-0000-0000B84D0000}"/>
    <cellStyle name="Header2 22 2 6 3 2 4" xfId="19872" xr:uid="{00000000-0005-0000-0000-0000B94D0000}"/>
    <cellStyle name="Header2 22 2 6 3 3" xfId="19873" xr:uid="{00000000-0005-0000-0000-0000BA4D0000}"/>
    <cellStyle name="Header2 22 2 6 3 3 2" xfId="19874" xr:uid="{00000000-0005-0000-0000-0000BB4D0000}"/>
    <cellStyle name="Header2 22 2 6 3 3 3" xfId="19875" xr:uid="{00000000-0005-0000-0000-0000BC4D0000}"/>
    <cellStyle name="Header2 22 2 6 3 3 4" xfId="19876" xr:uid="{00000000-0005-0000-0000-0000BD4D0000}"/>
    <cellStyle name="Header2 22 2 6 3 4" xfId="19877" xr:uid="{00000000-0005-0000-0000-0000BE4D0000}"/>
    <cellStyle name="Header2 22 2 6 3 5" xfId="19878" xr:uid="{00000000-0005-0000-0000-0000BF4D0000}"/>
    <cellStyle name="Header2 22 2 6 3 6" xfId="19879" xr:uid="{00000000-0005-0000-0000-0000C04D0000}"/>
    <cellStyle name="Header2 22 2 6 4" xfId="19880" xr:uid="{00000000-0005-0000-0000-0000C14D0000}"/>
    <cellStyle name="Header2 22 2 6 5" xfId="19881" xr:uid="{00000000-0005-0000-0000-0000C24D0000}"/>
    <cellStyle name="Header2 22 2 7" xfId="19882" xr:uid="{00000000-0005-0000-0000-0000C34D0000}"/>
    <cellStyle name="Header2 22 2 7 2" xfId="19883" xr:uid="{00000000-0005-0000-0000-0000C44D0000}"/>
    <cellStyle name="Header2 22 2 7 2 2" xfId="19884" xr:uid="{00000000-0005-0000-0000-0000C54D0000}"/>
    <cellStyle name="Header2 22 2 7 2 2 2" xfId="19885" xr:uid="{00000000-0005-0000-0000-0000C64D0000}"/>
    <cellStyle name="Header2 22 2 7 2 2 3" xfId="19886" xr:uid="{00000000-0005-0000-0000-0000C74D0000}"/>
    <cellStyle name="Header2 22 2 7 2 2 4" xfId="19887" xr:uid="{00000000-0005-0000-0000-0000C84D0000}"/>
    <cellStyle name="Header2 22 2 7 2 2 5" xfId="19888" xr:uid="{00000000-0005-0000-0000-0000C94D0000}"/>
    <cellStyle name="Header2 22 2 7 2 3" xfId="19889" xr:uid="{00000000-0005-0000-0000-0000CA4D0000}"/>
    <cellStyle name="Header2 22 2 7 2 3 2" xfId="19890" xr:uid="{00000000-0005-0000-0000-0000CB4D0000}"/>
    <cellStyle name="Header2 22 2 7 2 3 3" xfId="19891" xr:uid="{00000000-0005-0000-0000-0000CC4D0000}"/>
    <cellStyle name="Header2 22 2 7 2 3 4" xfId="19892" xr:uid="{00000000-0005-0000-0000-0000CD4D0000}"/>
    <cellStyle name="Header2 22 2 7 2 4" xfId="19893" xr:uid="{00000000-0005-0000-0000-0000CE4D0000}"/>
    <cellStyle name="Header2 22 2 7 2 5" xfId="19894" xr:uid="{00000000-0005-0000-0000-0000CF4D0000}"/>
    <cellStyle name="Header2 22 2 7 2 6" xfId="19895" xr:uid="{00000000-0005-0000-0000-0000D04D0000}"/>
    <cellStyle name="Header2 22 2 7 3" xfId="19896" xr:uid="{00000000-0005-0000-0000-0000D14D0000}"/>
    <cellStyle name="Header2 22 2 7 3 2" xfId="19897" xr:uid="{00000000-0005-0000-0000-0000D24D0000}"/>
    <cellStyle name="Header2 22 2 7 3 2 2" xfId="19898" xr:uid="{00000000-0005-0000-0000-0000D34D0000}"/>
    <cellStyle name="Header2 22 2 7 3 2 3" xfId="19899" xr:uid="{00000000-0005-0000-0000-0000D44D0000}"/>
    <cellStyle name="Header2 22 2 7 3 2 4" xfId="19900" xr:uid="{00000000-0005-0000-0000-0000D54D0000}"/>
    <cellStyle name="Header2 22 2 7 3 3" xfId="19901" xr:uid="{00000000-0005-0000-0000-0000D64D0000}"/>
    <cellStyle name="Header2 22 2 7 3 3 2" xfId="19902" xr:uid="{00000000-0005-0000-0000-0000D74D0000}"/>
    <cellStyle name="Header2 22 2 7 3 3 3" xfId="19903" xr:uid="{00000000-0005-0000-0000-0000D84D0000}"/>
    <cellStyle name="Header2 22 2 7 3 3 4" xfId="19904" xr:uid="{00000000-0005-0000-0000-0000D94D0000}"/>
    <cellStyle name="Header2 22 2 7 3 4" xfId="19905" xr:uid="{00000000-0005-0000-0000-0000DA4D0000}"/>
    <cellStyle name="Header2 22 2 7 3 5" xfId="19906" xr:uid="{00000000-0005-0000-0000-0000DB4D0000}"/>
    <cellStyle name="Header2 22 2 7 3 6" xfId="19907" xr:uid="{00000000-0005-0000-0000-0000DC4D0000}"/>
    <cellStyle name="Header2 22 2 7 4" xfId="19908" xr:uid="{00000000-0005-0000-0000-0000DD4D0000}"/>
    <cellStyle name="Header2 22 2 7 5" xfId="19909" xr:uid="{00000000-0005-0000-0000-0000DE4D0000}"/>
    <cellStyle name="Header2 22 2 8" xfId="19910" xr:uid="{00000000-0005-0000-0000-0000DF4D0000}"/>
    <cellStyle name="Header2 22 2 8 2" xfId="19911" xr:uid="{00000000-0005-0000-0000-0000E04D0000}"/>
    <cellStyle name="Header2 22 2 8 2 2" xfId="19912" xr:uid="{00000000-0005-0000-0000-0000E14D0000}"/>
    <cellStyle name="Header2 22 2 8 2 2 2" xfId="19913" xr:uid="{00000000-0005-0000-0000-0000E24D0000}"/>
    <cellStyle name="Header2 22 2 8 2 2 3" xfId="19914" xr:uid="{00000000-0005-0000-0000-0000E34D0000}"/>
    <cellStyle name="Header2 22 2 8 2 2 4" xfId="19915" xr:uid="{00000000-0005-0000-0000-0000E44D0000}"/>
    <cellStyle name="Header2 22 2 8 2 2 5" xfId="19916" xr:uid="{00000000-0005-0000-0000-0000E54D0000}"/>
    <cellStyle name="Header2 22 2 8 2 3" xfId="19917" xr:uid="{00000000-0005-0000-0000-0000E64D0000}"/>
    <cellStyle name="Header2 22 2 8 2 3 2" xfId="19918" xr:uid="{00000000-0005-0000-0000-0000E74D0000}"/>
    <cellStyle name="Header2 22 2 8 2 3 3" xfId="19919" xr:uid="{00000000-0005-0000-0000-0000E84D0000}"/>
    <cellStyle name="Header2 22 2 8 2 3 4" xfId="19920" xr:uid="{00000000-0005-0000-0000-0000E94D0000}"/>
    <cellStyle name="Header2 22 2 8 2 4" xfId="19921" xr:uid="{00000000-0005-0000-0000-0000EA4D0000}"/>
    <cellStyle name="Header2 22 2 8 2 5" xfId="19922" xr:uid="{00000000-0005-0000-0000-0000EB4D0000}"/>
    <cellStyle name="Header2 22 2 8 2 6" xfId="19923" xr:uid="{00000000-0005-0000-0000-0000EC4D0000}"/>
    <cellStyle name="Header2 22 2 8 3" xfId="19924" xr:uid="{00000000-0005-0000-0000-0000ED4D0000}"/>
    <cellStyle name="Header2 22 2 8 3 2" xfId="19925" xr:uid="{00000000-0005-0000-0000-0000EE4D0000}"/>
    <cellStyle name="Header2 22 2 8 3 2 2" xfId="19926" xr:uid="{00000000-0005-0000-0000-0000EF4D0000}"/>
    <cellStyle name="Header2 22 2 8 3 2 3" xfId="19927" xr:uid="{00000000-0005-0000-0000-0000F04D0000}"/>
    <cellStyle name="Header2 22 2 8 3 2 4" xfId="19928" xr:uid="{00000000-0005-0000-0000-0000F14D0000}"/>
    <cellStyle name="Header2 22 2 8 3 3" xfId="19929" xr:uid="{00000000-0005-0000-0000-0000F24D0000}"/>
    <cellStyle name="Header2 22 2 8 3 3 2" xfId="19930" xr:uid="{00000000-0005-0000-0000-0000F34D0000}"/>
    <cellStyle name="Header2 22 2 8 3 3 3" xfId="19931" xr:uid="{00000000-0005-0000-0000-0000F44D0000}"/>
    <cellStyle name="Header2 22 2 8 3 3 4" xfId="19932" xr:uid="{00000000-0005-0000-0000-0000F54D0000}"/>
    <cellStyle name="Header2 22 2 8 3 4" xfId="19933" xr:uid="{00000000-0005-0000-0000-0000F64D0000}"/>
    <cellStyle name="Header2 22 2 8 3 5" xfId="19934" xr:uid="{00000000-0005-0000-0000-0000F74D0000}"/>
    <cellStyle name="Header2 22 2 8 3 6" xfId="19935" xr:uid="{00000000-0005-0000-0000-0000F84D0000}"/>
    <cellStyle name="Header2 22 2 8 4" xfId="19936" xr:uid="{00000000-0005-0000-0000-0000F94D0000}"/>
    <cellStyle name="Header2 22 2 8 5" xfId="19937" xr:uid="{00000000-0005-0000-0000-0000FA4D0000}"/>
    <cellStyle name="Header2 22 2 9" xfId="19938" xr:uid="{00000000-0005-0000-0000-0000FB4D0000}"/>
    <cellStyle name="Header2 22 2 9 2" xfId="19939" xr:uid="{00000000-0005-0000-0000-0000FC4D0000}"/>
    <cellStyle name="Header2 22 2 9 2 2" xfId="19940" xr:uid="{00000000-0005-0000-0000-0000FD4D0000}"/>
    <cellStyle name="Header2 22 2 9 2 2 2" xfId="19941" xr:uid="{00000000-0005-0000-0000-0000FE4D0000}"/>
    <cellStyle name="Header2 22 2 9 2 2 3" xfId="19942" xr:uid="{00000000-0005-0000-0000-0000FF4D0000}"/>
    <cellStyle name="Header2 22 2 9 2 2 4" xfId="19943" xr:uid="{00000000-0005-0000-0000-0000004E0000}"/>
    <cellStyle name="Header2 22 2 9 2 2 5" xfId="19944" xr:uid="{00000000-0005-0000-0000-0000014E0000}"/>
    <cellStyle name="Header2 22 2 9 2 3" xfId="19945" xr:uid="{00000000-0005-0000-0000-0000024E0000}"/>
    <cellStyle name="Header2 22 2 9 2 3 2" xfId="19946" xr:uid="{00000000-0005-0000-0000-0000034E0000}"/>
    <cellStyle name="Header2 22 2 9 2 3 3" xfId="19947" xr:uid="{00000000-0005-0000-0000-0000044E0000}"/>
    <cellStyle name="Header2 22 2 9 2 3 4" xfId="19948" xr:uid="{00000000-0005-0000-0000-0000054E0000}"/>
    <cellStyle name="Header2 22 2 9 2 4" xfId="19949" xr:uid="{00000000-0005-0000-0000-0000064E0000}"/>
    <cellStyle name="Header2 22 2 9 2 5" xfId="19950" xr:uid="{00000000-0005-0000-0000-0000074E0000}"/>
    <cellStyle name="Header2 22 2 9 2 6" xfId="19951" xr:uid="{00000000-0005-0000-0000-0000084E0000}"/>
    <cellStyle name="Header2 22 2 9 3" xfId="19952" xr:uid="{00000000-0005-0000-0000-0000094E0000}"/>
    <cellStyle name="Header2 22 2 9 3 2" xfId="19953" xr:uid="{00000000-0005-0000-0000-00000A4E0000}"/>
    <cellStyle name="Header2 22 2 9 3 2 2" xfId="19954" xr:uid="{00000000-0005-0000-0000-00000B4E0000}"/>
    <cellStyle name="Header2 22 2 9 3 2 3" xfId="19955" xr:uid="{00000000-0005-0000-0000-00000C4E0000}"/>
    <cellStyle name="Header2 22 2 9 3 2 4" xfId="19956" xr:uid="{00000000-0005-0000-0000-00000D4E0000}"/>
    <cellStyle name="Header2 22 2 9 3 3" xfId="19957" xr:uid="{00000000-0005-0000-0000-00000E4E0000}"/>
    <cellStyle name="Header2 22 2 9 3 3 2" xfId="19958" xr:uid="{00000000-0005-0000-0000-00000F4E0000}"/>
    <cellStyle name="Header2 22 2 9 3 3 3" xfId="19959" xr:uid="{00000000-0005-0000-0000-0000104E0000}"/>
    <cellStyle name="Header2 22 2 9 3 3 4" xfId="19960" xr:uid="{00000000-0005-0000-0000-0000114E0000}"/>
    <cellStyle name="Header2 22 2 9 3 4" xfId="19961" xr:uid="{00000000-0005-0000-0000-0000124E0000}"/>
    <cellStyle name="Header2 22 2 9 3 5" xfId="19962" xr:uid="{00000000-0005-0000-0000-0000134E0000}"/>
    <cellStyle name="Header2 22 2 9 3 6" xfId="19963" xr:uid="{00000000-0005-0000-0000-0000144E0000}"/>
    <cellStyle name="Header2 22 2 9 4" xfId="19964" xr:uid="{00000000-0005-0000-0000-0000154E0000}"/>
    <cellStyle name="Header2 22 2 9 5" xfId="19965" xr:uid="{00000000-0005-0000-0000-0000164E0000}"/>
    <cellStyle name="Header2 22 3" xfId="19966" xr:uid="{00000000-0005-0000-0000-0000174E0000}"/>
    <cellStyle name="Header2 22 3 10" xfId="19967" xr:uid="{00000000-0005-0000-0000-0000184E0000}"/>
    <cellStyle name="Header2 22 3 10 2" xfId="19968" xr:uid="{00000000-0005-0000-0000-0000194E0000}"/>
    <cellStyle name="Header2 22 3 10 2 2" xfId="19969" xr:uid="{00000000-0005-0000-0000-00001A4E0000}"/>
    <cellStyle name="Header2 22 3 10 2 2 2" xfId="19970" xr:uid="{00000000-0005-0000-0000-00001B4E0000}"/>
    <cellStyle name="Header2 22 3 10 2 2 3" xfId="19971" xr:uid="{00000000-0005-0000-0000-00001C4E0000}"/>
    <cellStyle name="Header2 22 3 10 2 2 4" xfId="19972" xr:uid="{00000000-0005-0000-0000-00001D4E0000}"/>
    <cellStyle name="Header2 22 3 10 2 2 5" xfId="19973" xr:uid="{00000000-0005-0000-0000-00001E4E0000}"/>
    <cellStyle name="Header2 22 3 10 2 3" xfId="19974" xr:uid="{00000000-0005-0000-0000-00001F4E0000}"/>
    <cellStyle name="Header2 22 3 10 2 3 2" xfId="19975" xr:uid="{00000000-0005-0000-0000-0000204E0000}"/>
    <cellStyle name="Header2 22 3 10 2 3 3" xfId="19976" xr:uid="{00000000-0005-0000-0000-0000214E0000}"/>
    <cellStyle name="Header2 22 3 10 2 3 4" xfId="19977" xr:uid="{00000000-0005-0000-0000-0000224E0000}"/>
    <cellStyle name="Header2 22 3 10 2 4" xfId="19978" xr:uid="{00000000-0005-0000-0000-0000234E0000}"/>
    <cellStyle name="Header2 22 3 10 2 5" xfId="19979" xr:uid="{00000000-0005-0000-0000-0000244E0000}"/>
    <cellStyle name="Header2 22 3 10 2 6" xfId="19980" xr:uid="{00000000-0005-0000-0000-0000254E0000}"/>
    <cellStyle name="Header2 22 3 10 3" xfId="19981" xr:uid="{00000000-0005-0000-0000-0000264E0000}"/>
    <cellStyle name="Header2 22 3 10 3 2" xfId="19982" xr:uid="{00000000-0005-0000-0000-0000274E0000}"/>
    <cellStyle name="Header2 22 3 10 3 2 2" xfId="19983" xr:uid="{00000000-0005-0000-0000-0000284E0000}"/>
    <cellStyle name="Header2 22 3 10 3 2 3" xfId="19984" xr:uid="{00000000-0005-0000-0000-0000294E0000}"/>
    <cellStyle name="Header2 22 3 10 3 2 4" xfId="19985" xr:uid="{00000000-0005-0000-0000-00002A4E0000}"/>
    <cellStyle name="Header2 22 3 10 3 3" xfId="19986" xr:uid="{00000000-0005-0000-0000-00002B4E0000}"/>
    <cellStyle name="Header2 22 3 10 3 3 2" xfId="19987" xr:uid="{00000000-0005-0000-0000-00002C4E0000}"/>
    <cellStyle name="Header2 22 3 10 3 3 3" xfId="19988" xr:uid="{00000000-0005-0000-0000-00002D4E0000}"/>
    <cellStyle name="Header2 22 3 10 3 3 4" xfId="19989" xr:uid="{00000000-0005-0000-0000-00002E4E0000}"/>
    <cellStyle name="Header2 22 3 10 3 4" xfId="19990" xr:uid="{00000000-0005-0000-0000-00002F4E0000}"/>
    <cellStyle name="Header2 22 3 10 3 5" xfId="19991" xr:uid="{00000000-0005-0000-0000-0000304E0000}"/>
    <cellStyle name="Header2 22 3 10 3 6" xfId="19992" xr:uid="{00000000-0005-0000-0000-0000314E0000}"/>
    <cellStyle name="Header2 22 3 10 4" xfId="19993" xr:uid="{00000000-0005-0000-0000-0000324E0000}"/>
    <cellStyle name="Header2 22 3 10 5" xfId="19994" xr:uid="{00000000-0005-0000-0000-0000334E0000}"/>
    <cellStyle name="Header2 22 3 11" xfId="19995" xr:uid="{00000000-0005-0000-0000-0000344E0000}"/>
    <cellStyle name="Header2 22 3 11 2" xfId="19996" xr:uid="{00000000-0005-0000-0000-0000354E0000}"/>
    <cellStyle name="Header2 22 3 11 2 2" xfId="19997" xr:uid="{00000000-0005-0000-0000-0000364E0000}"/>
    <cellStyle name="Header2 22 3 11 2 2 2" xfId="19998" xr:uid="{00000000-0005-0000-0000-0000374E0000}"/>
    <cellStyle name="Header2 22 3 11 2 2 3" xfId="19999" xr:uid="{00000000-0005-0000-0000-0000384E0000}"/>
    <cellStyle name="Header2 22 3 11 2 2 4" xfId="20000" xr:uid="{00000000-0005-0000-0000-0000394E0000}"/>
    <cellStyle name="Header2 22 3 11 2 2 5" xfId="20001" xr:uid="{00000000-0005-0000-0000-00003A4E0000}"/>
    <cellStyle name="Header2 22 3 11 2 3" xfId="20002" xr:uid="{00000000-0005-0000-0000-00003B4E0000}"/>
    <cellStyle name="Header2 22 3 11 2 3 2" xfId="20003" xr:uid="{00000000-0005-0000-0000-00003C4E0000}"/>
    <cellStyle name="Header2 22 3 11 2 3 3" xfId="20004" xr:uid="{00000000-0005-0000-0000-00003D4E0000}"/>
    <cellStyle name="Header2 22 3 11 2 3 4" xfId="20005" xr:uid="{00000000-0005-0000-0000-00003E4E0000}"/>
    <cellStyle name="Header2 22 3 11 2 4" xfId="20006" xr:uid="{00000000-0005-0000-0000-00003F4E0000}"/>
    <cellStyle name="Header2 22 3 11 2 5" xfId="20007" xr:uid="{00000000-0005-0000-0000-0000404E0000}"/>
    <cellStyle name="Header2 22 3 11 2 6" xfId="20008" xr:uid="{00000000-0005-0000-0000-0000414E0000}"/>
    <cellStyle name="Header2 22 3 11 3" xfId="20009" xr:uid="{00000000-0005-0000-0000-0000424E0000}"/>
    <cellStyle name="Header2 22 3 11 3 2" xfId="20010" xr:uid="{00000000-0005-0000-0000-0000434E0000}"/>
    <cellStyle name="Header2 22 3 11 3 2 2" xfId="20011" xr:uid="{00000000-0005-0000-0000-0000444E0000}"/>
    <cellStyle name="Header2 22 3 11 3 2 3" xfId="20012" xr:uid="{00000000-0005-0000-0000-0000454E0000}"/>
    <cellStyle name="Header2 22 3 11 3 2 4" xfId="20013" xr:uid="{00000000-0005-0000-0000-0000464E0000}"/>
    <cellStyle name="Header2 22 3 11 3 3" xfId="20014" xr:uid="{00000000-0005-0000-0000-0000474E0000}"/>
    <cellStyle name="Header2 22 3 11 3 3 2" xfId="20015" xr:uid="{00000000-0005-0000-0000-0000484E0000}"/>
    <cellStyle name="Header2 22 3 11 3 3 3" xfId="20016" xr:uid="{00000000-0005-0000-0000-0000494E0000}"/>
    <cellStyle name="Header2 22 3 11 3 3 4" xfId="20017" xr:uid="{00000000-0005-0000-0000-00004A4E0000}"/>
    <cellStyle name="Header2 22 3 11 3 4" xfId="20018" xr:uid="{00000000-0005-0000-0000-00004B4E0000}"/>
    <cellStyle name="Header2 22 3 11 3 5" xfId="20019" xr:uid="{00000000-0005-0000-0000-00004C4E0000}"/>
    <cellStyle name="Header2 22 3 11 3 6" xfId="20020" xr:uid="{00000000-0005-0000-0000-00004D4E0000}"/>
    <cellStyle name="Header2 22 3 11 4" xfId="20021" xr:uid="{00000000-0005-0000-0000-00004E4E0000}"/>
    <cellStyle name="Header2 22 3 11 5" xfId="20022" xr:uid="{00000000-0005-0000-0000-00004F4E0000}"/>
    <cellStyle name="Header2 22 3 12" xfId="20023" xr:uid="{00000000-0005-0000-0000-0000504E0000}"/>
    <cellStyle name="Header2 22 3 12 2" xfId="20024" xr:uid="{00000000-0005-0000-0000-0000514E0000}"/>
    <cellStyle name="Header2 22 3 12 2 2" xfId="20025" xr:uid="{00000000-0005-0000-0000-0000524E0000}"/>
    <cellStyle name="Header2 22 3 12 2 2 2" xfId="20026" xr:uid="{00000000-0005-0000-0000-0000534E0000}"/>
    <cellStyle name="Header2 22 3 12 2 2 3" xfId="20027" xr:uid="{00000000-0005-0000-0000-0000544E0000}"/>
    <cellStyle name="Header2 22 3 12 2 2 4" xfId="20028" xr:uid="{00000000-0005-0000-0000-0000554E0000}"/>
    <cellStyle name="Header2 22 3 12 2 2 5" xfId="20029" xr:uid="{00000000-0005-0000-0000-0000564E0000}"/>
    <cellStyle name="Header2 22 3 12 2 3" xfId="20030" xr:uid="{00000000-0005-0000-0000-0000574E0000}"/>
    <cellStyle name="Header2 22 3 12 2 3 2" xfId="20031" xr:uid="{00000000-0005-0000-0000-0000584E0000}"/>
    <cellStyle name="Header2 22 3 12 2 3 3" xfId="20032" xr:uid="{00000000-0005-0000-0000-0000594E0000}"/>
    <cellStyle name="Header2 22 3 12 2 3 4" xfId="20033" xr:uid="{00000000-0005-0000-0000-00005A4E0000}"/>
    <cellStyle name="Header2 22 3 12 2 4" xfId="20034" xr:uid="{00000000-0005-0000-0000-00005B4E0000}"/>
    <cellStyle name="Header2 22 3 12 2 5" xfId="20035" xr:uid="{00000000-0005-0000-0000-00005C4E0000}"/>
    <cellStyle name="Header2 22 3 12 2 6" xfId="20036" xr:uid="{00000000-0005-0000-0000-00005D4E0000}"/>
    <cellStyle name="Header2 22 3 12 3" xfId="20037" xr:uid="{00000000-0005-0000-0000-00005E4E0000}"/>
    <cellStyle name="Header2 22 3 12 3 2" xfId="20038" xr:uid="{00000000-0005-0000-0000-00005F4E0000}"/>
    <cellStyle name="Header2 22 3 12 3 2 2" xfId="20039" xr:uid="{00000000-0005-0000-0000-0000604E0000}"/>
    <cellStyle name="Header2 22 3 12 3 2 3" xfId="20040" xr:uid="{00000000-0005-0000-0000-0000614E0000}"/>
    <cellStyle name="Header2 22 3 12 3 2 4" xfId="20041" xr:uid="{00000000-0005-0000-0000-0000624E0000}"/>
    <cellStyle name="Header2 22 3 12 3 3" xfId="20042" xr:uid="{00000000-0005-0000-0000-0000634E0000}"/>
    <cellStyle name="Header2 22 3 12 3 3 2" xfId="20043" xr:uid="{00000000-0005-0000-0000-0000644E0000}"/>
    <cellStyle name="Header2 22 3 12 3 3 3" xfId="20044" xr:uid="{00000000-0005-0000-0000-0000654E0000}"/>
    <cellStyle name="Header2 22 3 12 3 3 4" xfId="20045" xr:uid="{00000000-0005-0000-0000-0000664E0000}"/>
    <cellStyle name="Header2 22 3 12 3 4" xfId="20046" xr:uid="{00000000-0005-0000-0000-0000674E0000}"/>
    <cellStyle name="Header2 22 3 12 3 5" xfId="20047" xr:uid="{00000000-0005-0000-0000-0000684E0000}"/>
    <cellStyle name="Header2 22 3 12 3 6" xfId="20048" xr:uid="{00000000-0005-0000-0000-0000694E0000}"/>
    <cellStyle name="Header2 22 3 12 4" xfId="20049" xr:uid="{00000000-0005-0000-0000-00006A4E0000}"/>
    <cellStyle name="Header2 22 3 12 5" xfId="20050" xr:uid="{00000000-0005-0000-0000-00006B4E0000}"/>
    <cellStyle name="Header2 22 3 13" xfId="58743" xr:uid="{00000000-0005-0000-0000-00006C4E0000}"/>
    <cellStyle name="Header2 22 3 2" xfId="20051" xr:uid="{00000000-0005-0000-0000-00006D4E0000}"/>
    <cellStyle name="Header2 22 3 2 2" xfId="20052" xr:uid="{00000000-0005-0000-0000-00006E4E0000}"/>
    <cellStyle name="Header2 22 3 2 2 2" xfId="20053" xr:uid="{00000000-0005-0000-0000-00006F4E0000}"/>
    <cellStyle name="Header2 22 3 2 2 3" xfId="20054" xr:uid="{00000000-0005-0000-0000-0000704E0000}"/>
    <cellStyle name="Header2 22 3 2 3" xfId="20055" xr:uid="{00000000-0005-0000-0000-0000714E0000}"/>
    <cellStyle name="Header2 22 3 3" xfId="20056" xr:uid="{00000000-0005-0000-0000-0000724E0000}"/>
    <cellStyle name="Header2 22 3 3 2" xfId="20057" xr:uid="{00000000-0005-0000-0000-0000734E0000}"/>
    <cellStyle name="Header2 22 3 3 2 2" xfId="20058" xr:uid="{00000000-0005-0000-0000-0000744E0000}"/>
    <cellStyle name="Header2 22 3 3 2 3" xfId="20059" xr:uid="{00000000-0005-0000-0000-0000754E0000}"/>
    <cellStyle name="Header2 22 3 3 3" xfId="20060" xr:uid="{00000000-0005-0000-0000-0000764E0000}"/>
    <cellStyle name="Header2 22 3 4" xfId="20061" xr:uid="{00000000-0005-0000-0000-0000774E0000}"/>
    <cellStyle name="Header2 22 3 4 2" xfId="20062" xr:uid="{00000000-0005-0000-0000-0000784E0000}"/>
    <cellStyle name="Header2 22 3 4 2 2" xfId="20063" xr:uid="{00000000-0005-0000-0000-0000794E0000}"/>
    <cellStyle name="Header2 22 3 4 2 3" xfId="20064" xr:uid="{00000000-0005-0000-0000-00007A4E0000}"/>
    <cellStyle name="Header2 22 3 4 3" xfId="20065" xr:uid="{00000000-0005-0000-0000-00007B4E0000}"/>
    <cellStyle name="Header2 22 3 5" xfId="20066" xr:uid="{00000000-0005-0000-0000-00007C4E0000}"/>
    <cellStyle name="Header2 22 3 5 2" xfId="20067" xr:uid="{00000000-0005-0000-0000-00007D4E0000}"/>
    <cellStyle name="Header2 22 3 5 2 2" xfId="20068" xr:uid="{00000000-0005-0000-0000-00007E4E0000}"/>
    <cellStyle name="Header2 22 3 5 2 2 2" xfId="20069" xr:uid="{00000000-0005-0000-0000-00007F4E0000}"/>
    <cellStyle name="Header2 22 3 5 2 2 3" xfId="20070" xr:uid="{00000000-0005-0000-0000-0000804E0000}"/>
    <cellStyle name="Header2 22 3 5 2 2 4" xfId="20071" xr:uid="{00000000-0005-0000-0000-0000814E0000}"/>
    <cellStyle name="Header2 22 3 5 2 2 5" xfId="20072" xr:uid="{00000000-0005-0000-0000-0000824E0000}"/>
    <cellStyle name="Header2 22 3 5 2 3" xfId="20073" xr:uid="{00000000-0005-0000-0000-0000834E0000}"/>
    <cellStyle name="Header2 22 3 5 2 3 2" xfId="20074" xr:uid="{00000000-0005-0000-0000-0000844E0000}"/>
    <cellStyle name="Header2 22 3 5 2 3 3" xfId="20075" xr:uid="{00000000-0005-0000-0000-0000854E0000}"/>
    <cellStyle name="Header2 22 3 5 2 3 4" xfId="20076" xr:uid="{00000000-0005-0000-0000-0000864E0000}"/>
    <cellStyle name="Header2 22 3 5 2 4" xfId="20077" xr:uid="{00000000-0005-0000-0000-0000874E0000}"/>
    <cellStyle name="Header2 22 3 5 2 5" xfId="20078" xr:uid="{00000000-0005-0000-0000-0000884E0000}"/>
    <cellStyle name="Header2 22 3 5 2 6" xfId="20079" xr:uid="{00000000-0005-0000-0000-0000894E0000}"/>
    <cellStyle name="Header2 22 3 5 3" xfId="20080" xr:uid="{00000000-0005-0000-0000-00008A4E0000}"/>
    <cellStyle name="Header2 22 3 5 3 2" xfId="20081" xr:uid="{00000000-0005-0000-0000-00008B4E0000}"/>
    <cellStyle name="Header2 22 3 5 3 2 2" xfId="20082" xr:uid="{00000000-0005-0000-0000-00008C4E0000}"/>
    <cellStyle name="Header2 22 3 5 3 2 3" xfId="20083" xr:uid="{00000000-0005-0000-0000-00008D4E0000}"/>
    <cellStyle name="Header2 22 3 5 3 2 4" xfId="20084" xr:uid="{00000000-0005-0000-0000-00008E4E0000}"/>
    <cellStyle name="Header2 22 3 5 3 3" xfId="20085" xr:uid="{00000000-0005-0000-0000-00008F4E0000}"/>
    <cellStyle name="Header2 22 3 5 3 3 2" xfId="20086" xr:uid="{00000000-0005-0000-0000-0000904E0000}"/>
    <cellStyle name="Header2 22 3 5 3 3 3" xfId="20087" xr:uid="{00000000-0005-0000-0000-0000914E0000}"/>
    <cellStyle name="Header2 22 3 5 3 3 4" xfId="20088" xr:uid="{00000000-0005-0000-0000-0000924E0000}"/>
    <cellStyle name="Header2 22 3 5 3 4" xfId="20089" xr:uid="{00000000-0005-0000-0000-0000934E0000}"/>
    <cellStyle name="Header2 22 3 5 3 5" xfId="20090" xr:uid="{00000000-0005-0000-0000-0000944E0000}"/>
    <cellStyle name="Header2 22 3 5 3 6" xfId="20091" xr:uid="{00000000-0005-0000-0000-0000954E0000}"/>
    <cellStyle name="Header2 22 3 5 4" xfId="20092" xr:uid="{00000000-0005-0000-0000-0000964E0000}"/>
    <cellStyle name="Header2 22 3 5 5" xfId="20093" xr:uid="{00000000-0005-0000-0000-0000974E0000}"/>
    <cellStyle name="Header2 22 3 6" xfId="20094" xr:uid="{00000000-0005-0000-0000-0000984E0000}"/>
    <cellStyle name="Header2 22 3 6 2" xfId="20095" xr:uid="{00000000-0005-0000-0000-0000994E0000}"/>
    <cellStyle name="Header2 22 3 6 2 2" xfId="20096" xr:uid="{00000000-0005-0000-0000-00009A4E0000}"/>
    <cellStyle name="Header2 22 3 6 2 2 2" xfId="20097" xr:uid="{00000000-0005-0000-0000-00009B4E0000}"/>
    <cellStyle name="Header2 22 3 6 2 2 3" xfId="20098" xr:uid="{00000000-0005-0000-0000-00009C4E0000}"/>
    <cellStyle name="Header2 22 3 6 2 2 4" xfId="20099" xr:uid="{00000000-0005-0000-0000-00009D4E0000}"/>
    <cellStyle name="Header2 22 3 6 2 2 5" xfId="20100" xr:uid="{00000000-0005-0000-0000-00009E4E0000}"/>
    <cellStyle name="Header2 22 3 6 2 3" xfId="20101" xr:uid="{00000000-0005-0000-0000-00009F4E0000}"/>
    <cellStyle name="Header2 22 3 6 2 3 2" xfId="20102" xr:uid="{00000000-0005-0000-0000-0000A04E0000}"/>
    <cellStyle name="Header2 22 3 6 2 3 3" xfId="20103" xr:uid="{00000000-0005-0000-0000-0000A14E0000}"/>
    <cellStyle name="Header2 22 3 6 2 3 4" xfId="20104" xr:uid="{00000000-0005-0000-0000-0000A24E0000}"/>
    <cellStyle name="Header2 22 3 6 2 4" xfId="20105" xr:uid="{00000000-0005-0000-0000-0000A34E0000}"/>
    <cellStyle name="Header2 22 3 6 2 5" xfId="20106" xr:uid="{00000000-0005-0000-0000-0000A44E0000}"/>
    <cellStyle name="Header2 22 3 6 2 6" xfId="20107" xr:uid="{00000000-0005-0000-0000-0000A54E0000}"/>
    <cellStyle name="Header2 22 3 6 3" xfId="20108" xr:uid="{00000000-0005-0000-0000-0000A64E0000}"/>
    <cellStyle name="Header2 22 3 6 3 2" xfId="20109" xr:uid="{00000000-0005-0000-0000-0000A74E0000}"/>
    <cellStyle name="Header2 22 3 6 3 2 2" xfId="20110" xr:uid="{00000000-0005-0000-0000-0000A84E0000}"/>
    <cellStyle name="Header2 22 3 6 3 2 3" xfId="20111" xr:uid="{00000000-0005-0000-0000-0000A94E0000}"/>
    <cellStyle name="Header2 22 3 6 3 2 4" xfId="20112" xr:uid="{00000000-0005-0000-0000-0000AA4E0000}"/>
    <cellStyle name="Header2 22 3 6 3 3" xfId="20113" xr:uid="{00000000-0005-0000-0000-0000AB4E0000}"/>
    <cellStyle name="Header2 22 3 6 3 3 2" xfId="20114" xr:uid="{00000000-0005-0000-0000-0000AC4E0000}"/>
    <cellStyle name="Header2 22 3 6 3 3 3" xfId="20115" xr:uid="{00000000-0005-0000-0000-0000AD4E0000}"/>
    <cellStyle name="Header2 22 3 6 3 3 4" xfId="20116" xr:uid="{00000000-0005-0000-0000-0000AE4E0000}"/>
    <cellStyle name="Header2 22 3 6 3 4" xfId="20117" xr:uid="{00000000-0005-0000-0000-0000AF4E0000}"/>
    <cellStyle name="Header2 22 3 6 3 5" xfId="20118" xr:uid="{00000000-0005-0000-0000-0000B04E0000}"/>
    <cellStyle name="Header2 22 3 6 3 6" xfId="20119" xr:uid="{00000000-0005-0000-0000-0000B14E0000}"/>
    <cellStyle name="Header2 22 3 6 4" xfId="20120" xr:uid="{00000000-0005-0000-0000-0000B24E0000}"/>
    <cellStyle name="Header2 22 3 6 5" xfId="20121" xr:uid="{00000000-0005-0000-0000-0000B34E0000}"/>
    <cellStyle name="Header2 22 3 7" xfId="20122" xr:uid="{00000000-0005-0000-0000-0000B44E0000}"/>
    <cellStyle name="Header2 22 3 7 2" xfId="20123" xr:uid="{00000000-0005-0000-0000-0000B54E0000}"/>
    <cellStyle name="Header2 22 3 7 2 2" xfId="20124" xr:uid="{00000000-0005-0000-0000-0000B64E0000}"/>
    <cellStyle name="Header2 22 3 7 2 2 2" xfId="20125" xr:uid="{00000000-0005-0000-0000-0000B74E0000}"/>
    <cellStyle name="Header2 22 3 7 2 2 3" xfId="20126" xr:uid="{00000000-0005-0000-0000-0000B84E0000}"/>
    <cellStyle name="Header2 22 3 7 2 2 4" xfId="20127" xr:uid="{00000000-0005-0000-0000-0000B94E0000}"/>
    <cellStyle name="Header2 22 3 7 2 2 5" xfId="20128" xr:uid="{00000000-0005-0000-0000-0000BA4E0000}"/>
    <cellStyle name="Header2 22 3 7 2 3" xfId="20129" xr:uid="{00000000-0005-0000-0000-0000BB4E0000}"/>
    <cellStyle name="Header2 22 3 7 2 3 2" xfId="20130" xr:uid="{00000000-0005-0000-0000-0000BC4E0000}"/>
    <cellStyle name="Header2 22 3 7 2 3 3" xfId="20131" xr:uid="{00000000-0005-0000-0000-0000BD4E0000}"/>
    <cellStyle name="Header2 22 3 7 2 3 4" xfId="20132" xr:uid="{00000000-0005-0000-0000-0000BE4E0000}"/>
    <cellStyle name="Header2 22 3 7 2 4" xfId="20133" xr:uid="{00000000-0005-0000-0000-0000BF4E0000}"/>
    <cellStyle name="Header2 22 3 7 2 5" xfId="20134" xr:uid="{00000000-0005-0000-0000-0000C04E0000}"/>
    <cellStyle name="Header2 22 3 7 2 6" xfId="20135" xr:uid="{00000000-0005-0000-0000-0000C14E0000}"/>
    <cellStyle name="Header2 22 3 7 3" xfId="20136" xr:uid="{00000000-0005-0000-0000-0000C24E0000}"/>
    <cellStyle name="Header2 22 3 7 3 2" xfId="20137" xr:uid="{00000000-0005-0000-0000-0000C34E0000}"/>
    <cellStyle name="Header2 22 3 7 3 2 2" xfId="20138" xr:uid="{00000000-0005-0000-0000-0000C44E0000}"/>
    <cellStyle name="Header2 22 3 7 3 2 3" xfId="20139" xr:uid="{00000000-0005-0000-0000-0000C54E0000}"/>
    <cellStyle name="Header2 22 3 7 3 2 4" xfId="20140" xr:uid="{00000000-0005-0000-0000-0000C64E0000}"/>
    <cellStyle name="Header2 22 3 7 3 3" xfId="20141" xr:uid="{00000000-0005-0000-0000-0000C74E0000}"/>
    <cellStyle name="Header2 22 3 7 3 3 2" xfId="20142" xr:uid="{00000000-0005-0000-0000-0000C84E0000}"/>
    <cellStyle name="Header2 22 3 7 3 3 3" xfId="20143" xr:uid="{00000000-0005-0000-0000-0000C94E0000}"/>
    <cellStyle name="Header2 22 3 7 3 3 4" xfId="20144" xr:uid="{00000000-0005-0000-0000-0000CA4E0000}"/>
    <cellStyle name="Header2 22 3 7 3 4" xfId="20145" xr:uid="{00000000-0005-0000-0000-0000CB4E0000}"/>
    <cellStyle name="Header2 22 3 7 3 5" xfId="20146" xr:uid="{00000000-0005-0000-0000-0000CC4E0000}"/>
    <cellStyle name="Header2 22 3 7 3 6" xfId="20147" xr:uid="{00000000-0005-0000-0000-0000CD4E0000}"/>
    <cellStyle name="Header2 22 3 7 4" xfId="20148" xr:uid="{00000000-0005-0000-0000-0000CE4E0000}"/>
    <cellStyle name="Header2 22 3 7 5" xfId="20149" xr:uid="{00000000-0005-0000-0000-0000CF4E0000}"/>
    <cellStyle name="Header2 22 3 8" xfId="20150" xr:uid="{00000000-0005-0000-0000-0000D04E0000}"/>
    <cellStyle name="Header2 22 3 8 2" xfId="20151" xr:uid="{00000000-0005-0000-0000-0000D14E0000}"/>
    <cellStyle name="Header2 22 3 8 2 2" xfId="20152" xr:uid="{00000000-0005-0000-0000-0000D24E0000}"/>
    <cellStyle name="Header2 22 3 8 2 2 2" xfId="20153" xr:uid="{00000000-0005-0000-0000-0000D34E0000}"/>
    <cellStyle name="Header2 22 3 8 2 2 3" xfId="20154" xr:uid="{00000000-0005-0000-0000-0000D44E0000}"/>
    <cellStyle name="Header2 22 3 8 2 2 4" xfId="20155" xr:uid="{00000000-0005-0000-0000-0000D54E0000}"/>
    <cellStyle name="Header2 22 3 8 2 2 5" xfId="20156" xr:uid="{00000000-0005-0000-0000-0000D64E0000}"/>
    <cellStyle name="Header2 22 3 8 2 3" xfId="20157" xr:uid="{00000000-0005-0000-0000-0000D74E0000}"/>
    <cellStyle name="Header2 22 3 8 2 3 2" xfId="20158" xr:uid="{00000000-0005-0000-0000-0000D84E0000}"/>
    <cellStyle name="Header2 22 3 8 2 3 3" xfId="20159" xr:uid="{00000000-0005-0000-0000-0000D94E0000}"/>
    <cellStyle name="Header2 22 3 8 2 3 4" xfId="20160" xr:uid="{00000000-0005-0000-0000-0000DA4E0000}"/>
    <cellStyle name="Header2 22 3 8 2 4" xfId="20161" xr:uid="{00000000-0005-0000-0000-0000DB4E0000}"/>
    <cellStyle name="Header2 22 3 8 2 5" xfId="20162" xr:uid="{00000000-0005-0000-0000-0000DC4E0000}"/>
    <cellStyle name="Header2 22 3 8 2 6" xfId="20163" xr:uid="{00000000-0005-0000-0000-0000DD4E0000}"/>
    <cellStyle name="Header2 22 3 8 3" xfId="20164" xr:uid="{00000000-0005-0000-0000-0000DE4E0000}"/>
    <cellStyle name="Header2 22 3 8 3 2" xfId="20165" xr:uid="{00000000-0005-0000-0000-0000DF4E0000}"/>
    <cellStyle name="Header2 22 3 8 3 2 2" xfId="20166" xr:uid="{00000000-0005-0000-0000-0000E04E0000}"/>
    <cellStyle name="Header2 22 3 8 3 2 3" xfId="20167" xr:uid="{00000000-0005-0000-0000-0000E14E0000}"/>
    <cellStyle name="Header2 22 3 8 3 2 4" xfId="20168" xr:uid="{00000000-0005-0000-0000-0000E24E0000}"/>
    <cellStyle name="Header2 22 3 8 3 3" xfId="20169" xr:uid="{00000000-0005-0000-0000-0000E34E0000}"/>
    <cellStyle name="Header2 22 3 8 3 3 2" xfId="20170" xr:uid="{00000000-0005-0000-0000-0000E44E0000}"/>
    <cellStyle name="Header2 22 3 8 3 3 3" xfId="20171" xr:uid="{00000000-0005-0000-0000-0000E54E0000}"/>
    <cellStyle name="Header2 22 3 8 3 3 4" xfId="20172" xr:uid="{00000000-0005-0000-0000-0000E64E0000}"/>
    <cellStyle name="Header2 22 3 8 3 4" xfId="20173" xr:uid="{00000000-0005-0000-0000-0000E74E0000}"/>
    <cellStyle name="Header2 22 3 8 3 5" xfId="20174" xr:uid="{00000000-0005-0000-0000-0000E84E0000}"/>
    <cellStyle name="Header2 22 3 8 3 6" xfId="20175" xr:uid="{00000000-0005-0000-0000-0000E94E0000}"/>
    <cellStyle name="Header2 22 3 8 4" xfId="20176" xr:uid="{00000000-0005-0000-0000-0000EA4E0000}"/>
    <cellStyle name="Header2 22 3 8 5" xfId="20177" xr:uid="{00000000-0005-0000-0000-0000EB4E0000}"/>
    <cellStyle name="Header2 22 3 9" xfId="20178" xr:uid="{00000000-0005-0000-0000-0000EC4E0000}"/>
    <cellStyle name="Header2 22 3 9 2" xfId="20179" xr:uid="{00000000-0005-0000-0000-0000ED4E0000}"/>
    <cellStyle name="Header2 22 3 9 2 2" xfId="20180" xr:uid="{00000000-0005-0000-0000-0000EE4E0000}"/>
    <cellStyle name="Header2 22 3 9 2 2 2" xfId="20181" xr:uid="{00000000-0005-0000-0000-0000EF4E0000}"/>
    <cellStyle name="Header2 22 3 9 2 2 3" xfId="20182" xr:uid="{00000000-0005-0000-0000-0000F04E0000}"/>
    <cellStyle name="Header2 22 3 9 2 2 4" xfId="20183" xr:uid="{00000000-0005-0000-0000-0000F14E0000}"/>
    <cellStyle name="Header2 22 3 9 2 2 5" xfId="20184" xr:uid="{00000000-0005-0000-0000-0000F24E0000}"/>
    <cellStyle name="Header2 22 3 9 2 3" xfId="20185" xr:uid="{00000000-0005-0000-0000-0000F34E0000}"/>
    <cellStyle name="Header2 22 3 9 2 3 2" xfId="20186" xr:uid="{00000000-0005-0000-0000-0000F44E0000}"/>
    <cellStyle name="Header2 22 3 9 2 3 3" xfId="20187" xr:uid="{00000000-0005-0000-0000-0000F54E0000}"/>
    <cellStyle name="Header2 22 3 9 2 3 4" xfId="20188" xr:uid="{00000000-0005-0000-0000-0000F64E0000}"/>
    <cellStyle name="Header2 22 3 9 2 4" xfId="20189" xr:uid="{00000000-0005-0000-0000-0000F74E0000}"/>
    <cellStyle name="Header2 22 3 9 2 5" xfId="20190" xr:uid="{00000000-0005-0000-0000-0000F84E0000}"/>
    <cellStyle name="Header2 22 3 9 2 6" xfId="20191" xr:uid="{00000000-0005-0000-0000-0000F94E0000}"/>
    <cellStyle name="Header2 22 3 9 3" xfId="20192" xr:uid="{00000000-0005-0000-0000-0000FA4E0000}"/>
    <cellStyle name="Header2 22 3 9 3 2" xfId="20193" xr:uid="{00000000-0005-0000-0000-0000FB4E0000}"/>
    <cellStyle name="Header2 22 3 9 3 2 2" xfId="20194" xr:uid="{00000000-0005-0000-0000-0000FC4E0000}"/>
    <cellStyle name="Header2 22 3 9 3 2 3" xfId="20195" xr:uid="{00000000-0005-0000-0000-0000FD4E0000}"/>
    <cellStyle name="Header2 22 3 9 3 2 4" xfId="20196" xr:uid="{00000000-0005-0000-0000-0000FE4E0000}"/>
    <cellStyle name="Header2 22 3 9 3 3" xfId="20197" xr:uid="{00000000-0005-0000-0000-0000FF4E0000}"/>
    <cellStyle name="Header2 22 3 9 3 3 2" xfId="20198" xr:uid="{00000000-0005-0000-0000-0000004F0000}"/>
    <cellStyle name="Header2 22 3 9 3 3 3" xfId="20199" xr:uid="{00000000-0005-0000-0000-0000014F0000}"/>
    <cellStyle name="Header2 22 3 9 3 3 4" xfId="20200" xr:uid="{00000000-0005-0000-0000-0000024F0000}"/>
    <cellStyle name="Header2 22 3 9 3 4" xfId="20201" xr:uid="{00000000-0005-0000-0000-0000034F0000}"/>
    <cellStyle name="Header2 22 3 9 3 5" xfId="20202" xr:uid="{00000000-0005-0000-0000-0000044F0000}"/>
    <cellStyle name="Header2 22 3 9 3 6" xfId="20203" xr:uid="{00000000-0005-0000-0000-0000054F0000}"/>
    <cellStyle name="Header2 22 3 9 4" xfId="20204" xr:uid="{00000000-0005-0000-0000-0000064F0000}"/>
    <cellStyle name="Header2 22 3 9 5" xfId="20205" xr:uid="{00000000-0005-0000-0000-0000074F0000}"/>
    <cellStyle name="Header2 23" xfId="20206" xr:uid="{00000000-0005-0000-0000-0000084F0000}"/>
    <cellStyle name="Header2 23 2" xfId="20207" xr:uid="{00000000-0005-0000-0000-0000094F0000}"/>
    <cellStyle name="Header2 23 2 10" xfId="20208" xr:uid="{00000000-0005-0000-0000-00000A4F0000}"/>
    <cellStyle name="Header2 23 2 10 2" xfId="20209" xr:uid="{00000000-0005-0000-0000-00000B4F0000}"/>
    <cellStyle name="Header2 23 2 10 2 2" xfId="20210" xr:uid="{00000000-0005-0000-0000-00000C4F0000}"/>
    <cellStyle name="Header2 23 2 10 2 2 2" xfId="20211" xr:uid="{00000000-0005-0000-0000-00000D4F0000}"/>
    <cellStyle name="Header2 23 2 10 2 2 3" xfId="20212" xr:uid="{00000000-0005-0000-0000-00000E4F0000}"/>
    <cellStyle name="Header2 23 2 10 2 2 4" xfId="20213" xr:uid="{00000000-0005-0000-0000-00000F4F0000}"/>
    <cellStyle name="Header2 23 2 10 2 2 5" xfId="20214" xr:uid="{00000000-0005-0000-0000-0000104F0000}"/>
    <cellStyle name="Header2 23 2 10 2 3" xfId="20215" xr:uid="{00000000-0005-0000-0000-0000114F0000}"/>
    <cellStyle name="Header2 23 2 10 2 3 2" xfId="20216" xr:uid="{00000000-0005-0000-0000-0000124F0000}"/>
    <cellStyle name="Header2 23 2 10 2 3 3" xfId="20217" xr:uid="{00000000-0005-0000-0000-0000134F0000}"/>
    <cellStyle name="Header2 23 2 10 2 3 4" xfId="20218" xr:uid="{00000000-0005-0000-0000-0000144F0000}"/>
    <cellStyle name="Header2 23 2 10 2 4" xfId="20219" xr:uid="{00000000-0005-0000-0000-0000154F0000}"/>
    <cellStyle name="Header2 23 2 10 2 5" xfId="20220" xr:uid="{00000000-0005-0000-0000-0000164F0000}"/>
    <cellStyle name="Header2 23 2 10 2 6" xfId="20221" xr:uid="{00000000-0005-0000-0000-0000174F0000}"/>
    <cellStyle name="Header2 23 2 10 3" xfId="20222" xr:uid="{00000000-0005-0000-0000-0000184F0000}"/>
    <cellStyle name="Header2 23 2 10 3 2" xfId="20223" xr:uid="{00000000-0005-0000-0000-0000194F0000}"/>
    <cellStyle name="Header2 23 2 10 3 2 2" xfId="20224" xr:uid="{00000000-0005-0000-0000-00001A4F0000}"/>
    <cellStyle name="Header2 23 2 10 3 2 3" xfId="20225" xr:uid="{00000000-0005-0000-0000-00001B4F0000}"/>
    <cellStyle name="Header2 23 2 10 3 2 4" xfId="20226" xr:uid="{00000000-0005-0000-0000-00001C4F0000}"/>
    <cellStyle name="Header2 23 2 10 3 3" xfId="20227" xr:uid="{00000000-0005-0000-0000-00001D4F0000}"/>
    <cellStyle name="Header2 23 2 10 3 3 2" xfId="20228" xr:uid="{00000000-0005-0000-0000-00001E4F0000}"/>
    <cellStyle name="Header2 23 2 10 3 3 3" xfId="20229" xr:uid="{00000000-0005-0000-0000-00001F4F0000}"/>
    <cellStyle name="Header2 23 2 10 3 3 4" xfId="20230" xr:uid="{00000000-0005-0000-0000-0000204F0000}"/>
    <cellStyle name="Header2 23 2 10 3 4" xfId="20231" xr:uid="{00000000-0005-0000-0000-0000214F0000}"/>
    <cellStyle name="Header2 23 2 10 3 5" xfId="20232" xr:uid="{00000000-0005-0000-0000-0000224F0000}"/>
    <cellStyle name="Header2 23 2 10 3 6" xfId="20233" xr:uid="{00000000-0005-0000-0000-0000234F0000}"/>
    <cellStyle name="Header2 23 2 10 4" xfId="20234" xr:uid="{00000000-0005-0000-0000-0000244F0000}"/>
    <cellStyle name="Header2 23 2 10 5" xfId="20235" xr:uid="{00000000-0005-0000-0000-0000254F0000}"/>
    <cellStyle name="Header2 23 2 11" xfId="20236" xr:uid="{00000000-0005-0000-0000-0000264F0000}"/>
    <cellStyle name="Header2 23 2 11 2" xfId="20237" xr:uid="{00000000-0005-0000-0000-0000274F0000}"/>
    <cellStyle name="Header2 23 2 11 2 2" xfId="20238" xr:uid="{00000000-0005-0000-0000-0000284F0000}"/>
    <cellStyle name="Header2 23 2 11 2 2 2" xfId="20239" xr:uid="{00000000-0005-0000-0000-0000294F0000}"/>
    <cellStyle name="Header2 23 2 11 2 2 3" xfId="20240" xr:uid="{00000000-0005-0000-0000-00002A4F0000}"/>
    <cellStyle name="Header2 23 2 11 2 2 4" xfId="20241" xr:uid="{00000000-0005-0000-0000-00002B4F0000}"/>
    <cellStyle name="Header2 23 2 11 2 2 5" xfId="20242" xr:uid="{00000000-0005-0000-0000-00002C4F0000}"/>
    <cellStyle name="Header2 23 2 11 2 3" xfId="20243" xr:uid="{00000000-0005-0000-0000-00002D4F0000}"/>
    <cellStyle name="Header2 23 2 11 2 3 2" xfId="20244" xr:uid="{00000000-0005-0000-0000-00002E4F0000}"/>
    <cellStyle name="Header2 23 2 11 2 3 3" xfId="20245" xr:uid="{00000000-0005-0000-0000-00002F4F0000}"/>
    <cellStyle name="Header2 23 2 11 2 3 4" xfId="20246" xr:uid="{00000000-0005-0000-0000-0000304F0000}"/>
    <cellStyle name="Header2 23 2 11 2 4" xfId="20247" xr:uid="{00000000-0005-0000-0000-0000314F0000}"/>
    <cellStyle name="Header2 23 2 11 2 5" xfId="20248" xr:uid="{00000000-0005-0000-0000-0000324F0000}"/>
    <cellStyle name="Header2 23 2 11 2 6" xfId="20249" xr:uid="{00000000-0005-0000-0000-0000334F0000}"/>
    <cellStyle name="Header2 23 2 11 3" xfId="20250" xr:uid="{00000000-0005-0000-0000-0000344F0000}"/>
    <cellStyle name="Header2 23 2 11 3 2" xfId="20251" xr:uid="{00000000-0005-0000-0000-0000354F0000}"/>
    <cellStyle name="Header2 23 2 11 3 2 2" xfId="20252" xr:uid="{00000000-0005-0000-0000-0000364F0000}"/>
    <cellStyle name="Header2 23 2 11 3 2 3" xfId="20253" xr:uid="{00000000-0005-0000-0000-0000374F0000}"/>
    <cellStyle name="Header2 23 2 11 3 2 4" xfId="20254" xr:uid="{00000000-0005-0000-0000-0000384F0000}"/>
    <cellStyle name="Header2 23 2 11 3 3" xfId="20255" xr:uid="{00000000-0005-0000-0000-0000394F0000}"/>
    <cellStyle name="Header2 23 2 11 3 3 2" xfId="20256" xr:uid="{00000000-0005-0000-0000-00003A4F0000}"/>
    <cellStyle name="Header2 23 2 11 3 3 3" xfId="20257" xr:uid="{00000000-0005-0000-0000-00003B4F0000}"/>
    <cellStyle name="Header2 23 2 11 3 3 4" xfId="20258" xr:uid="{00000000-0005-0000-0000-00003C4F0000}"/>
    <cellStyle name="Header2 23 2 11 3 4" xfId="20259" xr:uid="{00000000-0005-0000-0000-00003D4F0000}"/>
    <cellStyle name="Header2 23 2 11 3 5" xfId="20260" xr:uid="{00000000-0005-0000-0000-00003E4F0000}"/>
    <cellStyle name="Header2 23 2 11 3 6" xfId="20261" xr:uid="{00000000-0005-0000-0000-00003F4F0000}"/>
    <cellStyle name="Header2 23 2 11 4" xfId="20262" xr:uid="{00000000-0005-0000-0000-0000404F0000}"/>
    <cellStyle name="Header2 23 2 11 5" xfId="20263" xr:uid="{00000000-0005-0000-0000-0000414F0000}"/>
    <cellStyle name="Header2 23 2 12" xfId="20264" xr:uid="{00000000-0005-0000-0000-0000424F0000}"/>
    <cellStyle name="Header2 23 2 12 2" xfId="20265" xr:uid="{00000000-0005-0000-0000-0000434F0000}"/>
    <cellStyle name="Header2 23 2 12 2 2" xfId="20266" xr:uid="{00000000-0005-0000-0000-0000444F0000}"/>
    <cellStyle name="Header2 23 2 12 2 2 2" xfId="20267" xr:uid="{00000000-0005-0000-0000-0000454F0000}"/>
    <cellStyle name="Header2 23 2 12 2 2 3" xfId="20268" xr:uid="{00000000-0005-0000-0000-0000464F0000}"/>
    <cellStyle name="Header2 23 2 12 2 2 4" xfId="20269" xr:uid="{00000000-0005-0000-0000-0000474F0000}"/>
    <cellStyle name="Header2 23 2 12 2 2 5" xfId="20270" xr:uid="{00000000-0005-0000-0000-0000484F0000}"/>
    <cellStyle name="Header2 23 2 12 2 3" xfId="20271" xr:uid="{00000000-0005-0000-0000-0000494F0000}"/>
    <cellStyle name="Header2 23 2 12 2 3 2" xfId="20272" xr:uid="{00000000-0005-0000-0000-00004A4F0000}"/>
    <cellStyle name="Header2 23 2 12 2 3 3" xfId="20273" xr:uid="{00000000-0005-0000-0000-00004B4F0000}"/>
    <cellStyle name="Header2 23 2 12 2 3 4" xfId="20274" xr:uid="{00000000-0005-0000-0000-00004C4F0000}"/>
    <cellStyle name="Header2 23 2 12 2 4" xfId="20275" xr:uid="{00000000-0005-0000-0000-00004D4F0000}"/>
    <cellStyle name="Header2 23 2 12 2 5" xfId="20276" xr:uid="{00000000-0005-0000-0000-00004E4F0000}"/>
    <cellStyle name="Header2 23 2 12 2 6" xfId="20277" xr:uid="{00000000-0005-0000-0000-00004F4F0000}"/>
    <cellStyle name="Header2 23 2 12 3" xfId="20278" xr:uid="{00000000-0005-0000-0000-0000504F0000}"/>
    <cellStyle name="Header2 23 2 12 3 2" xfId="20279" xr:uid="{00000000-0005-0000-0000-0000514F0000}"/>
    <cellStyle name="Header2 23 2 12 3 2 2" xfId="20280" xr:uid="{00000000-0005-0000-0000-0000524F0000}"/>
    <cellStyle name="Header2 23 2 12 3 2 3" xfId="20281" xr:uid="{00000000-0005-0000-0000-0000534F0000}"/>
    <cellStyle name="Header2 23 2 12 3 2 4" xfId="20282" xr:uid="{00000000-0005-0000-0000-0000544F0000}"/>
    <cellStyle name="Header2 23 2 12 3 3" xfId="20283" xr:uid="{00000000-0005-0000-0000-0000554F0000}"/>
    <cellStyle name="Header2 23 2 12 3 3 2" xfId="20284" xr:uid="{00000000-0005-0000-0000-0000564F0000}"/>
    <cellStyle name="Header2 23 2 12 3 3 3" xfId="20285" xr:uid="{00000000-0005-0000-0000-0000574F0000}"/>
    <cellStyle name="Header2 23 2 12 3 3 4" xfId="20286" xr:uid="{00000000-0005-0000-0000-0000584F0000}"/>
    <cellStyle name="Header2 23 2 12 3 4" xfId="20287" xr:uid="{00000000-0005-0000-0000-0000594F0000}"/>
    <cellStyle name="Header2 23 2 12 3 5" xfId="20288" xr:uid="{00000000-0005-0000-0000-00005A4F0000}"/>
    <cellStyle name="Header2 23 2 12 3 6" xfId="20289" xr:uid="{00000000-0005-0000-0000-00005B4F0000}"/>
    <cellStyle name="Header2 23 2 12 4" xfId="20290" xr:uid="{00000000-0005-0000-0000-00005C4F0000}"/>
    <cellStyle name="Header2 23 2 12 5" xfId="20291" xr:uid="{00000000-0005-0000-0000-00005D4F0000}"/>
    <cellStyle name="Header2 23 2 13" xfId="20292" xr:uid="{00000000-0005-0000-0000-00005E4F0000}"/>
    <cellStyle name="Header2 23 2 13 2" xfId="20293" xr:uid="{00000000-0005-0000-0000-00005F4F0000}"/>
    <cellStyle name="Header2 23 2 13 2 2" xfId="20294" xr:uid="{00000000-0005-0000-0000-0000604F0000}"/>
    <cellStyle name="Header2 23 2 13 2 2 2" xfId="20295" xr:uid="{00000000-0005-0000-0000-0000614F0000}"/>
    <cellStyle name="Header2 23 2 13 2 2 3" xfId="20296" xr:uid="{00000000-0005-0000-0000-0000624F0000}"/>
    <cellStyle name="Header2 23 2 13 2 2 4" xfId="20297" xr:uid="{00000000-0005-0000-0000-0000634F0000}"/>
    <cellStyle name="Header2 23 2 13 2 2 5" xfId="20298" xr:uid="{00000000-0005-0000-0000-0000644F0000}"/>
    <cellStyle name="Header2 23 2 13 2 3" xfId="20299" xr:uid="{00000000-0005-0000-0000-0000654F0000}"/>
    <cellStyle name="Header2 23 2 13 2 3 2" xfId="20300" xr:uid="{00000000-0005-0000-0000-0000664F0000}"/>
    <cellStyle name="Header2 23 2 13 2 3 3" xfId="20301" xr:uid="{00000000-0005-0000-0000-0000674F0000}"/>
    <cellStyle name="Header2 23 2 13 2 3 4" xfId="20302" xr:uid="{00000000-0005-0000-0000-0000684F0000}"/>
    <cellStyle name="Header2 23 2 13 2 4" xfId="20303" xr:uid="{00000000-0005-0000-0000-0000694F0000}"/>
    <cellStyle name="Header2 23 2 13 2 5" xfId="20304" xr:uid="{00000000-0005-0000-0000-00006A4F0000}"/>
    <cellStyle name="Header2 23 2 13 2 6" xfId="20305" xr:uid="{00000000-0005-0000-0000-00006B4F0000}"/>
    <cellStyle name="Header2 23 2 13 3" xfId="20306" xr:uid="{00000000-0005-0000-0000-00006C4F0000}"/>
    <cellStyle name="Header2 23 2 13 3 2" xfId="20307" xr:uid="{00000000-0005-0000-0000-00006D4F0000}"/>
    <cellStyle name="Header2 23 2 13 3 2 2" xfId="20308" xr:uid="{00000000-0005-0000-0000-00006E4F0000}"/>
    <cellStyle name="Header2 23 2 13 3 2 3" xfId="20309" xr:uid="{00000000-0005-0000-0000-00006F4F0000}"/>
    <cellStyle name="Header2 23 2 13 3 2 4" xfId="20310" xr:uid="{00000000-0005-0000-0000-0000704F0000}"/>
    <cellStyle name="Header2 23 2 13 3 3" xfId="20311" xr:uid="{00000000-0005-0000-0000-0000714F0000}"/>
    <cellStyle name="Header2 23 2 13 3 3 2" xfId="20312" xr:uid="{00000000-0005-0000-0000-0000724F0000}"/>
    <cellStyle name="Header2 23 2 13 3 3 3" xfId="20313" xr:uid="{00000000-0005-0000-0000-0000734F0000}"/>
    <cellStyle name="Header2 23 2 13 3 3 4" xfId="20314" xr:uid="{00000000-0005-0000-0000-0000744F0000}"/>
    <cellStyle name="Header2 23 2 13 3 4" xfId="20315" xr:uid="{00000000-0005-0000-0000-0000754F0000}"/>
    <cellStyle name="Header2 23 2 13 3 5" xfId="20316" xr:uid="{00000000-0005-0000-0000-0000764F0000}"/>
    <cellStyle name="Header2 23 2 13 3 6" xfId="20317" xr:uid="{00000000-0005-0000-0000-0000774F0000}"/>
    <cellStyle name="Header2 23 2 13 4" xfId="20318" xr:uid="{00000000-0005-0000-0000-0000784F0000}"/>
    <cellStyle name="Header2 23 2 13 5" xfId="20319" xr:uid="{00000000-0005-0000-0000-0000794F0000}"/>
    <cellStyle name="Header2 23 2 14" xfId="58744" xr:uid="{00000000-0005-0000-0000-00007A4F0000}"/>
    <cellStyle name="Header2 23 2 2" xfId="20320" xr:uid="{00000000-0005-0000-0000-00007B4F0000}"/>
    <cellStyle name="Header2 23 2 2 2" xfId="20321" xr:uid="{00000000-0005-0000-0000-00007C4F0000}"/>
    <cellStyle name="Header2 23 2 2 2 2" xfId="20322" xr:uid="{00000000-0005-0000-0000-00007D4F0000}"/>
    <cellStyle name="Header2 23 2 2 2 2 2" xfId="20323" xr:uid="{00000000-0005-0000-0000-00007E4F0000}"/>
    <cellStyle name="Header2 23 2 2 2 2 2 2" xfId="20324" xr:uid="{00000000-0005-0000-0000-00007F4F0000}"/>
    <cellStyle name="Header2 23 2 2 2 2 2 3" xfId="20325" xr:uid="{00000000-0005-0000-0000-0000804F0000}"/>
    <cellStyle name="Header2 23 2 2 2 2 2 4" xfId="20326" xr:uid="{00000000-0005-0000-0000-0000814F0000}"/>
    <cellStyle name="Header2 23 2 2 2 2 2 5" xfId="20327" xr:uid="{00000000-0005-0000-0000-0000824F0000}"/>
    <cellStyle name="Header2 23 2 2 2 2 3" xfId="20328" xr:uid="{00000000-0005-0000-0000-0000834F0000}"/>
    <cellStyle name="Header2 23 2 2 2 2 3 2" xfId="20329" xr:uid="{00000000-0005-0000-0000-0000844F0000}"/>
    <cellStyle name="Header2 23 2 2 2 2 3 3" xfId="20330" xr:uid="{00000000-0005-0000-0000-0000854F0000}"/>
    <cellStyle name="Header2 23 2 2 2 2 3 4" xfId="20331" xr:uid="{00000000-0005-0000-0000-0000864F0000}"/>
    <cellStyle name="Header2 23 2 2 2 2 4" xfId="20332" xr:uid="{00000000-0005-0000-0000-0000874F0000}"/>
    <cellStyle name="Header2 23 2 2 2 2 5" xfId="20333" xr:uid="{00000000-0005-0000-0000-0000884F0000}"/>
    <cellStyle name="Header2 23 2 2 2 2 6" xfId="20334" xr:uid="{00000000-0005-0000-0000-0000894F0000}"/>
    <cellStyle name="Header2 23 2 2 2 3" xfId="20335" xr:uid="{00000000-0005-0000-0000-00008A4F0000}"/>
    <cellStyle name="Header2 23 2 2 2 3 2" xfId="20336" xr:uid="{00000000-0005-0000-0000-00008B4F0000}"/>
    <cellStyle name="Header2 23 2 2 2 3 2 2" xfId="20337" xr:uid="{00000000-0005-0000-0000-00008C4F0000}"/>
    <cellStyle name="Header2 23 2 2 2 3 2 3" xfId="20338" xr:uid="{00000000-0005-0000-0000-00008D4F0000}"/>
    <cellStyle name="Header2 23 2 2 2 3 2 4" xfId="20339" xr:uid="{00000000-0005-0000-0000-00008E4F0000}"/>
    <cellStyle name="Header2 23 2 2 2 3 3" xfId="20340" xr:uid="{00000000-0005-0000-0000-00008F4F0000}"/>
    <cellStyle name="Header2 23 2 2 2 3 3 2" xfId="20341" xr:uid="{00000000-0005-0000-0000-0000904F0000}"/>
    <cellStyle name="Header2 23 2 2 2 3 3 3" xfId="20342" xr:uid="{00000000-0005-0000-0000-0000914F0000}"/>
    <cellStyle name="Header2 23 2 2 2 3 3 4" xfId="20343" xr:uid="{00000000-0005-0000-0000-0000924F0000}"/>
    <cellStyle name="Header2 23 2 2 2 3 4" xfId="20344" xr:uid="{00000000-0005-0000-0000-0000934F0000}"/>
    <cellStyle name="Header2 23 2 2 2 3 5" xfId="20345" xr:uid="{00000000-0005-0000-0000-0000944F0000}"/>
    <cellStyle name="Header2 23 2 2 2 3 6" xfId="20346" xr:uid="{00000000-0005-0000-0000-0000954F0000}"/>
    <cellStyle name="Header2 23 2 2 2 4" xfId="20347" xr:uid="{00000000-0005-0000-0000-0000964F0000}"/>
    <cellStyle name="Header2 23 2 2 2 5" xfId="20348" xr:uid="{00000000-0005-0000-0000-0000974F0000}"/>
    <cellStyle name="Header2 23 2 2 3" xfId="20349" xr:uid="{00000000-0005-0000-0000-0000984F0000}"/>
    <cellStyle name="Header2 23 2 2 3 2" xfId="20350" xr:uid="{00000000-0005-0000-0000-0000994F0000}"/>
    <cellStyle name="Header2 23 2 2 3 2 2" xfId="20351" xr:uid="{00000000-0005-0000-0000-00009A4F0000}"/>
    <cellStyle name="Header2 23 2 2 3 2 2 2" xfId="20352" xr:uid="{00000000-0005-0000-0000-00009B4F0000}"/>
    <cellStyle name="Header2 23 2 2 3 2 2 3" xfId="20353" xr:uid="{00000000-0005-0000-0000-00009C4F0000}"/>
    <cellStyle name="Header2 23 2 2 3 2 2 4" xfId="20354" xr:uid="{00000000-0005-0000-0000-00009D4F0000}"/>
    <cellStyle name="Header2 23 2 2 3 2 2 5" xfId="20355" xr:uid="{00000000-0005-0000-0000-00009E4F0000}"/>
    <cellStyle name="Header2 23 2 2 3 2 3" xfId="20356" xr:uid="{00000000-0005-0000-0000-00009F4F0000}"/>
    <cellStyle name="Header2 23 2 2 3 2 3 2" xfId="20357" xr:uid="{00000000-0005-0000-0000-0000A04F0000}"/>
    <cellStyle name="Header2 23 2 2 3 2 3 3" xfId="20358" xr:uid="{00000000-0005-0000-0000-0000A14F0000}"/>
    <cellStyle name="Header2 23 2 2 3 2 3 4" xfId="20359" xr:uid="{00000000-0005-0000-0000-0000A24F0000}"/>
    <cellStyle name="Header2 23 2 2 3 2 4" xfId="20360" xr:uid="{00000000-0005-0000-0000-0000A34F0000}"/>
    <cellStyle name="Header2 23 2 2 3 2 5" xfId="20361" xr:uid="{00000000-0005-0000-0000-0000A44F0000}"/>
    <cellStyle name="Header2 23 2 2 3 2 6" xfId="20362" xr:uid="{00000000-0005-0000-0000-0000A54F0000}"/>
    <cellStyle name="Header2 23 2 2 3 3" xfId="20363" xr:uid="{00000000-0005-0000-0000-0000A64F0000}"/>
    <cellStyle name="Header2 23 2 2 3 3 2" xfId="20364" xr:uid="{00000000-0005-0000-0000-0000A74F0000}"/>
    <cellStyle name="Header2 23 2 2 3 3 2 2" xfId="20365" xr:uid="{00000000-0005-0000-0000-0000A84F0000}"/>
    <cellStyle name="Header2 23 2 2 3 3 2 3" xfId="20366" xr:uid="{00000000-0005-0000-0000-0000A94F0000}"/>
    <cellStyle name="Header2 23 2 2 3 3 2 4" xfId="20367" xr:uid="{00000000-0005-0000-0000-0000AA4F0000}"/>
    <cellStyle name="Header2 23 2 2 3 3 3" xfId="20368" xr:uid="{00000000-0005-0000-0000-0000AB4F0000}"/>
    <cellStyle name="Header2 23 2 2 3 3 3 2" xfId="20369" xr:uid="{00000000-0005-0000-0000-0000AC4F0000}"/>
    <cellStyle name="Header2 23 2 2 3 3 3 3" xfId="20370" xr:uid="{00000000-0005-0000-0000-0000AD4F0000}"/>
    <cellStyle name="Header2 23 2 2 3 3 3 4" xfId="20371" xr:uid="{00000000-0005-0000-0000-0000AE4F0000}"/>
    <cellStyle name="Header2 23 2 2 3 3 4" xfId="20372" xr:uid="{00000000-0005-0000-0000-0000AF4F0000}"/>
    <cellStyle name="Header2 23 2 2 3 3 5" xfId="20373" xr:uid="{00000000-0005-0000-0000-0000B04F0000}"/>
    <cellStyle name="Header2 23 2 2 3 3 6" xfId="20374" xr:uid="{00000000-0005-0000-0000-0000B14F0000}"/>
    <cellStyle name="Header2 23 2 2 3 4" xfId="20375" xr:uid="{00000000-0005-0000-0000-0000B24F0000}"/>
    <cellStyle name="Header2 23 2 2 3 5" xfId="20376" xr:uid="{00000000-0005-0000-0000-0000B34F0000}"/>
    <cellStyle name="Header2 23 2 3" xfId="20377" xr:uid="{00000000-0005-0000-0000-0000B44F0000}"/>
    <cellStyle name="Header2 23 2 3 2" xfId="20378" xr:uid="{00000000-0005-0000-0000-0000B54F0000}"/>
    <cellStyle name="Header2 23 2 3 2 2" xfId="20379" xr:uid="{00000000-0005-0000-0000-0000B64F0000}"/>
    <cellStyle name="Header2 23 2 3 2 3" xfId="20380" xr:uid="{00000000-0005-0000-0000-0000B74F0000}"/>
    <cellStyle name="Header2 23 2 3 3" xfId="20381" xr:uid="{00000000-0005-0000-0000-0000B84F0000}"/>
    <cellStyle name="Header2 23 2 4" xfId="20382" xr:uid="{00000000-0005-0000-0000-0000B94F0000}"/>
    <cellStyle name="Header2 23 2 4 2" xfId="20383" xr:uid="{00000000-0005-0000-0000-0000BA4F0000}"/>
    <cellStyle name="Header2 23 2 4 2 2" xfId="20384" xr:uid="{00000000-0005-0000-0000-0000BB4F0000}"/>
    <cellStyle name="Header2 23 2 4 2 3" xfId="20385" xr:uid="{00000000-0005-0000-0000-0000BC4F0000}"/>
    <cellStyle name="Header2 23 2 4 3" xfId="20386" xr:uid="{00000000-0005-0000-0000-0000BD4F0000}"/>
    <cellStyle name="Header2 23 2 5" xfId="20387" xr:uid="{00000000-0005-0000-0000-0000BE4F0000}"/>
    <cellStyle name="Header2 23 2 5 2" xfId="20388" xr:uid="{00000000-0005-0000-0000-0000BF4F0000}"/>
    <cellStyle name="Header2 23 2 5 2 2" xfId="20389" xr:uid="{00000000-0005-0000-0000-0000C04F0000}"/>
    <cellStyle name="Header2 23 2 5 2 3" xfId="20390" xr:uid="{00000000-0005-0000-0000-0000C14F0000}"/>
    <cellStyle name="Header2 23 2 5 3" xfId="20391" xr:uid="{00000000-0005-0000-0000-0000C24F0000}"/>
    <cellStyle name="Header2 23 2 6" xfId="20392" xr:uid="{00000000-0005-0000-0000-0000C34F0000}"/>
    <cellStyle name="Header2 23 2 6 2" xfId="20393" xr:uid="{00000000-0005-0000-0000-0000C44F0000}"/>
    <cellStyle name="Header2 23 2 6 2 2" xfId="20394" xr:uid="{00000000-0005-0000-0000-0000C54F0000}"/>
    <cellStyle name="Header2 23 2 6 2 2 2" xfId="20395" xr:uid="{00000000-0005-0000-0000-0000C64F0000}"/>
    <cellStyle name="Header2 23 2 6 2 2 3" xfId="20396" xr:uid="{00000000-0005-0000-0000-0000C74F0000}"/>
    <cellStyle name="Header2 23 2 6 2 2 4" xfId="20397" xr:uid="{00000000-0005-0000-0000-0000C84F0000}"/>
    <cellStyle name="Header2 23 2 6 2 2 5" xfId="20398" xr:uid="{00000000-0005-0000-0000-0000C94F0000}"/>
    <cellStyle name="Header2 23 2 6 2 3" xfId="20399" xr:uid="{00000000-0005-0000-0000-0000CA4F0000}"/>
    <cellStyle name="Header2 23 2 6 2 3 2" xfId="20400" xr:uid="{00000000-0005-0000-0000-0000CB4F0000}"/>
    <cellStyle name="Header2 23 2 6 2 3 3" xfId="20401" xr:uid="{00000000-0005-0000-0000-0000CC4F0000}"/>
    <cellStyle name="Header2 23 2 6 2 3 4" xfId="20402" xr:uid="{00000000-0005-0000-0000-0000CD4F0000}"/>
    <cellStyle name="Header2 23 2 6 2 4" xfId="20403" xr:uid="{00000000-0005-0000-0000-0000CE4F0000}"/>
    <cellStyle name="Header2 23 2 6 2 5" xfId="20404" xr:uid="{00000000-0005-0000-0000-0000CF4F0000}"/>
    <cellStyle name="Header2 23 2 6 2 6" xfId="20405" xr:uid="{00000000-0005-0000-0000-0000D04F0000}"/>
    <cellStyle name="Header2 23 2 6 3" xfId="20406" xr:uid="{00000000-0005-0000-0000-0000D14F0000}"/>
    <cellStyle name="Header2 23 2 6 3 2" xfId="20407" xr:uid="{00000000-0005-0000-0000-0000D24F0000}"/>
    <cellStyle name="Header2 23 2 6 3 2 2" xfId="20408" xr:uid="{00000000-0005-0000-0000-0000D34F0000}"/>
    <cellStyle name="Header2 23 2 6 3 2 3" xfId="20409" xr:uid="{00000000-0005-0000-0000-0000D44F0000}"/>
    <cellStyle name="Header2 23 2 6 3 2 4" xfId="20410" xr:uid="{00000000-0005-0000-0000-0000D54F0000}"/>
    <cellStyle name="Header2 23 2 6 3 3" xfId="20411" xr:uid="{00000000-0005-0000-0000-0000D64F0000}"/>
    <cellStyle name="Header2 23 2 6 3 3 2" xfId="20412" xr:uid="{00000000-0005-0000-0000-0000D74F0000}"/>
    <cellStyle name="Header2 23 2 6 3 3 3" xfId="20413" xr:uid="{00000000-0005-0000-0000-0000D84F0000}"/>
    <cellStyle name="Header2 23 2 6 3 3 4" xfId="20414" xr:uid="{00000000-0005-0000-0000-0000D94F0000}"/>
    <cellStyle name="Header2 23 2 6 3 4" xfId="20415" xr:uid="{00000000-0005-0000-0000-0000DA4F0000}"/>
    <cellStyle name="Header2 23 2 6 3 5" xfId="20416" xr:uid="{00000000-0005-0000-0000-0000DB4F0000}"/>
    <cellStyle name="Header2 23 2 6 3 6" xfId="20417" xr:uid="{00000000-0005-0000-0000-0000DC4F0000}"/>
    <cellStyle name="Header2 23 2 6 4" xfId="20418" xr:uid="{00000000-0005-0000-0000-0000DD4F0000}"/>
    <cellStyle name="Header2 23 2 6 5" xfId="20419" xr:uid="{00000000-0005-0000-0000-0000DE4F0000}"/>
    <cellStyle name="Header2 23 2 7" xfId="20420" xr:uid="{00000000-0005-0000-0000-0000DF4F0000}"/>
    <cellStyle name="Header2 23 2 7 2" xfId="20421" xr:uid="{00000000-0005-0000-0000-0000E04F0000}"/>
    <cellStyle name="Header2 23 2 7 2 2" xfId="20422" xr:uid="{00000000-0005-0000-0000-0000E14F0000}"/>
    <cellStyle name="Header2 23 2 7 2 2 2" xfId="20423" xr:uid="{00000000-0005-0000-0000-0000E24F0000}"/>
    <cellStyle name="Header2 23 2 7 2 2 3" xfId="20424" xr:uid="{00000000-0005-0000-0000-0000E34F0000}"/>
    <cellStyle name="Header2 23 2 7 2 2 4" xfId="20425" xr:uid="{00000000-0005-0000-0000-0000E44F0000}"/>
    <cellStyle name="Header2 23 2 7 2 2 5" xfId="20426" xr:uid="{00000000-0005-0000-0000-0000E54F0000}"/>
    <cellStyle name="Header2 23 2 7 2 3" xfId="20427" xr:uid="{00000000-0005-0000-0000-0000E64F0000}"/>
    <cellStyle name="Header2 23 2 7 2 3 2" xfId="20428" xr:uid="{00000000-0005-0000-0000-0000E74F0000}"/>
    <cellStyle name="Header2 23 2 7 2 3 3" xfId="20429" xr:uid="{00000000-0005-0000-0000-0000E84F0000}"/>
    <cellStyle name="Header2 23 2 7 2 3 4" xfId="20430" xr:uid="{00000000-0005-0000-0000-0000E94F0000}"/>
    <cellStyle name="Header2 23 2 7 2 4" xfId="20431" xr:uid="{00000000-0005-0000-0000-0000EA4F0000}"/>
    <cellStyle name="Header2 23 2 7 2 5" xfId="20432" xr:uid="{00000000-0005-0000-0000-0000EB4F0000}"/>
    <cellStyle name="Header2 23 2 7 2 6" xfId="20433" xr:uid="{00000000-0005-0000-0000-0000EC4F0000}"/>
    <cellStyle name="Header2 23 2 7 3" xfId="20434" xr:uid="{00000000-0005-0000-0000-0000ED4F0000}"/>
    <cellStyle name="Header2 23 2 7 3 2" xfId="20435" xr:uid="{00000000-0005-0000-0000-0000EE4F0000}"/>
    <cellStyle name="Header2 23 2 7 3 2 2" xfId="20436" xr:uid="{00000000-0005-0000-0000-0000EF4F0000}"/>
    <cellStyle name="Header2 23 2 7 3 2 3" xfId="20437" xr:uid="{00000000-0005-0000-0000-0000F04F0000}"/>
    <cellStyle name="Header2 23 2 7 3 2 4" xfId="20438" xr:uid="{00000000-0005-0000-0000-0000F14F0000}"/>
    <cellStyle name="Header2 23 2 7 3 3" xfId="20439" xr:uid="{00000000-0005-0000-0000-0000F24F0000}"/>
    <cellStyle name="Header2 23 2 7 3 3 2" xfId="20440" xr:uid="{00000000-0005-0000-0000-0000F34F0000}"/>
    <cellStyle name="Header2 23 2 7 3 3 3" xfId="20441" xr:uid="{00000000-0005-0000-0000-0000F44F0000}"/>
    <cellStyle name="Header2 23 2 7 3 3 4" xfId="20442" xr:uid="{00000000-0005-0000-0000-0000F54F0000}"/>
    <cellStyle name="Header2 23 2 7 3 4" xfId="20443" xr:uid="{00000000-0005-0000-0000-0000F64F0000}"/>
    <cellStyle name="Header2 23 2 7 3 5" xfId="20444" xr:uid="{00000000-0005-0000-0000-0000F74F0000}"/>
    <cellStyle name="Header2 23 2 7 3 6" xfId="20445" xr:uid="{00000000-0005-0000-0000-0000F84F0000}"/>
    <cellStyle name="Header2 23 2 7 4" xfId="20446" xr:uid="{00000000-0005-0000-0000-0000F94F0000}"/>
    <cellStyle name="Header2 23 2 7 5" xfId="20447" xr:uid="{00000000-0005-0000-0000-0000FA4F0000}"/>
    <cellStyle name="Header2 23 2 8" xfId="20448" xr:uid="{00000000-0005-0000-0000-0000FB4F0000}"/>
    <cellStyle name="Header2 23 2 8 2" xfId="20449" xr:uid="{00000000-0005-0000-0000-0000FC4F0000}"/>
    <cellStyle name="Header2 23 2 8 2 2" xfId="20450" xr:uid="{00000000-0005-0000-0000-0000FD4F0000}"/>
    <cellStyle name="Header2 23 2 8 2 2 2" xfId="20451" xr:uid="{00000000-0005-0000-0000-0000FE4F0000}"/>
    <cellStyle name="Header2 23 2 8 2 2 3" xfId="20452" xr:uid="{00000000-0005-0000-0000-0000FF4F0000}"/>
    <cellStyle name="Header2 23 2 8 2 2 4" xfId="20453" xr:uid="{00000000-0005-0000-0000-000000500000}"/>
    <cellStyle name="Header2 23 2 8 2 2 5" xfId="20454" xr:uid="{00000000-0005-0000-0000-000001500000}"/>
    <cellStyle name="Header2 23 2 8 2 3" xfId="20455" xr:uid="{00000000-0005-0000-0000-000002500000}"/>
    <cellStyle name="Header2 23 2 8 2 3 2" xfId="20456" xr:uid="{00000000-0005-0000-0000-000003500000}"/>
    <cellStyle name="Header2 23 2 8 2 3 3" xfId="20457" xr:uid="{00000000-0005-0000-0000-000004500000}"/>
    <cellStyle name="Header2 23 2 8 2 3 4" xfId="20458" xr:uid="{00000000-0005-0000-0000-000005500000}"/>
    <cellStyle name="Header2 23 2 8 2 4" xfId="20459" xr:uid="{00000000-0005-0000-0000-000006500000}"/>
    <cellStyle name="Header2 23 2 8 2 5" xfId="20460" xr:uid="{00000000-0005-0000-0000-000007500000}"/>
    <cellStyle name="Header2 23 2 8 2 6" xfId="20461" xr:uid="{00000000-0005-0000-0000-000008500000}"/>
    <cellStyle name="Header2 23 2 8 3" xfId="20462" xr:uid="{00000000-0005-0000-0000-000009500000}"/>
    <cellStyle name="Header2 23 2 8 3 2" xfId="20463" xr:uid="{00000000-0005-0000-0000-00000A500000}"/>
    <cellStyle name="Header2 23 2 8 3 2 2" xfId="20464" xr:uid="{00000000-0005-0000-0000-00000B500000}"/>
    <cellStyle name="Header2 23 2 8 3 2 3" xfId="20465" xr:uid="{00000000-0005-0000-0000-00000C500000}"/>
    <cellStyle name="Header2 23 2 8 3 2 4" xfId="20466" xr:uid="{00000000-0005-0000-0000-00000D500000}"/>
    <cellStyle name="Header2 23 2 8 3 3" xfId="20467" xr:uid="{00000000-0005-0000-0000-00000E500000}"/>
    <cellStyle name="Header2 23 2 8 3 3 2" xfId="20468" xr:uid="{00000000-0005-0000-0000-00000F500000}"/>
    <cellStyle name="Header2 23 2 8 3 3 3" xfId="20469" xr:uid="{00000000-0005-0000-0000-000010500000}"/>
    <cellStyle name="Header2 23 2 8 3 3 4" xfId="20470" xr:uid="{00000000-0005-0000-0000-000011500000}"/>
    <cellStyle name="Header2 23 2 8 3 4" xfId="20471" xr:uid="{00000000-0005-0000-0000-000012500000}"/>
    <cellStyle name="Header2 23 2 8 3 5" xfId="20472" xr:uid="{00000000-0005-0000-0000-000013500000}"/>
    <cellStyle name="Header2 23 2 8 3 6" xfId="20473" xr:uid="{00000000-0005-0000-0000-000014500000}"/>
    <cellStyle name="Header2 23 2 8 4" xfId="20474" xr:uid="{00000000-0005-0000-0000-000015500000}"/>
    <cellStyle name="Header2 23 2 8 5" xfId="20475" xr:uid="{00000000-0005-0000-0000-000016500000}"/>
    <cellStyle name="Header2 23 2 9" xfId="20476" xr:uid="{00000000-0005-0000-0000-000017500000}"/>
    <cellStyle name="Header2 23 2 9 2" xfId="20477" xr:uid="{00000000-0005-0000-0000-000018500000}"/>
    <cellStyle name="Header2 23 2 9 2 2" xfId="20478" xr:uid="{00000000-0005-0000-0000-000019500000}"/>
    <cellStyle name="Header2 23 2 9 2 2 2" xfId="20479" xr:uid="{00000000-0005-0000-0000-00001A500000}"/>
    <cellStyle name="Header2 23 2 9 2 2 3" xfId="20480" xr:uid="{00000000-0005-0000-0000-00001B500000}"/>
    <cellStyle name="Header2 23 2 9 2 2 4" xfId="20481" xr:uid="{00000000-0005-0000-0000-00001C500000}"/>
    <cellStyle name="Header2 23 2 9 2 2 5" xfId="20482" xr:uid="{00000000-0005-0000-0000-00001D500000}"/>
    <cellStyle name="Header2 23 2 9 2 3" xfId="20483" xr:uid="{00000000-0005-0000-0000-00001E500000}"/>
    <cellStyle name="Header2 23 2 9 2 3 2" xfId="20484" xr:uid="{00000000-0005-0000-0000-00001F500000}"/>
    <cellStyle name="Header2 23 2 9 2 3 3" xfId="20485" xr:uid="{00000000-0005-0000-0000-000020500000}"/>
    <cellStyle name="Header2 23 2 9 2 3 4" xfId="20486" xr:uid="{00000000-0005-0000-0000-000021500000}"/>
    <cellStyle name="Header2 23 2 9 2 4" xfId="20487" xr:uid="{00000000-0005-0000-0000-000022500000}"/>
    <cellStyle name="Header2 23 2 9 2 5" xfId="20488" xr:uid="{00000000-0005-0000-0000-000023500000}"/>
    <cellStyle name="Header2 23 2 9 2 6" xfId="20489" xr:uid="{00000000-0005-0000-0000-000024500000}"/>
    <cellStyle name="Header2 23 2 9 3" xfId="20490" xr:uid="{00000000-0005-0000-0000-000025500000}"/>
    <cellStyle name="Header2 23 2 9 3 2" xfId="20491" xr:uid="{00000000-0005-0000-0000-000026500000}"/>
    <cellStyle name="Header2 23 2 9 3 2 2" xfId="20492" xr:uid="{00000000-0005-0000-0000-000027500000}"/>
    <cellStyle name="Header2 23 2 9 3 2 3" xfId="20493" xr:uid="{00000000-0005-0000-0000-000028500000}"/>
    <cellStyle name="Header2 23 2 9 3 2 4" xfId="20494" xr:uid="{00000000-0005-0000-0000-000029500000}"/>
    <cellStyle name="Header2 23 2 9 3 3" xfId="20495" xr:uid="{00000000-0005-0000-0000-00002A500000}"/>
    <cellStyle name="Header2 23 2 9 3 3 2" xfId="20496" xr:uid="{00000000-0005-0000-0000-00002B500000}"/>
    <cellStyle name="Header2 23 2 9 3 3 3" xfId="20497" xr:uid="{00000000-0005-0000-0000-00002C500000}"/>
    <cellStyle name="Header2 23 2 9 3 3 4" xfId="20498" xr:uid="{00000000-0005-0000-0000-00002D500000}"/>
    <cellStyle name="Header2 23 2 9 3 4" xfId="20499" xr:uid="{00000000-0005-0000-0000-00002E500000}"/>
    <cellStyle name="Header2 23 2 9 3 5" xfId="20500" xr:uid="{00000000-0005-0000-0000-00002F500000}"/>
    <cellStyle name="Header2 23 2 9 3 6" xfId="20501" xr:uid="{00000000-0005-0000-0000-000030500000}"/>
    <cellStyle name="Header2 23 2 9 4" xfId="20502" xr:uid="{00000000-0005-0000-0000-000031500000}"/>
    <cellStyle name="Header2 23 2 9 5" xfId="20503" xr:uid="{00000000-0005-0000-0000-000032500000}"/>
    <cellStyle name="Header2 23 3" xfId="20504" xr:uid="{00000000-0005-0000-0000-000033500000}"/>
    <cellStyle name="Header2 23 3 10" xfId="20505" xr:uid="{00000000-0005-0000-0000-000034500000}"/>
    <cellStyle name="Header2 23 3 10 2" xfId="20506" xr:uid="{00000000-0005-0000-0000-000035500000}"/>
    <cellStyle name="Header2 23 3 10 2 2" xfId="20507" xr:uid="{00000000-0005-0000-0000-000036500000}"/>
    <cellStyle name="Header2 23 3 10 2 2 2" xfId="20508" xr:uid="{00000000-0005-0000-0000-000037500000}"/>
    <cellStyle name="Header2 23 3 10 2 2 3" xfId="20509" xr:uid="{00000000-0005-0000-0000-000038500000}"/>
    <cellStyle name="Header2 23 3 10 2 2 4" xfId="20510" xr:uid="{00000000-0005-0000-0000-000039500000}"/>
    <cellStyle name="Header2 23 3 10 2 2 5" xfId="20511" xr:uid="{00000000-0005-0000-0000-00003A500000}"/>
    <cellStyle name="Header2 23 3 10 2 3" xfId="20512" xr:uid="{00000000-0005-0000-0000-00003B500000}"/>
    <cellStyle name="Header2 23 3 10 2 3 2" xfId="20513" xr:uid="{00000000-0005-0000-0000-00003C500000}"/>
    <cellStyle name="Header2 23 3 10 2 3 3" xfId="20514" xr:uid="{00000000-0005-0000-0000-00003D500000}"/>
    <cellStyle name="Header2 23 3 10 2 3 4" xfId="20515" xr:uid="{00000000-0005-0000-0000-00003E500000}"/>
    <cellStyle name="Header2 23 3 10 2 4" xfId="20516" xr:uid="{00000000-0005-0000-0000-00003F500000}"/>
    <cellStyle name="Header2 23 3 10 2 5" xfId="20517" xr:uid="{00000000-0005-0000-0000-000040500000}"/>
    <cellStyle name="Header2 23 3 10 2 6" xfId="20518" xr:uid="{00000000-0005-0000-0000-000041500000}"/>
    <cellStyle name="Header2 23 3 10 3" xfId="20519" xr:uid="{00000000-0005-0000-0000-000042500000}"/>
    <cellStyle name="Header2 23 3 10 3 2" xfId="20520" xr:uid="{00000000-0005-0000-0000-000043500000}"/>
    <cellStyle name="Header2 23 3 10 3 2 2" xfId="20521" xr:uid="{00000000-0005-0000-0000-000044500000}"/>
    <cellStyle name="Header2 23 3 10 3 2 3" xfId="20522" xr:uid="{00000000-0005-0000-0000-000045500000}"/>
    <cellStyle name="Header2 23 3 10 3 2 4" xfId="20523" xr:uid="{00000000-0005-0000-0000-000046500000}"/>
    <cellStyle name="Header2 23 3 10 3 3" xfId="20524" xr:uid="{00000000-0005-0000-0000-000047500000}"/>
    <cellStyle name="Header2 23 3 10 3 3 2" xfId="20525" xr:uid="{00000000-0005-0000-0000-000048500000}"/>
    <cellStyle name="Header2 23 3 10 3 3 3" xfId="20526" xr:uid="{00000000-0005-0000-0000-000049500000}"/>
    <cellStyle name="Header2 23 3 10 3 3 4" xfId="20527" xr:uid="{00000000-0005-0000-0000-00004A500000}"/>
    <cellStyle name="Header2 23 3 10 3 4" xfId="20528" xr:uid="{00000000-0005-0000-0000-00004B500000}"/>
    <cellStyle name="Header2 23 3 10 3 5" xfId="20529" xr:uid="{00000000-0005-0000-0000-00004C500000}"/>
    <cellStyle name="Header2 23 3 10 3 6" xfId="20530" xr:uid="{00000000-0005-0000-0000-00004D500000}"/>
    <cellStyle name="Header2 23 3 10 4" xfId="20531" xr:uid="{00000000-0005-0000-0000-00004E500000}"/>
    <cellStyle name="Header2 23 3 10 5" xfId="20532" xr:uid="{00000000-0005-0000-0000-00004F500000}"/>
    <cellStyle name="Header2 23 3 11" xfId="20533" xr:uid="{00000000-0005-0000-0000-000050500000}"/>
    <cellStyle name="Header2 23 3 11 2" xfId="20534" xr:uid="{00000000-0005-0000-0000-000051500000}"/>
    <cellStyle name="Header2 23 3 11 2 2" xfId="20535" xr:uid="{00000000-0005-0000-0000-000052500000}"/>
    <cellStyle name="Header2 23 3 11 2 2 2" xfId="20536" xr:uid="{00000000-0005-0000-0000-000053500000}"/>
    <cellStyle name="Header2 23 3 11 2 2 3" xfId="20537" xr:uid="{00000000-0005-0000-0000-000054500000}"/>
    <cellStyle name="Header2 23 3 11 2 2 4" xfId="20538" xr:uid="{00000000-0005-0000-0000-000055500000}"/>
    <cellStyle name="Header2 23 3 11 2 2 5" xfId="20539" xr:uid="{00000000-0005-0000-0000-000056500000}"/>
    <cellStyle name="Header2 23 3 11 2 3" xfId="20540" xr:uid="{00000000-0005-0000-0000-000057500000}"/>
    <cellStyle name="Header2 23 3 11 2 3 2" xfId="20541" xr:uid="{00000000-0005-0000-0000-000058500000}"/>
    <cellStyle name="Header2 23 3 11 2 3 3" xfId="20542" xr:uid="{00000000-0005-0000-0000-000059500000}"/>
    <cellStyle name="Header2 23 3 11 2 3 4" xfId="20543" xr:uid="{00000000-0005-0000-0000-00005A500000}"/>
    <cellStyle name="Header2 23 3 11 2 4" xfId="20544" xr:uid="{00000000-0005-0000-0000-00005B500000}"/>
    <cellStyle name="Header2 23 3 11 2 5" xfId="20545" xr:uid="{00000000-0005-0000-0000-00005C500000}"/>
    <cellStyle name="Header2 23 3 11 2 6" xfId="20546" xr:uid="{00000000-0005-0000-0000-00005D500000}"/>
    <cellStyle name="Header2 23 3 11 3" xfId="20547" xr:uid="{00000000-0005-0000-0000-00005E500000}"/>
    <cellStyle name="Header2 23 3 11 3 2" xfId="20548" xr:uid="{00000000-0005-0000-0000-00005F500000}"/>
    <cellStyle name="Header2 23 3 11 3 2 2" xfId="20549" xr:uid="{00000000-0005-0000-0000-000060500000}"/>
    <cellStyle name="Header2 23 3 11 3 2 3" xfId="20550" xr:uid="{00000000-0005-0000-0000-000061500000}"/>
    <cellStyle name="Header2 23 3 11 3 2 4" xfId="20551" xr:uid="{00000000-0005-0000-0000-000062500000}"/>
    <cellStyle name="Header2 23 3 11 3 3" xfId="20552" xr:uid="{00000000-0005-0000-0000-000063500000}"/>
    <cellStyle name="Header2 23 3 11 3 3 2" xfId="20553" xr:uid="{00000000-0005-0000-0000-000064500000}"/>
    <cellStyle name="Header2 23 3 11 3 3 3" xfId="20554" xr:uid="{00000000-0005-0000-0000-000065500000}"/>
    <cellStyle name="Header2 23 3 11 3 3 4" xfId="20555" xr:uid="{00000000-0005-0000-0000-000066500000}"/>
    <cellStyle name="Header2 23 3 11 3 4" xfId="20556" xr:uid="{00000000-0005-0000-0000-000067500000}"/>
    <cellStyle name="Header2 23 3 11 3 5" xfId="20557" xr:uid="{00000000-0005-0000-0000-000068500000}"/>
    <cellStyle name="Header2 23 3 11 3 6" xfId="20558" xr:uid="{00000000-0005-0000-0000-000069500000}"/>
    <cellStyle name="Header2 23 3 11 4" xfId="20559" xr:uid="{00000000-0005-0000-0000-00006A500000}"/>
    <cellStyle name="Header2 23 3 11 5" xfId="20560" xr:uid="{00000000-0005-0000-0000-00006B500000}"/>
    <cellStyle name="Header2 23 3 12" xfId="20561" xr:uid="{00000000-0005-0000-0000-00006C500000}"/>
    <cellStyle name="Header2 23 3 12 2" xfId="20562" xr:uid="{00000000-0005-0000-0000-00006D500000}"/>
    <cellStyle name="Header2 23 3 12 2 2" xfId="20563" xr:uid="{00000000-0005-0000-0000-00006E500000}"/>
    <cellStyle name="Header2 23 3 12 2 2 2" xfId="20564" xr:uid="{00000000-0005-0000-0000-00006F500000}"/>
    <cellStyle name="Header2 23 3 12 2 2 3" xfId="20565" xr:uid="{00000000-0005-0000-0000-000070500000}"/>
    <cellStyle name="Header2 23 3 12 2 2 4" xfId="20566" xr:uid="{00000000-0005-0000-0000-000071500000}"/>
    <cellStyle name="Header2 23 3 12 2 2 5" xfId="20567" xr:uid="{00000000-0005-0000-0000-000072500000}"/>
    <cellStyle name="Header2 23 3 12 2 3" xfId="20568" xr:uid="{00000000-0005-0000-0000-000073500000}"/>
    <cellStyle name="Header2 23 3 12 2 3 2" xfId="20569" xr:uid="{00000000-0005-0000-0000-000074500000}"/>
    <cellStyle name="Header2 23 3 12 2 3 3" xfId="20570" xr:uid="{00000000-0005-0000-0000-000075500000}"/>
    <cellStyle name="Header2 23 3 12 2 3 4" xfId="20571" xr:uid="{00000000-0005-0000-0000-000076500000}"/>
    <cellStyle name="Header2 23 3 12 2 4" xfId="20572" xr:uid="{00000000-0005-0000-0000-000077500000}"/>
    <cellStyle name="Header2 23 3 12 2 5" xfId="20573" xr:uid="{00000000-0005-0000-0000-000078500000}"/>
    <cellStyle name="Header2 23 3 12 2 6" xfId="20574" xr:uid="{00000000-0005-0000-0000-000079500000}"/>
    <cellStyle name="Header2 23 3 12 3" xfId="20575" xr:uid="{00000000-0005-0000-0000-00007A500000}"/>
    <cellStyle name="Header2 23 3 12 3 2" xfId="20576" xr:uid="{00000000-0005-0000-0000-00007B500000}"/>
    <cellStyle name="Header2 23 3 12 3 2 2" xfId="20577" xr:uid="{00000000-0005-0000-0000-00007C500000}"/>
    <cellStyle name="Header2 23 3 12 3 2 3" xfId="20578" xr:uid="{00000000-0005-0000-0000-00007D500000}"/>
    <cellStyle name="Header2 23 3 12 3 2 4" xfId="20579" xr:uid="{00000000-0005-0000-0000-00007E500000}"/>
    <cellStyle name="Header2 23 3 12 3 3" xfId="20580" xr:uid="{00000000-0005-0000-0000-00007F500000}"/>
    <cellStyle name="Header2 23 3 12 3 3 2" xfId="20581" xr:uid="{00000000-0005-0000-0000-000080500000}"/>
    <cellStyle name="Header2 23 3 12 3 3 3" xfId="20582" xr:uid="{00000000-0005-0000-0000-000081500000}"/>
    <cellStyle name="Header2 23 3 12 3 3 4" xfId="20583" xr:uid="{00000000-0005-0000-0000-000082500000}"/>
    <cellStyle name="Header2 23 3 12 3 4" xfId="20584" xr:uid="{00000000-0005-0000-0000-000083500000}"/>
    <cellStyle name="Header2 23 3 12 3 5" xfId="20585" xr:uid="{00000000-0005-0000-0000-000084500000}"/>
    <cellStyle name="Header2 23 3 12 3 6" xfId="20586" xr:uid="{00000000-0005-0000-0000-000085500000}"/>
    <cellStyle name="Header2 23 3 12 4" xfId="20587" xr:uid="{00000000-0005-0000-0000-000086500000}"/>
    <cellStyle name="Header2 23 3 12 5" xfId="20588" xr:uid="{00000000-0005-0000-0000-000087500000}"/>
    <cellStyle name="Header2 23 3 13" xfId="58745" xr:uid="{00000000-0005-0000-0000-000088500000}"/>
    <cellStyle name="Header2 23 3 2" xfId="20589" xr:uid="{00000000-0005-0000-0000-000089500000}"/>
    <cellStyle name="Header2 23 3 2 2" xfId="20590" xr:uid="{00000000-0005-0000-0000-00008A500000}"/>
    <cellStyle name="Header2 23 3 2 2 2" xfId="20591" xr:uid="{00000000-0005-0000-0000-00008B500000}"/>
    <cellStyle name="Header2 23 3 2 2 3" xfId="20592" xr:uid="{00000000-0005-0000-0000-00008C500000}"/>
    <cellStyle name="Header2 23 3 2 3" xfId="20593" xr:uid="{00000000-0005-0000-0000-00008D500000}"/>
    <cellStyle name="Header2 23 3 3" xfId="20594" xr:uid="{00000000-0005-0000-0000-00008E500000}"/>
    <cellStyle name="Header2 23 3 3 2" xfId="20595" xr:uid="{00000000-0005-0000-0000-00008F500000}"/>
    <cellStyle name="Header2 23 3 3 2 2" xfId="20596" xr:uid="{00000000-0005-0000-0000-000090500000}"/>
    <cellStyle name="Header2 23 3 3 2 3" xfId="20597" xr:uid="{00000000-0005-0000-0000-000091500000}"/>
    <cellStyle name="Header2 23 3 3 3" xfId="20598" xr:uid="{00000000-0005-0000-0000-000092500000}"/>
    <cellStyle name="Header2 23 3 4" xfId="20599" xr:uid="{00000000-0005-0000-0000-000093500000}"/>
    <cellStyle name="Header2 23 3 4 2" xfId="20600" xr:uid="{00000000-0005-0000-0000-000094500000}"/>
    <cellStyle name="Header2 23 3 4 2 2" xfId="20601" xr:uid="{00000000-0005-0000-0000-000095500000}"/>
    <cellStyle name="Header2 23 3 4 2 3" xfId="20602" xr:uid="{00000000-0005-0000-0000-000096500000}"/>
    <cellStyle name="Header2 23 3 4 3" xfId="20603" xr:uid="{00000000-0005-0000-0000-000097500000}"/>
    <cellStyle name="Header2 23 3 5" xfId="20604" xr:uid="{00000000-0005-0000-0000-000098500000}"/>
    <cellStyle name="Header2 23 3 5 2" xfId="20605" xr:uid="{00000000-0005-0000-0000-000099500000}"/>
    <cellStyle name="Header2 23 3 5 2 2" xfId="20606" xr:uid="{00000000-0005-0000-0000-00009A500000}"/>
    <cellStyle name="Header2 23 3 5 2 2 2" xfId="20607" xr:uid="{00000000-0005-0000-0000-00009B500000}"/>
    <cellStyle name="Header2 23 3 5 2 2 3" xfId="20608" xr:uid="{00000000-0005-0000-0000-00009C500000}"/>
    <cellStyle name="Header2 23 3 5 2 2 4" xfId="20609" xr:uid="{00000000-0005-0000-0000-00009D500000}"/>
    <cellStyle name="Header2 23 3 5 2 2 5" xfId="20610" xr:uid="{00000000-0005-0000-0000-00009E500000}"/>
    <cellStyle name="Header2 23 3 5 2 3" xfId="20611" xr:uid="{00000000-0005-0000-0000-00009F500000}"/>
    <cellStyle name="Header2 23 3 5 2 3 2" xfId="20612" xr:uid="{00000000-0005-0000-0000-0000A0500000}"/>
    <cellStyle name="Header2 23 3 5 2 3 3" xfId="20613" xr:uid="{00000000-0005-0000-0000-0000A1500000}"/>
    <cellStyle name="Header2 23 3 5 2 3 4" xfId="20614" xr:uid="{00000000-0005-0000-0000-0000A2500000}"/>
    <cellStyle name="Header2 23 3 5 2 4" xfId="20615" xr:uid="{00000000-0005-0000-0000-0000A3500000}"/>
    <cellStyle name="Header2 23 3 5 2 5" xfId="20616" xr:uid="{00000000-0005-0000-0000-0000A4500000}"/>
    <cellStyle name="Header2 23 3 5 2 6" xfId="20617" xr:uid="{00000000-0005-0000-0000-0000A5500000}"/>
    <cellStyle name="Header2 23 3 5 3" xfId="20618" xr:uid="{00000000-0005-0000-0000-0000A6500000}"/>
    <cellStyle name="Header2 23 3 5 3 2" xfId="20619" xr:uid="{00000000-0005-0000-0000-0000A7500000}"/>
    <cellStyle name="Header2 23 3 5 3 2 2" xfId="20620" xr:uid="{00000000-0005-0000-0000-0000A8500000}"/>
    <cellStyle name="Header2 23 3 5 3 2 3" xfId="20621" xr:uid="{00000000-0005-0000-0000-0000A9500000}"/>
    <cellStyle name="Header2 23 3 5 3 2 4" xfId="20622" xr:uid="{00000000-0005-0000-0000-0000AA500000}"/>
    <cellStyle name="Header2 23 3 5 3 3" xfId="20623" xr:uid="{00000000-0005-0000-0000-0000AB500000}"/>
    <cellStyle name="Header2 23 3 5 3 3 2" xfId="20624" xr:uid="{00000000-0005-0000-0000-0000AC500000}"/>
    <cellStyle name="Header2 23 3 5 3 3 3" xfId="20625" xr:uid="{00000000-0005-0000-0000-0000AD500000}"/>
    <cellStyle name="Header2 23 3 5 3 3 4" xfId="20626" xr:uid="{00000000-0005-0000-0000-0000AE500000}"/>
    <cellStyle name="Header2 23 3 5 3 4" xfId="20627" xr:uid="{00000000-0005-0000-0000-0000AF500000}"/>
    <cellStyle name="Header2 23 3 5 3 5" xfId="20628" xr:uid="{00000000-0005-0000-0000-0000B0500000}"/>
    <cellStyle name="Header2 23 3 5 3 6" xfId="20629" xr:uid="{00000000-0005-0000-0000-0000B1500000}"/>
    <cellStyle name="Header2 23 3 5 4" xfId="20630" xr:uid="{00000000-0005-0000-0000-0000B2500000}"/>
    <cellStyle name="Header2 23 3 5 5" xfId="20631" xr:uid="{00000000-0005-0000-0000-0000B3500000}"/>
    <cellStyle name="Header2 23 3 6" xfId="20632" xr:uid="{00000000-0005-0000-0000-0000B4500000}"/>
    <cellStyle name="Header2 23 3 6 2" xfId="20633" xr:uid="{00000000-0005-0000-0000-0000B5500000}"/>
    <cellStyle name="Header2 23 3 6 2 2" xfId="20634" xr:uid="{00000000-0005-0000-0000-0000B6500000}"/>
    <cellStyle name="Header2 23 3 6 2 2 2" xfId="20635" xr:uid="{00000000-0005-0000-0000-0000B7500000}"/>
    <cellStyle name="Header2 23 3 6 2 2 3" xfId="20636" xr:uid="{00000000-0005-0000-0000-0000B8500000}"/>
    <cellStyle name="Header2 23 3 6 2 2 4" xfId="20637" xr:uid="{00000000-0005-0000-0000-0000B9500000}"/>
    <cellStyle name="Header2 23 3 6 2 2 5" xfId="20638" xr:uid="{00000000-0005-0000-0000-0000BA500000}"/>
    <cellStyle name="Header2 23 3 6 2 3" xfId="20639" xr:uid="{00000000-0005-0000-0000-0000BB500000}"/>
    <cellStyle name="Header2 23 3 6 2 3 2" xfId="20640" xr:uid="{00000000-0005-0000-0000-0000BC500000}"/>
    <cellStyle name="Header2 23 3 6 2 3 3" xfId="20641" xr:uid="{00000000-0005-0000-0000-0000BD500000}"/>
    <cellStyle name="Header2 23 3 6 2 3 4" xfId="20642" xr:uid="{00000000-0005-0000-0000-0000BE500000}"/>
    <cellStyle name="Header2 23 3 6 2 4" xfId="20643" xr:uid="{00000000-0005-0000-0000-0000BF500000}"/>
    <cellStyle name="Header2 23 3 6 2 5" xfId="20644" xr:uid="{00000000-0005-0000-0000-0000C0500000}"/>
    <cellStyle name="Header2 23 3 6 2 6" xfId="20645" xr:uid="{00000000-0005-0000-0000-0000C1500000}"/>
    <cellStyle name="Header2 23 3 6 3" xfId="20646" xr:uid="{00000000-0005-0000-0000-0000C2500000}"/>
    <cellStyle name="Header2 23 3 6 3 2" xfId="20647" xr:uid="{00000000-0005-0000-0000-0000C3500000}"/>
    <cellStyle name="Header2 23 3 6 3 2 2" xfId="20648" xr:uid="{00000000-0005-0000-0000-0000C4500000}"/>
    <cellStyle name="Header2 23 3 6 3 2 3" xfId="20649" xr:uid="{00000000-0005-0000-0000-0000C5500000}"/>
    <cellStyle name="Header2 23 3 6 3 2 4" xfId="20650" xr:uid="{00000000-0005-0000-0000-0000C6500000}"/>
    <cellStyle name="Header2 23 3 6 3 3" xfId="20651" xr:uid="{00000000-0005-0000-0000-0000C7500000}"/>
    <cellStyle name="Header2 23 3 6 3 3 2" xfId="20652" xr:uid="{00000000-0005-0000-0000-0000C8500000}"/>
    <cellStyle name="Header2 23 3 6 3 3 3" xfId="20653" xr:uid="{00000000-0005-0000-0000-0000C9500000}"/>
    <cellStyle name="Header2 23 3 6 3 3 4" xfId="20654" xr:uid="{00000000-0005-0000-0000-0000CA500000}"/>
    <cellStyle name="Header2 23 3 6 3 4" xfId="20655" xr:uid="{00000000-0005-0000-0000-0000CB500000}"/>
    <cellStyle name="Header2 23 3 6 3 5" xfId="20656" xr:uid="{00000000-0005-0000-0000-0000CC500000}"/>
    <cellStyle name="Header2 23 3 6 3 6" xfId="20657" xr:uid="{00000000-0005-0000-0000-0000CD500000}"/>
    <cellStyle name="Header2 23 3 6 4" xfId="20658" xr:uid="{00000000-0005-0000-0000-0000CE500000}"/>
    <cellStyle name="Header2 23 3 6 5" xfId="20659" xr:uid="{00000000-0005-0000-0000-0000CF500000}"/>
    <cellStyle name="Header2 23 3 7" xfId="20660" xr:uid="{00000000-0005-0000-0000-0000D0500000}"/>
    <cellStyle name="Header2 23 3 7 2" xfId="20661" xr:uid="{00000000-0005-0000-0000-0000D1500000}"/>
    <cellStyle name="Header2 23 3 7 2 2" xfId="20662" xr:uid="{00000000-0005-0000-0000-0000D2500000}"/>
    <cellStyle name="Header2 23 3 7 2 2 2" xfId="20663" xr:uid="{00000000-0005-0000-0000-0000D3500000}"/>
    <cellStyle name="Header2 23 3 7 2 2 3" xfId="20664" xr:uid="{00000000-0005-0000-0000-0000D4500000}"/>
    <cellStyle name="Header2 23 3 7 2 2 4" xfId="20665" xr:uid="{00000000-0005-0000-0000-0000D5500000}"/>
    <cellStyle name="Header2 23 3 7 2 2 5" xfId="20666" xr:uid="{00000000-0005-0000-0000-0000D6500000}"/>
    <cellStyle name="Header2 23 3 7 2 3" xfId="20667" xr:uid="{00000000-0005-0000-0000-0000D7500000}"/>
    <cellStyle name="Header2 23 3 7 2 3 2" xfId="20668" xr:uid="{00000000-0005-0000-0000-0000D8500000}"/>
    <cellStyle name="Header2 23 3 7 2 3 3" xfId="20669" xr:uid="{00000000-0005-0000-0000-0000D9500000}"/>
    <cellStyle name="Header2 23 3 7 2 3 4" xfId="20670" xr:uid="{00000000-0005-0000-0000-0000DA500000}"/>
    <cellStyle name="Header2 23 3 7 2 4" xfId="20671" xr:uid="{00000000-0005-0000-0000-0000DB500000}"/>
    <cellStyle name="Header2 23 3 7 2 5" xfId="20672" xr:uid="{00000000-0005-0000-0000-0000DC500000}"/>
    <cellStyle name="Header2 23 3 7 2 6" xfId="20673" xr:uid="{00000000-0005-0000-0000-0000DD500000}"/>
    <cellStyle name="Header2 23 3 7 3" xfId="20674" xr:uid="{00000000-0005-0000-0000-0000DE500000}"/>
    <cellStyle name="Header2 23 3 7 3 2" xfId="20675" xr:uid="{00000000-0005-0000-0000-0000DF500000}"/>
    <cellStyle name="Header2 23 3 7 3 2 2" xfId="20676" xr:uid="{00000000-0005-0000-0000-0000E0500000}"/>
    <cellStyle name="Header2 23 3 7 3 2 3" xfId="20677" xr:uid="{00000000-0005-0000-0000-0000E1500000}"/>
    <cellStyle name="Header2 23 3 7 3 2 4" xfId="20678" xr:uid="{00000000-0005-0000-0000-0000E2500000}"/>
    <cellStyle name="Header2 23 3 7 3 3" xfId="20679" xr:uid="{00000000-0005-0000-0000-0000E3500000}"/>
    <cellStyle name="Header2 23 3 7 3 3 2" xfId="20680" xr:uid="{00000000-0005-0000-0000-0000E4500000}"/>
    <cellStyle name="Header2 23 3 7 3 3 3" xfId="20681" xr:uid="{00000000-0005-0000-0000-0000E5500000}"/>
    <cellStyle name="Header2 23 3 7 3 3 4" xfId="20682" xr:uid="{00000000-0005-0000-0000-0000E6500000}"/>
    <cellStyle name="Header2 23 3 7 3 4" xfId="20683" xr:uid="{00000000-0005-0000-0000-0000E7500000}"/>
    <cellStyle name="Header2 23 3 7 3 5" xfId="20684" xr:uid="{00000000-0005-0000-0000-0000E8500000}"/>
    <cellStyle name="Header2 23 3 7 3 6" xfId="20685" xr:uid="{00000000-0005-0000-0000-0000E9500000}"/>
    <cellStyle name="Header2 23 3 7 4" xfId="20686" xr:uid="{00000000-0005-0000-0000-0000EA500000}"/>
    <cellStyle name="Header2 23 3 7 5" xfId="20687" xr:uid="{00000000-0005-0000-0000-0000EB500000}"/>
    <cellStyle name="Header2 23 3 8" xfId="20688" xr:uid="{00000000-0005-0000-0000-0000EC500000}"/>
    <cellStyle name="Header2 23 3 8 2" xfId="20689" xr:uid="{00000000-0005-0000-0000-0000ED500000}"/>
    <cellStyle name="Header2 23 3 8 2 2" xfId="20690" xr:uid="{00000000-0005-0000-0000-0000EE500000}"/>
    <cellStyle name="Header2 23 3 8 2 2 2" xfId="20691" xr:uid="{00000000-0005-0000-0000-0000EF500000}"/>
    <cellStyle name="Header2 23 3 8 2 2 3" xfId="20692" xr:uid="{00000000-0005-0000-0000-0000F0500000}"/>
    <cellStyle name="Header2 23 3 8 2 2 4" xfId="20693" xr:uid="{00000000-0005-0000-0000-0000F1500000}"/>
    <cellStyle name="Header2 23 3 8 2 2 5" xfId="20694" xr:uid="{00000000-0005-0000-0000-0000F2500000}"/>
    <cellStyle name="Header2 23 3 8 2 3" xfId="20695" xr:uid="{00000000-0005-0000-0000-0000F3500000}"/>
    <cellStyle name="Header2 23 3 8 2 3 2" xfId="20696" xr:uid="{00000000-0005-0000-0000-0000F4500000}"/>
    <cellStyle name="Header2 23 3 8 2 3 3" xfId="20697" xr:uid="{00000000-0005-0000-0000-0000F5500000}"/>
    <cellStyle name="Header2 23 3 8 2 3 4" xfId="20698" xr:uid="{00000000-0005-0000-0000-0000F6500000}"/>
    <cellStyle name="Header2 23 3 8 2 4" xfId="20699" xr:uid="{00000000-0005-0000-0000-0000F7500000}"/>
    <cellStyle name="Header2 23 3 8 2 5" xfId="20700" xr:uid="{00000000-0005-0000-0000-0000F8500000}"/>
    <cellStyle name="Header2 23 3 8 2 6" xfId="20701" xr:uid="{00000000-0005-0000-0000-0000F9500000}"/>
    <cellStyle name="Header2 23 3 8 3" xfId="20702" xr:uid="{00000000-0005-0000-0000-0000FA500000}"/>
    <cellStyle name="Header2 23 3 8 3 2" xfId="20703" xr:uid="{00000000-0005-0000-0000-0000FB500000}"/>
    <cellStyle name="Header2 23 3 8 3 2 2" xfId="20704" xr:uid="{00000000-0005-0000-0000-0000FC500000}"/>
    <cellStyle name="Header2 23 3 8 3 2 3" xfId="20705" xr:uid="{00000000-0005-0000-0000-0000FD500000}"/>
    <cellStyle name="Header2 23 3 8 3 2 4" xfId="20706" xr:uid="{00000000-0005-0000-0000-0000FE500000}"/>
    <cellStyle name="Header2 23 3 8 3 3" xfId="20707" xr:uid="{00000000-0005-0000-0000-0000FF500000}"/>
    <cellStyle name="Header2 23 3 8 3 3 2" xfId="20708" xr:uid="{00000000-0005-0000-0000-000000510000}"/>
    <cellStyle name="Header2 23 3 8 3 3 3" xfId="20709" xr:uid="{00000000-0005-0000-0000-000001510000}"/>
    <cellStyle name="Header2 23 3 8 3 3 4" xfId="20710" xr:uid="{00000000-0005-0000-0000-000002510000}"/>
    <cellStyle name="Header2 23 3 8 3 4" xfId="20711" xr:uid="{00000000-0005-0000-0000-000003510000}"/>
    <cellStyle name="Header2 23 3 8 3 5" xfId="20712" xr:uid="{00000000-0005-0000-0000-000004510000}"/>
    <cellStyle name="Header2 23 3 8 3 6" xfId="20713" xr:uid="{00000000-0005-0000-0000-000005510000}"/>
    <cellStyle name="Header2 23 3 8 4" xfId="20714" xr:uid="{00000000-0005-0000-0000-000006510000}"/>
    <cellStyle name="Header2 23 3 8 5" xfId="20715" xr:uid="{00000000-0005-0000-0000-000007510000}"/>
    <cellStyle name="Header2 23 3 9" xfId="20716" xr:uid="{00000000-0005-0000-0000-000008510000}"/>
    <cellStyle name="Header2 23 3 9 2" xfId="20717" xr:uid="{00000000-0005-0000-0000-000009510000}"/>
    <cellStyle name="Header2 23 3 9 2 2" xfId="20718" xr:uid="{00000000-0005-0000-0000-00000A510000}"/>
    <cellStyle name="Header2 23 3 9 2 2 2" xfId="20719" xr:uid="{00000000-0005-0000-0000-00000B510000}"/>
    <cellStyle name="Header2 23 3 9 2 2 3" xfId="20720" xr:uid="{00000000-0005-0000-0000-00000C510000}"/>
    <cellStyle name="Header2 23 3 9 2 2 4" xfId="20721" xr:uid="{00000000-0005-0000-0000-00000D510000}"/>
    <cellStyle name="Header2 23 3 9 2 2 5" xfId="20722" xr:uid="{00000000-0005-0000-0000-00000E510000}"/>
    <cellStyle name="Header2 23 3 9 2 3" xfId="20723" xr:uid="{00000000-0005-0000-0000-00000F510000}"/>
    <cellStyle name="Header2 23 3 9 2 3 2" xfId="20724" xr:uid="{00000000-0005-0000-0000-000010510000}"/>
    <cellStyle name="Header2 23 3 9 2 3 3" xfId="20725" xr:uid="{00000000-0005-0000-0000-000011510000}"/>
    <cellStyle name="Header2 23 3 9 2 3 4" xfId="20726" xr:uid="{00000000-0005-0000-0000-000012510000}"/>
    <cellStyle name="Header2 23 3 9 2 4" xfId="20727" xr:uid="{00000000-0005-0000-0000-000013510000}"/>
    <cellStyle name="Header2 23 3 9 2 5" xfId="20728" xr:uid="{00000000-0005-0000-0000-000014510000}"/>
    <cellStyle name="Header2 23 3 9 2 6" xfId="20729" xr:uid="{00000000-0005-0000-0000-000015510000}"/>
    <cellStyle name="Header2 23 3 9 3" xfId="20730" xr:uid="{00000000-0005-0000-0000-000016510000}"/>
    <cellStyle name="Header2 23 3 9 3 2" xfId="20731" xr:uid="{00000000-0005-0000-0000-000017510000}"/>
    <cellStyle name="Header2 23 3 9 3 2 2" xfId="20732" xr:uid="{00000000-0005-0000-0000-000018510000}"/>
    <cellStyle name="Header2 23 3 9 3 2 3" xfId="20733" xr:uid="{00000000-0005-0000-0000-000019510000}"/>
    <cellStyle name="Header2 23 3 9 3 2 4" xfId="20734" xr:uid="{00000000-0005-0000-0000-00001A510000}"/>
    <cellStyle name="Header2 23 3 9 3 3" xfId="20735" xr:uid="{00000000-0005-0000-0000-00001B510000}"/>
    <cellStyle name="Header2 23 3 9 3 3 2" xfId="20736" xr:uid="{00000000-0005-0000-0000-00001C510000}"/>
    <cellStyle name="Header2 23 3 9 3 3 3" xfId="20737" xr:uid="{00000000-0005-0000-0000-00001D510000}"/>
    <cellStyle name="Header2 23 3 9 3 3 4" xfId="20738" xr:uid="{00000000-0005-0000-0000-00001E510000}"/>
    <cellStyle name="Header2 23 3 9 3 4" xfId="20739" xr:uid="{00000000-0005-0000-0000-00001F510000}"/>
    <cellStyle name="Header2 23 3 9 3 5" xfId="20740" xr:uid="{00000000-0005-0000-0000-000020510000}"/>
    <cellStyle name="Header2 23 3 9 3 6" xfId="20741" xr:uid="{00000000-0005-0000-0000-000021510000}"/>
    <cellStyle name="Header2 23 3 9 4" xfId="20742" xr:uid="{00000000-0005-0000-0000-000022510000}"/>
    <cellStyle name="Header2 23 3 9 5" xfId="20743" xr:uid="{00000000-0005-0000-0000-000023510000}"/>
    <cellStyle name="Header2 24" xfId="20744" xr:uid="{00000000-0005-0000-0000-000024510000}"/>
    <cellStyle name="Header2 24 2" xfId="20745" xr:uid="{00000000-0005-0000-0000-000025510000}"/>
    <cellStyle name="Header2 24 2 10" xfId="20746" xr:uid="{00000000-0005-0000-0000-000026510000}"/>
    <cellStyle name="Header2 24 2 10 2" xfId="20747" xr:uid="{00000000-0005-0000-0000-000027510000}"/>
    <cellStyle name="Header2 24 2 10 2 2" xfId="20748" xr:uid="{00000000-0005-0000-0000-000028510000}"/>
    <cellStyle name="Header2 24 2 10 2 2 2" xfId="20749" xr:uid="{00000000-0005-0000-0000-000029510000}"/>
    <cellStyle name="Header2 24 2 10 2 2 3" xfId="20750" xr:uid="{00000000-0005-0000-0000-00002A510000}"/>
    <cellStyle name="Header2 24 2 10 2 2 4" xfId="20751" xr:uid="{00000000-0005-0000-0000-00002B510000}"/>
    <cellStyle name="Header2 24 2 10 2 2 5" xfId="20752" xr:uid="{00000000-0005-0000-0000-00002C510000}"/>
    <cellStyle name="Header2 24 2 10 2 3" xfId="20753" xr:uid="{00000000-0005-0000-0000-00002D510000}"/>
    <cellStyle name="Header2 24 2 10 2 3 2" xfId="20754" xr:uid="{00000000-0005-0000-0000-00002E510000}"/>
    <cellStyle name="Header2 24 2 10 2 3 3" xfId="20755" xr:uid="{00000000-0005-0000-0000-00002F510000}"/>
    <cellStyle name="Header2 24 2 10 2 3 4" xfId="20756" xr:uid="{00000000-0005-0000-0000-000030510000}"/>
    <cellStyle name="Header2 24 2 10 2 4" xfId="20757" xr:uid="{00000000-0005-0000-0000-000031510000}"/>
    <cellStyle name="Header2 24 2 10 2 5" xfId="20758" xr:uid="{00000000-0005-0000-0000-000032510000}"/>
    <cellStyle name="Header2 24 2 10 2 6" xfId="20759" xr:uid="{00000000-0005-0000-0000-000033510000}"/>
    <cellStyle name="Header2 24 2 10 3" xfId="20760" xr:uid="{00000000-0005-0000-0000-000034510000}"/>
    <cellStyle name="Header2 24 2 10 3 2" xfId="20761" xr:uid="{00000000-0005-0000-0000-000035510000}"/>
    <cellStyle name="Header2 24 2 10 3 2 2" xfId="20762" xr:uid="{00000000-0005-0000-0000-000036510000}"/>
    <cellStyle name="Header2 24 2 10 3 2 3" xfId="20763" xr:uid="{00000000-0005-0000-0000-000037510000}"/>
    <cellStyle name="Header2 24 2 10 3 2 4" xfId="20764" xr:uid="{00000000-0005-0000-0000-000038510000}"/>
    <cellStyle name="Header2 24 2 10 3 3" xfId="20765" xr:uid="{00000000-0005-0000-0000-000039510000}"/>
    <cellStyle name="Header2 24 2 10 3 3 2" xfId="20766" xr:uid="{00000000-0005-0000-0000-00003A510000}"/>
    <cellStyle name="Header2 24 2 10 3 3 3" xfId="20767" xr:uid="{00000000-0005-0000-0000-00003B510000}"/>
    <cellStyle name="Header2 24 2 10 3 3 4" xfId="20768" xr:uid="{00000000-0005-0000-0000-00003C510000}"/>
    <cellStyle name="Header2 24 2 10 3 4" xfId="20769" xr:uid="{00000000-0005-0000-0000-00003D510000}"/>
    <cellStyle name="Header2 24 2 10 3 5" xfId="20770" xr:uid="{00000000-0005-0000-0000-00003E510000}"/>
    <cellStyle name="Header2 24 2 10 3 6" xfId="20771" xr:uid="{00000000-0005-0000-0000-00003F510000}"/>
    <cellStyle name="Header2 24 2 10 4" xfId="20772" xr:uid="{00000000-0005-0000-0000-000040510000}"/>
    <cellStyle name="Header2 24 2 10 5" xfId="20773" xr:uid="{00000000-0005-0000-0000-000041510000}"/>
    <cellStyle name="Header2 24 2 11" xfId="20774" xr:uid="{00000000-0005-0000-0000-000042510000}"/>
    <cellStyle name="Header2 24 2 11 2" xfId="20775" xr:uid="{00000000-0005-0000-0000-000043510000}"/>
    <cellStyle name="Header2 24 2 11 2 2" xfId="20776" xr:uid="{00000000-0005-0000-0000-000044510000}"/>
    <cellStyle name="Header2 24 2 11 2 2 2" xfId="20777" xr:uid="{00000000-0005-0000-0000-000045510000}"/>
    <cellStyle name="Header2 24 2 11 2 2 3" xfId="20778" xr:uid="{00000000-0005-0000-0000-000046510000}"/>
    <cellStyle name="Header2 24 2 11 2 2 4" xfId="20779" xr:uid="{00000000-0005-0000-0000-000047510000}"/>
    <cellStyle name="Header2 24 2 11 2 2 5" xfId="20780" xr:uid="{00000000-0005-0000-0000-000048510000}"/>
    <cellStyle name="Header2 24 2 11 2 3" xfId="20781" xr:uid="{00000000-0005-0000-0000-000049510000}"/>
    <cellStyle name="Header2 24 2 11 2 3 2" xfId="20782" xr:uid="{00000000-0005-0000-0000-00004A510000}"/>
    <cellStyle name="Header2 24 2 11 2 3 3" xfId="20783" xr:uid="{00000000-0005-0000-0000-00004B510000}"/>
    <cellStyle name="Header2 24 2 11 2 3 4" xfId="20784" xr:uid="{00000000-0005-0000-0000-00004C510000}"/>
    <cellStyle name="Header2 24 2 11 2 4" xfId="20785" xr:uid="{00000000-0005-0000-0000-00004D510000}"/>
    <cellStyle name="Header2 24 2 11 2 5" xfId="20786" xr:uid="{00000000-0005-0000-0000-00004E510000}"/>
    <cellStyle name="Header2 24 2 11 2 6" xfId="20787" xr:uid="{00000000-0005-0000-0000-00004F510000}"/>
    <cellStyle name="Header2 24 2 11 3" xfId="20788" xr:uid="{00000000-0005-0000-0000-000050510000}"/>
    <cellStyle name="Header2 24 2 11 3 2" xfId="20789" xr:uid="{00000000-0005-0000-0000-000051510000}"/>
    <cellStyle name="Header2 24 2 11 3 2 2" xfId="20790" xr:uid="{00000000-0005-0000-0000-000052510000}"/>
    <cellStyle name="Header2 24 2 11 3 2 3" xfId="20791" xr:uid="{00000000-0005-0000-0000-000053510000}"/>
    <cellStyle name="Header2 24 2 11 3 2 4" xfId="20792" xr:uid="{00000000-0005-0000-0000-000054510000}"/>
    <cellStyle name="Header2 24 2 11 3 3" xfId="20793" xr:uid="{00000000-0005-0000-0000-000055510000}"/>
    <cellStyle name="Header2 24 2 11 3 3 2" xfId="20794" xr:uid="{00000000-0005-0000-0000-000056510000}"/>
    <cellStyle name="Header2 24 2 11 3 3 3" xfId="20795" xr:uid="{00000000-0005-0000-0000-000057510000}"/>
    <cellStyle name="Header2 24 2 11 3 3 4" xfId="20796" xr:uid="{00000000-0005-0000-0000-000058510000}"/>
    <cellStyle name="Header2 24 2 11 3 4" xfId="20797" xr:uid="{00000000-0005-0000-0000-000059510000}"/>
    <cellStyle name="Header2 24 2 11 3 5" xfId="20798" xr:uid="{00000000-0005-0000-0000-00005A510000}"/>
    <cellStyle name="Header2 24 2 11 3 6" xfId="20799" xr:uid="{00000000-0005-0000-0000-00005B510000}"/>
    <cellStyle name="Header2 24 2 11 4" xfId="20800" xr:uid="{00000000-0005-0000-0000-00005C510000}"/>
    <cellStyle name="Header2 24 2 11 5" xfId="20801" xr:uid="{00000000-0005-0000-0000-00005D510000}"/>
    <cellStyle name="Header2 24 2 12" xfId="20802" xr:uid="{00000000-0005-0000-0000-00005E510000}"/>
    <cellStyle name="Header2 24 2 12 2" xfId="20803" xr:uid="{00000000-0005-0000-0000-00005F510000}"/>
    <cellStyle name="Header2 24 2 12 2 2" xfId="20804" xr:uid="{00000000-0005-0000-0000-000060510000}"/>
    <cellStyle name="Header2 24 2 12 2 2 2" xfId="20805" xr:uid="{00000000-0005-0000-0000-000061510000}"/>
    <cellStyle name="Header2 24 2 12 2 2 3" xfId="20806" xr:uid="{00000000-0005-0000-0000-000062510000}"/>
    <cellStyle name="Header2 24 2 12 2 2 4" xfId="20807" xr:uid="{00000000-0005-0000-0000-000063510000}"/>
    <cellStyle name="Header2 24 2 12 2 2 5" xfId="20808" xr:uid="{00000000-0005-0000-0000-000064510000}"/>
    <cellStyle name="Header2 24 2 12 2 3" xfId="20809" xr:uid="{00000000-0005-0000-0000-000065510000}"/>
    <cellStyle name="Header2 24 2 12 2 3 2" xfId="20810" xr:uid="{00000000-0005-0000-0000-000066510000}"/>
    <cellStyle name="Header2 24 2 12 2 3 3" xfId="20811" xr:uid="{00000000-0005-0000-0000-000067510000}"/>
    <cellStyle name="Header2 24 2 12 2 3 4" xfId="20812" xr:uid="{00000000-0005-0000-0000-000068510000}"/>
    <cellStyle name="Header2 24 2 12 2 4" xfId="20813" xr:uid="{00000000-0005-0000-0000-000069510000}"/>
    <cellStyle name="Header2 24 2 12 2 5" xfId="20814" xr:uid="{00000000-0005-0000-0000-00006A510000}"/>
    <cellStyle name="Header2 24 2 12 2 6" xfId="20815" xr:uid="{00000000-0005-0000-0000-00006B510000}"/>
    <cellStyle name="Header2 24 2 12 3" xfId="20816" xr:uid="{00000000-0005-0000-0000-00006C510000}"/>
    <cellStyle name="Header2 24 2 12 3 2" xfId="20817" xr:uid="{00000000-0005-0000-0000-00006D510000}"/>
    <cellStyle name="Header2 24 2 12 3 2 2" xfId="20818" xr:uid="{00000000-0005-0000-0000-00006E510000}"/>
    <cellStyle name="Header2 24 2 12 3 2 3" xfId="20819" xr:uid="{00000000-0005-0000-0000-00006F510000}"/>
    <cellStyle name="Header2 24 2 12 3 2 4" xfId="20820" xr:uid="{00000000-0005-0000-0000-000070510000}"/>
    <cellStyle name="Header2 24 2 12 3 3" xfId="20821" xr:uid="{00000000-0005-0000-0000-000071510000}"/>
    <cellStyle name="Header2 24 2 12 3 3 2" xfId="20822" xr:uid="{00000000-0005-0000-0000-000072510000}"/>
    <cellStyle name="Header2 24 2 12 3 3 3" xfId="20823" xr:uid="{00000000-0005-0000-0000-000073510000}"/>
    <cellStyle name="Header2 24 2 12 3 3 4" xfId="20824" xr:uid="{00000000-0005-0000-0000-000074510000}"/>
    <cellStyle name="Header2 24 2 12 3 4" xfId="20825" xr:uid="{00000000-0005-0000-0000-000075510000}"/>
    <cellStyle name="Header2 24 2 12 3 5" xfId="20826" xr:uid="{00000000-0005-0000-0000-000076510000}"/>
    <cellStyle name="Header2 24 2 12 3 6" xfId="20827" xr:uid="{00000000-0005-0000-0000-000077510000}"/>
    <cellStyle name="Header2 24 2 12 4" xfId="20828" xr:uid="{00000000-0005-0000-0000-000078510000}"/>
    <cellStyle name="Header2 24 2 12 5" xfId="20829" xr:uid="{00000000-0005-0000-0000-000079510000}"/>
    <cellStyle name="Header2 24 2 13" xfId="20830" xr:uid="{00000000-0005-0000-0000-00007A510000}"/>
    <cellStyle name="Header2 24 2 13 2" xfId="20831" xr:uid="{00000000-0005-0000-0000-00007B510000}"/>
    <cellStyle name="Header2 24 2 13 2 2" xfId="20832" xr:uid="{00000000-0005-0000-0000-00007C510000}"/>
    <cellStyle name="Header2 24 2 13 2 2 2" xfId="20833" xr:uid="{00000000-0005-0000-0000-00007D510000}"/>
    <cellStyle name="Header2 24 2 13 2 2 3" xfId="20834" xr:uid="{00000000-0005-0000-0000-00007E510000}"/>
    <cellStyle name="Header2 24 2 13 2 2 4" xfId="20835" xr:uid="{00000000-0005-0000-0000-00007F510000}"/>
    <cellStyle name="Header2 24 2 13 2 2 5" xfId="20836" xr:uid="{00000000-0005-0000-0000-000080510000}"/>
    <cellStyle name="Header2 24 2 13 2 3" xfId="20837" xr:uid="{00000000-0005-0000-0000-000081510000}"/>
    <cellStyle name="Header2 24 2 13 2 3 2" xfId="20838" xr:uid="{00000000-0005-0000-0000-000082510000}"/>
    <cellStyle name="Header2 24 2 13 2 3 3" xfId="20839" xr:uid="{00000000-0005-0000-0000-000083510000}"/>
    <cellStyle name="Header2 24 2 13 2 3 4" xfId="20840" xr:uid="{00000000-0005-0000-0000-000084510000}"/>
    <cellStyle name="Header2 24 2 13 2 4" xfId="20841" xr:uid="{00000000-0005-0000-0000-000085510000}"/>
    <cellStyle name="Header2 24 2 13 2 5" xfId="20842" xr:uid="{00000000-0005-0000-0000-000086510000}"/>
    <cellStyle name="Header2 24 2 13 2 6" xfId="20843" xr:uid="{00000000-0005-0000-0000-000087510000}"/>
    <cellStyle name="Header2 24 2 13 3" xfId="20844" xr:uid="{00000000-0005-0000-0000-000088510000}"/>
    <cellStyle name="Header2 24 2 13 3 2" xfId="20845" xr:uid="{00000000-0005-0000-0000-000089510000}"/>
    <cellStyle name="Header2 24 2 13 3 2 2" xfId="20846" xr:uid="{00000000-0005-0000-0000-00008A510000}"/>
    <cellStyle name="Header2 24 2 13 3 2 3" xfId="20847" xr:uid="{00000000-0005-0000-0000-00008B510000}"/>
    <cellStyle name="Header2 24 2 13 3 2 4" xfId="20848" xr:uid="{00000000-0005-0000-0000-00008C510000}"/>
    <cellStyle name="Header2 24 2 13 3 3" xfId="20849" xr:uid="{00000000-0005-0000-0000-00008D510000}"/>
    <cellStyle name="Header2 24 2 13 3 3 2" xfId="20850" xr:uid="{00000000-0005-0000-0000-00008E510000}"/>
    <cellStyle name="Header2 24 2 13 3 3 3" xfId="20851" xr:uid="{00000000-0005-0000-0000-00008F510000}"/>
    <cellStyle name="Header2 24 2 13 3 3 4" xfId="20852" xr:uid="{00000000-0005-0000-0000-000090510000}"/>
    <cellStyle name="Header2 24 2 13 3 4" xfId="20853" xr:uid="{00000000-0005-0000-0000-000091510000}"/>
    <cellStyle name="Header2 24 2 13 3 5" xfId="20854" xr:uid="{00000000-0005-0000-0000-000092510000}"/>
    <cellStyle name="Header2 24 2 13 3 6" xfId="20855" xr:uid="{00000000-0005-0000-0000-000093510000}"/>
    <cellStyle name="Header2 24 2 13 4" xfId="20856" xr:uid="{00000000-0005-0000-0000-000094510000}"/>
    <cellStyle name="Header2 24 2 13 5" xfId="20857" xr:uid="{00000000-0005-0000-0000-000095510000}"/>
    <cellStyle name="Header2 24 2 14" xfId="58746" xr:uid="{00000000-0005-0000-0000-000096510000}"/>
    <cellStyle name="Header2 24 2 2" xfId="20858" xr:uid="{00000000-0005-0000-0000-000097510000}"/>
    <cellStyle name="Header2 24 2 2 2" xfId="20859" xr:uid="{00000000-0005-0000-0000-000098510000}"/>
    <cellStyle name="Header2 24 2 2 2 2" xfId="20860" xr:uid="{00000000-0005-0000-0000-000099510000}"/>
    <cellStyle name="Header2 24 2 2 2 2 2" xfId="20861" xr:uid="{00000000-0005-0000-0000-00009A510000}"/>
    <cellStyle name="Header2 24 2 2 2 2 2 2" xfId="20862" xr:uid="{00000000-0005-0000-0000-00009B510000}"/>
    <cellStyle name="Header2 24 2 2 2 2 2 3" xfId="20863" xr:uid="{00000000-0005-0000-0000-00009C510000}"/>
    <cellStyle name="Header2 24 2 2 2 2 2 4" xfId="20864" xr:uid="{00000000-0005-0000-0000-00009D510000}"/>
    <cellStyle name="Header2 24 2 2 2 2 2 5" xfId="20865" xr:uid="{00000000-0005-0000-0000-00009E510000}"/>
    <cellStyle name="Header2 24 2 2 2 2 3" xfId="20866" xr:uid="{00000000-0005-0000-0000-00009F510000}"/>
    <cellStyle name="Header2 24 2 2 2 2 3 2" xfId="20867" xr:uid="{00000000-0005-0000-0000-0000A0510000}"/>
    <cellStyle name="Header2 24 2 2 2 2 3 3" xfId="20868" xr:uid="{00000000-0005-0000-0000-0000A1510000}"/>
    <cellStyle name="Header2 24 2 2 2 2 3 4" xfId="20869" xr:uid="{00000000-0005-0000-0000-0000A2510000}"/>
    <cellStyle name="Header2 24 2 2 2 2 4" xfId="20870" xr:uid="{00000000-0005-0000-0000-0000A3510000}"/>
    <cellStyle name="Header2 24 2 2 2 2 5" xfId="20871" xr:uid="{00000000-0005-0000-0000-0000A4510000}"/>
    <cellStyle name="Header2 24 2 2 2 2 6" xfId="20872" xr:uid="{00000000-0005-0000-0000-0000A5510000}"/>
    <cellStyle name="Header2 24 2 2 2 3" xfId="20873" xr:uid="{00000000-0005-0000-0000-0000A6510000}"/>
    <cellStyle name="Header2 24 2 2 2 3 2" xfId="20874" xr:uid="{00000000-0005-0000-0000-0000A7510000}"/>
    <cellStyle name="Header2 24 2 2 2 3 2 2" xfId="20875" xr:uid="{00000000-0005-0000-0000-0000A8510000}"/>
    <cellStyle name="Header2 24 2 2 2 3 2 3" xfId="20876" xr:uid="{00000000-0005-0000-0000-0000A9510000}"/>
    <cellStyle name="Header2 24 2 2 2 3 2 4" xfId="20877" xr:uid="{00000000-0005-0000-0000-0000AA510000}"/>
    <cellStyle name="Header2 24 2 2 2 3 3" xfId="20878" xr:uid="{00000000-0005-0000-0000-0000AB510000}"/>
    <cellStyle name="Header2 24 2 2 2 3 3 2" xfId="20879" xr:uid="{00000000-0005-0000-0000-0000AC510000}"/>
    <cellStyle name="Header2 24 2 2 2 3 3 3" xfId="20880" xr:uid="{00000000-0005-0000-0000-0000AD510000}"/>
    <cellStyle name="Header2 24 2 2 2 3 3 4" xfId="20881" xr:uid="{00000000-0005-0000-0000-0000AE510000}"/>
    <cellStyle name="Header2 24 2 2 2 3 4" xfId="20882" xr:uid="{00000000-0005-0000-0000-0000AF510000}"/>
    <cellStyle name="Header2 24 2 2 2 3 5" xfId="20883" xr:uid="{00000000-0005-0000-0000-0000B0510000}"/>
    <cellStyle name="Header2 24 2 2 2 3 6" xfId="20884" xr:uid="{00000000-0005-0000-0000-0000B1510000}"/>
    <cellStyle name="Header2 24 2 2 2 4" xfId="20885" xr:uid="{00000000-0005-0000-0000-0000B2510000}"/>
    <cellStyle name="Header2 24 2 2 2 5" xfId="20886" xr:uid="{00000000-0005-0000-0000-0000B3510000}"/>
    <cellStyle name="Header2 24 2 2 3" xfId="20887" xr:uid="{00000000-0005-0000-0000-0000B4510000}"/>
    <cellStyle name="Header2 24 2 2 3 2" xfId="20888" xr:uid="{00000000-0005-0000-0000-0000B5510000}"/>
    <cellStyle name="Header2 24 2 2 3 2 2" xfId="20889" xr:uid="{00000000-0005-0000-0000-0000B6510000}"/>
    <cellStyle name="Header2 24 2 2 3 2 2 2" xfId="20890" xr:uid="{00000000-0005-0000-0000-0000B7510000}"/>
    <cellStyle name="Header2 24 2 2 3 2 2 3" xfId="20891" xr:uid="{00000000-0005-0000-0000-0000B8510000}"/>
    <cellStyle name="Header2 24 2 2 3 2 2 4" xfId="20892" xr:uid="{00000000-0005-0000-0000-0000B9510000}"/>
    <cellStyle name="Header2 24 2 2 3 2 2 5" xfId="20893" xr:uid="{00000000-0005-0000-0000-0000BA510000}"/>
    <cellStyle name="Header2 24 2 2 3 2 3" xfId="20894" xr:uid="{00000000-0005-0000-0000-0000BB510000}"/>
    <cellStyle name="Header2 24 2 2 3 2 3 2" xfId="20895" xr:uid="{00000000-0005-0000-0000-0000BC510000}"/>
    <cellStyle name="Header2 24 2 2 3 2 3 3" xfId="20896" xr:uid="{00000000-0005-0000-0000-0000BD510000}"/>
    <cellStyle name="Header2 24 2 2 3 2 3 4" xfId="20897" xr:uid="{00000000-0005-0000-0000-0000BE510000}"/>
    <cellStyle name="Header2 24 2 2 3 2 4" xfId="20898" xr:uid="{00000000-0005-0000-0000-0000BF510000}"/>
    <cellStyle name="Header2 24 2 2 3 2 5" xfId="20899" xr:uid="{00000000-0005-0000-0000-0000C0510000}"/>
    <cellStyle name="Header2 24 2 2 3 2 6" xfId="20900" xr:uid="{00000000-0005-0000-0000-0000C1510000}"/>
    <cellStyle name="Header2 24 2 2 3 3" xfId="20901" xr:uid="{00000000-0005-0000-0000-0000C2510000}"/>
    <cellStyle name="Header2 24 2 2 3 3 2" xfId="20902" xr:uid="{00000000-0005-0000-0000-0000C3510000}"/>
    <cellStyle name="Header2 24 2 2 3 3 2 2" xfId="20903" xr:uid="{00000000-0005-0000-0000-0000C4510000}"/>
    <cellStyle name="Header2 24 2 2 3 3 2 3" xfId="20904" xr:uid="{00000000-0005-0000-0000-0000C5510000}"/>
    <cellStyle name="Header2 24 2 2 3 3 2 4" xfId="20905" xr:uid="{00000000-0005-0000-0000-0000C6510000}"/>
    <cellStyle name="Header2 24 2 2 3 3 3" xfId="20906" xr:uid="{00000000-0005-0000-0000-0000C7510000}"/>
    <cellStyle name="Header2 24 2 2 3 3 3 2" xfId="20907" xr:uid="{00000000-0005-0000-0000-0000C8510000}"/>
    <cellStyle name="Header2 24 2 2 3 3 3 3" xfId="20908" xr:uid="{00000000-0005-0000-0000-0000C9510000}"/>
    <cellStyle name="Header2 24 2 2 3 3 3 4" xfId="20909" xr:uid="{00000000-0005-0000-0000-0000CA510000}"/>
    <cellStyle name="Header2 24 2 2 3 3 4" xfId="20910" xr:uid="{00000000-0005-0000-0000-0000CB510000}"/>
    <cellStyle name="Header2 24 2 2 3 3 5" xfId="20911" xr:uid="{00000000-0005-0000-0000-0000CC510000}"/>
    <cellStyle name="Header2 24 2 2 3 3 6" xfId="20912" xr:uid="{00000000-0005-0000-0000-0000CD510000}"/>
    <cellStyle name="Header2 24 2 2 3 4" xfId="20913" xr:uid="{00000000-0005-0000-0000-0000CE510000}"/>
    <cellStyle name="Header2 24 2 2 3 5" xfId="20914" xr:uid="{00000000-0005-0000-0000-0000CF510000}"/>
    <cellStyle name="Header2 24 2 3" xfId="20915" xr:uid="{00000000-0005-0000-0000-0000D0510000}"/>
    <cellStyle name="Header2 24 2 3 2" xfId="20916" xr:uid="{00000000-0005-0000-0000-0000D1510000}"/>
    <cellStyle name="Header2 24 2 3 2 2" xfId="20917" xr:uid="{00000000-0005-0000-0000-0000D2510000}"/>
    <cellStyle name="Header2 24 2 3 2 3" xfId="20918" xr:uid="{00000000-0005-0000-0000-0000D3510000}"/>
    <cellStyle name="Header2 24 2 3 3" xfId="20919" xr:uid="{00000000-0005-0000-0000-0000D4510000}"/>
    <cellStyle name="Header2 24 2 4" xfId="20920" xr:uid="{00000000-0005-0000-0000-0000D5510000}"/>
    <cellStyle name="Header2 24 2 4 2" xfId="20921" xr:uid="{00000000-0005-0000-0000-0000D6510000}"/>
    <cellStyle name="Header2 24 2 4 2 2" xfId="20922" xr:uid="{00000000-0005-0000-0000-0000D7510000}"/>
    <cellStyle name="Header2 24 2 4 2 3" xfId="20923" xr:uid="{00000000-0005-0000-0000-0000D8510000}"/>
    <cellStyle name="Header2 24 2 4 3" xfId="20924" xr:uid="{00000000-0005-0000-0000-0000D9510000}"/>
    <cellStyle name="Header2 24 2 5" xfId="20925" xr:uid="{00000000-0005-0000-0000-0000DA510000}"/>
    <cellStyle name="Header2 24 2 5 2" xfId="20926" xr:uid="{00000000-0005-0000-0000-0000DB510000}"/>
    <cellStyle name="Header2 24 2 5 2 2" xfId="20927" xr:uid="{00000000-0005-0000-0000-0000DC510000}"/>
    <cellStyle name="Header2 24 2 5 2 3" xfId="20928" xr:uid="{00000000-0005-0000-0000-0000DD510000}"/>
    <cellStyle name="Header2 24 2 5 3" xfId="20929" xr:uid="{00000000-0005-0000-0000-0000DE510000}"/>
    <cellStyle name="Header2 24 2 6" xfId="20930" xr:uid="{00000000-0005-0000-0000-0000DF510000}"/>
    <cellStyle name="Header2 24 2 6 2" xfId="20931" xr:uid="{00000000-0005-0000-0000-0000E0510000}"/>
    <cellStyle name="Header2 24 2 6 2 2" xfId="20932" xr:uid="{00000000-0005-0000-0000-0000E1510000}"/>
    <cellStyle name="Header2 24 2 6 2 2 2" xfId="20933" xr:uid="{00000000-0005-0000-0000-0000E2510000}"/>
    <cellStyle name="Header2 24 2 6 2 2 3" xfId="20934" xr:uid="{00000000-0005-0000-0000-0000E3510000}"/>
    <cellStyle name="Header2 24 2 6 2 2 4" xfId="20935" xr:uid="{00000000-0005-0000-0000-0000E4510000}"/>
    <cellStyle name="Header2 24 2 6 2 2 5" xfId="20936" xr:uid="{00000000-0005-0000-0000-0000E5510000}"/>
    <cellStyle name="Header2 24 2 6 2 3" xfId="20937" xr:uid="{00000000-0005-0000-0000-0000E6510000}"/>
    <cellStyle name="Header2 24 2 6 2 3 2" xfId="20938" xr:uid="{00000000-0005-0000-0000-0000E7510000}"/>
    <cellStyle name="Header2 24 2 6 2 3 3" xfId="20939" xr:uid="{00000000-0005-0000-0000-0000E8510000}"/>
    <cellStyle name="Header2 24 2 6 2 3 4" xfId="20940" xr:uid="{00000000-0005-0000-0000-0000E9510000}"/>
    <cellStyle name="Header2 24 2 6 2 4" xfId="20941" xr:uid="{00000000-0005-0000-0000-0000EA510000}"/>
    <cellStyle name="Header2 24 2 6 2 5" xfId="20942" xr:uid="{00000000-0005-0000-0000-0000EB510000}"/>
    <cellStyle name="Header2 24 2 6 2 6" xfId="20943" xr:uid="{00000000-0005-0000-0000-0000EC510000}"/>
    <cellStyle name="Header2 24 2 6 3" xfId="20944" xr:uid="{00000000-0005-0000-0000-0000ED510000}"/>
    <cellStyle name="Header2 24 2 6 3 2" xfId="20945" xr:uid="{00000000-0005-0000-0000-0000EE510000}"/>
    <cellStyle name="Header2 24 2 6 3 2 2" xfId="20946" xr:uid="{00000000-0005-0000-0000-0000EF510000}"/>
    <cellStyle name="Header2 24 2 6 3 2 3" xfId="20947" xr:uid="{00000000-0005-0000-0000-0000F0510000}"/>
    <cellStyle name="Header2 24 2 6 3 2 4" xfId="20948" xr:uid="{00000000-0005-0000-0000-0000F1510000}"/>
    <cellStyle name="Header2 24 2 6 3 3" xfId="20949" xr:uid="{00000000-0005-0000-0000-0000F2510000}"/>
    <cellStyle name="Header2 24 2 6 3 3 2" xfId="20950" xr:uid="{00000000-0005-0000-0000-0000F3510000}"/>
    <cellStyle name="Header2 24 2 6 3 3 3" xfId="20951" xr:uid="{00000000-0005-0000-0000-0000F4510000}"/>
    <cellStyle name="Header2 24 2 6 3 3 4" xfId="20952" xr:uid="{00000000-0005-0000-0000-0000F5510000}"/>
    <cellStyle name="Header2 24 2 6 3 4" xfId="20953" xr:uid="{00000000-0005-0000-0000-0000F6510000}"/>
    <cellStyle name="Header2 24 2 6 3 5" xfId="20954" xr:uid="{00000000-0005-0000-0000-0000F7510000}"/>
    <cellStyle name="Header2 24 2 6 3 6" xfId="20955" xr:uid="{00000000-0005-0000-0000-0000F8510000}"/>
    <cellStyle name="Header2 24 2 6 4" xfId="20956" xr:uid="{00000000-0005-0000-0000-0000F9510000}"/>
    <cellStyle name="Header2 24 2 6 5" xfId="20957" xr:uid="{00000000-0005-0000-0000-0000FA510000}"/>
    <cellStyle name="Header2 24 2 7" xfId="20958" xr:uid="{00000000-0005-0000-0000-0000FB510000}"/>
    <cellStyle name="Header2 24 2 7 2" xfId="20959" xr:uid="{00000000-0005-0000-0000-0000FC510000}"/>
    <cellStyle name="Header2 24 2 7 2 2" xfId="20960" xr:uid="{00000000-0005-0000-0000-0000FD510000}"/>
    <cellStyle name="Header2 24 2 7 2 2 2" xfId="20961" xr:uid="{00000000-0005-0000-0000-0000FE510000}"/>
    <cellStyle name="Header2 24 2 7 2 2 3" xfId="20962" xr:uid="{00000000-0005-0000-0000-0000FF510000}"/>
    <cellStyle name="Header2 24 2 7 2 2 4" xfId="20963" xr:uid="{00000000-0005-0000-0000-000000520000}"/>
    <cellStyle name="Header2 24 2 7 2 2 5" xfId="20964" xr:uid="{00000000-0005-0000-0000-000001520000}"/>
    <cellStyle name="Header2 24 2 7 2 3" xfId="20965" xr:uid="{00000000-0005-0000-0000-000002520000}"/>
    <cellStyle name="Header2 24 2 7 2 3 2" xfId="20966" xr:uid="{00000000-0005-0000-0000-000003520000}"/>
    <cellStyle name="Header2 24 2 7 2 3 3" xfId="20967" xr:uid="{00000000-0005-0000-0000-000004520000}"/>
    <cellStyle name="Header2 24 2 7 2 3 4" xfId="20968" xr:uid="{00000000-0005-0000-0000-000005520000}"/>
    <cellStyle name="Header2 24 2 7 2 4" xfId="20969" xr:uid="{00000000-0005-0000-0000-000006520000}"/>
    <cellStyle name="Header2 24 2 7 2 5" xfId="20970" xr:uid="{00000000-0005-0000-0000-000007520000}"/>
    <cellStyle name="Header2 24 2 7 2 6" xfId="20971" xr:uid="{00000000-0005-0000-0000-000008520000}"/>
    <cellStyle name="Header2 24 2 7 3" xfId="20972" xr:uid="{00000000-0005-0000-0000-000009520000}"/>
    <cellStyle name="Header2 24 2 7 3 2" xfId="20973" xr:uid="{00000000-0005-0000-0000-00000A520000}"/>
    <cellStyle name="Header2 24 2 7 3 2 2" xfId="20974" xr:uid="{00000000-0005-0000-0000-00000B520000}"/>
    <cellStyle name="Header2 24 2 7 3 2 3" xfId="20975" xr:uid="{00000000-0005-0000-0000-00000C520000}"/>
    <cellStyle name="Header2 24 2 7 3 2 4" xfId="20976" xr:uid="{00000000-0005-0000-0000-00000D520000}"/>
    <cellStyle name="Header2 24 2 7 3 3" xfId="20977" xr:uid="{00000000-0005-0000-0000-00000E520000}"/>
    <cellStyle name="Header2 24 2 7 3 3 2" xfId="20978" xr:uid="{00000000-0005-0000-0000-00000F520000}"/>
    <cellStyle name="Header2 24 2 7 3 3 3" xfId="20979" xr:uid="{00000000-0005-0000-0000-000010520000}"/>
    <cellStyle name="Header2 24 2 7 3 3 4" xfId="20980" xr:uid="{00000000-0005-0000-0000-000011520000}"/>
    <cellStyle name="Header2 24 2 7 3 4" xfId="20981" xr:uid="{00000000-0005-0000-0000-000012520000}"/>
    <cellStyle name="Header2 24 2 7 3 5" xfId="20982" xr:uid="{00000000-0005-0000-0000-000013520000}"/>
    <cellStyle name="Header2 24 2 7 3 6" xfId="20983" xr:uid="{00000000-0005-0000-0000-000014520000}"/>
    <cellStyle name="Header2 24 2 7 4" xfId="20984" xr:uid="{00000000-0005-0000-0000-000015520000}"/>
    <cellStyle name="Header2 24 2 7 5" xfId="20985" xr:uid="{00000000-0005-0000-0000-000016520000}"/>
    <cellStyle name="Header2 24 2 8" xfId="20986" xr:uid="{00000000-0005-0000-0000-000017520000}"/>
    <cellStyle name="Header2 24 2 8 2" xfId="20987" xr:uid="{00000000-0005-0000-0000-000018520000}"/>
    <cellStyle name="Header2 24 2 8 2 2" xfId="20988" xr:uid="{00000000-0005-0000-0000-000019520000}"/>
    <cellStyle name="Header2 24 2 8 2 2 2" xfId="20989" xr:uid="{00000000-0005-0000-0000-00001A520000}"/>
    <cellStyle name="Header2 24 2 8 2 2 3" xfId="20990" xr:uid="{00000000-0005-0000-0000-00001B520000}"/>
    <cellStyle name="Header2 24 2 8 2 2 4" xfId="20991" xr:uid="{00000000-0005-0000-0000-00001C520000}"/>
    <cellStyle name="Header2 24 2 8 2 2 5" xfId="20992" xr:uid="{00000000-0005-0000-0000-00001D520000}"/>
    <cellStyle name="Header2 24 2 8 2 3" xfId="20993" xr:uid="{00000000-0005-0000-0000-00001E520000}"/>
    <cellStyle name="Header2 24 2 8 2 3 2" xfId="20994" xr:uid="{00000000-0005-0000-0000-00001F520000}"/>
    <cellStyle name="Header2 24 2 8 2 3 3" xfId="20995" xr:uid="{00000000-0005-0000-0000-000020520000}"/>
    <cellStyle name="Header2 24 2 8 2 3 4" xfId="20996" xr:uid="{00000000-0005-0000-0000-000021520000}"/>
    <cellStyle name="Header2 24 2 8 2 4" xfId="20997" xr:uid="{00000000-0005-0000-0000-000022520000}"/>
    <cellStyle name="Header2 24 2 8 2 5" xfId="20998" xr:uid="{00000000-0005-0000-0000-000023520000}"/>
    <cellStyle name="Header2 24 2 8 2 6" xfId="20999" xr:uid="{00000000-0005-0000-0000-000024520000}"/>
    <cellStyle name="Header2 24 2 8 3" xfId="21000" xr:uid="{00000000-0005-0000-0000-000025520000}"/>
    <cellStyle name="Header2 24 2 8 3 2" xfId="21001" xr:uid="{00000000-0005-0000-0000-000026520000}"/>
    <cellStyle name="Header2 24 2 8 3 2 2" xfId="21002" xr:uid="{00000000-0005-0000-0000-000027520000}"/>
    <cellStyle name="Header2 24 2 8 3 2 3" xfId="21003" xr:uid="{00000000-0005-0000-0000-000028520000}"/>
    <cellStyle name="Header2 24 2 8 3 2 4" xfId="21004" xr:uid="{00000000-0005-0000-0000-000029520000}"/>
    <cellStyle name="Header2 24 2 8 3 3" xfId="21005" xr:uid="{00000000-0005-0000-0000-00002A520000}"/>
    <cellStyle name="Header2 24 2 8 3 3 2" xfId="21006" xr:uid="{00000000-0005-0000-0000-00002B520000}"/>
    <cellStyle name="Header2 24 2 8 3 3 3" xfId="21007" xr:uid="{00000000-0005-0000-0000-00002C520000}"/>
    <cellStyle name="Header2 24 2 8 3 3 4" xfId="21008" xr:uid="{00000000-0005-0000-0000-00002D520000}"/>
    <cellStyle name="Header2 24 2 8 3 4" xfId="21009" xr:uid="{00000000-0005-0000-0000-00002E520000}"/>
    <cellStyle name="Header2 24 2 8 3 5" xfId="21010" xr:uid="{00000000-0005-0000-0000-00002F520000}"/>
    <cellStyle name="Header2 24 2 8 3 6" xfId="21011" xr:uid="{00000000-0005-0000-0000-000030520000}"/>
    <cellStyle name="Header2 24 2 8 4" xfId="21012" xr:uid="{00000000-0005-0000-0000-000031520000}"/>
    <cellStyle name="Header2 24 2 8 5" xfId="21013" xr:uid="{00000000-0005-0000-0000-000032520000}"/>
    <cellStyle name="Header2 24 2 9" xfId="21014" xr:uid="{00000000-0005-0000-0000-000033520000}"/>
    <cellStyle name="Header2 24 2 9 2" xfId="21015" xr:uid="{00000000-0005-0000-0000-000034520000}"/>
    <cellStyle name="Header2 24 2 9 2 2" xfId="21016" xr:uid="{00000000-0005-0000-0000-000035520000}"/>
    <cellStyle name="Header2 24 2 9 2 2 2" xfId="21017" xr:uid="{00000000-0005-0000-0000-000036520000}"/>
    <cellStyle name="Header2 24 2 9 2 2 3" xfId="21018" xr:uid="{00000000-0005-0000-0000-000037520000}"/>
    <cellStyle name="Header2 24 2 9 2 2 4" xfId="21019" xr:uid="{00000000-0005-0000-0000-000038520000}"/>
    <cellStyle name="Header2 24 2 9 2 2 5" xfId="21020" xr:uid="{00000000-0005-0000-0000-000039520000}"/>
    <cellStyle name="Header2 24 2 9 2 3" xfId="21021" xr:uid="{00000000-0005-0000-0000-00003A520000}"/>
    <cellStyle name="Header2 24 2 9 2 3 2" xfId="21022" xr:uid="{00000000-0005-0000-0000-00003B520000}"/>
    <cellStyle name="Header2 24 2 9 2 3 3" xfId="21023" xr:uid="{00000000-0005-0000-0000-00003C520000}"/>
    <cellStyle name="Header2 24 2 9 2 3 4" xfId="21024" xr:uid="{00000000-0005-0000-0000-00003D520000}"/>
    <cellStyle name="Header2 24 2 9 2 4" xfId="21025" xr:uid="{00000000-0005-0000-0000-00003E520000}"/>
    <cellStyle name="Header2 24 2 9 2 5" xfId="21026" xr:uid="{00000000-0005-0000-0000-00003F520000}"/>
    <cellStyle name="Header2 24 2 9 2 6" xfId="21027" xr:uid="{00000000-0005-0000-0000-000040520000}"/>
    <cellStyle name="Header2 24 2 9 3" xfId="21028" xr:uid="{00000000-0005-0000-0000-000041520000}"/>
    <cellStyle name="Header2 24 2 9 3 2" xfId="21029" xr:uid="{00000000-0005-0000-0000-000042520000}"/>
    <cellStyle name="Header2 24 2 9 3 2 2" xfId="21030" xr:uid="{00000000-0005-0000-0000-000043520000}"/>
    <cellStyle name="Header2 24 2 9 3 2 3" xfId="21031" xr:uid="{00000000-0005-0000-0000-000044520000}"/>
    <cellStyle name="Header2 24 2 9 3 2 4" xfId="21032" xr:uid="{00000000-0005-0000-0000-000045520000}"/>
    <cellStyle name="Header2 24 2 9 3 3" xfId="21033" xr:uid="{00000000-0005-0000-0000-000046520000}"/>
    <cellStyle name="Header2 24 2 9 3 3 2" xfId="21034" xr:uid="{00000000-0005-0000-0000-000047520000}"/>
    <cellStyle name="Header2 24 2 9 3 3 3" xfId="21035" xr:uid="{00000000-0005-0000-0000-000048520000}"/>
    <cellStyle name="Header2 24 2 9 3 3 4" xfId="21036" xr:uid="{00000000-0005-0000-0000-000049520000}"/>
    <cellStyle name="Header2 24 2 9 3 4" xfId="21037" xr:uid="{00000000-0005-0000-0000-00004A520000}"/>
    <cellStyle name="Header2 24 2 9 3 5" xfId="21038" xr:uid="{00000000-0005-0000-0000-00004B520000}"/>
    <cellStyle name="Header2 24 2 9 3 6" xfId="21039" xr:uid="{00000000-0005-0000-0000-00004C520000}"/>
    <cellStyle name="Header2 24 2 9 4" xfId="21040" xr:uid="{00000000-0005-0000-0000-00004D520000}"/>
    <cellStyle name="Header2 24 2 9 5" xfId="21041" xr:uid="{00000000-0005-0000-0000-00004E520000}"/>
    <cellStyle name="Header2 24 3" xfId="21042" xr:uid="{00000000-0005-0000-0000-00004F520000}"/>
    <cellStyle name="Header2 24 3 10" xfId="21043" xr:uid="{00000000-0005-0000-0000-000050520000}"/>
    <cellStyle name="Header2 24 3 10 2" xfId="21044" xr:uid="{00000000-0005-0000-0000-000051520000}"/>
    <cellStyle name="Header2 24 3 10 2 2" xfId="21045" xr:uid="{00000000-0005-0000-0000-000052520000}"/>
    <cellStyle name="Header2 24 3 10 2 2 2" xfId="21046" xr:uid="{00000000-0005-0000-0000-000053520000}"/>
    <cellStyle name="Header2 24 3 10 2 2 3" xfId="21047" xr:uid="{00000000-0005-0000-0000-000054520000}"/>
    <cellStyle name="Header2 24 3 10 2 2 4" xfId="21048" xr:uid="{00000000-0005-0000-0000-000055520000}"/>
    <cellStyle name="Header2 24 3 10 2 2 5" xfId="21049" xr:uid="{00000000-0005-0000-0000-000056520000}"/>
    <cellStyle name="Header2 24 3 10 2 3" xfId="21050" xr:uid="{00000000-0005-0000-0000-000057520000}"/>
    <cellStyle name="Header2 24 3 10 2 3 2" xfId="21051" xr:uid="{00000000-0005-0000-0000-000058520000}"/>
    <cellStyle name="Header2 24 3 10 2 3 3" xfId="21052" xr:uid="{00000000-0005-0000-0000-000059520000}"/>
    <cellStyle name="Header2 24 3 10 2 3 4" xfId="21053" xr:uid="{00000000-0005-0000-0000-00005A520000}"/>
    <cellStyle name="Header2 24 3 10 2 4" xfId="21054" xr:uid="{00000000-0005-0000-0000-00005B520000}"/>
    <cellStyle name="Header2 24 3 10 2 5" xfId="21055" xr:uid="{00000000-0005-0000-0000-00005C520000}"/>
    <cellStyle name="Header2 24 3 10 2 6" xfId="21056" xr:uid="{00000000-0005-0000-0000-00005D520000}"/>
    <cellStyle name="Header2 24 3 10 3" xfId="21057" xr:uid="{00000000-0005-0000-0000-00005E520000}"/>
    <cellStyle name="Header2 24 3 10 3 2" xfId="21058" xr:uid="{00000000-0005-0000-0000-00005F520000}"/>
    <cellStyle name="Header2 24 3 10 3 2 2" xfId="21059" xr:uid="{00000000-0005-0000-0000-000060520000}"/>
    <cellStyle name="Header2 24 3 10 3 2 3" xfId="21060" xr:uid="{00000000-0005-0000-0000-000061520000}"/>
    <cellStyle name="Header2 24 3 10 3 2 4" xfId="21061" xr:uid="{00000000-0005-0000-0000-000062520000}"/>
    <cellStyle name="Header2 24 3 10 3 3" xfId="21062" xr:uid="{00000000-0005-0000-0000-000063520000}"/>
    <cellStyle name="Header2 24 3 10 3 3 2" xfId="21063" xr:uid="{00000000-0005-0000-0000-000064520000}"/>
    <cellStyle name="Header2 24 3 10 3 3 3" xfId="21064" xr:uid="{00000000-0005-0000-0000-000065520000}"/>
    <cellStyle name="Header2 24 3 10 3 3 4" xfId="21065" xr:uid="{00000000-0005-0000-0000-000066520000}"/>
    <cellStyle name="Header2 24 3 10 3 4" xfId="21066" xr:uid="{00000000-0005-0000-0000-000067520000}"/>
    <cellStyle name="Header2 24 3 10 3 5" xfId="21067" xr:uid="{00000000-0005-0000-0000-000068520000}"/>
    <cellStyle name="Header2 24 3 10 3 6" xfId="21068" xr:uid="{00000000-0005-0000-0000-000069520000}"/>
    <cellStyle name="Header2 24 3 10 4" xfId="21069" xr:uid="{00000000-0005-0000-0000-00006A520000}"/>
    <cellStyle name="Header2 24 3 10 5" xfId="21070" xr:uid="{00000000-0005-0000-0000-00006B520000}"/>
    <cellStyle name="Header2 24 3 11" xfId="21071" xr:uid="{00000000-0005-0000-0000-00006C520000}"/>
    <cellStyle name="Header2 24 3 11 2" xfId="21072" xr:uid="{00000000-0005-0000-0000-00006D520000}"/>
    <cellStyle name="Header2 24 3 11 2 2" xfId="21073" xr:uid="{00000000-0005-0000-0000-00006E520000}"/>
    <cellStyle name="Header2 24 3 11 2 2 2" xfId="21074" xr:uid="{00000000-0005-0000-0000-00006F520000}"/>
    <cellStyle name="Header2 24 3 11 2 2 3" xfId="21075" xr:uid="{00000000-0005-0000-0000-000070520000}"/>
    <cellStyle name="Header2 24 3 11 2 2 4" xfId="21076" xr:uid="{00000000-0005-0000-0000-000071520000}"/>
    <cellStyle name="Header2 24 3 11 2 2 5" xfId="21077" xr:uid="{00000000-0005-0000-0000-000072520000}"/>
    <cellStyle name="Header2 24 3 11 2 3" xfId="21078" xr:uid="{00000000-0005-0000-0000-000073520000}"/>
    <cellStyle name="Header2 24 3 11 2 3 2" xfId="21079" xr:uid="{00000000-0005-0000-0000-000074520000}"/>
    <cellStyle name="Header2 24 3 11 2 3 3" xfId="21080" xr:uid="{00000000-0005-0000-0000-000075520000}"/>
    <cellStyle name="Header2 24 3 11 2 3 4" xfId="21081" xr:uid="{00000000-0005-0000-0000-000076520000}"/>
    <cellStyle name="Header2 24 3 11 2 4" xfId="21082" xr:uid="{00000000-0005-0000-0000-000077520000}"/>
    <cellStyle name="Header2 24 3 11 2 5" xfId="21083" xr:uid="{00000000-0005-0000-0000-000078520000}"/>
    <cellStyle name="Header2 24 3 11 2 6" xfId="21084" xr:uid="{00000000-0005-0000-0000-000079520000}"/>
    <cellStyle name="Header2 24 3 11 3" xfId="21085" xr:uid="{00000000-0005-0000-0000-00007A520000}"/>
    <cellStyle name="Header2 24 3 11 3 2" xfId="21086" xr:uid="{00000000-0005-0000-0000-00007B520000}"/>
    <cellStyle name="Header2 24 3 11 3 2 2" xfId="21087" xr:uid="{00000000-0005-0000-0000-00007C520000}"/>
    <cellStyle name="Header2 24 3 11 3 2 3" xfId="21088" xr:uid="{00000000-0005-0000-0000-00007D520000}"/>
    <cellStyle name="Header2 24 3 11 3 2 4" xfId="21089" xr:uid="{00000000-0005-0000-0000-00007E520000}"/>
    <cellStyle name="Header2 24 3 11 3 3" xfId="21090" xr:uid="{00000000-0005-0000-0000-00007F520000}"/>
    <cellStyle name="Header2 24 3 11 3 3 2" xfId="21091" xr:uid="{00000000-0005-0000-0000-000080520000}"/>
    <cellStyle name="Header2 24 3 11 3 3 3" xfId="21092" xr:uid="{00000000-0005-0000-0000-000081520000}"/>
    <cellStyle name="Header2 24 3 11 3 3 4" xfId="21093" xr:uid="{00000000-0005-0000-0000-000082520000}"/>
    <cellStyle name="Header2 24 3 11 3 4" xfId="21094" xr:uid="{00000000-0005-0000-0000-000083520000}"/>
    <cellStyle name="Header2 24 3 11 3 5" xfId="21095" xr:uid="{00000000-0005-0000-0000-000084520000}"/>
    <cellStyle name="Header2 24 3 11 3 6" xfId="21096" xr:uid="{00000000-0005-0000-0000-000085520000}"/>
    <cellStyle name="Header2 24 3 11 4" xfId="21097" xr:uid="{00000000-0005-0000-0000-000086520000}"/>
    <cellStyle name="Header2 24 3 11 5" xfId="21098" xr:uid="{00000000-0005-0000-0000-000087520000}"/>
    <cellStyle name="Header2 24 3 12" xfId="21099" xr:uid="{00000000-0005-0000-0000-000088520000}"/>
    <cellStyle name="Header2 24 3 12 2" xfId="21100" xr:uid="{00000000-0005-0000-0000-000089520000}"/>
    <cellStyle name="Header2 24 3 12 2 2" xfId="21101" xr:uid="{00000000-0005-0000-0000-00008A520000}"/>
    <cellStyle name="Header2 24 3 12 2 2 2" xfId="21102" xr:uid="{00000000-0005-0000-0000-00008B520000}"/>
    <cellStyle name="Header2 24 3 12 2 2 3" xfId="21103" xr:uid="{00000000-0005-0000-0000-00008C520000}"/>
    <cellStyle name="Header2 24 3 12 2 2 4" xfId="21104" xr:uid="{00000000-0005-0000-0000-00008D520000}"/>
    <cellStyle name="Header2 24 3 12 2 2 5" xfId="21105" xr:uid="{00000000-0005-0000-0000-00008E520000}"/>
    <cellStyle name="Header2 24 3 12 2 3" xfId="21106" xr:uid="{00000000-0005-0000-0000-00008F520000}"/>
    <cellStyle name="Header2 24 3 12 2 3 2" xfId="21107" xr:uid="{00000000-0005-0000-0000-000090520000}"/>
    <cellStyle name="Header2 24 3 12 2 3 3" xfId="21108" xr:uid="{00000000-0005-0000-0000-000091520000}"/>
    <cellStyle name="Header2 24 3 12 2 3 4" xfId="21109" xr:uid="{00000000-0005-0000-0000-000092520000}"/>
    <cellStyle name="Header2 24 3 12 2 4" xfId="21110" xr:uid="{00000000-0005-0000-0000-000093520000}"/>
    <cellStyle name="Header2 24 3 12 2 5" xfId="21111" xr:uid="{00000000-0005-0000-0000-000094520000}"/>
    <cellStyle name="Header2 24 3 12 2 6" xfId="21112" xr:uid="{00000000-0005-0000-0000-000095520000}"/>
    <cellStyle name="Header2 24 3 12 3" xfId="21113" xr:uid="{00000000-0005-0000-0000-000096520000}"/>
    <cellStyle name="Header2 24 3 12 3 2" xfId="21114" xr:uid="{00000000-0005-0000-0000-000097520000}"/>
    <cellStyle name="Header2 24 3 12 3 2 2" xfId="21115" xr:uid="{00000000-0005-0000-0000-000098520000}"/>
    <cellStyle name="Header2 24 3 12 3 2 3" xfId="21116" xr:uid="{00000000-0005-0000-0000-000099520000}"/>
    <cellStyle name="Header2 24 3 12 3 2 4" xfId="21117" xr:uid="{00000000-0005-0000-0000-00009A520000}"/>
    <cellStyle name="Header2 24 3 12 3 3" xfId="21118" xr:uid="{00000000-0005-0000-0000-00009B520000}"/>
    <cellStyle name="Header2 24 3 12 3 3 2" xfId="21119" xr:uid="{00000000-0005-0000-0000-00009C520000}"/>
    <cellStyle name="Header2 24 3 12 3 3 3" xfId="21120" xr:uid="{00000000-0005-0000-0000-00009D520000}"/>
    <cellStyle name="Header2 24 3 12 3 3 4" xfId="21121" xr:uid="{00000000-0005-0000-0000-00009E520000}"/>
    <cellStyle name="Header2 24 3 12 3 4" xfId="21122" xr:uid="{00000000-0005-0000-0000-00009F520000}"/>
    <cellStyle name="Header2 24 3 12 3 5" xfId="21123" xr:uid="{00000000-0005-0000-0000-0000A0520000}"/>
    <cellStyle name="Header2 24 3 12 3 6" xfId="21124" xr:uid="{00000000-0005-0000-0000-0000A1520000}"/>
    <cellStyle name="Header2 24 3 12 4" xfId="21125" xr:uid="{00000000-0005-0000-0000-0000A2520000}"/>
    <cellStyle name="Header2 24 3 12 5" xfId="21126" xr:uid="{00000000-0005-0000-0000-0000A3520000}"/>
    <cellStyle name="Header2 24 3 13" xfId="58747" xr:uid="{00000000-0005-0000-0000-0000A4520000}"/>
    <cellStyle name="Header2 24 3 2" xfId="21127" xr:uid="{00000000-0005-0000-0000-0000A5520000}"/>
    <cellStyle name="Header2 24 3 2 2" xfId="21128" xr:uid="{00000000-0005-0000-0000-0000A6520000}"/>
    <cellStyle name="Header2 24 3 2 2 2" xfId="21129" xr:uid="{00000000-0005-0000-0000-0000A7520000}"/>
    <cellStyle name="Header2 24 3 2 2 3" xfId="21130" xr:uid="{00000000-0005-0000-0000-0000A8520000}"/>
    <cellStyle name="Header2 24 3 2 3" xfId="21131" xr:uid="{00000000-0005-0000-0000-0000A9520000}"/>
    <cellStyle name="Header2 24 3 3" xfId="21132" xr:uid="{00000000-0005-0000-0000-0000AA520000}"/>
    <cellStyle name="Header2 24 3 3 2" xfId="21133" xr:uid="{00000000-0005-0000-0000-0000AB520000}"/>
    <cellStyle name="Header2 24 3 3 2 2" xfId="21134" xr:uid="{00000000-0005-0000-0000-0000AC520000}"/>
    <cellStyle name="Header2 24 3 3 2 3" xfId="21135" xr:uid="{00000000-0005-0000-0000-0000AD520000}"/>
    <cellStyle name="Header2 24 3 3 3" xfId="21136" xr:uid="{00000000-0005-0000-0000-0000AE520000}"/>
    <cellStyle name="Header2 24 3 4" xfId="21137" xr:uid="{00000000-0005-0000-0000-0000AF520000}"/>
    <cellStyle name="Header2 24 3 4 2" xfId="21138" xr:uid="{00000000-0005-0000-0000-0000B0520000}"/>
    <cellStyle name="Header2 24 3 4 2 2" xfId="21139" xr:uid="{00000000-0005-0000-0000-0000B1520000}"/>
    <cellStyle name="Header2 24 3 4 2 3" xfId="21140" xr:uid="{00000000-0005-0000-0000-0000B2520000}"/>
    <cellStyle name="Header2 24 3 4 3" xfId="21141" xr:uid="{00000000-0005-0000-0000-0000B3520000}"/>
    <cellStyle name="Header2 24 3 5" xfId="21142" xr:uid="{00000000-0005-0000-0000-0000B4520000}"/>
    <cellStyle name="Header2 24 3 5 2" xfId="21143" xr:uid="{00000000-0005-0000-0000-0000B5520000}"/>
    <cellStyle name="Header2 24 3 5 2 2" xfId="21144" xr:uid="{00000000-0005-0000-0000-0000B6520000}"/>
    <cellStyle name="Header2 24 3 5 2 2 2" xfId="21145" xr:uid="{00000000-0005-0000-0000-0000B7520000}"/>
    <cellStyle name="Header2 24 3 5 2 2 3" xfId="21146" xr:uid="{00000000-0005-0000-0000-0000B8520000}"/>
    <cellStyle name="Header2 24 3 5 2 2 4" xfId="21147" xr:uid="{00000000-0005-0000-0000-0000B9520000}"/>
    <cellStyle name="Header2 24 3 5 2 2 5" xfId="21148" xr:uid="{00000000-0005-0000-0000-0000BA520000}"/>
    <cellStyle name="Header2 24 3 5 2 3" xfId="21149" xr:uid="{00000000-0005-0000-0000-0000BB520000}"/>
    <cellStyle name="Header2 24 3 5 2 3 2" xfId="21150" xr:uid="{00000000-0005-0000-0000-0000BC520000}"/>
    <cellStyle name="Header2 24 3 5 2 3 3" xfId="21151" xr:uid="{00000000-0005-0000-0000-0000BD520000}"/>
    <cellStyle name="Header2 24 3 5 2 3 4" xfId="21152" xr:uid="{00000000-0005-0000-0000-0000BE520000}"/>
    <cellStyle name="Header2 24 3 5 2 4" xfId="21153" xr:uid="{00000000-0005-0000-0000-0000BF520000}"/>
    <cellStyle name="Header2 24 3 5 2 5" xfId="21154" xr:uid="{00000000-0005-0000-0000-0000C0520000}"/>
    <cellStyle name="Header2 24 3 5 2 6" xfId="21155" xr:uid="{00000000-0005-0000-0000-0000C1520000}"/>
    <cellStyle name="Header2 24 3 5 3" xfId="21156" xr:uid="{00000000-0005-0000-0000-0000C2520000}"/>
    <cellStyle name="Header2 24 3 5 3 2" xfId="21157" xr:uid="{00000000-0005-0000-0000-0000C3520000}"/>
    <cellStyle name="Header2 24 3 5 3 2 2" xfId="21158" xr:uid="{00000000-0005-0000-0000-0000C4520000}"/>
    <cellStyle name="Header2 24 3 5 3 2 3" xfId="21159" xr:uid="{00000000-0005-0000-0000-0000C5520000}"/>
    <cellStyle name="Header2 24 3 5 3 2 4" xfId="21160" xr:uid="{00000000-0005-0000-0000-0000C6520000}"/>
    <cellStyle name="Header2 24 3 5 3 3" xfId="21161" xr:uid="{00000000-0005-0000-0000-0000C7520000}"/>
    <cellStyle name="Header2 24 3 5 3 3 2" xfId="21162" xr:uid="{00000000-0005-0000-0000-0000C8520000}"/>
    <cellStyle name="Header2 24 3 5 3 3 3" xfId="21163" xr:uid="{00000000-0005-0000-0000-0000C9520000}"/>
    <cellStyle name="Header2 24 3 5 3 3 4" xfId="21164" xr:uid="{00000000-0005-0000-0000-0000CA520000}"/>
    <cellStyle name="Header2 24 3 5 3 4" xfId="21165" xr:uid="{00000000-0005-0000-0000-0000CB520000}"/>
    <cellStyle name="Header2 24 3 5 3 5" xfId="21166" xr:uid="{00000000-0005-0000-0000-0000CC520000}"/>
    <cellStyle name="Header2 24 3 5 3 6" xfId="21167" xr:uid="{00000000-0005-0000-0000-0000CD520000}"/>
    <cellStyle name="Header2 24 3 5 4" xfId="21168" xr:uid="{00000000-0005-0000-0000-0000CE520000}"/>
    <cellStyle name="Header2 24 3 5 5" xfId="21169" xr:uid="{00000000-0005-0000-0000-0000CF520000}"/>
    <cellStyle name="Header2 24 3 6" xfId="21170" xr:uid="{00000000-0005-0000-0000-0000D0520000}"/>
    <cellStyle name="Header2 24 3 6 2" xfId="21171" xr:uid="{00000000-0005-0000-0000-0000D1520000}"/>
    <cellStyle name="Header2 24 3 6 2 2" xfId="21172" xr:uid="{00000000-0005-0000-0000-0000D2520000}"/>
    <cellStyle name="Header2 24 3 6 2 2 2" xfId="21173" xr:uid="{00000000-0005-0000-0000-0000D3520000}"/>
    <cellStyle name="Header2 24 3 6 2 2 3" xfId="21174" xr:uid="{00000000-0005-0000-0000-0000D4520000}"/>
    <cellStyle name="Header2 24 3 6 2 2 4" xfId="21175" xr:uid="{00000000-0005-0000-0000-0000D5520000}"/>
    <cellStyle name="Header2 24 3 6 2 2 5" xfId="21176" xr:uid="{00000000-0005-0000-0000-0000D6520000}"/>
    <cellStyle name="Header2 24 3 6 2 3" xfId="21177" xr:uid="{00000000-0005-0000-0000-0000D7520000}"/>
    <cellStyle name="Header2 24 3 6 2 3 2" xfId="21178" xr:uid="{00000000-0005-0000-0000-0000D8520000}"/>
    <cellStyle name="Header2 24 3 6 2 3 3" xfId="21179" xr:uid="{00000000-0005-0000-0000-0000D9520000}"/>
    <cellStyle name="Header2 24 3 6 2 3 4" xfId="21180" xr:uid="{00000000-0005-0000-0000-0000DA520000}"/>
    <cellStyle name="Header2 24 3 6 2 4" xfId="21181" xr:uid="{00000000-0005-0000-0000-0000DB520000}"/>
    <cellStyle name="Header2 24 3 6 2 5" xfId="21182" xr:uid="{00000000-0005-0000-0000-0000DC520000}"/>
    <cellStyle name="Header2 24 3 6 2 6" xfId="21183" xr:uid="{00000000-0005-0000-0000-0000DD520000}"/>
    <cellStyle name="Header2 24 3 6 3" xfId="21184" xr:uid="{00000000-0005-0000-0000-0000DE520000}"/>
    <cellStyle name="Header2 24 3 6 3 2" xfId="21185" xr:uid="{00000000-0005-0000-0000-0000DF520000}"/>
    <cellStyle name="Header2 24 3 6 3 2 2" xfId="21186" xr:uid="{00000000-0005-0000-0000-0000E0520000}"/>
    <cellStyle name="Header2 24 3 6 3 2 3" xfId="21187" xr:uid="{00000000-0005-0000-0000-0000E1520000}"/>
    <cellStyle name="Header2 24 3 6 3 2 4" xfId="21188" xr:uid="{00000000-0005-0000-0000-0000E2520000}"/>
    <cellStyle name="Header2 24 3 6 3 3" xfId="21189" xr:uid="{00000000-0005-0000-0000-0000E3520000}"/>
    <cellStyle name="Header2 24 3 6 3 3 2" xfId="21190" xr:uid="{00000000-0005-0000-0000-0000E4520000}"/>
    <cellStyle name="Header2 24 3 6 3 3 3" xfId="21191" xr:uid="{00000000-0005-0000-0000-0000E5520000}"/>
    <cellStyle name="Header2 24 3 6 3 3 4" xfId="21192" xr:uid="{00000000-0005-0000-0000-0000E6520000}"/>
    <cellStyle name="Header2 24 3 6 3 4" xfId="21193" xr:uid="{00000000-0005-0000-0000-0000E7520000}"/>
    <cellStyle name="Header2 24 3 6 3 5" xfId="21194" xr:uid="{00000000-0005-0000-0000-0000E8520000}"/>
    <cellStyle name="Header2 24 3 6 3 6" xfId="21195" xr:uid="{00000000-0005-0000-0000-0000E9520000}"/>
    <cellStyle name="Header2 24 3 6 4" xfId="21196" xr:uid="{00000000-0005-0000-0000-0000EA520000}"/>
    <cellStyle name="Header2 24 3 6 5" xfId="21197" xr:uid="{00000000-0005-0000-0000-0000EB520000}"/>
    <cellStyle name="Header2 24 3 7" xfId="21198" xr:uid="{00000000-0005-0000-0000-0000EC520000}"/>
    <cellStyle name="Header2 24 3 7 2" xfId="21199" xr:uid="{00000000-0005-0000-0000-0000ED520000}"/>
    <cellStyle name="Header2 24 3 7 2 2" xfId="21200" xr:uid="{00000000-0005-0000-0000-0000EE520000}"/>
    <cellStyle name="Header2 24 3 7 2 2 2" xfId="21201" xr:uid="{00000000-0005-0000-0000-0000EF520000}"/>
    <cellStyle name="Header2 24 3 7 2 2 3" xfId="21202" xr:uid="{00000000-0005-0000-0000-0000F0520000}"/>
    <cellStyle name="Header2 24 3 7 2 2 4" xfId="21203" xr:uid="{00000000-0005-0000-0000-0000F1520000}"/>
    <cellStyle name="Header2 24 3 7 2 2 5" xfId="21204" xr:uid="{00000000-0005-0000-0000-0000F2520000}"/>
    <cellStyle name="Header2 24 3 7 2 3" xfId="21205" xr:uid="{00000000-0005-0000-0000-0000F3520000}"/>
    <cellStyle name="Header2 24 3 7 2 3 2" xfId="21206" xr:uid="{00000000-0005-0000-0000-0000F4520000}"/>
    <cellStyle name="Header2 24 3 7 2 3 3" xfId="21207" xr:uid="{00000000-0005-0000-0000-0000F5520000}"/>
    <cellStyle name="Header2 24 3 7 2 3 4" xfId="21208" xr:uid="{00000000-0005-0000-0000-0000F6520000}"/>
    <cellStyle name="Header2 24 3 7 2 4" xfId="21209" xr:uid="{00000000-0005-0000-0000-0000F7520000}"/>
    <cellStyle name="Header2 24 3 7 2 5" xfId="21210" xr:uid="{00000000-0005-0000-0000-0000F8520000}"/>
    <cellStyle name="Header2 24 3 7 2 6" xfId="21211" xr:uid="{00000000-0005-0000-0000-0000F9520000}"/>
    <cellStyle name="Header2 24 3 7 3" xfId="21212" xr:uid="{00000000-0005-0000-0000-0000FA520000}"/>
    <cellStyle name="Header2 24 3 7 3 2" xfId="21213" xr:uid="{00000000-0005-0000-0000-0000FB520000}"/>
    <cellStyle name="Header2 24 3 7 3 2 2" xfId="21214" xr:uid="{00000000-0005-0000-0000-0000FC520000}"/>
    <cellStyle name="Header2 24 3 7 3 2 3" xfId="21215" xr:uid="{00000000-0005-0000-0000-0000FD520000}"/>
    <cellStyle name="Header2 24 3 7 3 2 4" xfId="21216" xr:uid="{00000000-0005-0000-0000-0000FE520000}"/>
    <cellStyle name="Header2 24 3 7 3 3" xfId="21217" xr:uid="{00000000-0005-0000-0000-0000FF520000}"/>
    <cellStyle name="Header2 24 3 7 3 3 2" xfId="21218" xr:uid="{00000000-0005-0000-0000-000000530000}"/>
    <cellStyle name="Header2 24 3 7 3 3 3" xfId="21219" xr:uid="{00000000-0005-0000-0000-000001530000}"/>
    <cellStyle name="Header2 24 3 7 3 3 4" xfId="21220" xr:uid="{00000000-0005-0000-0000-000002530000}"/>
    <cellStyle name="Header2 24 3 7 3 4" xfId="21221" xr:uid="{00000000-0005-0000-0000-000003530000}"/>
    <cellStyle name="Header2 24 3 7 3 5" xfId="21222" xr:uid="{00000000-0005-0000-0000-000004530000}"/>
    <cellStyle name="Header2 24 3 7 3 6" xfId="21223" xr:uid="{00000000-0005-0000-0000-000005530000}"/>
    <cellStyle name="Header2 24 3 7 4" xfId="21224" xr:uid="{00000000-0005-0000-0000-000006530000}"/>
    <cellStyle name="Header2 24 3 7 5" xfId="21225" xr:uid="{00000000-0005-0000-0000-000007530000}"/>
    <cellStyle name="Header2 24 3 8" xfId="21226" xr:uid="{00000000-0005-0000-0000-000008530000}"/>
    <cellStyle name="Header2 24 3 8 2" xfId="21227" xr:uid="{00000000-0005-0000-0000-000009530000}"/>
    <cellStyle name="Header2 24 3 8 2 2" xfId="21228" xr:uid="{00000000-0005-0000-0000-00000A530000}"/>
    <cellStyle name="Header2 24 3 8 2 2 2" xfId="21229" xr:uid="{00000000-0005-0000-0000-00000B530000}"/>
    <cellStyle name="Header2 24 3 8 2 2 3" xfId="21230" xr:uid="{00000000-0005-0000-0000-00000C530000}"/>
    <cellStyle name="Header2 24 3 8 2 2 4" xfId="21231" xr:uid="{00000000-0005-0000-0000-00000D530000}"/>
    <cellStyle name="Header2 24 3 8 2 2 5" xfId="21232" xr:uid="{00000000-0005-0000-0000-00000E530000}"/>
    <cellStyle name="Header2 24 3 8 2 3" xfId="21233" xr:uid="{00000000-0005-0000-0000-00000F530000}"/>
    <cellStyle name="Header2 24 3 8 2 3 2" xfId="21234" xr:uid="{00000000-0005-0000-0000-000010530000}"/>
    <cellStyle name="Header2 24 3 8 2 3 3" xfId="21235" xr:uid="{00000000-0005-0000-0000-000011530000}"/>
    <cellStyle name="Header2 24 3 8 2 3 4" xfId="21236" xr:uid="{00000000-0005-0000-0000-000012530000}"/>
    <cellStyle name="Header2 24 3 8 2 4" xfId="21237" xr:uid="{00000000-0005-0000-0000-000013530000}"/>
    <cellStyle name="Header2 24 3 8 2 5" xfId="21238" xr:uid="{00000000-0005-0000-0000-000014530000}"/>
    <cellStyle name="Header2 24 3 8 2 6" xfId="21239" xr:uid="{00000000-0005-0000-0000-000015530000}"/>
    <cellStyle name="Header2 24 3 8 3" xfId="21240" xr:uid="{00000000-0005-0000-0000-000016530000}"/>
    <cellStyle name="Header2 24 3 8 3 2" xfId="21241" xr:uid="{00000000-0005-0000-0000-000017530000}"/>
    <cellStyle name="Header2 24 3 8 3 2 2" xfId="21242" xr:uid="{00000000-0005-0000-0000-000018530000}"/>
    <cellStyle name="Header2 24 3 8 3 2 3" xfId="21243" xr:uid="{00000000-0005-0000-0000-000019530000}"/>
    <cellStyle name="Header2 24 3 8 3 2 4" xfId="21244" xr:uid="{00000000-0005-0000-0000-00001A530000}"/>
    <cellStyle name="Header2 24 3 8 3 3" xfId="21245" xr:uid="{00000000-0005-0000-0000-00001B530000}"/>
    <cellStyle name="Header2 24 3 8 3 3 2" xfId="21246" xr:uid="{00000000-0005-0000-0000-00001C530000}"/>
    <cellStyle name="Header2 24 3 8 3 3 3" xfId="21247" xr:uid="{00000000-0005-0000-0000-00001D530000}"/>
    <cellStyle name="Header2 24 3 8 3 3 4" xfId="21248" xr:uid="{00000000-0005-0000-0000-00001E530000}"/>
    <cellStyle name="Header2 24 3 8 3 4" xfId="21249" xr:uid="{00000000-0005-0000-0000-00001F530000}"/>
    <cellStyle name="Header2 24 3 8 3 5" xfId="21250" xr:uid="{00000000-0005-0000-0000-000020530000}"/>
    <cellStyle name="Header2 24 3 8 3 6" xfId="21251" xr:uid="{00000000-0005-0000-0000-000021530000}"/>
    <cellStyle name="Header2 24 3 8 4" xfId="21252" xr:uid="{00000000-0005-0000-0000-000022530000}"/>
    <cellStyle name="Header2 24 3 8 5" xfId="21253" xr:uid="{00000000-0005-0000-0000-000023530000}"/>
    <cellStyle name="Header2 24 3 9" xfId="21254" xr:uid="{00000000-0005-0000-0000-000024530000}"/>
    <cellStyle name="Header2 24 3 9 2" xfId="21255" xr:uid="{00000000-0005-0000-0000-000025530000}"/>
    <cellStyle name="Header2 24 3 9 2 2" xfId="21256" xr:uid="{00000000-0005-0000-0000-000026530000}"/>
    <cellStyle name="Header2 24 3 9 2 2 2" xfId="21257" xr:uid="{00000000-0005-0000-0000-000027530000}"/>
    <cellStyle name="Header2 24 3 9 2 2 3" xfId="21258" xr:uid="{00000000-0005-0000-0000-000028530000}"/>
    <cellStyle name="Header2 24 3 9 2 2 4" xfId="21259" xr:uid="{00000000-0005-0000-0000-000029530000}"/>
    <cellStyle name="Header2 24 3 9 2 2 5" xfId="21260" xr:uid="{00000000-0005-0000-0000-00002A530000}"/>
    <cellStyle name="Header2 24 3 9 2 3" xfId="21261" xr:uid="{00000000-0005-0000-0000-00002B530000}"/>
    <cellStyle name="Header2 24 3 9 2 3 2" xfId="21262" xr:uid="{00000000-0005-0000-0000-00002C530000}"/>
    <cellStyle name="Header2 24 3 9 2 3 3" xfId="21263" xr:uid="{00000000-0005-0000-0000-00002D530000}"/>
    <cellStyle name="Header2 24 3 9 2 3 4" xfId="21264" xr:uid="{00000000-0005-0000-0000-00002E530000}"/>
    <cellStyle name="Header2 24 3 9 2 4" xfId="21265" xr:uid="{00000000-0005-0000-0000-00002F530000}"/>
    <cellStyle name="Header2 24 3 9 2 5" xfId="21266" xr:uid="{00000000-0005-0000-0000-000030530000}"/>
    <cellStyle name="Header2 24 3 9 2 6" xfId="21267" xr:uid="{00000000-0005-0000-0000-000031530000}"/>
    <cellStyle name="Header2 24 3 9 3" xfId="21268" xr:uid="{00000000-0005-0000-0000-000032530000}"/>
    <cellStyle name="Header2 24 3 9 3 2" xfId="21269" xr:uid="{00000000-0005-0000-0000-000033530000}"/>
    <cellStyle name="Header2 24 3 9 3 2 2" xfId="21270" xr:uid="{00000000-0005-0000-0000-000034530000}"/>
    <cellStyle name="Header2 24 3 9 3 2 3" xfId="21271" xr:uid="{00000000-0005-0000-0000-000035530000}"/>
    <cellStyle name="Header2 24 3 9 3 2 4" xfId="21272" xr:uid="{00000000-0005-0000-0000-000036530000}"/>
    <cellStyle name="Header2 24 3 9 3 3" xfId="21273" xr:uid="{00000000-0005-0000-0000-000037530000}"/>
    <cellStyle name="Header2 24 3 9 3 3 2" xfId="21274" xr:uid="{00000000-0005-0000-0000-000038530000}"/>
    <cellStyle name="Header2 24 3 9 3 3 3" xfId="21275" xr:uid="{00000000-0005-0000-0000-000039530000}"/>
    <cellStyle name="Header2 24 3 9 3 3 4" xfId="21276" xr:uid="{00000000-0005-0000-0000-00003A530000}"/>
    <cellStyle name="Header2 24 3 9 3 4" xfId="21277" xr:uid="{00000000-0005-0000-0000-00003B530000}"/>
    <cellStyle name="Header2 24 3 9 3 5" xfId="21278" xr:uid="{00000000-0005-0000-0000-00003C530000}"/>
    <cellStyle name="Header2 24 3 9 3 6" xfId="21279" xr:uid="{00000000-0005-0000-0000-00003D530000}"/>
    <cellStyle name="Header2 24 3 9 4" xfId="21280" xr:uid="{00000000-0005-0000-0000-00003E530000}"/>
    <cellStyle name="Header2 24 3 9 5" xfId="21281" xr:uid="{00000000-0005-0000-0000-00003F530000}"/>
    <cellStyle name="Header2 25" xfId="21282" xr:uid="{00000000-0005-0000-0000-000040530000}"/>
    <cellStyle name="Header2 25 2" xfId="21283" xr:uid="{00000000-0005-0000-0000-000041530000}"/>
    <cellStyle name="Header2 25 2 10" xfId="21284" xr:uid="{00000000-0005-0000-0000-000042530000}"/>
    <cellStyle name="Header2 25 2 10 2" xfId="21285" xr:uid="{00000000-0005-0000-0000-000043530000}"/>
    <cellStyle name="Header2 25 2 10 2 2" xfId="21286" xr:uid="{00000000-0005-0000-0000-000044530000}"/>
    <cellStyle name="Header2 25 2 10 2 2 2" xfId="21287" xr:uid="{00000000-0005-0000-0000-000045530000}"/>
    <cellStyle name="Header2 25 2 10 2 2 3" xfId="21288" xr:uid="{00000000-0005-0000-0000-000046530000}"/>
    <cellStyle name="Header2 25 2 10 2 2 4" xfId="21289" xr:uid="{00000000-0005-0000-0000-000047530000}"/>
    <cellStyle name="Header2 25 2 10 2 2 5" xfId="21290" xr:uid="{00000000-0005-0000-0000-000048530000}"/>
    <cellStyle name="Header2 25 2 10 2 3" xfId="21291" xr:uid="{00000000-0005-0000-0000-000049530000}"/>
    <cellStyle name="Header2 25 2 10 2 3 2" xfId="21292" xr:uid="{00000000-0005-0000-0000-00004A530000}"/>
    <cellStyle name="Header2 25 2 10 2 3 3" xfId="21293" xr:uid="{00000000-0005-0000-0000-00004B530000}"/>
    <cellStyle name="Header2 25 2 10 2 3 4" xfId="21294" xr:uid="{00000000-0005-0000-0000-00004C530000}"/>
    <cellStyle name="Header2 25 2 10 2 4" xfId="21295" xr:uid="{00000000-0005-0000-0000-00004D530000}"/>
    <cellStyle name="Header2 25 2 10 2 5" xfId="21296" xr:uid="{00000000-0005-0000-0000-00004E530000}"/>
    <cellStyle name="Header2 25 2 10 2 6" xfId="21297" xr:uid="{00000000-0005-0000-0000-00004F530000}"/>
    <cellStyle name="Header2 25 2 10 3" xfId="21298" xr:uid="{00000000-0005-0000-0000-000050530000}"/>
    <cellStyle name="Header2 25 2 10 3 2" xfId="21299" xr:uid="{00000000-0005-0000-0000-000051530000}"/>
    <cellStyle name="Header2 25 2 10 3 2 2" xfId="21300" xr:uid="{00000000-0005-0000-0000-000052530000}"/>
    <cellStyle name="Header2 25 2 10 3 2 3" xfId="21301" xr:uid="{00000000-0005-0000-0000-000053530000}"/>
    <cellStyle name="Header2 25 2 10 3 2 4" xfId="21302" xr:uid="{00000000-0005-0000-0000-000054530000}"/>
    <cellStyle name="Header2 25 2 10 3 3" xfId="21303" xr:uid="{00000000-0005-0000-0000-000055530000}"/>
    <cellStyle name="Header2 25 2 10 3 3 2" xfId="21304" xr:uid="{00000000-0005-0000-0000-000056530000}"/>
    <cellStyle name="Header2 25 2 10 3 3 3" xfId="21305" xr:uid="{00000000-0005-0000-0000-000057530000}"/>
    <cellStyle name="Header2 25 2 10 3 3 4" xfId="21306" xr:uid="{00000000-0005-0000-0000-000058530000}"/>
    <cellStyle name="Header2 25 2 10 3 4" xfId="21307" xr:uid="{00000000-0005-0000-0000-000059530000}"/>
    <cellStyle name="Header2 25 2 10 3 5" xfId="21308" xr:uid="{00000000-0005-0000-0000-00005A530000}"/>
    <cellStyle name="Header2 25 2 10 3 6" xfId="21309" xr:uid="{00000000-0005-0000-0000-00005B530000}"/>
    <cellStyle name="Header2 25 2 10 4" xfId="21310" xr:uid="{00000000-0005-0000-0000-00005C530000}"/>
    <cellStyle name="Header2 25 2 10 5" xfId="21311" xr:uid="{00000000-0005-0000-0000-00005D530000}"/>
    <cellStyle name="Header2 25 2 11" xfId="21312" xr:uid="{00000000-0005-0000-0000-00005E530000}"/>
    <cellStyle name="Header2 25 2 11 2" xfId="21313" xr:uid="{00000000-0005-0000-0000-00005F530000}"/>
    <cellStyle name="Header2 25 2 11 2 2" xfId="21314" xr:uid="{00000000-0005-0000-0000-000060530000}"/>
    <cellStyle name="Header2 25 2 11 2 2 2" xfId="21315" xr:uid="{00000000-0005-0000-0000-000061530000}"/>
    <cellStyle name="Header2 25 2 11 2 2 3" xfId="21316" xr:uid="{00000000-0005-0000-0000-000062530000}"/>
    <cellStyle name="Header2 25 2 11 2 2 4" xfId="21317" xr:uid="{00000000-0005-0000-0000-000063530000}"/>
    <cellStyle name="Header2 25 2 11 2 2 5" xfId="21318" xr:uid="{00000000-0005-0000-0000-000064530000}"/>
    <cellStyle name="Header2 25 2 11 2 3" xfId="21319" xr:uid="{00000000-0005-0000-0000-000065530000}"/>
    <cellStyle name="Header2 25 2 11 2 3 2" xfId="21320" xr:uid="{00000000-0005-0000-0000-000066530000}"/>
    <cellStyle name="Header2 25 2 11 2 3 3" xfId="21321" xr:uid="{00000000-0005-0000-0000-000067530000}"/>
    <cellStyle name="Header2 25 2 11 2 3 4" xfId="21322" xr:uid="{00000000-0005-0000-0000-000068530000}"/>
    <cellStyle name="Header2 25 2 11 2 4" xfId="21323" xr:uid="{00000000-0005-0000-0000-000069530000}"/>
    <cellStyle name="Header2 25 2 11 2 5" xfId="21324" xr:uid="{00000000-0005-0000-0000-00006A530000}"/>
    <cellStyle name="Header2 25 2 11 2 6" xfId="21325" xr:uid="{00000000-0005-0000-0000-00006B530000}"/>
    <cellStyle name="Header2 25 2 11 3" xfId="21326" xr:uid="{00000000-0005-0000-0000-00006C530000}"/>
    <cellStyle name="Header2 25 2 11 3 2" xfId="21327" xr:uid="{00000000-0005-0000-0000-00006D530000}"/>
    <cellStyle name="Header2 25 2 11 3 2 2" xfId="21328" xr:uid="{00000000-0005-0000-0000-00006E530000}"/>
    <cellStyle name="Header2 25 2 11 3 2 3" xfId="21329" xr:uid="{00000000-0005-0000-0000-00006F530000}"/>
    <cellStyle name="Header2 25 2 11 3 2 4" xfId="21330" xr:uid="{00000000-0005-0000-0000-000070530000}"/>
    <cellStyle name="Header2 25 2 11 3 3" xfId="21331" xr:uid="{00000000-0005-0000-0000-000071530000}"/>
    <cellStyle name="Header2 25 2 11 3 3 2" xfId="21332" xr:uid="{00000000-0005-0000-0000-000072530000}"/>
    <cellStyle name="Header2 25 2 11 3 3 3" xfId="21333" xr:uid="{00000000-0005-0000-0000-000073530000}"/>
    <cellStyle name="Header2 25 2 11 3 3 4" xfId="21334" xr:uid="{00000000-0005-0000-0000-000074530000}"/>
    <cellStyle name="Header2 25 2 11 3 4" xfId="21335" xr:uid="{00000000-0005-0000-0000-000075530000}"/>
    <cellStyle name="Header2 25 2 11 3 5" xfId="21336" xr:uid="{00000000-0005-0000-0000-000076530000}"/>
    <cellStyle name="Header2 25 2 11 3 6" xfId="21337" xr:uid="{00000000-0005-0000-0000-000077530000}"/>
    <cellStyle name="Header2 25 2 11 4" xfId="21338" xr:uid="{00000000-0005-0000-0000-000078530000}"/>
    <cellStyle name="Header2 25 2 11 5" xfId="21339" xr:uid="{00000000-0005-0000-0000-000079530000}"/>
    <cellStyle name="Header2 25 2 12" xfId="21340" xr:uid="{00000000-0005-0000-0000-00007A530000}"/>
    <cellStyle name="Header2 25 2 12 2" xfId="21341" xr:uid="{00000000-0005-0000-0000-00007B530000}"/>
    <cellStyle name="Header2 25 2 12 2 2" xfId="21342" xr:uid="{00000000-0005-0000-0000-00007C530000}"/>
    <cellStyle name="Header2 25 2 12 2 2 2" xfId="21343" xr:uid="{00000000-0005-0000-0000-00007D530000}"/>
    <cellStyle name="Header2 25 2 12 2 2 3" xfId="21344" xr:uid="{00000000-0005-0000-0000-00007E530000}"/>
    <cellStyle name="Header2 25 2 12 2 2 4" xfId="21345" xr:uid="{00000000-0005-0000-0000-00007F530000}"/>
    <cellStyle name="Header2 25 2 12 2 2 5" xfId="21346" xr:uid="{00000000-0005-0000-0000-000080530000}"/>
    <cellStyle name="Header2 25 2 12 2 3" xfId="21347" xr:uid="{00000000-0005-0000-0000-000081530000}"/>
    <cellStyle name="Header2 25 2 12 2 3 2" xfId="21348" xr:uid="{00000000-0005-0000-0000-000082530000}"/>
    <cellStyle name="Header2 25 2 12 2 3 3" xfId="21349" xr:uid="{00000000-0005-0000-0000-000083530000}"/>
    <cellStyle name="Header2 25 2 12 2 3 4" xfId="21350" xr:uid="{00000000-0005-0000-0000-000084530000}"/>
    <cellStyle name="Header2 25 2 12 2 4" xfId="21351" xr:uid="{00000000-0005-0000-0000-000085530000}"/>
    <cellStyle name="Header2 25 2 12 2 5" xfId="21352" xr:uid="{00000000-0005-0000-0000-000086530000}"/>
    <cellStyle name="Header2 25 2 12 2 6" xfId="21353" xr:uid="{00000000-0005-0000-0000-000087530000}"/>
    <cellStyle name="Header2 25 2 12 3" xfId="21354" xr:uid="{00000000-0005-0000-0000-000088530000}"/>
    <cellStyle name="Header2 25 2 12 3 2" xfId="21355" xr:uid="{00000000-0005-0000-0000-000089530000}"/>
    <cellStyle name="Header2 25 2 12 3 2 2" xfId="21356" xr:uid="{00000000-0005-0000-0000-00008A530000}"/>
    <cellStyle name="Header2 25 2 12 3 2 3" xfId="21357" xr:uid="{00000000-0005-0000-0000-00008B530000}"/>
    <cellStyle name="Header2 25 2 12 3 2 4" xfId="21358" xr:uid="{00000000-0005-0000-0000-00008C530000}"/>
    <cellStyle name="Header2 25 2 12 3 3" xfId="21359" xr:uid="{00000000-0005-0000-0000-00008D530000}"/>
    <cellStyle name="Header2 25 2 12 3 3 2" xfId="21360" xr:uid="{00000000-0005-0000-0000-00008E530000}"/>
    <cellStyle name="Header2 25 2 12 3 3 3" xfId="21361" xr:uid="{00000000-0005-0000-0000-00008F530000}"/>
    <cellStyle name="Header2 25 2 12 3 3 4" xfId="21362" xr:uid="{00000000-0005-0000-0000-000090530000}"/>
    <cellStyle name="Header2 25 2 12 3 4" xfId="21363" xr:uid="{00000000-0005-0000-0000-000091530000}"/>
    <cellStyle name="Header2 25 2 12 3 5" xfId="21364" xr:uid="{00000000-0005-0000-0000-000092530000}"/>
    <cellStyle name="Header2 25 2 12 3 6" xfId="21365" xr:uid="{00000000-0005-0000-0000-000093530000}"/>
    <cellStyle name="Header2 25 2 12 4" xfId="21366" xr:uid="{00000000-0005-0000-0000-000094530000}"/>
    <cellStyle name="Header2 25 2 12 5" xfId="21367" xr:uid="{00000000-0005-0000-0000-000095530000}"/>
    <cellStyle name="Header2 25 2 13" xfId="21368" xr:uid="{00000000-0005-0000-0000-000096530000}"/>
    <cellStyle name="Header2 25 2 13 2" xfId="21369" xr:uid="{00000000-0005-0000-0000-000097530000}"/>
    <cellStyle name="Header2 25 2 13 2 2" xfId="21370" xr:uid="{00000000-0005-0000-0000-000098530000}"/>
    <cellStyle name="Header2 25 2 13 2 2 2" xfId="21371" xr:uid="{00000000-0005-0000-0000-000099530000}"/>
    <cellStyle name="Header2 25 2 13 2 2 3" xfId="21372" xr:uid="{00000000-0005-0000-0000-00009A530000}"/>
    <cellStyle name="Header2 25 2 13 2 2 4" xfId="21373" xr:uid="{00000000-0005-0000-0000-00009B530000}"/>
    <cellStyle name="Header2 25 2 13 2 2 5" xfId="21374" xr:uid="{00000000-0005-0000-0000-00009C530000}"/>
    <cellStyle name="Header2 25 2 13 2 3" xfId="21375" xr:uid="{00000000-0005-0000-0000-00009D530000}"/>
    <cellStyle name="Header2 25 2 13 2 3 2" xfId="21376" xr:uid="{00000000-0005-0000-0000-00009E530000}"/>
    <cellStyle name="Header2 25 2 13 2 3 3" xfId="21377" xr:uid="{00000000-0005-0000-0000-00009F530000}"/>
    <cellStyle name="Header2 25 2 13 2 3 4" xfId="21378" xr:uid="{00000000-0005-0000-0000-0000A0530000}"/>
    <cellStyle name="Header2 25 2 13 2 4" xfId="21379" xr:uid="{00000000-0005-0000-0000-0000A1530000}"/>
    <cellStyle name="Header2 25 2 13 2 5" xfId="21380" xr:uid="{00000000-0005-0000-0000-0000A2530000}"/>
    <cellStyle name="Header2 25 2 13 2 6" xfId="21381" xr:uid="{00000000-0005-0000-0000-0000A3530000}"/>
    <cellStyle name="Header2 25 2 13 3" xfId="21382" xr:uid="{00000000-0005-0000-0000-0000A4530000}"/>
    <cellStyle name="Header2 25 2 13 3 2" xfId="21383" xr:uid="{00000000-0005-0000-0000-0000A5530000}"/>
    <cellStyle name="Header2 25 2 13 3 2 2" xfId="21384" xr:uid="{00000000-0005-0000-0000-0000A6530000}"/>
    <cellStyle name="Header2 25 2 13 3 2 3" xfId="21385" xr:uid="{00000000-0005-0000-0000-0000A7530000}"/>
    <cellStyle name="Header2 25 2 13 3 2 4" xfId="21386" xr:uid="{00000000-0005-0000-0000-0000A8530000}"/>
    <cellStyle name="Header2 25 2 13 3 3" xfId="21387" xr:uid="{00000000-0005-0000-0000-0000A9530000}"/>
    <cellStyle name="Header2 25 2 13 3 3 2" xfId="21388" xr:uid="{00000000-0005-0000-0000-0000AA530000}"/>
    <cellStyle name="Header2 25 2 13 3 3 3" xfId="21389" xr:uid="{00000000-0005-0000-0000-0000AB530000}"/>
    <cellStyle name="Header2 25 2 13 3 3 4" xfId="21390" xr:uid="{00000000-0005-0000-0000-0000AC530000}"/>
    <cellStyle name="Header2 25 2 13 3 4" xfId="21391" xr:uid="{00000000-0005-0000-0000-0000AD530000}"/>
    <cellStyle name="Header2 25 2 13 3 5" xfId="21392" xr:uid="{00000000-0005-0000-0000-0000AE530000}"/>
    <cellStyle name="Header2 25 2 13 3 6" xfId="21393" xr:uid="{00000000-0005-0000-0000-0000AF530000}"/>
    <cellStyle name="Header2 25 2 13 4" xfId="21394" xr:uid="{00000000-0005-0000-0000-0000B0530000}"/>
    <cellStyle name="Header2 25 2 13 5" xfId="21395" xr:uid="{00000000-0005-0000-0000-0000B1530000}"/>
    <cellStyle name="Header2 25 2 14" xfId="58748" xr:uid="{00000000-0005-0000-0000-0000B2530000}"/>
    <cellStyle name="Header2 25 2 2" xfId="21396" xr:uid="{00000000-0005-0000-0000-0000B3530000}"/>
    <cellStyle name="Header2 25 2 2 2" xfId="21397" xr:uid="{00000000-0005-0000-0000-0000B4530000}"/>
    <cellStyle name="Header2 25 2 2 2 2" xfId="21398" xr:uid="{00000000-0005-0000-0000-0000B5530000}"/>
    <cellStyle name="Header2 25 2 2 2 2 2" xfId="21399" xr:uid="{00000000-0005-0000-0000-0000B6530000}"/>
    <cellStyle name="Header2 25 2 2 2 2 2 2" xfId="21400" xr:uid="{00000000-0005-0000-0000-0000B7530000}"/>
    <cellStyle name="Header2 25 2 2 2 2 2 3" xfId="21401" xr:uid="{00000000-0005-0000-0000-0000B8530000}"/>
    <cellStyle name="Header2 25 2 2 2 2 2 4" xfId="21402" xr:uid="{00000000-0005-0000-0000-0000B9530000}"/>
    <cellStyle name="Header2 25 2 2 2 2 2 5" xfId="21403" xr:uid="{00000000-0005-0000-0000-0000BA530000}"/>
    <cellStyle name="Header2 25 2 2 2 2 3" xfId="21404" xr:uid="{00000000-0005-0000-0000-0000BB530000}"/>
    <cellStyle name="Header2 25 2 2 2 2 3 2" xfId="21405" xr:uid="{00000000-0005-0000-0000-0000BC530000}"/>
    <cellStyle name="Header2 25 2 2 2 2 3 3" xfId="21406" xr:uid="{00000000-0005-0000-0000-0000BD530000}"/>
    <cellStyle name="Header2 25 2 2 2 2 3 4" xfId="21407" xr:uid="{00000000-0005-0000-0000-0000BE530000}"/>
    <cellStyle name="Header2 25 2 2 2 2 4" xfId="21408" xr:uid="{00000000-0005-0000-0000-0000BF530000}"/>
    <cellStyle name="Header2 25 2 2 2 2 5" xfId="21409" xr:uid="{00000000-0005-0000-0000-0000C0530000}"/>
    <cellStyle name="Header2 25 2 2 2 2 6" xfId="21410" xr:uid="{00000000-0005-0000-0000-0000C1530000}"/>
    <cellStyle name="Header2 25 2 2 2 3" xfId="21411" xr:uid="{00000000-0005-0000-0000-0000C2530000}"/>
    <cellStyle name="Header2 25 2 2 2 3 2" xfId="21412" xr:uid="{00000000-0005-0000-0000-0000C3530000}"/>
    <cellStyle name="Header2 25 2 2 2 3 2 2" xfId="21413" xr:uid="{00000000-0005-0000-0000-0000C4530000}"/>
    <cellStyle name="Header2 25 2 2 2 3 2 3" xfId="21414" xr:uid="{00000000-0005-0000-0000-0000C5530000}"/>
    <cellStyle name="Header2 25 2 2 2 3 2 4" xfId="21415" xr:uid="{00000000-0005-0000-0000-0000C6530000}"/>
    <cellStyle name="Header2 25 2 2 2 3 3" xfId="21416" xr:uid="{00000000-0005-0000-0000-0000C7530000}"/>
    <cellStyle name="Header2 25 2 2 2 3 3 2" xfId="21417" xr:uid="{00000000-0005-0000-0000-0000C8530000}"/>
    <cellStyle name="Header2 25 2 2 2 3 3 3" xfId="21418" xr:uid="{00000000-0005-0000-0000-0000C9530000}"/>
    <cellStyle name="Header2 25 2 2 2 3 3 4" xfId="21419" xr:uid="{00000000-0005-0000-0000-0000CA530000}"/>
    <cellStyle name="Header2 25 2 2 2 3 4" xfId="21420" xr:uid="{00000000-0005-0000-0000-0000CB530000}"/>
    <cellStyle name="Header2 25 2 2 2 3 5" xfId="21421" xr:uid="{00000000-0005-0000-0000-0000CC530000}"/>
    <cellStyle name="Header2 25 2 2 2 3 6" xfId="21422" xr:uid="{00000000-0005-0000-0000-0000CD530000}"/>
    <cellStyle name="Header2 25 2 2 2 4" xfId="21423" xr:uid="{00000000-0005-0000-0000-0000CE530000}"/>
    <cellStyle name="Header2 25 2 2 2 5" xfId="21424" xr:uid="{00000000-0005-0000-0000-0000CF530000}"/>
    <cellStyle name="Header2 25 2 2 3" xfId="21425" xr:uid="{00000000-0005-0000-0000-0000D0530000}"/>
    <cellStyle name="Header2 25 2 2 3 2" xfId="21426" xr:uid="{00000000-0005-0000-0000-0000D1530000}"/>
    <cellStyle name="Header2 25 2 2 3 2 2" xfId="21427" xr:uid="{00000000-0005-0000-0000-0000D2530000}"/>
    <cellStyle name="Header2 25 2 2 3 2 2 2" xfId="21428" xr:uid="{00000000-0005-0000-0000-0000D3530000}"/>
    <cellStyle name="Header2 25 2 2 3 2 2 3" xfId="21429" xr:uid="{00000000-0005-0000-0000-0000D4530000}"/>
    <cellStyle name="Header2 25 2 2 3 2 2 4" xfId="21430" xr:uid="{00000000-0005-0000-0000-0000D5530000}"/>
    <cellStyle name="Header2 25 2 2 3 2 2 5" xfId="21431" xr:uid="{00000000-0005-0000-0000-0000D6530000}"/>
    <cellStyle name="Header2 25 2 2 3 2 3" xfId="21432" xr:uid="{00000000-0005-0000-0000-0000D7530000}"/>
    <cellStyle name="Header2 25 2 2 3 2 3 2" xfId="21433" xr:uid="{00000000-0005-0000-0000-0000D8530000}"/>
    <cellStyle name="Header2 25 2 2 3 2 3 3" xfId="21434" xr:uid="{00000000-0005-0000-0000-0000D9530000}"/>
    <cellStyle name="Header2 25 2 2 3 2 3 4" xfId="21435" xr:uid="{00000000-0005-0000-0000-0000DA530000}"/>
    <cellStyle name="Header2 25 2 2 3 2 4" xfId="21436" xr:uid="{00000000-0005-0000-0000-0000DB530000}"/>
    <cellStyle name="Header2 25 2 2 3 2 5" xfId="21437" xr:uid="{00000000-0005-0000-0000-0000DC530000}"/>
    <cellStyle name="Header2 25 2 2 3 2 6" xfId="21438" xr:uid="{00000000-0005-0000-0000-0000DD530000}"/>
    <cellStyle name="Header2 25 2 2 3 3" xfId="21439" xr:uid="{00000000-0005-0000-0000-0000DE530000}"/>
    <cellStyle name="Header2 25 2 2 3 3 2" xfId="21440" xr:uid="{00000000-0005-0000-0000-0000DF530000}"/>
    <cellStyle name="Header2 25 2 2 3 3 2 2" xfId="21441" xr:uid="{00000000-0005-0000-0000-0000E0530000}"/>
    <cellStyle name="Header2 25 2 2 3 3 2 3" xfId="21442" xr:uid="{00000000-0005-0000-0000-0000E1530000}"/>
    <cellStyle name="Header2 25 2 2 3 3 2 4" xfId="21443" xr:uid="{00000000-0005-0000-0000-0000E2530000}"/>
    <cellStyle name="Header2 25 2 2 3 3 3" xfId="21444" xr:uid="{00000000-0005-0000-0000-0000E3530000}"/>
    <cellStyle name="Header2 25 2 2 3 3 3 2" xfId="21445" xr:uid="{00000000-0005-0000-0000-0000E4530000}"/>
    <cellStyle name="Header2 25 2 2 3 3 3 3" xfId="21446" xr:uid="{00000000-0005-0000-0000-0000E5530000}"/>
    <cellStyle name="Header2 25 2 2 3 3 3 4" xfId="21447" xr:uid="{00000000-0005-0000-0000-0000E6530000}"/>
    <cellStyle name="Header2 25 2 2 3 3 4" xfId="21448" xr:uid="{00000000-0005-0000-0000-0000E7530000}"/>
    <cellStyle name="Header2 25 2 2 3 3 5" xfId="21449" xr:uid="{00000000-0005-0000-0000-0000E8530000}"/>
    <cellStyle name="Header2 25 2 2 3 3 6" xfId="21450" xr:uid="{00000000-0005-0000-0000-0000E9530000}"/>
    <cellStyle name="Header2 25 2 2 3 4" xfId="21451" xr:uid="{00000000-0005-0000-0000-0000EA530000}"/>
    <cellStyle name="Header2 25 2 2 3 5" xfId="21452" xr:uid="{00000000-0005-0000-0000-0000EB530000}"/>
    <cellStyle name="Header2 25 2 3" xfId="21453" xr:uid="{00000000-0005-0000-0000-0000EC530000}"/>
    <cellStyle name="Header2 25 2 3 2" xfId="21454" xr:uid="{00000000-0005-0000-0000-0000ED530000}"/>
    <cellStyle name="Header2 25 2 3 2 2" xfId="21455" xr:uid="{00000000-0005-0000-0000-0000EE530000}"/>
    <cellStyle name="Header2 25 2 3 2 3" xfId="21456" xr:uid="{00000000-0005-0000-0000-0000EF530000}"/>
    <cellStyle name="Header2 25 2 3 3" xfId="21457" xr:uid="{00000000-0005-0000-0000-0000F0530000}"/>
    <cellStyle name="Header2 25 2 4" xfId="21458" xr:uid="{00000000-0005-0000-0000-0000F1530000}"/>
    <cellStyle name="Header2 25 2 4 2" xfId="21459" xr:uid="{00000000-0005-0000-0000-0000F2530000}"/>
    <cellStyle name="Header2 25 2 4 2 2" xfId="21460" xr:uid="{00000000-0005-0000-0000-0000F3530000}"/>
    <cellStyle name="Header2 25 2 4 2 3" xfId="21461" xr:uid="{00000000-0005-0000-0000-0000F4530000}"/>
    <cellStyle name="Header2 25 2 4 3" xfId="21462" xr:uid="{00000000-0005-0000-0000-0000F5530000}"/>
    <cellStyle name="Header2 25 2 5" xfId="21463" xr:uid="{00000000-0005-0000-0000-0000F6530000}"/>
    <cellStyle name="Header2 25 2 5 2" xfId="21464" xr:uid="{00000000-0005-0000-0000-0000F7530000}"/>
    <cellStyle name="Header2 25 2 5 2 2" xfId="21465" xr:uid="{00000000-0005-0000-0000-0000F8530000}"/>
    <cellStyle name="Header2 25 2 5 2 3" xfId="21466" xr:uid="{00000000-0005-0000-0000-0000F9530000}"/>
    <cellStyle name="Header2 25 2 5 3" xfId="21467" xr:uid="{00000000-0005-0000-0000-0000FA530000}"/>
    <cellStyle name="Header2 25 2 6" xfId="21468" xr:uid="{00000000-0005-0000-0000-0000FB530000}"/>
    <cellStyle name="Header2 25 2 6 2" xfId="21469" xr:uid="{00000000-0005-0000-0000-0000FC530000}"/>
    <cellStyle name="Header2 25 2 6 2 2" xfId="21470" xr:uid="{00000000-0005-0000-0000-0000FD530000}"/>
    <cellStyle name="Header2 25 2 6 2 2 2" xfId="21471" xr:uid="{00000000-0005-0000-0000-0000FE530000}"/>
    <cellStyle name="Header2 25 2 6 2 2 3" xfId="21472" xr:uid="{00000000-0005-0000-0000-0000FF530000}"/>
    <cellStyle name="Header2 25 2 6 2 2 4" xfId="21473" xr:uid="{00000000-0005-0000-0000-000000540000}"/>
    <cellStyle name="Header2 25 2 6 2 2 5" xfId="21474" xr:uid="{00000000-0005-0000-0000-000001540000}"/>
    <cellStyle name="Header2 25 2 6 2 3" xfId="21475" xr:uid="{00000000-0005-0000-0000-000002540000}"/>
    <cellStyle name="Header2 25 2 6 2 3 2" xfId="21476" xr:uid="{00000000-0005-0000-0000-000003540000}"/>
    <cellStyle name="Header2 25 2 6 2 3 3" xfId="21477" xr:uid="{00000000-0005-0000-0000-000004540000}"/>
    <cellStyle name="Header2 25 2 6 2 3 4" xfId="21478" xr:uid="{00000000-0005-0000-0000-000005540000}"/>
    <cellStyle name="Header2 25 2 6 2 4" xfId="21479" xr:uid="{00000000-0005-0000-0000-000006540000}"/>
    <cellStyle name="Header2 25 2 6 2 5" xfId="21480" xr:uid="{00000000-0005-0000-0000-000007540000}"/>
    <cellStyle name="Header2 25 2 6 2 6" xfId="21481" xr:uid="{00000000-0005-0000-0000-000008540000}"/>
    <cellStyle name="Header2 25 2 6 3" xfId="21482" xr:uid="{00000000-0005-0000-0000-000009540000}"/>
    <cellStyle name="Header2 25 2 6 3 2" xfId="21483" xr:uid="{00000000-0005-0000-0000-00000A540000}"/>
    <cellStyle name="Header2 25 2 6 3 2 2" xfId="21484" xr:uid="{00000000-0005-0000-0000-00000B540000}"/>
    <cellStyle name="Header2 25 2 6 3 2 3" xfId="21485" xr:uid="{00000000-0005-0000-0000-00000C540000}"/>
    <cellStyle name="Header2 25 2 6 3 2 4" xfId="21486" xr:uid="{00000000-0005-0000-0000-00000D540000}"/>
    <cellStyle name="Header2 25 2 6 3 3" xfId="21487" xr:uid="{00000000-0005-0000-0000-00000E540000}"/>
    <cellStyle name="Header2 25 2 6 3 3 2" xfId="21488" xr:uid="{00000000-0005-0000-0000-00000F540000}"/>
    <cellStyle name="Header2 25 2 6 3 3 3" xfId="21489" xr:uid="{00000000-0005-0000-0000-000010540000}"/>
    <cellStyle name="Header2 25 2 6 3 3 4" xfId="21490" xr:uid="{00000000-0005-0000-0000-000011540000}"/>
    <cellStyle name="Header2 25 2 6 3 4" xfId="21491" xr:uid="{00000000-0005-0000-0000-000012540000}"/>
    <cellStyle name="Header2 25 2 6 3 5" xfId="21492" xr:uid="{00000000-0005-0000-0000-000013540000}"/>
    <cellStyle name="Header2 25 2 6 3 6" xfId="21493" xr:uid="{00000000-0005-0000-0000-000014540000}"/>
    <cellStyle name="Header2 25 2 6 4" xfId="21494" xr:uid="{00000000-0005-0000-0000-000015540000}"/>
    <cellStyle name="Header2 25 2 6 5" xfId="21495" xr:uid="{00000000-0005-0000-0000-000016540000}"/>
    <cellStyle name="Header2 25 2 7" xfId="21496" xr:uid="{00000000-0005-0000-0000-000017540000}"/>
    <cellStyle name="Header2 25 2 7 2" xfId="21497" xr:uid="{00000000-0005-0000-0000-000018540000}"/>
    <cellStyle name="Header2 25 2 7 2 2" xfId="21498" xr:uid="{00000000-0005-0000-0000-000019540000}"/>
    <cellStyle name="Header2 25 2 7 2 2 2" xfId="21499" xr:uid="{00000000-0005-0000-0000-00001A540000}"/>
    <cellStyle name="Header2 25 2 7 2 2 3" xfId="21500" xr:uid="{00000000-0005-0000-0000-00001B540000}"/>
    <cellStyle name="Header2 25 2 7 2 2 4" xfId="21501" xr:uid="{00000000-0005-0000-0000-00001C540000}"/>
    <cellStyle name="Header2 25 2 7 2 2 5" xfId="21502" xr:uid="{00000000-0005-0000-0000-00001D540000}"/>
    <cellStyle name="Header2 25 2 7 2 3" xfId="21503" xr:uid="{00000000-0005-0000-0000-00001E540000}"/>
    <cellStyle name="Header2 25 2 7 2 3 2" xfId="21504" xr:uid="{00000000-0005-0000-0000-00001F540000}"/>
    <cellStyle name="Header2 25 2 7 2 3 3" xfId="21505" xr:uid="{00000000-0005-0000-0000-000020540000}"/>
    <cellStyle name="Header2 25 2 7 2 3 4" xfId="21506" xr:uid="{00000000-0005-0000-0000-000021540000}"/>
    <cellStyle name="Header2 25 2 7 2 4" xfId="21507" xr:uid="{00000000-0005-0000-0000-000022540000}"/>
    <cellStyle name="Header2 25 2 7 2 5" xfId="21508" xr:uid="{00000000-0005-0000-0000-000023540000}"/>
    <cellStyle name="Header2 25 2 7 2 6" xfId="21509" xr:uid="{00000000-0005-0000-0000-000024540000}"/>
    <cellStyle name="Header2 25 2 7 3" xfId="21510" xr:uid="{00000000-0005-0000-0000-000025540000}"/>
    <cellStyle name="Header2 25 2 7 3 2" xfId="21511" xr:uid="{00000000-0005-0000-0000-000026540000}"/>
    <cellStyle name="Header2 25 2 7 3 2 2" xfId="21512" xr:uid="{00000000-0005-0000-0000-000027540000}"/>
    <cellStyle name="Header2 25 2 7 3 2 3" xfId="21513" xr:uid="{00000000-0005-0000-0000-000028540000}"/>
    <cellStyle name="Header2 25 2 7 3 2 4" xfId="21514" xr:uid="{00000000-0005-0000-0000-000029540000}"/>
    <cellStyle name="Header2 25 2 7 3 3" xfId="21515" xr:uid="{00000000-0005-0000-0000-00002A540000}"/>
    <cellStyle name="Header2 25 2 7 3 3 2" xfId="21516" xr:uid="{00000000-0005-0000-0000-00002B540000}"/>
    <cellStyle name="Header2 25 2 7 3 3 3" xfId="21517" xr:uid="{00000000-0005-0000-0000-00002C540000}"/>
    <cellStyle name="Header2 25 2 7 3 3 4" xfId="21518" xr:uid="{00000000-0005-0000-0000-00002D540000}"/>
    <cellStyle name="Header2 25 2 7 3 4" xfId="21519" xr:uid="{00000000-0005-0000-0000-00002E540000}"/>
    <cellStyle name="Header2 25 2 7 3 5" xfId="21520" xr:uid="{00000000-0005-0000-0000-00002F540000}"/>
    <cellStyle name="Header2 25 2 7 3 6" xfId="21521" xr:uid="{00000000-0005-0000-0000-000030540000}"/>
    <cellStyle name="Header2 25 2 7 4" xfId="21522" xr:uid="{00000000-0005-0000-0000-000031540000}"/>
    <cellStyle name="Header2 25 2 7 5" xfId="21523" xr:uid="{00000000-0005-0000-0000-000032540000}"/>
    <cellStyle name="Header2 25 2 8" xfId="21524" xr:uid="{00000000-0005-0000-0000-000033540000}"/>
    <cellStyle name="Header2 25 2 8 2" xfId="21525" xr:uid="{00000000-0005-0000-0000-000034540000}"/>
    <cellStyle name="Header2 25 2 8 2 2" xfId="21526" xr:uid="{00000000-0005-0000-0000-000035540000}"/>
    <cellStyle name="Header2 25 2 8 2 2 2" xfId="21527" xr:uid="{00000000-0005-0000-0000-000036540000}"/>
    <cellStyle name="Header2 25 2 8 2 2 3" xfId="21528" xr:uid="{00000000-0005-0000-0000-000037540000}"/>
    <cellStyle name="Header2 25 2 8 2 2 4" xfId="21529" xr:uid="{00000000-0005-0000-0000-000038540000}"/>
    <cellStyle name="Header2 25 2 8 2 2 5" xfId="21530" xr:uid="{00000000-0005-0000-0000-000039540000}"/>
    <cellStyle name="Header2 25 2 8 2 3" xfId="21531" xr:uid="{00000000-0005-0000-0000-00003A540000}"/>
    <cellStyle name="Header2 25 2 8 2 3 2" xfId="21532" xr:uid="{00000000-0005-0000-0000-00003B540000}"/>
    <cellStyle name="Header2 25 2 8 2 3 3" xfId="21533" xr:uid="{00000000-0005-0000-0000-00003C540000}"/>
    <cellStyle name="Header2 25 2 8 2 3 4" xfId="21534" xr:uid="{00000000-0005-0000-0000-00003D540000}"/>
    <cellStyle name="Header2 25 2 8 2 4" xfId="21535" xr:uid="{00000000-0005-0000-0000-00003E540000}"/>
    <cellStyle name="Header2 25 2 8 2 5" xfId="21536" xr:uid="{00000000-0005-0000-0000-00003F540000}"/>
    <cellStyle name="Header2 25 2 8 2 6" xfId="21537" xr:uid="{00000000-0005-0000-0000-000040540000}"/>
    <cellStyle name="Header2 25 2 8 3" xfId="21538" xr:uid="{00000000-0005-0000-0000-000041540000}"/>
    <cellStyle name="Header2 25 2 8 3 2" xfId="21539" xr:uid="{00000000-0005-0000-0000-000042540000}"/>
    <cellStyle name="Header2 25 2 8 3 2 2" xfId="21540" xr:uid="{00000000-0005-0000-0000-000043540000}"/>
    <cellStyle name="Header2 25 2 8 3 2 3" xfId="21541" xr:uid="{00000000-0005-0000-0000-000044540000}"/>
    <cellStyle name="Header2 25 2 8 3 2 4" xfId="21542" xr:uid="{00000000-0005-0000-0000-000045540000}"/>
    <cellStyle name="Header2 25 2 8 3 3" xfId="21543" xr:uid="{00000000-0005-0000-0000-000046540000}"/>
    <cellStyle name="Header2 25 2 8 3 3 2" xfId="21544" xr:uid="{00000000-0005-0000-0000-000047540000}"/>
    <cellStyle name="Header2 25 2 8 3 3 3" xfId="21545" xr:uid="{00000000-0005-0000-0000-000048540000}"/>
    <cellStyle name="Header2 25 2 8 3 3 4" xfId="21546" xr:uid="{00000000-0005-0000-0000-000049540000}"/>
    <cellStyle name="Header2 25 2 8 3 4" xfId="21547" xr:uid="{00000000-0005-0000-0000-00004A540000}"/>
    <cellStyle name="Header2 25 2 8 3 5" xfId="21548" xr:uid="{00000000-0005-0000-0000-00004B540000}"/>
    <cellStyle name="Header2 25 2 8 3 6" xfId="21549" xr:uid="{00000000-0005-0000-0000-00004C540000}"/>
    <cellStyle name="Header2 25 2 8 4" xfId="21550" xr:uid="{00000000-0005-0000-0000-00004D540000}"/>
    <cellStyle name="Header2 25 2 8 5" xfId="21551" xr:uid="{00000000-0005-0000-0000-00004E540000}"/>
    <cellStyle name="Header2 25 2 9" xfId="21552" xr:uid="{00000000-0005-0000-0000-00004F540000}"/>
    <cellStyle name="Header2 25 2 9 2" xfId="21553" xr:uid="{00000000-0005-0000-0000-000050540000}"/>
    <cellStyle name="Header2 25 2 9 2 2" xfId="21554" xr:uid="{00000000-0005-0000-0000-000051540000}"/>
    <cellStyle name="Header2 25 2 9 2 2 2" xfId="21555" xr:uid="{00000000-0005-0000-0000-000052540000}"/>
    <cellStyle name="Header2 25 2 9 2 2 3" xfId="21556" xr:uid="{00000000-0005-0000-0000-000053540000}"/>
    <cellStyle name="Header2 25 2 9 2 2 4" xfId="21557" xr:uid="{00000000-0005-0000-0000-000054540000}"/>
    <cellStyle name="Header2 25 2 9 2 2 5" xfId="21558" xr:uid="{00000000-0005-0000-0000-000055540000}"/>
    <cellStyle name="Header2 25 2 9 2 3" xfId="21559" xr:uid="{00000000-0005-0000-0000-000056540000}"/>
    <cellStyle name="Header2 25 2 9 2 3 2" xfId="21560" xr:uid="{00000000-0005-0000-0000-000057540000}"/>
    <cellStyle name="Header2 25 2 9 2 3 3" xfId="21561" xr:uid="{00000000-0005-0000-0000-000058540000}"/>
    <cellStyle name="Header2 25 2 9 2 3 4" xfId="21562" xr:uid="{00000000-0005-0000-0000-000059540000}"/>
    <cellStyle name="Header2 25 2 9 2 4" xfId="21563" xr:uid="{00000000-0005-0000-0000-00005A540000}"/>
    <cellStyle name="Header2 25 2 9 2 5" xfId="21564" xr:uid="{00000000-0005-0000-0000-00005B540000}"/>
    <cellStyle name="Header2 25 2 9 2 6" xfId="21565" xr:uid="{00000000-0005-0000-0000-00005C540000}"/>
    <cellStyle name="Header2 25 2 9 3" xfId="21566" xr:uid="{00000000-0005-0000-0000-00005D540000}"/>
    <cellStyle name="Header2 25 2 9 3 2" xfId="21567" xr:uid="{00000000-0005-0000-0000-00005E540000}"/>
    <cellStyle name="Header2 25 2 9 3 2 2" xfId="21568" xr:uid="{00000000-0005-0000-0000-00005F540000}"/>
    <cellStyle name="Header2 25 2 9 3 2 3" xfId="21569" xr:uid="{00000000-0005-0000-0000-000060540000}"/>
    <cellStyle name="Header2 25 2 9 3 2 4" xfId="21570" xr:uid="{00000000-0005-0000-0000-000061540000}"/>
    <cellStyle name="Header2 25 2 9 3 3" xfId="21571" xr:uid="{00000000-0005-0000-0000-000062540000}"/>
    <cellStyle name="Header2 25 2 9 3 3 2" xfId="21572" xr:uid="{00000000-0005-0000-0000-000063540000}"/>
    <cellStyle name="Header2 25 2 9 3 3 3" xfId="21573" xr:uid="{00000000-0005-0000-0000-000064540000}"/>
    <cellStyle name="Header2 25 2 9 3 3 4" xfId="21574" xr:uid="{00000000-0005-0000-0000-000065540000}"/>
    <cellStyle name="Header2 25 2 9 3 4" xfId="21575" xr:uid="{00000000-0005-0000-0000-000066540000}"/>
    <cellStyle name="Header2 25 2 9 3 5" xfId="21576" xr:uid="{00000000-0005-0000-0000-000067540000}"/>
    <cellStyle name="Header2 25 2 9 3 6" xfId="21577" xr:uid="{00000000-0005-0000-0000-000068540000}"/>
    <cellStyle name="Header2 25 2 9 4" xfId="21578" xr:uid="{00000000-0005-0000-0000-000069540000}"/>
    <cellStyle name="Header2 25 2 9 5" xfId="21579" xr:uid="{00000000-0005-0000-0000-00006A540000}"/>
    <cellStyle name="Header2 25 3" xfId="21580" xr:uid="{00000000-0005-0000-0000-00006B540000}"/>
    <cellStyle name="Header2 25 3 10" xfId="21581" xr:uid="{00000000-0005-0000-0000-00006C540000}"/>
    <cellStyle name="Header2 25 3 10 2" xfId="21582" xr:uid="{00000000-0005-0000-0000-00006D540000}"/>
    <cellStyle name="Header2 25 3 10 2 2" xfId="21583" xr:uid="{00000000-0005-0000-0000-00006E540000}"/>
    <cellStyle name="Header2 25 3 10 2 2 2" xfId="21584" xr:uid="{00000000-0005-0000-0000-00006F540000}"/>
    <cellStyle name="Header2 25 3 10 2 2 3" xfId="21585" xr:uid="{00000000-0005-0000-0000-000070540000}"/>
    <cellStyle name="Header2 25 3 10 2 2 4" xfId="21586" xr:uid="{00000000-0005-0000-0000-000071540000}"/>
    <cellStyle name="Header2 25 3 10 2 2 5" xfId="21587" xr:uid="{00000000-0005-0000-0000-000072540000}"/>
    <cellStyle name="Header2 25 3 10 2 3" xfId="21588" xr:uid="{00000000-0005-0000-0000-000073540000}"/>
    <cellStyle name="Header2 25 3 10 2 3 2" xfId="21589" xr:uid="{00000000-0005-0000-0000-000074540000}"/>
    <cellStyle name="Header2 25 3 10 2 3 3" xfId="21590" xr:uid="{00000000-0005-0000-0000-000075540000}"/>
    <cellStyle name="Header2 25 3 10 2 3 4" xfId="21591" xr:uid="{00000000-0005-0000-0000-000076540000}"/>
    <cellStyle name="Header2 25 3 10 2 4" xfId="21592" xr:uid="{00000000-0005-0000-0000-000077540000}"/>
    <cellStyle name="Header2 25 3 10 2 5" xfId="21593" xr:uid="{00000000-0005-0000-0000-000078540000}"/>
    <cellStyle name="Header2 25 3 10 2 6" xfId="21594" xr:uid="{00000000-0005-0000-0000-000079540000}"/>
    <cellStyle name="Header2 25 3 10 3" xfId="21595" xr:uid="{00000000-0005-0000-0000-00007A540000}"/>
    <cellStyle name="Header2 25 3 10 3 2" xfId="21596" xr:uid="{00000000-0005-0000-0000-00007B540000}"/>
    <cellStyle name="Header2 25 3 10 3 2 2" xfId="21597" xr:uid="{00000000-0005-0000-0000-00007C540000}"/>
    <cellStyle name="Header2 25 3 10 3 2 3" xfId="21598" xr:uid="{00000000-0005-0000-0000-00007D540000}"/>
    <cellStyle name="Header2 25 3 10 3 2 4" xfId="21599" xr:uid="{00000000-0005-0000-0000-00007E540000}"/>
    <cellStyle name="Header2 25 3 10 3 3" xfId="21600" xr:uid="{00000000-0005-0000-0000-00007F540000}"/>
    <cellStyle name="Header2 25 3 10 3 3 2" xfId="21601" xr:uid="{00000000-0005-0000-0000-000080540000}"/>
    <cellStyle name="Header2 25 3 10 3 3 3" xfId="21602" xr:uid="{00000000-0005-0000-0000-000081540000}"/>
    <cellStyle name="Header2 25 3 10 3 3 4" xfId="21603" xr:uid="{00000000-0005-0000-0000-000082540000}"/>
    <cellStyle name="Header2 25 3 10 3 4" xfId="21604" xr:uid="{00000000-0005-0000-0000-000083540000}"/>
    <cellStyle name="Header2 25 3 10 3 5" xfId="21605" xr:uid="{00000000-0005-0000-0000-000084540000}"/>
    <cellStyle name="Header2 25 3 10 3 6" xfId="21606" xr:uid="{00000000-0005-0000-0000-000085540000}"/>
    <cellStyle name="Header2 25 3 10 4" xfId="21607" xr:uid="{00000000-0005-0000-0000-000086540000}"/>
    <cellStyle name="Header2 25 3 10 5" xfId="21608" xr:uid="{00000000-0005-0000-0000-000087540000}"/>
    <cellStyle name="Header2 25 3 11" xfId="21609" xr:uid="{00000000-0005-0000-0000-000088540000}"/>
    <cellStyle name="Header2 25 3 11 2" xfId="21610" xr:uid="{00000000-0005-0000-0000-000089540000}"/>
    <cellStyle name="Header2 25 3 11 2 2" xfId="21611" xr:uid="{00000000-0005-0000-0000-00008A540000}"/>
    <cellStyle name="Header2 25 3 11 2 2 2" xfId="21612" xr:uid="{00000000-0005-0000-0000-00008B540000}"/>
    <cellStyle name="Header2 25 3 11 2 2 3" xfId="21613" xr:uid="{00000000-0005-0000-0000-00008C540000}"/>
    <cellStyle name="Header2 25 3 11 2 2 4" xfId="21614" xr:uid="{00000000-0005-0000-0000-00008D540000}"/>
    <cellStyle name="Header2 25 3 11 2 2 5" xfId="21615" xr:uid="{00000000-0005-0000-0000-00008E540000}"/>
    <cellStyle name="Header2 25 3 11 2 3" xfId="21616" xr:uid="{00000000-0005-0000-0000-00008F540000}"/>
    <cellStyle name="Header2 25 3 11 2 3 2" xfId="21617" xr:uid="{00000000-0005-0000-0000-000090540000}"/>
    <cellStyle name="Header2 25 3 11 2 3 3" xfId="21618" xr:uid="{00000000-0005-0000-0000-000091540000}"/>
    <cellStyle name="Header2 25 3 11 2 3 4" xfId="21619" xr:uid="{00000000-0005-0000-0000-000092540000}"/>
    <cellStyle name="Header2 25 3 11 2 4" xfId="21620" xr:uid="{00000000-0005-0000-0000-000093540000}"/>
    <cellStyle name="Header2 25 3 11 2 5" xfId="21621" xr:uid="{00000000-0005-0000-0000-000094540000}"/>
    <cellStyle name="Header2 25 3 11 2 6" xfId="21622" xr:uid="{00000000-0005-0000-0000-000095540000}"/>
    <cellStyle name="Header2 25 3 11 3" xfId="21623" xr:uid="{00000000-0005-0000-0000-000096540000}"/>
    <cellStyle name="Header2 25 3 11 3 2" xfId="21624" xr:uid="{00000000-0005-0000-0000-000097540000}"/>
    <cellStyle name="Header2 25 3 11 3 2 2" xfId="21625" xr:uid="{00000000-0005-0000-0000-000098540000}"/>
    <cellStyle name="Header2 25 3 11 3 2 3" xfId="21626" xr:uid="{00000000-0005-0000-0000-000099540000}"/>
    <cellStyle name="Header2 25 3 11 3 2 4" xfId="21627" xr:uid="{00000000-0005-0000-0000-00009A540000}"/>
    <cellStyle name="Header2 25 3 11 3 3" xfId="21628" xr:uid="{00000000-0005-0000-0000-00009B540000}"/>
    <cellStyle name="Header2 25 3 11 3 3 2" xfId="21629" xr:uid="{00000000-0005-0000-0000-00009C540000}"/>
    <cellStyle name="Header2 25 3 11 3 3 3" xfId="21630" xr:uid="{00000000-0005-0000-0000-00009D540000}"/>
    <cellStyle name="Header2 25 3 11 3 3 4" xfId="21631" xr:uid="{00000000-0005-0000-0000-00009E540000}"/>
    <cellStyle name="Header2 25 3 11 3 4" xfId="21632" xr:uid="{00000000-0005-0000-0000-00009F540000}"/>
    <cellStyle name="Header2 25 3 11 3 5" xfId="21633" xr:uid="{00000000-0005-0000-0000-0000A0540000}"/>
    <cellStyle name="Header2 25 3 11 3 6" xfId="21634" xr:uid="{00000000-0005-0000-0000-0000A1540000}"/>
    <cellStyle name="Header2 25 3 11 4" xfId="21635" xr:uid="{00000000-0005-0000-0000-0000A2540000}"/>
    <cellStyle name="Header2 25 3 11 5" xfId="21636" xr:uid="{00000000-0005-0000-0000-0000A3540000}"/>
    <cellStyle name="Header2 25 3 12" xfId="21637" xr:uid="{00000000-0005-0000-0000-0000A4540000}"/>
    <cellStyle name="Header2 25 3 12 2" xfId="21638" xr:uid="{00000000-0005-0000-0000-0000A5540000}"/>
    <cellStyle name="Header2 25 3 12 2 2" xfId="21639" xr:uid="{00000000-0005-0000-0000-0000A6540000}"/>
    <cellStyle name="Header2 25 3 12 2 2 2" xfId="21640" xr:uid="{00000000-0005-0000-0000-0000A7540000}"/>
    <cellStyle name="Header2 25 3 12 2 2 3" xfId="21641" xr:uid="{00000000-0005-0000-0000-0000A8540000}"/>
    <cellStyle name="Header2 25 3 12 2 2 4" xfId="21642" xr:uid="{00000000-0005-0000-0000-0000A9540000}"/>
    <cellStyle name="Header2 25 3 12 2 2 5" xfId="21643" xr:uid="{00000000-0005-0000-0000-0000AA540000}"/>
    <cellStyle name="Header2 25 3 12 2 3" xfId="21644" xr:uid="{00000000-0005-0000-0000-0000AB540000}"/>
    <cellStyle name="Header2 25 3 12 2 3 2" xfId="21645" xr:uid="{00000000-0005-0000-0000-0000AC540000}"/>
    <cellStyle name="Header2 25 3 12 2 3 3" xfId="21646" xr:uid="{00000000-0005-0000-0000-0000AD540000}"/>
    <cellStyle name="Header2 25 3 12 2 3 4" xfId="21647" xr:uid="{00000000-0005-0000-0000-0000AE540000}"/>
    <cellStyle name="Header2 25 3 12 2 4" xfId="21648" xr:uid="{00000000-0005-0000-0000-0000AF540000}"/>
    <cellStyle name="Header2 25 3 12 2 5" xfId="21649" xr:uid="{00000000-0005-0000-0000-0000B0540000}"/>
    <cellStyle name="Header2 25 3 12 2 6" xfId="21650" xr:uid="{00000000-0005-0000-0000-0000B1540000}"/>
    <cellStyle name="Header2 25 3 12 3" xfId="21651" xr:uid="{00000000-0005-0000-0000-0000B2540000}"/>
    <cellStyle name="Header2 25 3 12 3 2" xfId="21652" xr:uid="{00000000-0005-0000-0000-0000B3540000}"/>
    <cellStyle name="Header2 25 3 12 3 2 2" xfId="21653" xr:uid="{00000000-0005-0000-0000-0000B4540000}"/>
    <cellStyle name="Header2 25 3 12 3 2 3" xfId="21654" xr:uid="{00000000-0005-0000-0000-0000B5540000}"/>
    <cellStyle name="Header2 25 3 12 3 2 4" xfId="21655" xr:uid="{00000000-0005-0000-0000-0000B6540000}"/>
    <cellStyle name="Header2 25 3 12 3 3" xfId="21656" xr:uid="{00000000-0005-0000-0000-0000B7540000}"/>
    <cellStyle name="Header2 25 3 12 3 3 2" xfId="21657" xr:uid="{00000000-0005-0000-0000-0000B8540000}"/>
    <cellStyle name="Header2 25 3 12 3 3 3" xfId="21658" xr:uid="{00000000-0005-0000-0000-0000B9540000}"/>
    <cellStyle name="Header2 25 3 12 3 3 4" xfId="21659" xr:uid="{00000000-0005-0000-0000-0000BA540000}"/>
    <cellStyle name="Header2 25 3 12 3 4" xfId="21660" xr:uid="{00000000-0005-0000-0000-0000BB540000}"/>
    <cellStyle name="Header2 25 3 12 3 5" xfId="21661" xr:uid="{00000000-0005-0000-0000-0000BC540000}"/>
    <cellStyle name="Header2 25 3 12 3 6" xfId="21662" xr:uid="{00000000-0005-0000-0000-0000BD540000}"/>
    <cellStyle name="Header2 25 3 12 4" xfId="21663" xr:uid="{00000000-0005-0000-0000-0000BE540000}"/>
    <cellStyle name="Header2 25 3 12 5" xfId="21664" xr:uid="{00000000-0005-0000-0000-0000BF540000}"/>
    <cellStyle name="Header2 25 3 13" xfId="58749" xr:uid="{00000000-0005-0000-0000-0000C0540000}"/>
    <cellStyle name="Header2 25 3 2" xfId="21665" xr:uid="{00000000-0005-0000-0000-0000C1540000}"/>
    <cellStyle name="Header2 25 3 2 2" xfId="21666" xr:uid="{00000000-0005-0000-0000-0000C2540000}"/>
    <cellStyle name="Header2 25 3 2 2 2" xfId="21667" xr:uid="{00000000-0005-0000-0000-0000C3540000}"/>
    <cellStyle name="Header2 25 3 2 2 3" xfId="21668" xr:uid="{00000000-0005-0000-0000-0000C4540000}"/>
    <cellStyle name="Header2 25 3 2 3" xfId="21669" xr:uid="{00000000-0005-0000-0000-0000C5540000}"/>
    <cellStyle name="Header2 25 3 3" xfId="21670" xr:uid="{00000000-0005-0000-0000-0000C6540000}"/>
    <cellStyle name="Header2 25 3 3 2" xfId="21671" xr:uid="{00000000-0005-0000-0000-0000C7540000}"/>
    <cellStyle name="Header2 25 3 3 2 2" xfId="21672" xr:uid="{00000000-0005-0000-0000-0000C8540000}"/>
    <cellStyle name="Header2 25 3 3 2 3" xfId="21673" xr:uid="{00000000-0005-0000-0000-0000C9540000}"/>
    <cellStyle name="Header2 25 3 3 3" xfId="21674" xr:uid="{00000000-0005-0000-0000-0000CA540000}"/>
    <cellStyle name="Header2 25 3 4" xfId="21675" xr:uid="{00000000-0005-0000-0000-0000CB540000}"/>
    <cellStyle name="Header2 25 3 4 2" xfId="21676" xr:uid="{00000000-0005-0000-0000-0000CC540000}"/>
    <cellStyle name="Header2 25 3 4 2 2" xfId="21677" xr:uid="{00000000-0005-0000-0000-0000CD540000}"/>
    <cellStyle name="Header2 25 3 4 2 3" xfId="21678" xr:uid="{00000000-0005-0000-0000-0000CE540000}"/>
    <cellStyle name="Header2 25 3 4 3" xfId="21679" xr:uid="{00000000-0005-0000-0000-0000CF540000}"/>
    <cellStyle name="Header2 25 3 5" xfId="21680" xr:uid="{00000000-0005-0000-0000-0000D0540000}"/>
    <cellStyle name="Header2 25 3 5 2" xfId="21681" xr:uid="{00000000-0005-0000-0000-0000D1540000}"/>
    <cellStyle name="Header2 25 3 5 2 2" xfId="21682" xr:uid="{00000000-0005-0000-0000-0000D2540000}"/>
    <cellStyle name="Header2 25 3 5 2 2 2" xfId="21683" xr:uid="{00000000-0005-0000-0000-0000D3540000}"/>
    <cellStyle name="Header2 25 3 5 2 2 3" xfId="21684" xr:uid="{00000000-0005-0000-0000-0000D4540000}"/>
    <cellStyle name="Header2 25 3 5 2 2 4" xfId="21685" xr:uid="{00000000-0005-0000-0000-0000D5540000}"/>
    <cellStyle name="Header2 25 3 5 2 2 5" xfId="21686" xr:uid="{00000000-0005-0000-0000-0000D6540000}"/>
    <cellStyle name="Header2 25 3 5 2 3" xfId="21687" xr:uid="{00000000-0005-0000-0000-0000D7540000}"/>
    <cellStyle name="Header2 25 3 5 2 3 2" xfId="21688" xr:uid="{00000000-0005-0000-0000-0000D8540000}"/>
    <cellStyle name="Header2 25 3 5 2 3 3" xfId="21689" xr:uid="{00000000-0005-0000-0000-0000D9540000}"/>
    <cellStyle name="Header2 25 3 5 2 3 4" xfId="21690" xr:uid="{00000000-0005-0000-0000-0000DA540000}"/>
    <cellStyle name="Header2 25 3 5 2 4" xfId="21691" xr:uid="{00000000-0005-0000-0000-0000DB540000}"/>
    <cellStyle name="Header2 25 3 5 2 5" xfId="21692" xr:uid="{00000000-0005-0000-0000-0000DC540000}"/>
    <cellStyle name="Header2 25 3 5 2 6" xfId="21693" xr:uid="{00000000-0005-0000-0000-0000DD540000}"/>
    <cellStyle name="Header2 25 3 5 3" xfId="21694" xr:uid="{00000000-0005-0000-0000-0000DE540000}"/>
    <cellStyle name="Header2 25 3 5 3 2" xfId="21695" xr:uid="{00000000-0005-0000-0000-0000DF540000}"/>
    <cellStyle name="Header2 25 3 5 3 2 2" xfId="21696" xr:uid="{00000000-0005-0000-0000-0000E0540000}"/>
    <cellStyle name="Header2 25 3 5 3 2 3" xfId="21697" xr:uid="{00000000-0005-0000-0000-0000E1540000}"/>
    <cellStyle name="Header2 25 3 5 3 2 4" xfId="21698" xr:uid="{00000000-0005-0000-0000-0000E2540000}"/>
    <cellStyle name="Header2 25 3 5 3 3" xfId="21699" xr:uid="{00000000-0005-0000-0000-0000E3540000}"/>
    <cellStyle name="Header2 25 3 5 3 3 2" xfId="21700" xr:uid="{00000000-0005-0000-0000-0000E4540000}"/>
    <cellStyle name="Header2 25 3 5 3 3 3" xfId="21701" xr:uid="{00000000-0005-0000-0000-0000E5540000}"/>
    <cellStyle name="Header2 25 3 5 3 3 4" xfId="21702" xr:uid="{00000000-0005-0000-0000-0000E6540000}"/>
    <cellStyle name="Header2 25 3 5 3 4" xfId="21703" xr:uid="{00000000-0005-0000-0000-0000E7540000}"/>
    <cellStyle name="Header2 25 3 5 3 5" xfId="21704" xr:uid="{00000000-0005-0000-0000-0000E8540000}"/>
    <cellStyle name="Header2 25 3 5 3 6" xfId="21705" xr:uid="{00000000-0005-0000-0000-0000E9540000}"/>
    <cellStyle name="Header2 25 3 5 4" xfId="21706" xr:uid="{00000000-0005-0000-0000-0000EA540000}"/>
    <cellStyle name="Header2 25 3 5 5" xfId="21707" xr:uid="{00000000-0005-0000-0000-0000EB540000}"/>
    <cellStyle name="Header2 25 3 6" xfId="21708" xr:uid="{00000000-0005-0000-0000-0000EC540000}"/>
    <cellStyle name="Header2 25 3 6 2" xfId="21709" xr:uid="{00000000-0005-0000-0000-0000ED540000}"/>
    <cellStyle name="Header2 25 3 6 2 2" xfId="21710" xr:uid="{00000000-0005-0000-0000-0000EE540000}"/>
    <cellStyle name="Header2 25 3 6 2 2 2" xfId="21711" xr:uid="{00000000-0005-0000-0000-0000EF540000}"/>
    <cellStyle name="Header2 25 3 6 2 2 3" xfId="21712" xr:uid="{00000000-0005-0000-0000-0000F0540000}"/>
    <cellStyle name="Header2 25 3 6 2 2 4" xfId="21713" xr:uid="{00000000-0005-0000-0000-0000F1540000}"/>
    <cellStyle name="Header2 25 3 6 2 2 5" xfId="21714" xr:uid="{00000000-0005-0000-0000-0000F2540000}"/>
    <cellStyle name="Header2 25 3 6 2 3" xfId="21715" xr:uid="{00000000-0005-0000-0000-0000F3540000}"/>
    <cellStyle name="Header2 25 3 6 2 3 2" xfId="21716" xr:uid="{00000000-0005-0000-0000-0000F4540000}"/>
    <cellStyle name="Header2 25 3 6 2 3 3" xfId="21717" xr:uid="{00000000-0005-0000-0000-0000F5540000}"/>
    <cellStyle name="Header2 25 3 6 2 3 4" xfId="21718" xr:uid="{00000000-0005-0000-0000-0000F6540000}"/>
    <cellStyle name="Header2 25 3 6 2 4" xfId="21719" xr:uid="{00000000-0005-0000-0000-0000F7540000}"/>
    <cellStyle name="Header2 25 3 6 2 5" xfId="21720" xr:uid="{00000000-0005-0000-0000-0000F8540000}"/>
    <cellStyle name="Header2 25 3 6 2 6" xfId="21721" xr:uid="{00000000-0005-0000-0000-0000F9540000}"/>
    <cellStyle name="Header2 25 3 6 3" xfId="21722" xr:uid="{00000000-0005-0000-0000-0000FA540000}"/>
    <cellStyle name="Header2 25 3 6 3 2" xfId="21723" xr:uid="{00000000-0005-0000-0000-0000FB540000}"/>
    <cellStyle name="Header2 25 3 6 3 2 2" xfId="21724" xr:uid="{00000000-0005-0000-0000-0000FC540000}"/>
    <cellStyle name="Header2 25 3 6 3 2 3" xfId="21725" xr:uid="{00000000-0005-0000-0000-0000FD540000}"/>
    <cellStyle name="Header2 25 3 6 3 2 4" xfId="21726" xr:uid="{00000000-0005-0000-0000-0000FE540000}"/>
    <cellStyle name="Header2 25 3 6 3 3" xfId="21727" xr:uid="{00000000-0005-0000-0000-0000FF540000}"/>
    <cellStyle name="Header2 25 3 6 3 3 2" xfId="21728" xr:uid="{00000000-0005-0000-0000-000000550000}"/>
    <cellStyle name="Header2 25 3 6 3 3 3" xfId="21729" xr:uid="{00000000-0005-0000-0000-000001550000}"/>
    <cellStyle name="Header2 25 3 6 3 3 4" xfId="21730" xr:uid="{00000000-0005-0000-0000-000002550000}"/>
    <cellStyle name="Header2 25 3 6 3 4" xfId="21731" xr:uid="{00000000-0005-0000-0000-000003550000}"/>
    <cellStyle name="Header2 25 3 6 3 5" xfId="21732" xr:uid="{00000000-0005-0000-0000-000004550000}"/>
    <cellStyle name="Header2 25 3 6 3 6" xfId="21733" xr:uid="{00000000-0005-0000-0000-000005550000}"/>
    <cellStyle name="Header2 25 3 6 4" xfId="21734" xr:uid="{00000000-0005-0000-0000-000006550000}"/>
    <cellStyle name="Header2 25 3 6 5" xfId="21735" xr:uid="{00000000-0005-0000-0000-000007550000}"/>
    <cellStyle name="Header2 25 3 7" xfId="21736" xr:uid="{00000000-0005-0000-0000-000008550000}"/>
    <cellStyle name="Header2 25 3 7 2" xfId="21737" xr:uid="{00000000-0005-0000-0000-000009550000}"/>
    <cellStyle name="Header2 25 3 7 2 2" xfId="21738" xr:uid="{00000000-0005-0000-0000-00000A550000}"/>
    <cellStyle name="Header2 25 3 7 2 2 2" xfId="21739" xr:uid="{00000000-0005-0000-0000-00000B550000}"/>
    <cellStyle name="Header2 25 3 7 2 2 3" xfId="21740" xr:uid="{00000000-0005-0000-0000-00000C550000}"/>
    <cellStyle name="Header2 25 3 7 2 2 4" xfId="21741" xr:uid="{00000000-0005-0000-0000-00000D550000}"/>
    <cellStyle name="Header2 25 3 7 2 2 5" xfId="21742" xr:uid="{00000000-0005-0000-0000-00000E550000}"/>
    <cellStyle name="Header2 25 3 7 2 3" xfId="21743" xr:uid="{00000000-0005-0000-0000-00000F550000}"/>
    <cellStyle name="Header2 25 3 7 2 3 2" xfId="21744" xr:uid="{00000000-0005-0000-0000-000010550000}"/>
    <cellStyle name="Header2 25 3 7 2 3 3" xfId="21745" xr:uid="{00000000-0005-0000-0000-000011550000}"/>
    <cellStyle name="Header2 25 3 7 2 3 4" xfId="21746" xr:uid="{00000000-0005-0000-0000-000012550000}"/>
    <cellStyle name="Header2 25 3 7 2 4" xfId="21747" xr:uid="{00000000-0005-0000-0000-000013550000}"/>
    <cellStyle name="Header2 25 3 7 2 5" xfId="21748" xr:uid="{00000000-0005-0000-0000-000014550000}"/>
    <cellStyle name="Header2 25 3 7 2 6" xfId="21749" xr:uid="{00000000-0005-0000-0000-000015550000}"/>
    <cellStyle name="Header2 25 3 7 3" xfId="21750" xr:uid="{00000000-0005-0000-0000-000016550000}"/>
    <cellStyle name="Header2 25 3 7 3 2" xfId="21751" xr:uid="{00000000-0005-0000-0000-000017550000}"/>
    <cellStyle name="Header2 25 3 7 3 2 2" xfId="21752" xr:uid="{00000000-0005-0000-0000-000018550000}"/>
    <cellStyle name="Header2 25 3 7 3 2 3" xfId="21753" xr:uid="{00000000-0005-0000-0000-000019550000}"/>
    <cellStyle name="Header2 25 3 7 3 2 4" xfId="21754" xr:uid="{00000000-0005-0000-0000-00001A550000}"/>
    <cellStyle name="Header2 25 3 7 3 3" xfId="21755" xr:uid="{00000000-0005-0000-0000-00001B550000}"/>
    <cellStyle name="Header2 25 3 7 3 3 2" xfId="21756" xr:uid="{00000000-0005-0000-0000-00001C550000}"/>
    <cellStyle name="Header2 25 3 7 3 3 3" xfId="21757" xr:uid="{00000000-0005-0000-0000-00001D550000}"/>
    <cellStyle name="Header2 25 3 7 3 3 4" xfId="21758" xr:uid="{00000000-0005-0000-0000-00001E550000}"/>
    <cellStyle name="Header2 25 3 7 3 4" xfId="21759" xr:uid="{00000000-0005-0000-0000-00001F550000}"/>
    <cellStyle name="Header2 25 3 7 3 5" xfId="21760" xr:uid="{00000000-0005-0000-0000-000020550000}"/>
    <cellStyle name="Header2 25 3 7 3 6" xfId="21761" xr:uid="{00000000-0005-0000-0000-000021550000}"/>
    <cellStyle name="Header2 25 3 7 4" xfId="21762" xr:uid="{00000000-0005-0000-0000-000022550000}"/>
    <cellStyle name="Header2 25 3 7 5" xfId="21763" xr:uid="{00000000-0005-0000-0000-000023550000}"/>
    <cellStyle name="Header2 25 3 8" xfId="21764" xr:uid="{00000000-0005-0000-0000-000024550000}"/>
    <cellStyle name="Header2 25 3 8 2" xfId="21765" xr:uid="{00000000-0005-0000-0000-000025550000}"/>
    <cellStyle name="Header2 25 3 8 2 2" xfId="21766" xr:uid="{00000000-0005-0000-0000-000026550000}"/>
    <cellStyle name="Header2 25 3 8 2 2 2" xfId="21767" xr:uid="{00000000-0005-0000-0000-000027550000}"/>
    <cellStyle name="Header2 25 3 8 2 2 3" xfId="21768" xr:uid="{00000000-0005-0000-0000-000028550000}"/>
    <cellStyle name="Header2 25 3 8 2 2 4" xfId="21769" xr:uid="{00000000-0005-0000-0000-000029550000}"/>
    <cellStyle name="Header2 25 3 8 2 2 5" xfId="21770" xr:uid="{00000000-0005-0000-0000-00002A550000}"/>
    <cellStyle name="Header2 25 3 8 2 3" xfId="21771" xr:uid="{00000000-0005-0000-0000-00002B550000}"/>
    <cellStyle name="Header2 25 3 8 2 3 2" xfId="21772" xr:uid="{00000000-0005-0000-0000-00002C550000}"/>
    <cellStyle name="Header2 25 3 8 2 3 3" xfId="21773" xr:uid="{00000000-0005-0000-0000-00002D550000}"/>
    <cellStyle name="Header2 25 3 8 2 3 4" xfId="21774" xr:uid="{00000000-0005-0000-0000-00002E550000}"/>
    <cellStyle name="Header2 25 3 8 2 4" xfId="21775" xr:uid="{00000000-0005-0000-0000-00002F550000}"/>
    <cellStyle name="Header2 25 3 8 2 5" xfId="21776" xr:uid="{00000000-0005-0000-0000-000030550000}"/>
    <cellStyle name="Header2 25 3 8 2 6" xfId="21777" xr:uid="{00000000-0005-0000-0000-000031550000}"/>
    <cellStyle name="Header2 25 3 8 3" xfId="21778" xr:uid="{00000000-0005-0000-0000-000032550000}"/>
    <cellStyle name="Header2 25 3 8 3 2" xfId="21779" xr:uid="{00000000-0005-0000-0000-000033550000}"/>
    <cellStyle name="Header2 25 3 8 3 2 2" xfId="21780" xr:uid="{00000000-0005-0000-0000-000034550000}"/>
    <cellStyle name="Header2 25 3 8 3 2 3" xfId="21781" xr:uid="{00000000-0005-0000-0000-000035550000}"/>
    <cellStyle name="Header2 25 3 8 3 2 4" xfId="21782" xr:uid="{00000000-0005-0000-0000-000036550000}"/>
    <cellStyle name="Header2 25 3 8 3 3" xfId="21783" xr:uid="{00000000-0005-0000-0000-000037550000}"/>
    <cellStyle name="Header2 25 3 8 3 3 2" xfId="21784" xr:uid="{00000000-0005-0000-0000-000038550000}"/>
    <cellStyle name="Header2 25 3 8 3 3 3" xfId="21785" xr:uid="{00000000-0005-0000-0000-000039550000}"/>
    <cellStyle name="Header2 25 3 8 3 3 4" xfId="21786" xr:uid="{00000000-0005-0000-0000-00003A550000}"/>
    <cellStyle name="Header2 25 3 8 3 4" xfId="21787" xr:uid="{00000000-0005-0000-0000-00003B550000}"/>
    <cellStyle name="Header2 25 3 8 3 5" xfId="21788" xr:uid="{00000000-0005-0000-0000-00003C550000}"/>
    <cellStyle name="Header2 25 3 8 3 6" xfId="21789" xr:uid="{00000000-0005-0000-0000-00003D550000}"/>
    <cellStyle name="Header2 25 3 8 4" xfId="21790" xr:uid="{00000000-0005-0000-0000-00003E550000}"/>
    <cellStyle name="Header2 25 3 8 5" xfId="21791" xr:uid="{00000000-0005-0000-0000-00003F550000}"/>
    <cellStyle name="Header2 25 3 9" xfId="21792" xr:uid="{00000000-0005-0000-0000-000040550000}"/>
    <cellStyle name="Header2 25 3 9 2" xfId="21793" xr:uid="{00000000-0005-0000-0000-000041550000}"/>
    <cellStyle name="Header2 25 3 9 2 2" xfId="21794" xr:uid="{00000000-0005-0000-0000-000042550000}"/>
    <cellStyle name="Header2 25 3 9 2 2 2" xfId="21795" xr:uid="{00000000-0005-0000-0000-000043550000}"/>
    <cellStyle name="Header2 25 3 9 2 2 3" xfId="21796" xr:uid="{00000000-0005-0000-0000-000044550000}"/>
    <cellStyle name="Header2 25 3 9 2 2 4" xfId="21797" xr:uid="{00000000-0005-0000-0000-000045550000}"/>
    <cellStyle name="Header2 25 3 9 2 2 5" xfId="21798" xr:uid="{00000000-0005-0000-0000-000046550000}"/>
    <cellStyle name="Header2 25 3 9 2 3" xfId="21799" xr:uid="{00000000-0005-0000-0000-000047550000}"/>
    <cellStyle name="Header2 25 3 9 2 3 2" xfId="21800" xr:uid="{00000000-0005-0000-0000-000048550000}"/>
    <cellStyle name="Header2 25 3 9 2 3 3" xfId="21801" xr:uid="{00000000-0005-0000-0000-000049550000}"/>
    <cellStyle name="Header2 25 3 9 2 3 4" xfId="21802" xr:uid="{00000000-0005-0000-0000-00004A550000}"/>
    <cellStyle name="Header2 25 3 9 2 4" xfId="21803" xr:uid="{00000000-0005-0000-0000-00004B550000}"/>
    <cellStyle name="Header2 25 3 9 2 5" xfId="21804" xr:uid="{00000000-0005-0000-0000-00004C550000}"/>
    <cellStyle name="Header2 25 3 9 2 6" xfId="21805" xr:uid="{00000000-0005-0000-0000-00004D550000}"/>
    <cellStyle name="Header2 25 3 9 3" xfId="21806" xr:uid="{00000000-0005-0000-0000-00004E550000}"/>
    <cellStyle name="Header2 25 3 9 3 2" xfId="21807" xr:uid="{00000000-0005-0000-0000-00004F550000}"/>
    <cellStyle name="Header2 25 3 9 3 2 2" xfId="21808" xr:uid="{00000000-0005-0000-0000-000050550000}"/>
    <cellStyle name="Header2 25 3 9 3 2 3" xfId="21809" xr:uid="{00000000-0005-0000-0000-000051550000}"/>
    <cellStyle name="Header2 25 3 9 3 2 4" xfId="21810" xr:uid="{00000000-0005-0000-0000-000052550000}"/>
    <cellStyle name="Header2 25 3 9 3 3" xfId="21811" xr:uid="{00000000-0005-0000-0000-000053550000}"/>
    <cellStyle name="Header2 25 3 9 3 3 2" xfId="21812" xr:uid="{00000000-0005-0000-0000-000054550000}"/>
    <cellStyle name="Header2 25 3 9 3 3 3" xfId="21813" xr:uid="{00000000-0005-0000-0000-000055550000}"/>
    <cellStyle name="Header2 25 3 9 3 3 4" xfId="21814" xr:uid="{00000000-0005-0000-0000-000056550000}"/>
    <cellStyle name="Header2 25 3 9 3 4" xfId="21815" xr:uid="{00000000-0005-0000-0000-000057550000}"/>
    <cellStyle name="Header2 25 3 9 3 5" xfId="21816" xr:uid="{00000000-0005-0000-0000-000058550000}"/>
    <cellStyle name="Header2 25 3 9 3 6" xfId="21817" xr:uid="{00000000-0005-0000-0000-000059550000}"/>
    <cellStyle name="Header2 25 3 9 4" xfId="21818" xr:uid="{00000000-0005-0000-0000-00005A550000}"/>
    <cellStyle name="Header2 25 3 9 5" xfId="21819" xr:uid="{00000000-0005-0000-0000-00005B550000}"/>
    <cellStyle name="Header2 26" xfId="21820" xr:uid="{00000000-0005-0000-0000-00005C550000}"/>
    <cellStyle name="Header2 26 2" xfId="21821" xr:uid="{00000000-0005-0000-0000-00005D550000}"/>
    <cellStyle name="Header2 26 2 10" xfId="21822" xr:uid="{00000000-0005-0000-0000-00005E550000}"/>
    <cellStyle name="Header2 26 2 10 2" xfId="21823" xr:uid="{00000000-0005-0000-0000-00005F550000}"/>
    <cellStyle name="Header2 26 2 10 2 2" xfId="21824" xr:uid="{00000000-0005-0000-0000-000060550000}"/>
    <cellStyle name="Header2 26 2 10 2 2 2" xfId="21825" xr:uid="{00000000-0005-0000-0000-000061550000}"/>
    <cellStyle name="Header2 26 2 10 2 2 3" xfId="21826" xr:uid="{00000000-0005-0000-0000-000062550000}"/>
    <cellStyle name="Header2 26 2 10 2 2 4" xfId="21827" xr:uid="{00000000-0005-0000-0000-000063550000}"/>
    <cellStyle name="Header2 26 2 10 2 2 5" xfId="21828" xr:uid="{00000000-0005-0000-0000-000064550000}"/>
    <cellStyle name="Header2 26 2 10 2 3" xfId="21829" xr:uid="{00000000-0005-0000-0000-000065550000}"/>
    <cellStyle name="Header2 26 2 10 2 3 2" xfId="21830" xr:uid="{00000000-0005-0000-0000-000066550000}"/>
    <cellStyle name="Header2 26 2 10 2 3 3" xfId="21831" xr:uid="{00000000-0005-0000-0000-000067550000}"/>
    <cellStyle name="Header2 26 2 10 2 3 4" xfId="21832" xr:uid="{00000000-0005-0000-0000-000068550000}"/>
    <cellStyle name="Header2 26 2 10 2 4" xfId="21833" xr:uid="{00000000-0005-0000-0000-000069550000}"/>
    <cellStyle name="Header2 26 2 10 2 5" xfId="21834" xr:uid="{00000000-0005-0000-0000-00006A550000}"/>
    <cellStyle name="Header2 26 2 10 2 6" xfId="21835" xr:uid="{00000000-0005-0000-0000-00006B550000}"/>
    <cellStyle name="Header2 26 2 10 3" xfId="21836" xr:uid="{00000000-0005-0000-0000-00006C550000}"/>
    <cellStyle name="Header2 26 2 10 3 2" xfId="21837" xr:uid="{00000000-0005-0000-0000-00006D550000}"/>
    <cellStyle name="Header2 26 2 10 3 2 2" xfId="21838" xr:uid="{00000000-0005-0000-0000-00006E550000}"/>
    <cellStyle name="Header2 26 2 10 3 2 3" xfId="21839" xr:uid="{00000000-0005-0000-0000-00006F550000}"/>
    <cellStyle name="Header2 26 2 10 3 2 4" xfId="21840" xr:uid="{00000000-0005-0000-0000-000070550000}"/>
    <cellStyle name="Header2 26 2 10 3 3" xfId="21841" xr:uid="{00000000-0005-0000-0000-000071550000}"/>
    <cellStyle name="Header2 26 2 10 3 3 2" xfId="21842" xr:uid="{00000000-0005-0000-0000-000072550000}"/>
    <cellStyle name="Header2 26 2 10 3 3 3" xfId="21843" xr:uid="{00000000-0005-0000-0000-000073550000}"/>
    <cellStyle name="Header2 26 2 10 3 3 4" xfId="21844" xr:uid="{00000000-0005-0000-0000-000074550000}"/>
    <cellStyle name="Header2 26 2 10 3 4" xfId="21845" xr:uid="{00000000-0005-0000-0000-000075550000}"/>
    <cellStyle name="Header2 26 2 10 3 5" xfId="21846" xr:uid="{00000000-0005-0000-0000-000076550000}"/>
    <cellStyle name="Header2 26 2 10 3 6" xfId="21847" xr:uid="{00000000-0005-0000-0000-000077550000}"/>
    <cellStyle name="Header2 26 2 10 4" xfId="21848" xr:uid="{00000000-0005-0000-0000-000078550000}"/>
    <cellStyle name="Header2 26 2 10 5" xfId="21849" xr:uid="{00000000-0005-0000-0000-000079550000}"/>
    <cellStyle name="Header2 26 2 11" xfId="21850" xr:uid="{00000000-0005-0000-0000-00007A550000}"/>
    <cellStyle name="Header2 26 2 11 2" xfId="21851" xr:uid="{00000000-0005-0000-0000-00007B550000}"/>
    <cellStyle name="Header2 26 2 11 2 2" xfId="21852" xr:uid="{00000000-0005-0000-0000-00007C550000}"/>
    <cellStyle name="Header2 26 2 11 2 2 2" xfId="21853" xr:uid="{00000000-0005-0000-0000-00007D550000}"/>
    <cellStyle name="Header2 26 2 11 2 2 3" xfId="21854" xr:uid="{00000000-0005-0000-0000-00007E550000}"/>
    <cellStyle name="Header2 26 2 11 2 2 4" xfId="21855" xr:uid="{00000000-0005-0000-0000-00007F550000}"/>
    <cellStyle name="Header2 26 2 11 2 2 5" xfId="21856" xr:uid="{00000000-0005-0000-0000-000080550000}"/>
    <cellStyle name="Header2 26 2 11 2 3" xfId="21857" xr:uid="{00000000-0005-0000-0000-000081550000}"/>
    <cellStyle name="Header2 26 2 11 2 3 2" xfId="21858" xr:uid="{00000000-0005-0000-0000-000082550000}"/>
    <cellStyle name="Header2 26 2 11 2 3 3" xfId="21859" xr:uid="{00000000-0005-0000-0000-000083550000}"/>
    <cellStyle name="Header2 26 2 11 2 3 4" xfId="21860" xr:uid="{00000000-0005-0000-0000-000084550000}"/>
    <cellStyle name="Header2 26 2 11 2 4" xfId="21861" xr:uid="{00000000-0005-0000-0000-000085550000}"/>
    <cellStyle name="Header2 26 2 11 2 5" xfId="21862" xr:uid="{00000000-0005-0000-0000-000086550000}"/>
    <cellStyle name="Header2 26 2 11 2 6" xfId="21863" xr:uid="{00000000-0005-0000-0000-000087550000}"/>
    <cellStyle name="Header2 26 2 11 3" xfId="21864" xr:uid="{00000000-0005-0000-0000-000088550000}"/>
    <cellStyle name="Header2 26 2 11 3 2" xfId="21865" xr:uid="{00000000-0005-0000-0000-000089550000}"/>
    <cellStyle name="Header2 26 2 11 3 2 2" xfId="21866" xr:uid="{00000000-0005-0000-0000-00008A550000}"/>
    <cellStyle name="Header2 26 2 11 3 2 3" xfId="21867" xr:uid="{00000000-0005-0000-0000-00008B550000}"/>
    <cellStyle name="Header2 26 2 11 3 2 4" xfId="21868" xr:uid="{00000000-0005-0000-0000-00008C550000}"/>
    <cellStyle name="Header2 26 2 11 3 3" xfId="21869" xr:uid="{00000000-0005-0000-0000-00008D550000}"/>
    <cellStyle name="Header2 26 2 11 3 3 2" xfId="21870" xr:uid="{00000000-0005-0000-0000-00008E550000}"/>
    <cellStyle name="Header2 26 2 11 3 3 3" xfId="21871" xr:uid="{00000000-0005-0000-0000-00008F550000}"/>
    <cellStyle name="Header2 26 2 11 3 3 4" xfId="21872" xr:uid="{00000000-0005-0000-0000-000090550000}"/>
    <cellStyle name="Header2 26 2 11 3 4" xfId="21873" xr:uid="{00000000-0005-0000-0000-000091550000}"/>
    <cellStyle name="Header2 26 2 11 3 5" xfId="21874" xr:uid="{00000000-0005-0000-0000-000092550000}"/>
    <cellStyle name="Header2 26 2 11 3 6" xfId="21875" xr:uid="{00000000-0005-0000-0000-000093550000}"/>
    <cellStyle name="Header2 26 2 11 4" xfId="21876" xr:uid="{00000000-0005-0000-0000-000094550000}"/>
    <cellStyle name="Header2 26 2 11 5" xfId="21877" xr:uid="{00000000-0005-0000-0000-000095550000}"/>
    <cellStyle name="Header2 26 2 12" xfId="21878" xr:uid="{00000000-0005-0000-0000-000096550000}"/>
    <cellStyle name="Header2 26 2 12 2" xfId="21879" xr:uid="{00000000-0005-0000-0000-000097550000}"/>
    <cellStyle name="Header2 26 2 12 2 2" xfId="21880" xr:uid="{00000000-0005-0000-0000-000098550000}"/>
    <cellStyle name="Header2 26 2 12 2 2 2" xfId="21881" xr:uid="{00000000-0005-0000-0000-000099550000}"/>
    <cellStyle name="Header2 26 2 12 2 2 3" xfId="21882" xr:uid="{00000000-0005-0000-0000-00009A550000}"/>
    <cellStyle name="Header2 26 2 12 2 2 4" xfId="21883" xr:uid="{00000000-0005-0000-0000-00009B550000}"/>
    <cellStyle name="Header2 26 2 12 2 2 5" xfId="21884" xr:uid="{00000000-0005-0000-0000-00009C550000}"/>
    <cellStyle name="Header2 26 2 12 2 3" xfId="21885" xr:uid="{00000000-0005-0000-0000-00009D550000}"/>
    <cellStyle name="Header2 26 2 12 2 3 2" xfId="21886" xr:uid="{00000000-0005-0000-0000-00009E550000}"/>
    <cellStyle name="Header2 26 2 12 2 3 3" xfId="21887" xr:uid="{00000000-0005-0000-0000-00009F550000}"/>
    <cellStyle name="Header2 26 2 12 2 3 4" xfId="21888" xr:uid="{00000000-0005-0000-0000-0000A0550000}"/>
    <cellStyle name="Header2 26 2 12 2 4" xfId="21889" xr:uid="{00000000-0005-0000-0000-0000A1550000}"/>
    <cellStyle name="Header2 26 2 12 2 5" xfId="21890" xr:uid="{00000000-0005-0000-0000-0000A2550000}"/>
    <cellStyle name="Header2 26 2 12 2 6" xfId="21891" xr:uid="{00000000-0005-0000-0000-0000A3550000}"/>
    <cellStyle name="Header2 26 2 12 3" xfId="21892" xr:uid="{00000000-0005-0000-0000-0000A4550000}"/>
    <cellStyle name="Header2 26 2 12 3 2" xfId="21893" xr:uid="{00000000-0005-0000-0000-0000A5550000}"/>
    <cellStyle name="Header2 26 2 12 3 2 2" xfId="21894" xr:uid="{00000000-0005-0000-0000-0000A6550000}"/>
    <cellStyle name="Header2 26 2 12 3 2 3" xfId="21895" xr:uid="{00000000-0005-0000-0000-0000A7550000}"/>
    <cellStyle name="Header2 26 2 12 3 2 4" xfId="21896" xr:uid="{00000000-0005-0000-0000-0000A8550000}"/>
    <cellStyle name="Header2 26 2 12 3 3" xfId="21897" xr:uid="{00000000-0005-0000-0000-0000A9550000}"/>
    <cellStyle name="Header2 26 2 12 3 3 2" xfId="21898" xr:uid="{00000000-0005-0000-0000-0000AA550000}"/>
    <cellStyle name="Header2 26 2 12 3 3 3" xfId="21899" xr:uid="{00000000-0005-0000-0000-0000AB550000}"/>
    <cellStyle name="Header2 26 2 12 3 3 4" xfId="21900" xr:uid="{00000000-0005-0000-0000-0000AC550000}"/>
    <cellStyle name="Header2 26 2 12 3 4" xfId="21901" xr:uid="{00000000-0005-0000-0000-0000AD550000}"/>
    <cellStyle name="Header2 26 2 12 3 5" xfId="21902" xr:uid="{00000000-0005-0000-0000-0000AE550000}"/>
    <cellStyle name="Header2 26 2 12 3 6" xfId="21903" xr:uid="{00000000-0005-0000-0000-0000AF550000}"/>
    <cellStyle name="Header2 26 2 12 4" xfId="21904" xr:uid="{00000000-0005-0000-0000-0000B0550000}"/>
    <cellStyle name="Header2 26 2 12 5" xfId="21905" xr:uid="{00000000-0005-0000-0000-0000B1550000}"/>
    <cellStyle name="Header2 26 2 13" xfId="21906" xr:uid="{00000000-0005-0000-0000-0000B2550000}"/>
    <cellStyle name="Header2 26 2 13 2" xfId="21907" xr:uid="{00000000-0005-0000-0000-0000B3550000}"/>
    <cellStyle name="Header2 26 2 13 2 2" xfId="21908" xr:uid="{00000000-0005-0000-0000-0000B4550000}"/>
    <cellStyle name="Header2 26 2 13 2 2 2" xfId="21909" xr:uid="{00000000-0005-0000-0000-0000B5550000}"/>
    <cellStyle name="Header2 26 2 13 2 2 3" xfId="21910" xr:uid="{00000000-0005-0000-0000-0000B6550000}"/>
    <cellStyle name="Header2 26 2 13 2 2 4" xfId="21911" xr:uid="{00000000-0005-0000-0000-0000B7550000}"/>
    <cellStyle name="Header2 26 2 13 2 2 5" xfId="21912" xr:uid="{00000000-0005-0000-0000-0000B8550000}"/>
    <cellStyle name="Header2 26 2 13 2 3" xfId="21913" xr:uid="{00000000-0005-0000-0000-0000B9550000}"/>
    <cellStyle name="Header2 26 2 13 2 3 2" xfId="21914" xr:uid="{00000000-0005-0000-0000-0000BA550000}"/>
    <cellStyle name="Header2 26 2 13 2 3 3" xfId="21915" xr:uid="{00000000-0005-0000-0000-0000BB550000}"/>
    <cellStyle name="Header2 26 2 13 2 3 4" xfId="21916" xr:uid="{00000000-0005-0000-0000-0000BC550000}"/>
    <cellStyle name="Header2 26 2 13 2 4" xfId="21917" xr:uid="{00000000-0005-0000-0000-0000BD550000}"/>
    <cellStyle name="Header2 26 2 13 2 5" xfId="21918" xr:uid="{00000000-0005-0000-0000-0000BE550000}"/>
    <cellStyle name="Header2 26 2 13 2 6" xfId="21919" xr:uid="{00000000-0005-0000-0000-0000BF550000}"/>
    <cellStyle name="Header2 26 2 13 3" xfId="21920" xr:uid="{00000000-0005-0000-0000-0000C0550000}"/>
    <cellStyle name="Header2 26 2 13 3 2" xfId="21921" xr:uid="{00000000-0005-0000-0000-0000C1550000}"/>
    <cellStyle name="Header2 26 2 13 3 2 2" xfId="21922" xr:uid="{00000000-0005-0000-0000-0000C2550000}"/>
    <cellStyle name="Header2 26 2 13 3 2 3" xfId="21923" xr:uid="{00000000-0005-0000-0000-0000C3550000}"/>
    <cellStyle name="Header2 26 2 13 3 2 4" xfId="21924" xr:uid="{00000000-0005-0000-0000-0000C4550000}"/>
    <cellStyle name="Header2 26 2 13 3 3" xfId="21925" xr:uid="{00000000-0005-0000-0000-0000C5550000}"/>
    <cellStyle name="Header2 26 2 13 3 3 2" xfId="21926" xr:uid="{00000000-0005-0000-0000-0000C6550000}"/>
    <cellStyle name="Header2 26 2 13 3 3 3" xfId="21927" xr:uid="{00000000-0005-0000-0000-0000C7550000}"/>
    <cellStyle name="Header2 26 2 13 3 3 4" xfId="21928" xr:uid="{00000000-0005-0000-0000-0000C8550000}"/>
    <cellStyle name="Header2 26 2 13 3 4" xfId="21929" xr:uid="{00000000-0005-0000-0000-0000C9550000}"/>
    <cellStyle name="Header2 26 2 13 3 5" xfId="21930" xr:uid="{00000000-0005-0000-0000-0000CA550000}"/>
    <cellStyle name="Header2 26 2 13 3 6" xfId="21931" xr:uid="{00000000-0005-0000-0000-0000CB550000}"/>
    <cellStyle name="Header2 26 2 13 4" xfId="21932" xr:uid="{00000000-0005-0000-0000-0000CC550000}"/>
    <cellStyle name="Header2 26 2 13 5" xfId="21933" xr:uid="{00000000-0005-0000-0000-0000CD550000}"/>
    <cellStyle name="Header2 26 2 14" xfId="58750" xr:uid="{00000000-0005-0000-0000-0000CE550000}"/>
    <cellStyle name="Header2 26 2 2" xfId="21934" xr:uid="{00000000-0005-0000-0000-0000CF550000}"/>
    <cellStyle name="Header2 26 2 2 2" xfId="21935" xr:uid="{00000000-0005-0000-0000-0000D0550000}"/>
    <cellStyle name="Header2 26 2 2 2 2" xfId="21936" xr:uid="{00000000-0005-0000-0000-0000D1550000}"/>
    <cellStyle name="Header2 26 2 2 2 2 2" xfId="21937" xr:uid="{00000000-0005-0000-0000-0000D2550000}"/>
    <cellStyle name="Header2 26 2 2 2 2 2 2" xfId="21938" xr:uid="{00000000-0005-0000-0000-0000D3550000}"/>
    <cellStyle name="Header2 26 2 2 2 2 2 3" xfId="21939" xr:uid="{00000000-0005-0000-0000-0000D4550000}"/>
    <cellStyle name="Header2 26 2 2 2 2 2 4" xfId="21940" xr:uid="{00000000-0005-0000-0000-0000D5550000}"/>
    <cellStyle name="Header2 26 2 2 2 2 2 5" xfId="21941" xr:uid="{00000000-0005-0000-0000-0000D6550000}"/>
    <cellStyle name="Header2 26 2 2 2 2 3" xfId="21942" xr:uid="{00000000-0005-0000-0000-0000D7550000}"/>
    <cellStyle name="Header2 26 2 2 2 2 3 2" xfId="21943" xr:uid="{00000000-0005-0000-0000-0000D8550000}"/>
    <cellStyle name="Header2 26 2 2 2 2 3 3" xfId="21944" xr:uid="{00000000-0005-0000-0000-0000D9550000}"/>
    <cellStyle name="Header2 26 2 2 2 2 3 4" xfId="21945" xr:uid="{00000000-0005-0000-0000-0000DA550000}"/>
    <cellStyle name="Header2 26 2 2 2 2 4" xfId="21946" xr:uid="{00000000-0005-0000-0000-0000DB550000}"/>
    <cellStyle name="Header2 26 2 2 2 2 5" xfId="21947" xr:uid="{00000000-0005-0000-0000-0000DC550000}"/>
    <cellStyle name="Header2 26 2 2 2 2 6" xfId="21948" xr:uid="{00000000-0005-0000-0000-0000DD550000}"/>
    <cellStyle name="Header2 26 2 2 2 3" xfId="21949" xr:uid="{00000000-0005-0000-0000-0000DE550000}"/>
    <cellStyle name="Header2 26 2 2 2 3 2" xfId="21950" xr:uid="{00000000-0005-0000-0000-0000DF550000}"/>
    <cellStyle name="Header2 26 2 2 2 3 2 2" xfId="21951" xr:uid="{00000000-0005-0000-0000-0000E0550000}"/>
    <cellStyle name="Header2 26 2 2 2 3 2 3" xfId="21952" xr:uid="{00000000-0005-0000-0000-0000E1550000}"/>
    <cellStyle name="Header2 26 2 2 2 3 2 4" xfId="21953" xr:uid="{00000000-0005-0000-0000-0000E2550000}"/>
    <cellStyle name="Header2 26 2 2 2 3 3" xfId="21954" xr:uid="{00000000-0005-0000-0000-0000E3550000}"/>
    <cellStyle name="Header2 26 2 2 2 3 3 2" xfId="21955" xr:uid="{00000000-0005-0000-0000-0000E4550000}"/>
    <cellStyle name="Header2 26 2 2 2 3 3 3" xfId="21956" xr:uid="{00000000-0005-0000-0000-0000E5550000}"/>
    <cellStyle name="Header2 26 2 2 2 3 3 4" xfId="21957" xr:uid="{00000000-0005-0000-0000-0000E6550000}"/>
    <cellStyle name="Header2 26 2 2 2 3 4" xfId="21958" xr:uid="{00000000-0005-0000-0000-0000E7550000}"/>
    <cellStyle name="Header2 26 2 2 2 3 5" xfId="21959" xr:uid="{00000000-0005-0000-0000-0000E8550000}"/>
    <cellStyle name="Header2 26 2 2 2 3 6" xfId="21960" xr:uid="{00000000-0005-0000-0000-0000E9550000}"/>
    <cellStyle name="Header2 26 2 2 2 4" xfId="21961" xr:uid="{00000000-0005-0000-0000-0000EA550000}"/>
    <cellStyle name="Header2 26 2 2 2 5" xfId="21962" xr:uid="{00000000-0005-0000-0000-0000EB550000}"/>
    <cellStyle name="Header2 26 2 2 3" xfId="21963" xr:uid="{00000000-0005-0000-0000-0000EC550000}"/>
    <cellStyle name="Header2 26 2 2 3 2" xfId="21964" xr:uid="{00000000-0005-0000-0000-0000ED550000}"/>
    <cellStyle name="Header2 26 2 2 3 2 2" xfId="21965" xr:uid="{00000000-0005-0000-0000-0000EE550000}"/>
    <cellStyle name="Header2 26 2 2 3 2 2 2" xfId="21966" xr:uid="{00000000-0005-0000-0000-0000EF550000}"/>
    <cellStyle name="Header2 26 2 2 3 2 2 3" xfId="21967" xr:uid="{00000000-0005-0000-0000-0000F0550000}"/>
    <cellStyle name="Header2 26 2 2 3 2 2 4" xfId="21968" xr:uid="{00000000-0005-0000-0000-0000F1550000}"/>
    <cellStyle name="Header2 26 2 2 3 2 2 5" xfId="21969" xr:uid="{00000000-0005-0000-0000-0000F2550000}"/>
    <cellStyle name="Header2 26 2 2 3 2 3" xfId="21970" xr:uid="{00000000-0005-0000-0000-0000F3550000}"/>
    <cellStyle name="Header2 26 2 2 3 2 3 2" xfId="21971" xr:uid="{00000000-0005-0000-0000-0000F4550000}"/>
    <cellStyle name="Header2 26 2 2 3 2 3 3" xfId="21972" xr:uid="{00000000-0005-0000-0000-0000F5550000}"/>
    <cellStyle name="Header2 26 2 2 3 2 3 4" xfId="21973" xr:uid="{00000000-0005-0000-0000-0000F6550000}"/>
    <cellStyle name="Header2 26 2 2 3 2 4" xfId="21974" xr:uid="{00000000-0005-0000-0000-0000F7550000}"/>
    <cellStyle name="Header2 26 2 2 3 2 5" xfId="21975" xr:uid="{00000000-0005-0000-0000-0000F8550000}"/>
    <cellStyle name="Header2 26 2 2 3 2 6" xfId="21976" xr:uid="{00000000-0005-0000-0000-0000F9550000}"/>
    <cellStyle name="Header2 26 2 2 3 3" xfId="21977" xr:uid="{00000000-0005-0000-0000-0000FA550000}"/>
    <cellStyle name="Header2 26 2 2 3 3 2" xfId="21978" xr:uid="{00000000-0005-0000-0000-0000FB550000}"/>
    <cellStyle name="Header2 26 2 2 3 3 2 2" xfId="21979" xr:uid="{00000000-0005-0000-0000-0000FC550000}"/>
    <cellStyle name="Header2 26 2 2 3 3 2 3" xfId="21980" xr:uid="{00000000-0005-0000-0000-0000FD550000}"/>
    <cellStyle name="Header2 26 2 2 3 3 2 4" xfId="21981" xr:uid="{00000000-0005-0000-0000-0000FE550000}"/>
    <cellStyle name="Header2 26 2 2 3 3 3" xfId="21982" xr:uid="{00000000-0005-0000-0000-0000FF550000}"/>
    <cellStyle name="Header2 26 2 2 3 3 3 2" xfId="21983" xr:uid="{00000000-0005-0000-0000-000000560000}"/>
    <cellStyle name="Header2 26 2 2 3 3 3 3" xfId="21984" xr:uid="{00000000-0005-0000-0000-000001560000}"/>
    <cellStyle name="Header2 26 2 2 3 3 3 4" xfId="21985" xr:uid="{00000000-0005-0000-0000-000002560000}"/>
    <cellStyle name="Header2 26 2 2 3 3 4" xfId="21986" xr:uid="{00000000-0005-0000-0000-000003560000}"/>
    <cellStyle name="Header2 26 2 2 3 3 5" xfId="21987" xr:uid="{00000000-0005-0000-0000-000004560000}"/>
    <cellStyle name="Header2 26 2 2 3 3 6" xfId="21988" xr:uid="{00000000-0005-0000-0000-000005560000}"/>
    <cellStyle name="Header2 26 2 2 3 4" xfId="21989" xr:uid="{00000000-0005-0000-0000-000006560000}"/>
    <cellStyle name="Header2 26 2 2 3 5" xfId="21990" xr:uid="{00000000-0005-0000-0000-000007560000}"/>
    <cellStyle name="Header2 26 2 3" xfId="21991" xr:uid="{00000000-0005-0000-0000-000008560000}"/>
    <cellStyle name="Header2 26 2 3 2" xfId="21992" xr:uid="{00000000-0005-0000-0000-000009560000}"/>
    <cellStyle name="Header2 26 2 3 2 2" xfId="21993" xr:uid="{00000000-0005-0000-0000-00000A560000}"/>
    <cellStyle name="Header2 26 2 3 2 3" xfId="21994" xr:uid="{00000000-0005-0000-0000-00000B560000}"/>
    <cellStyle name="Header2 26 2 3 3" xfId="21995" xr:uid="{00000000-0005-0000-0000-00000C560000}"/>
    <cellStyle name="Header2 26 2 4" xfId="21996" xr:uid="{00000000-0005-0000-0000-00000D560000}"/>
    <cellStyle name="Header2 26 2 4 2" xfId="21997" xr:uid="{00000000-0005-0000-0000-00000E560000}"/>
    <cellStyle name="Header2 26 2 4 2 2" xfId="21998" xr:uid="{00000000-0005-0000-0000-00000F560000}"/>
    <cellStyle name="Header2 26 2 4 2 3" xfId="21999" xr:uid="{00000000-0005-0000-0000-000010560000}"/>
    <cellStyle name="Header2 26 2 4 3" xfId="22000" xr:uid="{00000000-0005-0000-0000-000011560000}"/>
    <cellStyle name="Header2 26 2 5" xfId="22001" xr:uid="{00000000-0005-0000-0000-000012560000}"/>
    <cellStyle name="Header2 26 2 5 2" xfId="22002" xr:uid="{00000000-0005-0000-0000-000013560000}"/>
    <cellStyle name="Header2 26 2 5 2 2" xfId="22003" xr:uid="{00000000-0005-0000-0000-000014560000}"/>
    <cellStyle name="Header2 26 2 5 2 3" xfId="22004" xr:uid="{00000000-0005-0000-0000-000015560000}"/>
    <cellStyle name="Header2 26 2 5 3" xfId="22005" xr:uid="{00000000-0005-0000-0000-000016560000}"/>
    <cellStyle name="Header2 26 2 6" xfId="22006" xr:uid="{00000000-0005-0000-0000-000017560000}"/>
    <cellStyle name="Header2 26 2 6 2" xfId="22007" xr:uid="{00000000-0005-0000-0000-000018560000}"/>
    <cellStyle name="Header2 26 2 6 2 2" xfId="22008" xr:uid="{00000000-0005-0000-0000-000019560000}"/>
    <cellStyle name="Header2 26 2 6 2 2 2" xfId="22009" xr:uid="{00000000-0005-0000-0000-00001A560000}"/>
    <cellStyle name="Header2 26 2 6 2 2 3" xfId="22010" xr:uid="{00000000-0005-0000-0000-00001B560000}"/>
    <cellStyle name="Header2 26 2 6 2 2 4" xfId="22011" xr:uid="{00000000-0005-0000-0000-00001C560000}"/>
    <cellStyle name="Header2 26 2 6 2 2 5" xfId="22012" xr:uid="{00000000-0005-0000-0000-00001D560000}"/>
    <cellStyle name="Header2 26 2 6 2 3" xfId="22013" xr:uid="{00000000-0005-0000-0000-00001E560000}"/>
    <cellStyle name="Header2 26 2 6 2 3 2" xfId="22014" xr:uid="{00000000-0005-0000-0000-00001F560000}"/>
    <cellStyle name="Header2 26 2 6 2 3 3" xfId="22015" xr:uid="{00000000-0005-0000-0000-000020560000}"/>
    <cellStyle name="Header2 26 2 6 2 3 4" xfId="22016" xr:uid="{00000000-0005-0000-0000-000021560000}"/>
    <cellStyle name="Header2 26 2 6 2 4" xfId="22017" xr:uid="{00000000-0005-0000-0000-000022560000}"/>
    <cellStyle name="Header2 26 2 6 2 5" xfId="22018" xr:uid="{00000000-0005-0000-0000-000023560000}"/>
    <cellStyle name="Header2 26 2 6 2 6" xfId="22019" xr:uid="{00000000-0005-0000-0000-000024560000}"/>
    <cellStyle name="Header2 26 2 6 3" xfId="22020" xr:uid="{00000000-0005-0000-0000-000025560000}"/>
    <cellStyle name="Header2 26 2 6 3 2" xfId="22021" xr:uid="{00000000-0005-0000-0000-000026560000}"/>
    <cellStyle name="Header2 26 2 6 3 2 2" xfId="22022" xr:uid="{00000000-0005-0000-0000-000027560000}"/>
    <cellStyle name="Header2 26 2 6 3 2 3" xfId="22023" xr:uid="{00000000-0005-0000-0000-000028560000}"/>
    <cellStyle name="Header2 26 2 6 3 2 4" xfId="22024" xr:uid="{00000000-0005-0000-0000-000029560000}"/>
    <cellStyle name="Header2 26 2 6 3 3" xfId="22025" xr:uid="{00000000-0005-0000-0000-00002A560000}"/>
    <cellStyle name="Header2 26 2 6 3 3 2" xfId="22026" xr:uid="{00000000-0005-0000-0000-00002B560000}"/>
    <cellStyle name="Header2 26 2 6 3 3 3" xfId="22027" xr:uid="{00000000-0005-0000-0000-00002C560000}"/>
    <cellStyle name="Header2 26 2 6 3 3 4" xfId="22028" xr:uid="{00000000-0005-0000-0000-00002D560000}"/>
    <cellStyle name="Header2 26 2 6 3 4" xfId="22029" xr:uid="{00000000-0005-0000-0000-00002E560000}"/>
    <cellStyle name="Header2 26 2 6 3 5" xfId="22030" xr:uid="{00000000-0005-0000-0000-00002F560000}"/>
    <cellStyle name="Header2 26 2 6 3 6" xfId="22031" xr:uid="{00000000-0005-0000-0000-000030560000}"/>
    <cellStyle name="Header2 26 2 6 4" xfId="22032" xr:uid="{00000000-0005-0000-0000-000031560000}"/>
    <cellStyle name="Header2 26 2 6 5" xfId="22033" xr:uid="{00000000-0005-0000-0000-000032560000}"/>
    <cellStyle name="Header2 26 2 7" xfId="22034" xr:uid="{00000000-0005-0000-0000-000033560000}"/>
    <cellStyle name="Header2 26 2 7 2" xfId="22035" xr:uid="{00000000-0005-0000-0000-000034560000}"/>
    <cellStyle name="Header2 26 2 7 2 2" xfId="22036" xr:uid="{00000000-0005-0000-0000-000035560000}"/>
    <cellStyle name="Header2 26 2 7 2 2 2" xfId="22037" xr:uid="{00000000-0005-0000-0000-000036560000}"/>
    <cellStyle name="Header2 26 2 7 2 2 3" xfId="22038" xr:uid="{00000000-0005-0000-0000-000037560000}"/>
    <cellStyle name="Header2 26 2 7 2 2 4" xfId="22039" xr:uid="{00000000-0005-0000-0000-000038560000}"/>
    <cellStyle name="Header2 26 2 7 2 2 5" xfId="22040" xr:uid="{00000000-0005-0000-0000-000039560000}"/>
    <cellStyle name="Header2 26 2 7 2 3" xfId="22041" xr:uid="{00000000-0005-0000-0000-00003A560000}"/>
    <cellStyle name="Header2 26 2 7 2 3 2" xfId="22042" xr:uid="{00000000-0005-0000-0000-00003B560000}"/>
    <cellStyle name="Header2 26 2 7 2 3 3" xfId="22043" xr:uid="{00000000-0005-0000-0000-00003C560000}"/>
    <cellStyle name="Header2 26 2 7 2 3 4" xfId="22044" xr:uid="{00000000-0005-0000-0000-00003D560000}"/>
    <cellStyle name="Header2 26 2 7 2 4" xfId="22045" xr:uid="{00000000-0005-0000-0000-00003E560000}"/>
    <cellStyle name="Header2 26 2 7 2 5" xfId="22046" xr:uid="{00000000-0005-0000-0000-00003F560000}"/>
    <cellStyle name="Header2 26 2 7 2 6" xfId="22047" xr:uid="{00000000-0005-0000-0000-000040560000}"/>
    <cellStyle name="Header2 26 2 7 3" xfId="22048" xr:uid="{00000000-0005-0000-0000-000041560000}"/>
    <cellStyle name="Header2 26 2 7 3 2" xfId="22049" xr:uid="{00000000-0005-0000-0000-000042560000}"/>
    <cellStyle name="Header2 26 2 7 3 2 2" xfId="22050" xr:uid="{00000000-0005-0000-0000-000043560000}"/>
    <cellStyle name="Header2 26 2 7 3 2 3" xfId="22051" xr:uid="{00000000-0005-0000-0000-000044560000}"/>
    <cellStyle name="Header2 26 2 7 3 2 4" xfId="22052" xr:uid="{00000000-0005-0000-0000-000045560000}"/>
    <cellStyle name="Header2 26 2 7 3 3" xfId="22053" xr:uid="{00000000-0005-0000-0000-000046560000}"/>
    <cellStyle name="Header2 26 2 7 3 3 2" xfId="22054" xr:uid="{00000000-0005-0000-0000-000047560000}"/>
    <cellStyle name="Header2 26 2 7 3 3 3" xfId="22055" xr:uid="{00000000-0005-0000-0000-000048560000}"/>
    <cellStyle name="Header2 26 2 7 3 3 4" xfId="22056" xr:uid="{00000000-0005-0000-0000-000049560000}"/>
    <cellStyle name="Header2 26 2 7 3 4" xfId="22057" xr:uid="{00000000-0005-0000-0000-00004A560000}"/>
    <cellStyle name="Header2 26 2 7 3 5" xfId="22058" xr:uid="{00000000-0005-0000-0000-00004B560000}"/>
    <cellStyle name="Header2 26 2 7 3 6" xfId="22059" xr:uid="{00000000-0005-0000-0000-00004C560000}"/>
    <cellStyle name="Header2 26 2 7 4" xfId="22060" xr:uid="{00000000-0005-0000-0000-00004D560000}"/>
    <cellStyle name="Header2 26 2 7 5" xfId="22061" xr:uid="{00000000-0005-0000-0000-00004E560000}"/>
    <cellStyle name="Header2 26 2 8" xfId="22062" xr:uid="{00000000-0005-0000-0000-00004F560000}"/>
    <cellStyle name="Header2 26 2 8 2" xfId="22063" xr:uid="{00000000-0005-0000-0000-000050560000}"/>
    <cellStyle name="Header2 26 2 8 2 2" xfId="22064" xr:uid="{00000000-0005-0000-0000-000051560000}"/>
    <cellStyle name="Header2 26 2 8 2 2 2" xfId="22065" xr:uid="{00000000-0005-0000-0000-000052560000}"/>
    <cellStyle name="Header2 26 2 8 2 2 3" xfId="22066" xr:uid="{00000000-0005-0000-0000-000053560000}"/>
    <cellStyle name="Header2 26 2 8 2 2 4" xfId="22067" xr:uid="{00000000-0005-0000-0000-000054560000}"/>
    <cellStyle name="Header2 26 2 8 2 2 5" xfId="22068" xr:uid="{00000000-0005-0000-0000-000055560000}"/>
    <cellStyle name="Header2 26 2 8 2 3" xfId="22069" xr:uid="{00000000-0005-0000-0000-000056560000}"/>
    <cellStyle name="Header2 26 2 8 2 3 2" xfId="22070" xr:uid="{00000000-0005-0000-0000-000057560000}"/>
    <cellStyle name="Header2 26 2 8 2 3 3" xfId="22071" xr:uid="{00000000-0005-0000-0000-000058560000}"/>
    <cellStyle name="Header2 26 2 8 2 3 4" xfId="22072" xr:uid="{00000000-0005-0000-0000-000059560000}"/>
    <cellStyle name="Header2 26 2 8 2 4" xfId="22073" xr:uid="{00000000-0005-0000-0000-00005A560000}"/>
    <cellStyle name="Header2 26 2 8 2 5" xfId="22074" xr:uid="{00000000-0005-0000-0000-00005B560000}"/>
    <cellStyle name="Header2 26 2 8 2 6" xfId="22075" xr:uid="{00000000-0005-0000-0000-00005C560000}"/>
    <cellStyle name="Header2 26 2 8 3" xfId="22076" xr:uid="{00000000-0005-0000-0000-00005D560000}"/>
    <cellStyle name="Header2 26 2 8 3 2" xfId="22077" xr:uid="{00000000-0005-0000-0000-00005E560000}"/>
    <cellStyle name="Header2 26 2 8 3 2 2" xfId="22078" xr:uid="{00000000-0005-0000-0000-00005F560000}"/>
    <cellStyle name="Header2 26 2 8 3 2 3" xfId="22079" xr:uid="{00000000-0005-0000-0000-000060560000}"/>
    <cellStyle name="Header2 26 2 8 3 2 4" xfId="22080" xr:uid="{00000000-0005-0000-0000-000061560000}"/>
    <cellStyle name="Header2 26 2 8 3 3" xfId="22081" xr:uid="{00000000-0005-0000-0000-000062560000}"/>
    <cellStyle name="Header2 26 2 8 3 3 2" xfId="22082" xr:uid="{00000000-0005-0000-0000-000063560000}"/>
    <cellStyle name="Header2 26 2 8 3 3 3" xfId="22083" xr:uid="{00000000-0005-0000-0000-000064560000}"/>
    <cellStyle name="Header2 26 2 8 3 3 4" xfId="22084" xr:uid="{00000000-0005-0000-0000-000065560000}"/>
    <cellStyle name="Header2 26 2 8 3 4" xfId="22085" xr:uid="{00000000-0005-0000-0000-000066560000}"/>
    <cellStyle name="Header2 26 2 8 3 5" xfId="22086" xr:uid="{00000000-0005-0000-0000-000067560000}"/>
    <cellStyle name="Header2 26 2 8 3 6" xfId="22087" xr:uid="{00000000-0005-0000-0000-000068560000}"/>
    <cellStyle name="Header2 26 2 8 4" xfId="22088" xr:uid="{00000000-0005-0000-0000-000069560000}"/>
    <cellStyle name="Header2 26 2 8 5" xfId="22089" xr:uid="{00000000-0005-0000-0000-00006A560000}"/>
    <cellStyle name="Header2 26 2 9" xfId="22090" xr:uid="{00000000-0005-0000-0000-00006B560000}"/>
    <cellStyle name="Header2 26 2 9 2" xfId="22091" xr:uid="{00000000-0005-0000-0000-00006C560000}"/>
    <cellStyle name="Header2 26 2 9 2 2" xfId="22092" xr:uid="{00000000-0005-0000-0000-00006D560000}"/>
    <cellStyle name="Header2 26 2 9 2 2 2" xfId="22093" xr:uid="{00000000-0005-0000-0000-00006E560000}"/>
    <cellStyle name="Header2 26 2 9 2 2 3" xfId="22094" xr:uid="{00000000-0005-0000-0000-00006F560000}"/>
    <cellStyle name="Header2 26 2 9 2 2 4" xfId="22095" xr:uid="{00000000-0005-0000-0000-000070560000}"/>
    <cellStyle name="Header2 26 2 9 2 2 5" xfId="22096" xr:uid="{00000000-0005-0000-0000-000071560000}"/>
    <cellStyle name="Header2 26 2 9 2 3" xfId="22097" xr:uid="{00000000-0005-0000-0000-000072560000}"/>
    <cellStyle name="Header2 26 2 9 2 3 2" xfId="22098" xr:uid="{00000000-0005-0000-0000-000073560000}"/>
    <cellStyle name="Header2 26 2 9 2 3 3" xfId="22099" xr:uid="{00000000-0005-0000-0000-000074560000}"/>
    <cellStyle name="Header2 26 2 9 2 3 4" xfId="22100" xr:uid="{00000000-0005-0000-0000-000075560000}"/>
    <cellStyle name="Header2 26 2 9 2 4" xfId="22101" xr:uid="{00000000-0005-0000-0000-000076560000}"/>
    <cellStyle name="Header2 26 2 9 2 5" xfId="22102" xr:uid="{00000000-0005-0000-0000-000077560000}"/>
    <cellStyle name="Header2 26 2 9 2 6" xfId="22103" xr:uid="{00000000-0005-0000-0000-000078560000}"/>
    <cellStyle name="Header2 26 2 9 3" xfId="22104" xr:uid="{00000000-0005-0000-0000-000079560000}"/>
    <cellStyle name="Header2 26 2 9 3 2" xfId="22105" xr:uid="{00000000-0005-0000-0000-00007A560000}"/>
    <cellStyle name="Header2 26 2 9 3 2 2" xfId="22106" xr:uid="{00000000-0005-0000-0000-00007B560000}"/>
    <cellStyle name="Header2 26 2 9 3 2 3" xfId="22107" xr:uid="{00000000-0005-0000-0000-00007C560000}"/>
    <cellStyle name="Header2 26 2 9 3 2 4" xfId="22108" xr:uid="{00000000-0005-0000-0000-00007D560000}"/>
    <cellStyle name="Header2 26 2 9 3 3" xfId="22109" xr:uid="{00000000-0005-0000-0000-00007E560000}"/>
    <cellStyle name="Header2 26 2 9 3 3 2" xfId="22110" xr:uid="{00000000-0005-0000-0000-00007F560000}"/>
    <cellStyle name="Header2 26 2 9 3 3 3" xfId="22111" xr:uid="{00000000-0005-0000-0000-000080560000}"/>
    <cellStyle name="Header2 26 2 9 3 3 4" xfId="22112" xr:uid="{00000000-0005-0000-0000-000081560000}"/>
    <cellStyle name="Header2 26 2 9 3 4" xfId="22113" xr:uid="{00000000-0005-0000-0000-000082560000}"/>
    <cellStyle name="Header2 26 2 9 3 5" xfId="22114" xr:uid="{00000000-0005-0000-0000-000083560000}"/>
    <cellStyle name="Header2 26 2 9 3 6" xfId="22115" xr:uid="{00000000-0005-0000-0000-000084560000}"/>
    <cellStyle name="Header2 26 2 9 4" xfId="22116" xr:uid="{00000000-0005-0000-0000-000085560000}"/>
    <cellStyle name="Header2 26 2 9 5" xfId="22117" xr:uid="{00000000-0005-0000-0000-000086560000}"/>
    <cellStyle name="Header2 26 3" xfId="22118" xr:uid="{00000000-0005-0000-0000-000087560000}"/>
    <cellStyle name="Header2 26 3 10" xfId="22119" xr:uid="{00000000-0005-0000-0000-000088560000}"/>
    <cellStyle name="Header2 26 3 10 2" xfId="22120" xr:uid="{00000000-0005-0000-0000-000089560000}"/>
    <cellStyle name="Header2 26 3 10 2 2" xfId="22121" xr:uid="{00000000-0005-0000-0000-00008A560000}"/>
    <cellStyle name="Header2 26 3 10 2 2 2" xfId="22122" xr:uid="{00000000-0005-0000-0000-00008B560000}"/>
    <cellStyle name="Header2 26 3 10 2 2 3" xfId="22123" xr:uid="{00000000-0005-0000-0000-00008C560000}"/>
    <cellStyle name="Header2 26 3 10 2 2 4" xfId="22124" xr:uid="{00000000-0005-0000-0000-00008D560000}"/>
    <cellStyle name="Header2 26 3 10 2 2 5" xfId="22125" xr:uid="{00000000-0005-0000-0000-00008E560000}"/>
    <cellStyle name="Header2 26 3 10 2 3" xfId="22126" xr:uid="{00000000-0005-0000-0000-00008F560000}"/>
    <cellStyle name="Header2 26 3 10 2 3 2" xfId="22127" xr:uid="{00000000-0005-0000-0000-000090560000}"/>
    <cellStyle name="Header2 26 3 10 2 3 3" xfId="22128" xr:uid="{00000000-0005-0000-0000-000091560000}"/>
    <cellStyle name="Header2 26 3 10 2 3 4" xfId="22129" xr:uid="{00000000-0005-0000-0000-000092560000}"/>
    <cellStyle name="Header2 26 3 10 2 4" xfId="22130" xr:uid="{00000000-0005-0000-0000-000093560000}"/>
    <cellStyle name="Header2 26 3 10 2 5" xfId="22131" xr:uid="{00000000-0005-0000-0000-000094560000}"/>
    <cellStyle name="Header2 26 3 10 2 6" xfId="22132" xr:uid="{00000000-0005-0000-0000-000095560000}"/>
    <cellStyle name="Header2 26 3 10 3" xfId="22133" xr:uid="{00000000-0005-0000-0000-000096560000}"/>
    <cellStyle name="Header2 26 3 10 3 2" xfId="22134" xr:uid="{00000000-0005-0000-0000-000097560000}"/>
    <cellStyle name="Header2 26 3 10 3 2 2" xfId="22135" xr:uid="{00000000-0005-0000-0000-000098560000}"/>
    <cellStyle name="Header2 26 3 10 3 2 3" xfId="22136" xr:uid="{00000000-0005-0000-0000-000099560000}"/>
    <cellStyle name="Header2 26 3 10 3 2 4" xfId="22137" xr:uid="{00000000-0005-0000-0000-00009A560000}"/>
    <cellStyle name="Header2 26 3 10 3 3" xfId="22138" xr:uid="{00000000-0005-0000-0000-00009B560000}"/>
    <cellStyle name="Header2 26 3 10 3 3 2" xfId="22139" xr:uid="{00000000-0005-0000-0000-00009C560000}"/>
    <cellStyle name="Header2 26 3 10 3 3 3" xfId="22140" xr:uid="{00000000-0005-0000-0000-00009D560000}"/>
    <cellStyle name="Header2 26 3 10 3 3 4" xfId="22141" xr:uid="{00000000-0005-0000-0000-00009E560000}"/>
    <cellStyle name="Header2 26 3 10 3 4" xfId="22142" xr:uid="{00000000-0005-0000-0000-00009F560000}"/>
    <cellStyle name="Header2 26 3 10 3 5" xfId="22143" xr:uid="{00000000-0005-0000-0000-0000A0560000}"/>
    <cellStyle name="Header2 26 3 10 3 6" xfId="22144" xr:uid="{00000000-0005-0000-0000-0000A1560000}"/>
    <cellStyle name="Header2 26 3 10 4" xfId="22145" xr:uid="{00000000-0005-0000-0000-0000A2560000}"/>
    <cellStyle name="Header2 26 3 10 5" xfId="22146" xr:uid="{00000000-0005-0000-0000-0000A3560000}"/>
    <cellStyle name="Header2 26 3 11" xfId="22147" xr:uid="{00000000-0005-0000-0000-0000A4560000}"/>
    <cellStyle name="Header2 26 3 11 2" xfId="22148" xr:uid="{00000000-0005-0000-0000-0000A5560000}"/>
    <cellStyle name="Header2 26 3 11 2 2" xfId="22149" xr:uid="{00000000-0005-0000-0000-0000A6560000}"/>
    <cellStyle name="Header2 26 3 11 2 2 2" xfId="22150" xr:uid="{00000000-0005-0000-0000-0000A7560000}"/>
    <cellStyle name="Header2 26 3 11 2 2 3" xfId="22151" xr:uid="{00000000-0005-0000-0000-0000A8560000}"/>
    <cellStyle name="Header2 26 3 11 2 2 4" xfId="22152" xr:uid="{00000000-0005-0000-0000-0000A9560000}"/>
    <cellStyle name="Header2 26 3 11 2 2 5" xfId="22153" xr:uid="{00000000-0005-0000-0000-0000AA560000}"/>
    <cellStyle name="Header2 26 3 11 2 3" xfId="22154" xr:uid="{00000000-0005-0000-0000-0000AB560000}"/>
    <cellStyle name="Header2 26 3 11 2 3 2" xfId="22155" xr:uid="{00000000-0005-0000-0000-0000AC560000}"/>
    <cellStyle name="Header2 26 3 11 2 3 3" xfId="22156" xr:uid="{00000000-0005-0000-0000-0000AD560000}"/>
    <cellStyle name="Header2 26 3 11 2 3 4" xfId="22157" xr:uid="{00000000-0005-0000-0000-0000AE560000}"/>
    <cellStyle name="Header2 26 3 11 2 4" xfId="22158" xr:uid="{00000000-0005-0000-0000-0000AF560000}"/>
    <cellStyle name="Header2 26 3 11 2 5" xfId="22159" xr:uid="{00000000-0005-0000-0000-0000B0560000}"/>
    <cellStyle name="Header2 26 3 11 2 6" xfId="22160" xr:uid="{00000000-0005-0000-0000-0000B1560000}"/>
    <cellStyle name="Header2 26 3 11 3" xfId="22161" xr:uid="{00000000-0005-0000-0000-0000B2560000}"/>
    <cellStyle name="Header2 26 3 11 3 2" xfId="22162" xr:uid="{00000000-0005-0000-0000-0000B3560000}"/>
    <cellStyle name="Header2 26 3 11 3 2 2" xfId="22163" xr:uid="{00000000-0005-0000-0000-0000B4560000}"/>
    <cellStyle name="Header2 26 3 11 3 2 3" xfId="22164" xr:uid="{00000000-0005-0000-0000-0000B5560000}"/>
    <cellStyle name="Header2 26 3 11 3 2 4" xfId="22165" xr:uid="{00000000-0005-0000-0000-0000B6560000}"/>
    <cellStyle name="Header2 26 3 11 3 3" xfId="22166" xr:uid="{00000000-0005-0000-0000-0000B7560000}"/>
    <cellStyle name="Header2 26 3 11 3 3 2" xfId="22167" xr:uid="{00000000-0005-0000-0000-0000B8560000}"/>
    <cellStyle name="Header2 26 3 11 3 3 3" xfId="22168" xr:uid="{00000000-0005-0000-0000-0000B9560000}"/>
    <cellStyle name="Header2 26 3 11 3 3 4" xfId="22169" xr:uid="{00000000-0005-0000-0000-0000BA560000}"/>
    <cellStyle name="Header2 26 3 11 3 4" xfId="22170" xr:uid="{00000000-0005-0000-0000-0000BB560000}"/>
    <cellStyle name="Header2 26 3 11 3 5" xfId="22171" xr:uid="{00000000-0005-0000-0000-0000BC560000}"/>
    <cellStyle name="Header2 26 3 11 3 6" xfId="22172" xr:uid="{00000000-0005-0000-0000-0000BD560000}"/>
    <cellStyle name="Header2 26 3 11 4" xfId="22173" xr:uid="{00000000-0005-0000-0000-0000BE560000}"/>
    <cellStyle name="Header2 26 3 11 5" xfId="22174" xr:uid="{00000000-0005-0000-0000-0000BF560000}"/>
    <cellStyle name="Header2 26 3 12" xfId="22175" xr:uid="{00000000-0005-0000-0000-0000C0560000}"/>
    <cellStyle name="Header2 26 3 12 2" xfId="22176" xr:uid="{00000000-0005-0000-0000-0000C1560000}"/>
    <cellStyle name="Header2 26 3 12 2 2" xfId="22177" xr:uid="{00000000-0005-0000-0000-0000C2560000}"/>
    <cellStyle name="Header2 26 3 12 2 2 2" xfId="22178" xr:uid="{00000000-0005-0000-0000-0000C3560000}"/>
    <cellStyle name="Header2 26 3 12 2 2 3" xfId="22179" xr:uid="{00000000-0005-0000-0000-0000C4560000}"/>
    <cellStyle name="Header2 26 3 12 2 2 4" xfId="22180" xr:uid="{00000000-0005-0000-0000-0000C5560000}"/>
    <cellStyle name="Header2 26 3 12 2 2 5" xfId="22181" xr:uid="{00000000-0005-0000-0000-0000C6560000}"/>
    <cellStyle name="Header2 26 3 12 2 3" xfId="22182" xr:uid="{00000000-0005-0000-0000-0000C7560000}"/>
    <cellStyle name="Header2 26 3 12 2 3 2" xfId="22183" xr:uid="{00000000-0005-0000-0000-0000C8560000}"/>
    <cellStyle name="Header2 26 3 12 2 3 3" xfId="22184" xr:uid="{00000000-0005-0000-0000-0000C9560000}"/>
    <cellStyle name="Header2 26 3 12 2 3 4" xfId="22185" xr:uid="{00000000-0005-0000-0000-0000CA560000}"/>
    <cellStyle name="Header2 26 3 12 2 4" xfId="22186" xr:uid="{00000000-0005-0000-0000-0000CB560000}"/>
    <cellStyle name="Header2 26 3 12 2 5" xfId="22187" xr:uid="{00000000-0005-0000-0000-0000CC560000}"/>
    <cellStyle name="Header2 26 3 12 2 6" xfId="22188" xr:uid="{00000000-0005-0000-0000-0000CD560000}"/>
    <cellStyle name="Header2 26 3 12 3" xfId="22189" xr:uid="{00000000-0005-0000-0000-0000CE560000}"/>
    <cellStyle name="Header2 26 3 12 3 2" xfId="22190" xr:uid="{00000000-0005-0000-0000-0000CF560000}"/>
    <cellStyle name="Header2 26 3 12 3 2 2" xfId="22191" xr:uid="{00000000-0005-0000-0000-0000D0560000}"/>
    <cellStyle name="Header2 26 3 12 3 2 3" xfId="22192" xr:uid="{00000000-0005-0000-0000-0000D1560000}"/>
    <cellStyle name="Header2 26 3 12 3 2 4" xfId="22193" xr:uid="{00000000-0005-0000-0000-0000D2560000}"/>
    <cellStyle name="Header2 26 3 12 3 3" xfId="22194" xr:uid="{00000000-0005-0000-0000-0000D3560000}"/>
    <cellStyle name="Header2 26 3 12 3 3 2" xfId="22195" xr:uid="{00000000-0005-0000-0000-0000D4560000}"/>
    <cellStyle name="Header2 26 3 12 3 3 3" xfId="22196" xr:uid="{00000000-0005-0000-0000-0000D5560000}"/>
    <cellStyle name="Header2 26 3 12 3 3 4" xfId="22197" xr:uid="{00000000-0005-0000-0000-0000D6560000}"/>
    <cellStyle name="Header2 26 3 12 3 4" xfId="22198" xr:uid="{00000000-0005-0000-0000-0000D7560000}"/>
    <cellStyle name="Header2 26 3 12 3 5" xfId="22199" xr:uid="{00000000-0005-0000-0000-0000D8560000}"/>
    <cellStyle name="Header2 26 3 12 3 6" xfId="22200" xr:uid="{00000000-0005-0000-0000-0000D9560000}"/>
    <cellStyle name="Header2 26 3 12 4" xfId="22201" xr:uid="{00000000-0005-0000-0000-0000DA560000}"/>
    <cellStyle name="Header2 26 3 12 5" xfId="22202" xr:uid="{00000000-0005-0000-0000-0000DB560000}"/>
    <cellStyle name="Header2 26 3 13" xfId="58751" xr:uid="{00000000-0005-0000-0000-0000DC560000}"/>
    <cellStyle name="Header2 26 3 2" xfId="22203" xr:uid="{00000000-0005-0000-0000-0000DD560000}"/>
    <cellStyle name="Header2 26 3 2 2" xfId="22204" xr:uid="{00000000-0005-0000-0000-0000DE560000}"/>
    <cellStyle name="Header2 26 3 2 2 2" xfId="22205" xr:uid="{00000000-0005-0000-0000-0000DF560000}"/>
    <cellStyle name="Header2 26 3 2 2 3" xfId="22206" xr:uid="{00000000-0005-0000-0000-0000E0560000}"/>
    <cellStyle name="Header2 26 3 2 3" xfId="22207" xr:uid="{00000000-0005-0000-0000-0000E1560000}"/>
    <cellStyle name="Header2 26 3 3" xfId="22208" xr:uid="{00000000-0005-0000-0000-0000E2560000}"/>
    <cellStyle name="Header2 26 3 3 2" xfId="22209" xr:uid="{00000000-0005-0000-0000-0000E3560000}"/>
    <cellStyle name="Header2 26 3 3 2 2" xfId="22210" xr:uid="{00000000-0005-0000-0000-0000E4560000}"/>
    <cellStyle name="Header2 26 3 3 2 3" xfId="22211" xr:uid="{00000000-0005-0000-0000-0000E5560000}"/>
    <cellStyle name="Header2 26 3 3 3" xfId="22212" xr:uid="{00000000-0005-0000-0000-0000E6560000}"/>
    <cellStyle name="Header2 26 3 4" xfId="22213" xr:uid="{00000000-0005-0000-0000-0000E7560000}"/>
    <cellStyle name="Header2 26 3 4 2" xfId="22214" xr:uid="{00000000-0005-0000-0000-0000E8560000}"/>
    <cellStyle name="Header2 26 3 4 2 2" xfId="22215" xr:uid="{00000000-0005-0000-0000-0000E9560000}"/>
    <cellStyle name="Header2 26 3 4 2 3" xfId="22216" xr:uid="{00000000-0005-0000-0000-0000EA560000}"/>
    <cellStyle name="Header2 26 3 4 3" xfId="22217" xr:uid="{00000000-0005-0000-0000-0000EB560000}"/>
    <cellStyle name="Header2 26 3 5" xfId="22218" xr:uid="{00000000-0005-0000-0000-0000EC560000}"/>
    <cellStyle name="Header2 26 3 5 2" xfId="22219" xr:uid="{00000000-0005-0000-0000-0000ED560000}"/>
    <cellStyle name="Header2 26 3 5 2 2" xfId="22220" xr:uid="{00000000-0005-0000-0000-0000EE560000}"/>
    <cellStyle name="Header2 26 3 5 2 2 2" xfId="22221" xr:uid="{00000000-0005-0000-0000-0000EF560000}"/>
    <cellStyle name="Header2 26 3 5 2 2 3" xfId="22222" xr:uid="{00000000-0005-0000-0000-0000F0560000}"/>
    <cellStyle name="Header2 26 3 5 2 2 4" xfId="22223" xr:uid="{00000000-0005-0000-0000-0000F1560000}"/>
    <cellStyle name="Header2 26 3 5 2 2 5" xfId="22224" xr:uid="{00000000-0005-0000-0000-0000F2560000}"/>
    <cellStyle name="Header2 26 3 5 2 3" xfId="22225" xr:uid="{00000000-0005-0000-0000-0000F3560000}"/>
    <cellStyle name="Header2 26 3 5 2 3 2" xfId="22226" xr:uid="{00000000-0005-0000-0000-0000F4560000}"/>
    <cellStyle name="Header2 26 3 5 2 3 3" xfId="22227" xr:uid="{00000000-0005-0000-0000-0000F5560000}"/>
    <cellStyle name="Header2 26 3 5 2 3 4" xfId="22228" xr:uid="{00000000-0005-0000-0000-0000F6560000}"/>
    <cellStyle name="Header2 26 3 5 2 4" xfId="22229" xr:uid="{00000000-0005-0000-0000-0000F7560000}"/>
    <cellStyle name="Header2 26 3 5 2 5" xfId="22230" xr:uid="{00000000-0005-0000-0000-0000F8560000}"/>
    <cellStyle name="Header2 26 3 5 2 6" xfId="22231" xr:uid="{00000000-0005-0000-0000-0000F9560000}"/>
    <cellStyle name="Header2 26 3 5 3" xfId="22232" xr:uid="{00000000-0005-0000-0000-0000FA560000}"/>
    <cellStyle name="Header2 26 3 5 3 2" xfId="22233" xr:uid="{00000000-0005-0000-0000-0000FB560000}"/>
    <cellStyle name="Header2 26 3 5 3 2 2" xfId="22234" xr:uid="{00000000-0005-0000-0000-0000FC560000}"/>
    <cellStyle name="Header2 26 3 5 3 2 3" xfId="22235" xr:uid="{00000000-0005-0000-0000-0000FD560000}"/>
    <cellStyle name="Header2 26 3 5 3 2 4" xfId="22236" xr:uid="{00000000-0005-0000-0000-0000FE560000}"/>
    <cellStyle name="Header2 26 3 5 3 3" xfId="22237" xr:uid="{00000000-0005-0000-0000-0000FF560000}"/>
    <cellStyle name="Header2 26 3 5 3 3 2" xfId="22238" xr:uid="{00000000-0005-0000-0000-000000570000}"/>
    <cellStyle name="Header2 26 3 5 3 3 3" xfId="22239" xr:uid="{00000000-0005-0000-0000-000001570000}"/>
    <cellStyle name="Header2 26 3 5 3 3 4" xfId="22240" xr:uid="{00000000-0005-0000-0000-000002570000}"/>
    <cellStyle name="Header2 26 3 5 3 4" xfId="22241" xr:uid="{00000000-0005-0000-0000-000003570000}"/>
    <cellStyle name="Header2 26 3 5 3 5" xfId="22242" xr:uid="{00000000-0005-0000-0000-000004570000}"/>
    <cellStyle name="Header2 26 3 5 3 6" xfId="22243" xr:uid="{00000000-0005-0000-0000-000005570000}"/>
    <cellStyle name="Header2 26 3 5 4" xfId="22244" xr:uid="{00000000-0005-0000-0000-000006570000}"/>
    <cellStyle name="Header2 26 3 5 5" xfId="22245" xr:uid="{00000000-0005-0000-0000-000007570000}"/>
    <cellStyle name="Header2 26 3 6" xfId="22246" xr:uid="{00000000-0005-0000-0000-000008570000}"/>
    <cellStyle name="Header2 26 3 6 2" xfId="22247" xr:uid="{00000000-0005-0000-0000-000009570000}"/>
    <cellStyle name="Header2 26 3 6 2 2" xfId="22248" xr:uid="{00000000-0005-0000-0000-00000A570000}"/>
    <cellStyle name="Header2 26 3 6 2 2 2" xfId="22249" xr:uid="{00000000-0005-0000-0000-00000B570000}"/>
    <cellStyle name="Header2 26 3 6 2 2 3" xfId="22250" xr:uid="{00000000-0005-0000-0000-00000C570000}"/>
    <cellStyle name="Header2 26 3 6 2 2 4" xfId="22251" xr:uid="{00000000-0005-0000-0000-00000D570000}"/>
    <cellStyle name="Header2 26 3 6 2 2 5" xfId="22252" xr:uid="{00000000-0005-0000-0000-00000E570000}"/>
    <cellStyle name="Header2 26 3 6 2 3" xfId="22253" xr:uid="{00000000-0005-0000-0000-00000F570000}"/>
    <cellStyle name="Header2 26 3 6 2 3 2" xfId="22254" xr:uid="{00000000-0005-0000-0000-000010570000}"/>
    <cellStyle name="Header2 26 3 6 2 3 3" xfId="22255" xr:uid="{00000000-0005-0000-0000-000011570000}"/>
    <cellStyle name="Header2 26 3 6 2 3 4" xfId="22256" xr:uid="{00000000-0005-0000-0000-000012570000}"/>
    <cellStyle name="Header2 26 3 6 2 4" xfId="22257" xr:uid="{00000000-0005-0000-0000-000013570000}"/>
    <cellStyle name="Header2 26 3 6 2 5" xfId="22258" xr:uid="{00000000-0005-0000-0000-000014570000}"/>
    <cellStyle name="Header2 26 3 6 2 6" xfId="22259" xr:uid="{00000000-0005-0000-0000-000015570000}"/>
    <cellStyle name="Header2 26 3 6 3" xfId="22260" xr:uid="{00000000-0005-0000-0000-000016570000}"/>
    <cellStyle name="Header2 26 3 6 3 2" xfId="22261" xr:uid="{00000000-0005-0000-0000-000017570000}"/>
    <cellStyle name="Header2 26 3 6 3 2 2" xfId="22262" xr:uid="{00000000-0005-0000-0000-000018570000}"/>
    <cellStyle name="Header2 26 3 6 3 2 3" xfId="22263" xr:uid="{00000000-0005-0000-0000-000019570000}"/>
    <cellStyle name="Header2 26 3 6 3 2 4" xfId="22264" xr:uid="{00000000-0005-0000-0000-00001A570000}"/>
    <cellStyle name="Header2 26 3 6 3 3" xfId="22265" xr:uid="{00000000-0005-0000-0000-00001B570000}"/>
    <cellStyle name="Header2 26 3 6 3 3 2" xfId="22266" xr:uid="{00000000-0005-0000-0000-00001C570000}"/>
    <cellStyle name="Header2 26 3 6 3 3 3" xfId="22267" xr:uid="{00000000-0005-0000-0000-00001D570000}"/>
    <cellStyle name="Header2 26 3 6 3 3 4" xfId="22268" xr:uid="{00000000-0005-0000-0000-00001E570000}"/>
    <cellStyle name="Header2 26 3 6 3 4" xfId="22269" xr:uid="{00000000-0005-0000-0000-00001F570000}"/>
    <cellStyle name="Header2 26 3 6 3 5" xfId="22270" xr:uid="{00000000-0005-0000-0000-000020570000}"/>
    <cellStyle name="Header2 26 3 6 3 6" xfId="22271" xr:uid="{00000000-0005-0000-0000-000021570000}"/>
    <cellStyle name="Header2 26 3 6 4" xfId="22272" xr:uid="{00000000-0005-0000-0000-000022570000}"/>
    <cellStyle name="Header2 26 3 6 5" xfId="22273" xr:uid="{00000000-0005-0000-0000-000023570000}"/>
    <cellStyle name="Header2 26 3 7" xfId="22274" xr:uid="{00000000-0005-0000-0000-000024570000}"/>
    <cellStyle name="Header2 26 3 7 2" xfId="22275" xr:uid="{00000000-0005-0000-0000-000025570000}"/>
    <cellStyle name="Header2 26 3 7 2 2" xfId="22276" xr:uid="{00000000-0005-0000-0000-000026570000}"/>
    <cellStyle name="Header2 26 3 7 2 2 2" xfId="22277" xr:uid="{00000000-0005-0000-0000-000027570000}"/>
    <cellStyle name="Header2 26 3 7 2 2 3" xfId="22278" xr:uid="{00000000-0005-0000-0000-000028570000}"/>
    <cellStyle name="Header2 26 3 7 2 2 4" xfId="22279" xr:uid="{00000000-0005-0000-0000-000029570000}"/>
    <cellStyle name="Header2 26 3 7 2 2 5" xfId="22280" xr:uid="{00000000-0005-0000-0000-00002A570000}"/>
    <cellStyle name="Header2 26 3 7 2 3" xfId="22281" xr:uid="{00000000-0005-0000-0000-00002B570000}"/>
    <cellStyle name="Header2 26 3 7 2 3 2" xfId="22282" xr:uid="{00000000-0005-0000-0000-00002C570000}"/>
    <cellStyle name="Header2 26 3 7 2 3 3" xfId="22283" xr:uid="{00000000-0005-0000-0000-00002D570000}"/>
    <cellStyle name="Header2 26 3 7 2 3 4" xfId="22284" xr:uid="{00000000-0005-0000-0000-00002E570000}"/>
    <cellStyle name="Header2 26 3 7 2 4" xfId="22285" xr:uid="{00000000-0005-0000-0000-00002F570000}"/>
    <cellStyle name="Header2 26 3 7 2 5" xfId="22286" xr:uid="{00000000-0005-0000-0000-000030570000}"/>
    <cellStyle name="Header2 26 3 7 2 6" xfId="22287" xr:uid="{00000000-0005-0000-0000-000031570000}"/>
    <cellStyle name="Header2 26 3 7 3" xfId="22288" xr:uid="{00000000-0005-0000-0000-000032570000}"/>
    <cellStyle name="Header2 26 3 7 3 2" xfId="22289" xr:uid="{00000000-0005-0000-0000-000033570000}"/>
    <cellStyle name="Header2 26 3 7 3 2 2" xfId="22290" xr:uid="{00000000-0005-0000-0000-000034570000}"/>
    <cellStyle name="Header2 26 3 7 3 2 3" xfId="22291" xr:uid="{00000000-0005-0000-0000-000035570000}"/>
    <cellStyle name="Header2 26 3 7 3 2 4" xfId="22292" xr:uid="{00000000-0005-0000-0000-000036570000}"/>
    <cellStyle name="Header2 26 3 7 3 3" xfId="22293" xr:uid="{00000000-0005-0000-0000-000037570000}"/>
    <cellStyle name="Header2 26 3 7 3 3 2" xfId="22294" xr:uid="{00000000-0005-0000-0000-000038570000}"/>
    <cellStyle name="Header2 26 3 7 3 3 3" xfId="22295" xr:uid="{00000000-0005-0000-0000-000039570000}"/>
    <cellStyle name="Header2 26 3 7 3 3 4" xfId="22296" xr:uid="{00000000-0005-0000-0000-00003A570000}"/>
    <cellStyle name="Header2 26 3 7 3 4" xfId="22297" xr:uid="{00000000-0005-0000-0000-00003B570000}"/>
    <cellStyle name="Header2 26 3 7 3 5" xfId="22298" xr:uid="{00000000-0005-0000-0000-00003C570000}"/>
    <cellStyle name="Header2 26 3 7 3 6" xfId="22299" xr:uid="{00000000-0005-0000-0000-00003D570000}"/>
    <cellStyle name="Header2 26 3 7 4" xfId="22300" xr:uid="{00000000-0005-0000-0000-00003E570000}"/>
    <cellStyle name="Header2 26 3 7 5" xfId="22301" xr:uid="{00000000-0005-0000-0000-00003F570000}"/>
    <cellStyle name="Header2 26 3 8" xfId="22302" xr:uid="{00000000-0005-0000-0000-000040570000}"/>
    <cellStyle name="Header2 26 3 8 2" xfId="22303" xr:uid="{00000000-0005-0000-0000-000041570000}"/>
    <cellStyle name="Header2 26 3 8 2 2" xfId="22304" xr:uid="{00000000-0005-0000-0000-000042570000}"/>
    <cellStyle name="Header2 26 3 8 2 2 2" xfId="22305" xr:uid="{00000000-0005-0000-0000-000043570000}"/>
    <cellStyle name="Header2 26 3 8 2 2 3" xfId="22306" xr:uid="{00000000-0005-0000-0000-000044570000}"/>
    <cellStyle name="Header2 26 3 8 2 2 4" xfId="22307" xr:uid="{00000000-0005-0000-0000-000045570000}"/>
    <cellStyle name="Header2 26 3 8 2 2 5" xfId="22308" xr:uid="{00000000-0005-0000-0000-000046570000}"/>
    <cellStyle name="Header2 26 3 8 2 3" xfId="22309" xr:uid="{00000000-0005-0000-0000-000047570000}"/>
    <cellStyle name="Header2 26 3 8 2 3 2" xfId="22310" xr:uid="{00000000-0005-0000-0000-000048570000}"/>
    <cellStyle name="Header2 26 3 8 2 3 3" xfId="22311" xr:uid="{00000000-0005-0000-0000-000049570000}"/>
    <cellStyle name="Header2 26 3 8 2 3 4" xfId="22312" xr:uid="{00000000-0005-0000-0000-00004A570000}"/>
    <cellStyle name="Header2 26 3 8 2 4" xfId="22313" xr:uid="{00000000-0005-0000-0000-00004B570000}"/>
    <cellStyle name="Header2 26 3 8 2 5" xfId="22314" xr:uid="{00000000-0005-0000-0000-00004C570000}"/>
    <cellStyle name="Header2 26 3 8 2 6" xfId="22315" xr:uid="{00000000-0005-0000-0000-00004D570000}"/>
    <cellStyle name="Header2 26 3 8 3" xfId="22316" xr:uid="{00000000-0005-0000-0000-00004E570000}"/>
    <cellStyle name="Header2 26 3 8 3 2" xfId="22317" xr:uid="{00000000-0005-0000-0000-00004F570000}"/>
    <cellStyle name="Header2 26 3 8 3 2 2" xfId="22318" xr:uid="{00000000-0005-0000-0000-000050570000}"/>
    <cellStyle name="Header2 26 3 8 3 2 3" xfId="22319" xr:uid="{00000000-0005-0000-0000-000051570000}"/>
    <cellStyle name="Header2 26 3 8 3 2 4" xfId="22320" xr:uid="{00000000-0005-0000-0000-000052570000}"/>
    <cellStyle name="Header2 26 3 8 3 3" xfId="22321" xr:uid="{00000000-0005-0000-0000-000053570000}"/>
    <cellStyle name="Header2 26 3 8 3 3 2" xfId="22322" xr:uid="{00000000-0005-0000-0000-000054570000}"/>
    <cellStyle name="Header2 26 3 8 3 3 3" xfId="22323" xr:uid="{00000000-0005-0000-0000-000055570000}"/>
    <cellStyle name="Header2 26 3 8 3 3 4" xfId="22324" xr:uid="{00000000-0005-0000-0000-000056570000}"/>
    <cellStyle name="Header2 26 3 8 3 4" xfId="22325" xr:uid="{00000000-0005-0000-0000-000057570000}"/>
    <cellStyle name="Header2 26 3 8 3 5" xfId="22326" xr:uid="{00000000-0005-0000-0000-000058570000}"/>
    <cellStyle name="Header2 26 3 8 3 6" xfId="22327" xr:uid="{00000000-0005-0000-0000-000059570000}"/>
    <cellStyle name="Header2 26 3 8 4" xfId="22328" xr:uid="{00000000-0005-0000-0000-00005A570000}"/>
    <cellStyle name="Header2 26 3 8 5" xfId="22329" xr:uid="{00000000-0005-0000-0000-00005B570000}"/>
    <cellStyle name="Header2 26 3 9" xfId="22330" xr:uid="{00000000-0005-0000-0000-00005C570000}"/>
    <cellStyle name="Header2 26 3 9 2" xfId="22331" xr:uid="{00000000-0005-0000-0000-00005D570000}"/>
    <cellStyle name="Header2 26 3 9 2 2" xfId="22332" xr:uid="{00000000-0005-0000-0000-00005E570000}"/>
    <cellStyle name="Header2 26 3 9 2 2 2" xfId="22333" xr:uid="{00000000-0005-0000-0000-00005F570000}"/>
    <cellStyle name="Header2 26 3 9 2 2 3" xfId="22334" xr:uid="{00000000-0005-0000-0000-000060570000}"/>
    <cellStyle name="Header2 26 3 9 2 2 4" xfId="22335" xr:uid="{00000000-0005-0000-0000-000061570000}"/>
    <cellStyle name="Header2 26 3 9 2 2 5" xfId="22336" xr:uid="{00000000-0005-0000-0000-000062570000}"/>
    <cellStyle name="Header2 26 3 9 2 3" xfId="22337" xr:uid="{00000000-0005-0000-0000-000063570000}"/>
    <cellStyle name="Header2 26 3 9 2 3 2" xfId="22338" xr:uid="{00000000-0005-0000-0000-000064570000}"/>
    <cellStyle name="Header2 26 3 9 2 3 3" xfId="22339" xr:uid="{00000000-0005-0000-0000-000065570000}"/>
    <cellStyle name="Header2 26 3 9 2 3 4" xfId="22340" xr:uid="{00000000-0005-0000-0000-000066570000}"/>
    <cellStyle name="Header2 26 3 9 2 4" xfId="22341" xr:uid="{00000000-0005-0000-0000-000067570000}"/>
    <cellStyle name="Header2 26 3 9 2 5" xfId="22342" xr:uid="{00000000-0005-0000-0000-000068570000}"/>
    <cellStyle name="Header2 26 3 9 2 6" xfId="22343" xr:uid="{00000000-0005-0000-0000-000069570000}"/>
    <cellStyle name="Header2 26 3 9 3" xfId="22344" xr:uid="{00000000-0005-0000-0000-00006A570000}"/>
    <cellStyle name="Header2 26 3 9 3 2" xfId="22345" xr:uid="{00000000-0005-0000-0000-00006B570000}"/>
    <cellStyle name="Header2 26 3 9 3 2 2" xfId="22346" xr:uid="{00000000-0005-0000-0000-00006C570000}"/>
    <cellStyle name="Header2 26 3 9 3 2 3" xfId="22347" xr:uid="{00000000-0005-0000-0000-00006D570000}"/>
    <cellStyle name="Header2 26 3 9 3 2 4" xfId="22348" xr:uid="{00000000-0005-0000-0000-00006E570000}"/>
    <cellStyle name="Header2 26 3 9 3 3" xfId="22349" xr:uid="{00000000-0005-0000-0000-00006F570000}"/>
    <cellStyle name="Header2 26 3 9 3 3 2" xfId="22350" xr:uid="{00000000-0005-0000-0000-000070570000}"/>
    <cellStyle name="Header2 26 3 9 3 3 3" xfId="22351" xr:uid="{00000000-0005-0000-0000-000071570000}"/>
    <cellStyle name="Header2 26 3 9 3 3 4" xfId="22352" xr:uid="{00000000-0005-0000-0000-000072570000}"/>
    <cellStyle name="Header2 26 3 9 3 4" xfId="22353" xr:uid="{00000000-0005-0000-0000-000073570000}"/>
    <cellStyle name="Header2 26 3 9 3 5" xfId="22354" xr:uid="{00000000-0005-0000-0000-000074570000}"/>
    <cellStyle name="Header2 26 3 9 3 6" xfId="22355" xr:uid="{00000000-0005-0000-0000-000075570000}"/>
    <cellStyle name="Header2 26 3 9 4" xfId="22356" xr:uid="{00000000-0005-0000-0000-000076570000}"/>
    <cellStyle name="Header2 26 3 9 5" xfId="22357" xr:uid="{00000000-0005-0000-0000-000077570000}"/>
    <cellStyle name="Header2 27" xfId="22358" xr:uid="{00000000-0005-0000-0000-000078570000}"/>
    <cellStyle name="Header2 27 2" xfId="22359" xr:uid="{00000000-0005-0000-0000-000079570000}"/>
    <cellStyle name="Header2 27 2 10" xfId="22360" xr:uid="{00000000-0005-0000-0000-00007A570000}"/>
    <cellStyle name="Header2 27 2 10 2" xfId="22361" xr:uid="{00000000-0005-0000-0000-00007B570000}"/>
    <cellStyle name="Header2 27 2 10 2 2" xfId="22362" xr:uid="{00000000-0005-0000-0000-00007C570000}"/>
    <cellStyle name="Header2 27 2 10 2 2 2" xfId="22363" xr:uid="{00000000-0005-0000-0000-00007D570000}"/>
    <cellStyle name="Header2 27 2 10 2 2 3" xfId="22364" xr:uid="{00000000-0005-0000-0000-00007E570000}"/>
    <cellStyle name="Header2 27 2 10 2 2 4" xfId="22365" xr:uid="{00000000-0005-0000-0000-00007F570000}"/>
    <cellStyle name="Header2 27 2 10 2 2 5" xfId="22366" xr:uid="{00000000-0005-0000-0000-000080570000}"/>
    <cellStyle name="Header2 27 2 10 2 3" xfId="22367" xr:uid="{00000000-0005-0000-0000-000081570000}"/>
    <cellStyle name="Header2 27 2 10 2 3 2" xfId="22368" xr:uid="{00000000-0005-0000-0000-000082570000}"/>
    <cellStyle name="Header2 27 2 10 2 3 3" xfId="22369" xr:uid="{00000000-0005-0000-0000-000083570000}"/>
    <cellStyle name="Header2 27 2 10 2 3 4" xfId="22370" xr:uid="{00000000-0005-0000-0000-000084570000}"/>
    <cellStyle name="Header2 27 2 10 2 4" xfId="22371" xr:uid="{00000000-0005-0000-0000-000085570000}"/>
    <cellStyle name="Header2 27 2 10 2 5" xfId="22372" xr:uid="{00000000-0005-0000-0000-000086570000}"/>
    <cellStyle name="Header2 27 2 10 2 6" xfId="22373" xr:uid="{00000000-0005-0000-0000-000087570000}"/>
    <cellStyle name="Header2 27 2 10 3" xfId="22374" xr:uid="{00000000-0005-0000-0000-000088570000}"/>
    <cellStyle name="Header2 27 2 10 3 2" xfId="22375" xr:uid="{00000000-0005-0000-0000-000089570000}"/>
    <cellStyle name="Header2 27 2 10 3 2 2" xfId="22376" xr:uid="{00000000-0005-0000-0000-00008A570000}"/>
    <cellStyle name="Header2 27 2 10 3 2 3" xfId="22377" xr:uid="{00000000-0005-0000-0000-00008B570000}"/>
    <cellStyle name="Header2 27 2 10 3 2 4" xfId="22378" xr:uid="{00000000-0005-0000-0000-00008C570000}"/>
    <cellStyle name="Header2 27 2 10 3 3" xfId="22379" xr:uid="{00000000-0005-0000-0000-00008D570000}"/>
    <cellStyle name="Header2 27 2 10 3 3 2" xfId="22380" xr:uid="{00000000-0005-0000-0000-00008E570000}"/>
    <cellStyle name="Header2 27 2 10 3 3 3" xfId="22381" xr:uid="{00000000-0005-0000-0000-00008F570000}"/>
    <cellStyle name="Header2 27 2 10 3 3 4" xfId="22382" xr:uid="{00000000-0005-0000-0000-000090570000}"/>
    <cellStyle name="Header2 27 2 10 3 4" xfId="22383" xr:uid="{00000000-0005-0000-0000-000091570000}"/>
    <cellStyle name="Header2 27 2 10 3 5" xfId="22384" xr:uid="{00000000-0005-0000-0000-000092570000}"/>
    <cellStyle name="Header2 27 2 10 3 6" xfId="22385" xr:uid="{00000000-0005-0000-0000-000093570000}"/>
    <cellStyle name="Header2 27 2 10 4" xfId="22386" xr:uid="{00000000-0005-0000-0000-000094570000}"/>
    <cellStyle name="Header2 27 2 10 5" xfId="22387" xr:uid="{00000000-0005-0000-0000-000095570000}"/>
    <cellStyle name="Header2 27 2 11" xfId="22388" xr:uid="{00000000-0005-0000-0000-000096570000}"/>
    <cellStyle name="Header2 27 2 11 2" xfId="22389" xr:uid="{00000000-0005-0000-0000-000097570000}"/>
    <cellStyle name="Header2 27 2 11 2 2" xfId="22390" xr:uid="{00000000-0005-0000-0000-000098570000}"/>
    <cellStyle name="Header2 27 2 11 2 2 2" xfId="22391" xr:uid="{00000000-0005-0000-0000-000099570000}"/>
    <cellStyle name="Header2 27 2 11 2 2 3" xfId="22392" xr:uid="{00000000-0005-0000-0000-00009A570000}"/>
    <cellStyle name="Header2 27 2 11 2 2 4" xfId="22393" xr:uid="{00000000-0005-0000-0000-00009B570000}"/>
    <cellStyle name="Header2 27 2 11 2 2 5" xfId="22394" xr:uid="{00000000-0005-0000-0000-00009C570000}"/>
    <cellStyle name="Header2 27 2 11 2 3" xfId="22395" xr:uid="{00000000-0005-0000-0000-00009D570000}"/>
    <cellStyle name="Header2 27 2 11 2 3 2" xfId="22396" xr:uid="{00000000-0005-0000-0000-00009E570000}"/>
    <cellStyle name="Header2 27 2 11 2 3 3" xfId="22397" xr:uid="{00000000-0005-0000-0000-00009F570000}"/>
    <cellStyle name="Header2 27 2 11 2 3 4" xfId="22398" xr:uid="{00000000-0005-0000-0000-0000A0570000}"/>
    <cellStyle name="Header2 27 2 11 2 4" xfId="22399" xr:uid="{00000000-0005-0000-0000-0000A1570000}"/>
    <cellStyle name="Header2 27 2 11 2 5" xfId="22400" xr:uid="{00000000-0005-0000-0000-0000A2570000}"/>
    <cellStyle name="Header2 27 2 11 2 6" xfId="22401" xr:uid="{00000000-0005-0000-0000-0000A3570000}"/>
    <cellStyle name="Header2 27 2 11 3" xfId="22402" xr:uid="{00000000-0005-0000-0000-0000A4570000}"/>
    <cellStyle name="Header2 27 2 11 3 2" xfId="22403" xr:uid="{00000000-0005-0000-0000-0000A5570000}"/>
    <cellStyle name="Header2 27 2 11 3 2 2" xfId="22404" xr:uid="{00000000-0005-0000-0000-0000A6570000}"/>
    <cellStyle name="Header2 27 2 11 3 2 3" xfId="22405" xr:uid="{00000000-0005-0000-0000-0000A7570000}"/>
    <cellStyle name="Header2 27 2 11 3 2 4" xfId="22406" xr:uid="{00000000-0005-0000-0000-0000A8570000}"/>
    <cellStyle name="Header2 27 2 11 3 3" xfId="22407" xr:uid="{00000000-0005-0000-0000-0000A9570000}"/>
    <cellStyle name="Header2 27 2 11 3 3 2" xfId="22408" xr:uid="{00000000-0005-0000-0000-0000AA570000}"/>
    <cellStyle name="Header2 27 2 11 3 3 3" xfId="22409" xr:uid="{00000000-0005-0000-0000-0000AB570000}"/>
    <cellStyle name="Header2 27 2 11 3 3 4" xfId="22410" xr:uid="{00000000-0005-0000-0000-0000AC570000}"/>
    <cellStyle name="Header2 27 2 11 3 4" xfId="22411" xr:uid="{00000000-0005-0000-0000-0000AD570000}"/>
    <cellStyle name="Header2 27 2 11 3 5" xfId="22412" xr:uid="{00000000-0005-0000-0000-0000AE570000}"/>
    <cellStyle name="Header2 27 2 11 3 6" xfId="22413" xr:uid="{00000000-0005-0000-0000-0000AF570000}"/>
    <cellStyle name="Header2 27 2 11 4" xfId="22414" xr:uid="{00000000-0005-0000-0000-0000B0570000}"/>
    <cellStyle name="Header2 27 2 11 5" xfId="22415" xr:uid="{00000000-0005-0000-0000-0000B1570000}"/>
    <cellStyle name="Header2 27 2 12" xfId="22416" xr:uid="{00000000-0005-0000-0000-0000B2570000}"/>
    <cellStyle name="Header2 27 2 12 2" xfId="22417" xr:uid="{00000000-0005-0000-0000-0000B3570000}"/>
    <cellStyle name="Header2 27 2 12 2 2" xfId="22418" xr:uid="{00000000-0005-0000-0000-0000B4570000}"/>
    <cellStyle name="Header2 27 2 12 2 2 2" xfId="22419" xr:uid="{00000000-0005-0000-0000-0000B5570000}"/>
    <cellStyle name="Header2 27 2 12 2 2 3" xfId="22420" xr:uid="{00000000-0005-0000-0000-0000B6570000}"/>
    <cellStyle name="Header2 27 2 12 2 2 4" xfId="22421" xr:uid="{00000000-0005-0000-0000-0000B7570000}"/>
    <cellStyle name="Header2 27 2 12 2 2 5" xfId="22422" xr:uid="{00000000-0005-0000-0000-0000B8570000}"/>
    <cellStyle name="Header2 27 2 12 2 3" xfId="22423" xr:uid="{00000000-0005-0000-0000-0000B9570000}"/>
    <cellStyle name="Header2 27 2 12 2 3 2" xfId="22424" xr:uid="{00000000-0005-0000-0000-0000BA570000}"/>
    <cellStyle name="Header2 27 2 12 2 3 3" xfId="22425" xr:uid="{00000000-0005-0000-0000-0000BB570000}"/>
    <cellStyle name="Header2 27 2 12 2 3 4" xfId="22426" xr:uid="{00000000-0005-0000-0000-0000BC570000}"/>
    <cellStyle name="Header2 27 2 12 2 4" xfId="22427" xr:uid="{00000000-0005-0000-0000-0000BD570000}"/>
    <cellStyle name="Header2 27 2 12 2 5" xfId="22428" xr:uid="{00000000-0005-0000-0000-0000BE570000}"/>
    <cellStyle name="Header2 27 2 12 2 6" xfId="22429" xr:uid="{00000000-0005-0000-0000-0000BF570000}"/>
    <cellStyle name="Header2 27 2 12 3" xfId="22430" xr:uid="{00000000-0005-0000-0000-0000C0570000}"/>
    <cellStyle name="Header2 27 2 12 3 2" xfId="22431" xr:uid="{00000000-0005-0000-0000-0000C1570000}"/>
    <cellStyle name="Header2 27 2 12 3 2 2" xfId="22432" xr:uid="{00000000-0005-0000-0000-0000C2570000}"/>
    <cellStyle name="Header2 27 2 12 3 2 3" xfId="22433" xr:uid="{00000000-0005-0000-0000-0000C3570000}"/>
    <cellStyle name="Header2 27 2 12 3 2 4" xfId="22434" xr:uid="{00000000-0005-0000-0000-0000C4570000}"/>
    <cellStyle name="Header2 27 2 12 3 3" xfId="22435" xr:uid="{00000000-0005-0000-0000-0000C5570000}"/>
    <cellStyle name="Header2 27 2 12 3 3 2" xfId="22436" xr:uid="{00000000-0005-0000-0000-0000C6570000}"/>
    <cellStyle name="Header2 27 2 12 3 3 3" xfId="22437" xr:uid="{00000000-0005-0000-0000-0000C7570000}"/>
    <cellStyle name="Header2 27 2 12 3 3 4" xfId="22438" xr:uid="{00000000-0005-0000-0000-0000C8570000}"/>
    <cellStyle name="Header2 27 2 12 3 4" xfId="22439" xr:uid="{00000000-0005-0000-0000-0000C9570000}"/>
    <cellStyle name="Header2 27 2 12 3 5" xfId="22440" xr:uid="{00000000-0005-0000-0000-0000CA570000}"/>
    <cellStyle name="Header2 27 2 12 3 6" xfId="22441" xr:uid="{00000000-0005-0000-0000-0000CB570000}"/>
    <cellStyle name="Header2 27 2 12 4" xfId="22442" xr:uid="{00000000-0005-0000-0000-0000CC570000}"/>
    <cellStyle name="Header2 27 2 12 5" xfId="22443" xr:uid="{00000000-0005-0000-0000-0000CD570000}"/>
    <cellStyle name="Header2 27 2 13" xfId="22444" xr:uid="{00000000-0005-0000-0000-0000CE570000}"/>
    <cellStyle name="Header2 27 2 13 2" xfId="22445" xr:uid="{00000000-0005-0000-0000-0000CF570000}"/>
    <cellStyle name="Header2 27 2 13 2 2" xfId="22446" xr:uid="{00000000-0005-0000-0000-0000D0570000}"/>
    <cellStyle name="Header2 27 2 13 2 2 2" xfId="22447" xr:uid="{00000000-0005-0000-0000-0000D1570000}"/>
    <cellStyle name="Header2 27 2 13 2 2 3" xfId="22448" xr:uid="{00000000-0005-0000-0000-0000D2570000}"/>
    <cellStyle name="Header2 27 2 13 2 2 4" xfId="22449" xr:uid="{00000000-0005-0000-0000-0000D3570000}"/>
    <cellStyle name="Header2 27 2 13 2 2 5" xfId="22450" xr:uid="{00000000-0005-0000-0000-0000D4570000}"/>
    <cellStyle name="Header2 27 2 13 2 3" xfId="22451" xr:uid="{00000000-0005-0000-0000-0000D5570000}"/>
    <cellStyle name="Header2 27 2 13 2 3 2" xfId="22452" xr:uid="{00000000-0005-0000-0000-0000D6570000}"/>
    <cellStyle name="Header2 27 2 13 2 3 3" xfId="22453" xr:uid="{00000000-0005-0000-0000-0000D7570000}"/>
    <cellStyle name="Header2 27 2 13 2 3 4" xfId="22454" xr:uid="{00000000-0005-0000-0000-0000D8570000}"/>
    <cellStyle name="Header2 27 2 13 2 4" xfId="22455" xr:uid="{00000000-0005-0000-0000-0000D9570000}"/>
    <cellStyle name="Header2 27 2 13 2 5" xfId="22456" xr:uid="{00000000-0005-0000-0000-0000DA570000}"/>
    <cellStyle name="Header2 27 2 13 2 6" xfId="22457" xr:uid="{00000000-0005-0000-0000-0000DB570000}"/>
    <cellStyle name="Header2 27 2 13 3" xfId="22458" xr:uid="{00000000-0005-0000-0000-0000DC570000}"/>
    <cellStyle name="Header2 27 2 13 3 2" xfId="22459" xr:uid="{00000000-0005-0000-0000-0000DD570000}"/>
    <cellStyle name="Header2 27 2 13 3 2 2" xfId="22460" xr:uid="{00000000-0005-0000-0000-0000DE570000}"/>
    <cellStyle name="Header2 27 2 13 3 2 3" xfId="22461" xr:uid="{00000000-0005-0000-0000-0000DF570000}"/>
    <cellStyle name="Header2 27 2 13 3 2 4" xfId="22462" xr:uid="{00000000-0005-0000-0000-0000E0570000}"/>
    <cellStyle name="Header2 27 2 13 3 3" xfId="22463" xr:uid="{00000000-0005-0000-0000-0000E1570000}"/>
    <cellStyle name="Header2 27 2 13 3 3 2" xfId="22464" xr:uid="{00000000-0005-0000-0000-0000E2570000}"/>
    <cellStyle name="Header2 27 2 13 3 3 3" xfId="22465" xr:uid="{00000000-0005-0000-0000-0000E3570000}"/>
    <cellStyle name="Header2 27 2 13 3 3 4" xfId="22466" xr:uid="{00000000-0005-0000-0000-0000E4570000}"/>
    <cellStyle name="Header2 27 2 13 3 4" xfId="22467" xr:uid="{00000000-0005-0000-0000-0000E5570000}"/>
    <cellStyle name="Header2 27 2 13 3 5" xfId="22468" xr:uid="{00000000-0005-0000-0000-0000E6570000}"/>
    <cellStyle name="Header2 27 2 13 3 6" xfId="22469" xr:uid="{00000000-0005-0000-0000-0000E7570000}"/>
    <cellStyle name="Header2 27 2 13 4" xfId="22470" xr:uid="{00000000-0005-0000-0000-0000E8570000}"/>
    <cellStyle name="Header2 27 2 13 5" xfId="22471" xr:uid="{00000000-0005-0000-0000-0000E9570000}"/>
    <cellStyle name="Header2 27 2 14" xfId="58752" xr:uid="{00000000-0005-0000-0000-0000EA570000}"/>
    <cellStyle name="Header2 27 2 2" xfId="22472" xr:uid="{00000000-0005-0000-0000-0000EB570000}"/>
    <cellStyle name="Header2 27 2 2 2" xfId="22473" xr:uid="{00000000-0005-0000-0000-0000EC570000}"/>
    <cellStyle name="Header2 27 2 2 2 2" xfId="22474" xr:uid="{00000000-0005-0000-0000-0000ED570000}"/>
    <cellStyle name="Header2 27 2 2 2 2 2" xfId="22475" xr:uid="{00000000-0005-0000-0000-0000EE570000}"/>
    <cellStyle name="Header2 27 2 2 2 2 2 2" xfId="22476" xr:uid="{00000000-0005-0000-0000-0000EF570000}"/>
    <cellStyle name="Header2 27 2 2 2 2 2 3" xfId="22477" xr:uid="{00000000-0005-0000-0000-0000F0570000}"/>
    <cellStyle name="Header2 27 2 2 2 2 2 4" xfId="22478" xr:uid="{00000000-0005-0000-0000-0000F1570000}"/>
    <cellStyle name="Header2 27 2 2 2 2 2 5" xfId="22479" xr:uid="{00000000-0005-0000-0000-0000F2570000}"/>
    <cellStyle name="Header2 27 2 2 2 2 3" xfId="22480" xr:uid="{00000000-0005-0000-0000-0000F3570000}"/>
    <cellStyle name="Header2 27 2 2 2 2 3 2" xfId="22481" xr:uid="{00000000-0005-0000-0000-0000F4570000}"/>
    <cellStyle name="Header2 27 2 2 2 2 3 3" xfId="22482" xr:uid="{00000000-0005-0000-0000-0000F5570000}"/>
    <cellStyle name="Header2 27 2 2 2 2 3 4" xfId="22483" xr:uid="{00000000-0005-0000-0000-0000F6570000}"/>
    <cellStyle name="Header2 27 2 2 2 2 4" xfId="22484" xr:uid="{00000000-0005-0000-0000-0000F7570000}"/>
    <cellStyle name="Header2 27 2 2 2 2 5" xfId="22485" xr:uid="{00000000-0005-0000-0000-0000F8570000}"/>
    <cellStyle name="Header2 27 2 2 2 2 6" xfId="22486" xr:uid="{00000000-0005-0000-0000-0000F9570000}"/>
    <cellStyle name="Header2 27 2 2 2 3" xfId="22487" xr:uid="{00000000-0005-0000-0000-0000FA570000}"/>
    <cellStyle name="Header2 27 2 2 2 3 2" xfId="22488" xr:uid="{00000000-0005-0000-0000-0000FB570000}"/>
    <cellStyle name="Header2 27 2 2 2 3 2 2" xfId="22489" xr:uid="{00000000-0005-0000-0000-0000FC570000}"/>
    <cellStyle name="Header2 27 2 2 2 3 2 3" xfId="22490" xr:uid="{00000000-0005-0000-0000-0000FD570000}"/>
    <cellStyle name="Header2 27 2 2 2 3 2 4" xfId="22491" xr:uid="{00000000-0005-0000-0000-0000FE570000}"/>
    <cellStyle name="Header2 27 2 2 2 3 3" xfId="22492" xr:uid="{00000000-0005-0000-0000-0000FF570000}"/>
    <cellStyle name="Header2 27 2 2 2 3 3 2" xfId="22493" xr:uid="{00000000-0005-0000-0000-000000580000}"/>
    <cellStyle name="Header2 27 2 2 2 3 3 3" xfId="22494" xr:uid="{00000000-0005-0000-0000-000001580000}"/>
    <cellStyle name="Header2 27 2 2 2 3 3 4" xfId="22495" xr:uid="{00000000-0005-0000-0000-000002580000}"/>
    <cellStyle name="Header2 27 2 2 2 3 4" xfId="22496" xr:uid="{00000000-0005-0000-0000-000003580000}"/>
    <cellStyle name="Header2 27 2 2 2 3 5" xfId="22497" xr:uid="{00000000-0005-0000-0000-000004580000}"/>
    <cellStyle name="Header2 27 2 2 2 3 6" xfId="22498" xr:uid="{00000000-0005-0000-0000-000005580000}"/>
    <cellStyle name="Header2 27 2 2 2 4" xfId="22499" xr:uid="{00000000-0005-0000-0000-000006580000}"/>
    <cellStyle name="Header2 27 2 2 2 5" xfId="22500" xr:uid="{00000000-0005-0000-0000-000007580000}"/>
    <cellStyle name="Header2 27 2 2 3" xfId="22501" xr:uid="{00000000-0005-0000-0000-000008580000}"/>
    <cellStyle name="Header2 27 2 2 3 2" xfId="22502" xr:uid="{00000000-0005-0000-0000-000009580000}"/>
    <cellStyle name="Header2 27 2 2 3 2 2" xfId="22503" xr:uid="{00000000-0005-0000-0000-00000A580000}"/>
    <cellStyle name="Header2 27 2 2 3 2 2 2" xfId="22504" xr:uid="{00000000-0005-0000-0000-00000B580000}"/>
    <cellStyle name="Header2 27 2 2 3 2 2 3" xfId="22505" xr:uid="{00000000-0005-0000-0000-00000C580000}"/>
    <cellStyle name="Header2 27 2 2 3 2 2 4" xfId="22506" xr:uid="{00000000-0005-0000-0000-00000D580000}"/>
    <cellStyle name="Header2 27 2 2 3 2 2 5" xfId="22507" xr:uid="{00000000-0005-0000-0000-00000E580000}"/>
    <cellStyle name="Header2 27 2 2 3 2 3" xfId="22508" xr:uid="{00000000-0005-0000-0000-00000F580000}"/>
    <cellStyle name="Header2 27 2 2 3 2 3 2" xfId="22509" xr:uid="{00000000-0005-0000-0000-000010580000}"/>
    <cellStyle name="Header2 27 2 2 3 2 3 3" xfId="22510" xr:uid="{00000000-0005-0000-0000-000011580000}"/>
    <cellStyle name="Header2 27 2 2 3 2 3 4" xfId="22511" xr:uid="{00000000-0005-0000-0000-000012580000}"/>
    <cellStyle name="Header2 27 2 2 3 2 4" xfId="22512" xr:uid="{00000000-0005-0000-0000-000013580000}"/>
    <cellStyle name="Header2 27 2 2 3 2 5" xfId="22513" xr:uid="{00000000-0005-0000-0000-000014580000}"/>
    <cellStyle name="Header2 27 2 2 3 2 6" xfId="22514" xr:uid="{00000000-0005-0000-0000-000015580000}"/>
    <cellStyle name="Header2 27 2 2 3 3" xfId="22515" xr:uid="{00000000-0005-0000-0000-000016580000}"/>
    <cellStyle name="Header2 27 2 2 3 3 2" xfId="22516" xr:uid="{00000000-0005-0000-0000-000017580000}"/>
    <cellStyle name="Header2 27 2 2 3 3 2 2" xfId="22517" xr:uid="{00000000-0005-0000-0000-000018580000}"/>
    <cellStyle name="Header2 27 2 2 3 3 2 3" xfId="22518" xr:uid="{00000000-0005-0000-0000-000019580000}"/>
    <cellStyle name="Header2 27 2 2 3 3 2 4" xfId="22519" xr:uid="{00000000-0005-0000-0000-00001A580000}"/>
    <cellStyle name="Header2 27 2 2 3 3 3" xfId="22520" xr:uid="{00000000-0005-0000-0000-00001B580000}"/>
    <cellStyle name="Header2 27 2 2 3 3 3 2" xfId="22521" xr:uid="{00000000-0005-0000-0000-00001C580000}"/>
    <cellStyle name="Header2 27 2 2 3 3 3 3" xfId="22522" xr:uid="{00000000-0005-0000-0000-00001D580000}"/>
    <cellStyle name="Header2 27 2 2 3 3 3 4" xfId="22523" xr:uid="{00000000-0005-0000-0000-00001E580000}"/>
    <cellStyle name="Header2 27 2 2 3 3 4" xfId="22524" xr:uid="{00000000-0005-0000-0000-00001F580000}"/>
    <cellStyle name="Header2 27 2 2 3 3 5" xfId="22525" xr:uid="{00000000-0005-0000-0000-000020580000}"/>
    <cellStyle name="Header2 27 2 2 3 3 6" xfId="22526" xr:uid="{00000000-0005-0000-0000-000021580000}"/>
    <cellStyle name="Header2 27 2 2 3 4" xfId="22527" xr:uid="{00000000-0005-0000-0000-000022580000}"/>
    <cellStyle name="Header2 27 2 2 3 5" xfId="22528" xr:uid="{00000000-0005-0000-0000-000023580000}"/>
    <cellStyle name="Header2 27 2 3" xfId="22529" xr:uid="{00000000-0005-0000-0000-000024580000}"/>
    <cellStyle name="Header2 27 2 3 2" xfId="22530" xr:uid="{00000000-0005-0000-0000-000025580000}"/>
    <cellStyle name="Header2 27 2 3 2 2" xfId="22531" xr:uid="{00000000-0005-0000-0000-000026580000}"/>
    <cellStyle name="Header2 27 2 3 2 3" xfId="22532" xr:uid="{00000000-0005-0000-0000-000027580000}"/>
    <cellStyle name="Header2 27 2 3 3" xfId="22533" xr:uid="{00000000-0005-0000-0000-000028580000}"/>
    <cellStyle name="Header2 27 2 4" xfId="22534" xr:uid="{00000000-0005-0000-0000-000029580000}"/>
    <cellStyle name="Header2 27 2 4 2" xfId="22535" xr:uid="{00000000-0005-0000-0000-00002A580000}"/>
    <cellStyle name="Header2 27 2 4 2 2" xfId="22536" xr:uid="{00000000-0005-0000-0000-00002B580000}"/>
    <cellStyle name="Header2 27 2 4 2 3" xfId="22537" xr:uid="{00000000-0005-0000-0000-00002C580000}"/>
    <cellStyle name="Header2 27 2 4 3" xfId="22538" xr:uid="{00000000-0005-0000-0000-00002D580000}"/>
    <cellStyle name="Header2 27 2 5" xfId="22539" xr:uid="{00000000-0005-0000-0000-00002E580000}"/>
    <cellStyle name="Header2 27 2 5 2" xfId="22540" xr:uid="{00000000-0005-0000-0000-00002F580000}"/>
    <cellStyle name="Header2 27 2 5 2 2" xfId="22541" xr:uid="{00000000-0005-0000-0000-000030580000}"/>
    <cellStyle name="Header2 27 2 5 2 3" xfId="22542" xr:uid="{00000000-0005-0000-0000-000031580000}"/>
    <cellStyle name="Header2 27 2 5 3" xfId="22543" xr:uid="{00000000-0005-0000-0000-000032580000}"/>
    <cellStyle name="Header2 27 2 6" xfId="22544" xr:uid="{00000000-0005-0000-0000-000033580000}"/>
    <cellStyle name="Header2 27 2 6 2" xfId="22545" xr:uid="{00000000-0005-0000-0000-000034580000}"/>
    <cellStyle name="Header2 27 2 6 2 2" xfId="22546" xr:uid="{00000000-0005-0000-0000-000035580000}"/>
    <cellStyle name="Header2 27 2 6 2 2 2" xfId="22547" xr:uid="{00000000-0005-0000-0000-000036580000}"/>
    <cellStyle name="Header2 27 2 6 2 2 3" xfId="22548" xr:uid="{00000000-0005-0000-0000-000037580000}"/>
    <cellStyle name="Header2 27 2 6 2 2 4" xfId="22549" xr:uid="{00000000-0005-0000-0000-000038580000}"/>
    <cellStyle name="Header2 27 2 6 2 2 5" xfId="22550" xr:uid="{00000000-0005-0000-0000-000039580000}"/>
    <cellStyle name="Header2 27 2 6 2 3" xfId="22551" xr:uid="{00000000-0005-0000-0000-00003A580000}"/>
    <cellStyle name="Header2 27 2 6 2 3 2" xfId="22552" xr:uid="{00000000-0005-0000-0000-00003B580000}"/>
    <cellStyle name="Header2 27 2 6 2 3 3" xfId="22553" xr:uid="{00000000-0005-0000-0000-00003C580000}"/>
    <cellStyle name="Header2 27 2 6 2 3 4" xfId="22554" xr:uid="{00000000-0005-0000-0000-00003D580000}"/>
    <cellStyle name="Header2 27 2 6 2 4" xfId="22555" xr:uid="{00000000-0005-0000-0000-00003E580000}"/>
    <cellStyle name="Header2 27 2 6 2 5" xfId="22556" xr:uid="{00000000-0005-0000-0000-00003F580000}"/>
    <cellStyle name="Header2 27 2 6 2 6" xfId="22557" xr:uid="{00000000-0005-0000-0000-000040580000}"/>
    <cellStyle name="Header2 27 2 6 3" xfId="22558" xr:uid="{00000000-0005-0000-0000-000041580000}"/>
    <cellStyle name="Header2 27 2 6 3 2" xfId="22559" xr:uid="{00000000-0005-0000-0000-000042580000}"/>
    <cellStyle name="Header2 27 2 6 3 2 2" xfId="22560" xr:uid="{00000000-0005-0000-0000-000043580000}"/>
    <cellStyle name="Header2 27 2 6 3 2 3" xfId="22561" xr:uid="{00000000-0005-0000-0000-000044580000}"/>
    <cellStyle name="Header2 27 2 6 3 2 4" xfId="22562" xr:uid="{00000000-0005-0000-0000-000045580000}"/>
    <cellStyle name="Header2 27 2 6 3 3" xfId="22563" xr:uid="{00000000-0005-0000-0000-000046580000}"/>
    <cellStyle name="Header2 27 2 6 3 3 2" xfId="22564" xr:uid="{00000000-0005-0000-0000-000047580000}"/>
    <cellStyle name="Header2 27 2 6 3 3 3" xfId="22565" xr:uid="{00000000-0005-0000-0000-000048580000}"/>
    <cellStyle name="Header2 27 2 6 3 3 4" xfId="22566" xr:uid="{00000000-0005-0000-0000-000049580000}"/>
    <cellStyle name="Header2 27 2 6 3 4" xfId="22567" xr:uid="{00000000-0005-0000-0000-00004A580000}"/>
    <cellStyle name="Header2 27 2 6 3 5" xfId="22568" xr:uid="{00000000-0005-0000-0000-00004B580000}"/>
    <cellStyle name="Header2 27 2 6 3 6" xfId="22569" xr:uid="{00000000-0005-0000-0000-00004C580000}"/>
    <cellStyle name="Header2 27 2 6 4" xfId="22570" xr:uid="{00000000-0005-0000-0000-00004D580000}"/>
    <cellStyle name="Header2 27 2 6 5" xfId="22571" xr:uid="{00000000-0005-0000-0000-00004E580000}"/>
    <cellStyle name="Header2 27 2 7" xfId="22572" xr:uid="{00000000-0005-0000-0000-00004F580000}"/>
    <cellStyle name="Header2 27 2 7 2" xfId="22573" xr:uid="{00000000-0005-0000-0000-000050580000}"/>
    <cellStyle name="Header2 27 2 7 2 2" xfId="22574" xr:uid="{00000000-0005-0000-0000-000051580000}"/>
    <cellStyle name="Header2 27 2 7 2 2 2" xfId="22575" xr:uid="{00000000-0005-0000-0000-000052580000}"/>
    <cellStyle name="Header2 27 2 7 2 2 3" xfId="22576" xr:uid="{00000000-0005-0000-0000-000053580000}"/>
    <cellStyle name="Header2 27 2 7 2 2 4" xfId="22577" xr:uid="{00000000-0005-0000-0000-000054580000}"/>
    <cellStyle name="Header2 27 2 7 2 2 5" xfId="22578" xr:uid="{00000000-0005-0000-0000-000055580000}"/>
    <cellStyle name="Header2 27 2 7 2 3" xfId="22579" xr:uid="{00000000-0005-0000-0000-000056580000}"/>
    <cellStyle name="Header2 27 2 7 2 3 2" xfId="22580" xr:uid="{00000000-0005-0000-0000-000057580000}"/>
    <cellStyle name="Header2 27 2 7 2 3 3" xfId="22581" xr:uid="{00000000-0005-0000-0000-000058580000}"/>
    <cellStyle name="Header2 27 2 7 2 3 4" xfId="22582" xr:uid="{00000000-0005-0000-0000-000059580000}"/>
    <cellStyle name="Header2 27 2 7 2 4" xfId="22583" xr:uid="{00000000-0005-0000-0000-00005A580000}"/>
    <cellStyle name="Header2 27 2 7 2 5" xfId="22584" xr:uid="{00000000-0005-0000-0000-00005B580000}"/>
    <cellStyle name="Header2 27 2 7 2 6" xfId="22585" xr:uid="{00000000-0005-0000-0000-00005C580000}"/>
    <cellStyle name="Header2 27 2 7 3" xfId="22586" xr:uid="{00000000-0005-0000-0000-00005D580000}"/>
    <cellStyle name="Header2 27 2 7 3 2" xfId="22587" xr:uid="{00000000-0005-0000-0000-00005E580000}"/>
    <cellStyle name="Header2 27 2 7 3 2 2" xfId="22588" xr:uid="{00000000-0005-0000-0000-00005F580000}"/>
    <cellStyle name="Header2 27 2 7 3 2 3" xfId="22589" xr:uid="{00000000-0005-0000-0000-000060580000}"/>
    <cellStyle name="Header2 27 2 7 3 2 4" xfId="22590" xr:uid="{00000000-0005-0000-0000-000061580000}"/>
    <cellStyle name="Header2 27 2 7 3 3" xfId="22591" xr:uid="{00000000-0005-0000-0000-000062580000}"/>
    <cellStyle name="Header2 27 2 7 3 3 2" xfId="22592" xr:uid="{00000000-0005-0000-0000-000063580000}"/>
    <cellStyle name="Header2 27 2 7 3 3 3" xfId="22593" xr:uid="{00000000-0005-0000-0000-000064580000}"/>
    <cellStyle name="Header2 27 2 7 3 3 4" xfId="22594" xr:uid="{00000000-0005-0000-0000-000065580000}"/>
    <cellStyle name="Header2 27 2 7 3 4" xfId="22595" xr:uid="{00000000-0005-0000-0000-000066580000}"/>
    <cellStyle name="Header2 27 2 7 3 5" xfId="22596" xr:uid="{00000000-0005-0000-0000-000067580000}"/>
    <cellStyle name="Header2 27 2 7 3 6" xfId="22597" xr:uid="{00000000-0005-0000-0000-000068580000}"/>
    <cellStyle name="Header2 27 2 7 4" xfId="22598" xr:uid="{00000000-0005-0000-0000-000069580000}"/>
    <cellStyle name="Header2 27 2 7 5" xfId="22599" xr:uid="{00000000-0005-0000-0000-00006A580000}"/>
    <cellStyle name="Header2 27 2 8" xfId="22600" xr:uid="{00000000-0005-0000-0000-00006B580000}"/>
    <cellStyle name="Header2 27 2 8 2" xfId="22601" xr:uid="{00000000-0005-0000-0000-00006C580000}"/>
    <cellStyle name="Header2 27 2 8 2 2" xfId="22602" xr:uid="{00000000-0005-0000-0000-00006D580000}"/>
    <cellStyle name="Header2 27 2 8 2 2 2" xfId="22603" xr:uid="{00000000-0005-0000-0000-00006E580000}"/>
    <cellStyle name="Header2 27 2 8 2 2 3" xfId="22604" xr:uid="{00000000-0005-0000-0000-00006F580000}"/>
    <cellStyle name="Header2 27 2 8 2 2 4" xfId="22605" xr:uid="{00000000-0005-0000-0000-000070580000}"/>
    <cellStyle name="Header2 27 2 8 2 2 5" xfId="22606" xr:uid="{00000000-0005-0000-0000-000071580000}"/>
    <cellStyle name="Header2 27 2 8 2 3" xfId="22607" xr:uid="{00000000-0005-0000-0000-000072580000}"/>
    <cellStyle name="Header2 27 2 8 2 3 2" xfId="22608" xr:uid="{00000000-0005-0000-0000-000073580000}"/>
    <cellStyle name="Header2 27 2 8 2 3 3" xfId="22609" xr:uid="{00000000-0005-0000-0000-000074580000}"/>
    <cellStyle name="Header2 27 2 8 2 3 4" xfId="22610" xr:uid="{00000000-0005-0000-0000-000075580000}"/>
    <cellStyle name="Header2 27 2 8 2 4" xfId="22611" xr:uid="{00000000-0005-0000-0000-000076580000}"/>
    <cellStyle name="Header2 27 2 8 2 5" xfId="22612" xr:uid="{00000000-0005-0000-0000-000077580000}"/>
    <cellStyle name="Header2 27 2 8 2 6" xfId="22613" xr:uid="{00000000-0005-0000-0000-000078580000}"/>
    <cellStyle name="Header2 27 2 8 3" xfId="22614" xr:uid="{00000000-0005-0000-0000-000079580000}"/>
    <cellStyle name="Header2 27 2 8 3 2" xfId="22615" xr:uid="{00000000-0005-0000-0000-00007A580000}"/>
    <cellStyle name="Header2 27 2 8 3 2 2" xfId="22616" xr:uid="{00000000-0005-0000-0000-00007B580000}"/>
    <cellStyle name="Header2 27 2 8 3 2 3" xfId="22617" xr:uid="{00000000-0005-0000-0000-00007C580000}"/>
    <cellStyle name="Header2 27 2 8 3 2 4" xfId="22618" xr:uid="{00000000-0005-0000-0000-00007D580000}"/>
    <cellStyle name="Header2 27 2 8 3 3" xfId="22619" xr:uid="{00000000-0005-0000-0000-00007E580000}"/>
    <cellStyle name="Header2 27 2 8 3 3 2" xfId="22620" xr:uid="{00000000-0005-0000-0000-00007F580000}"/>
    <cellStyle name="Header2 27 2 8 3 3 3" xfId="22621" xr:uid="{00000000-0005-0000-0000-000080580000}"/>
    <cellStyle name="Header2 27 2 8 3 3 4" xfId="22622" xr:uid="{00000000-0005-0000-0000-000081580000}"/>
    <cellStyle name="Header2 27 2 8 3 4" xfId="22623" xr:uid="{00000000-0005-0000-0000-000082580000}"/>
    <cellStyle name="Header2 27 2 8 3 5" xfId="22624" xr:uid="{00000000-0005-0000-0000-000083580000}"/>
    <cellStyle name="Header2 27 2 8 3 6" xfId="22625" xr:uid="{00000000-0005-0000-0000-000084580000}"/>
    <cellStyle name="Header2 27 2 8 4" xfId="22626" xr:uid="{00000000-0005-0000-0000-000085580000}"/>
    <cellStyle name="Header2 27 2 8 5" xfId="22627" xr:uid="{00000000-0005-0000-0000-000086580000}"/>
    <cellStyle name="Header2 27 2 9" xfId="22628" xr:uid="{00000000-0005-0000-0000-000087580000}"/>
    <cellStyle name="Header2 27 2 9 2" xfId="22629" xr:uid="{00000000-0005-0000-0000-000088580000}"/>
    <cellStyle name="Header2 27 2 9 2 2" xfId="22630" xr:uid="{00000000-0005-0000-0000-000089580000}"/>
    <cellStyle name="Header2 27 2 9 2 2 2" xfId="22631" xr:uid="{00000000-0005-0000-0000-00008A580000}"/>
    <cellStyle name="Header2 27 2 9 2 2 3" xfId="22632" xr:uid="{00000000-0005-0000-0000-00008B580000}"/>
    <cellStyle name="Header2 27 2 9 2 2 4" xfId="22633" xr:uid="{00000000-0005-0000-0000-00008C580000}"/>
    <cellStyle name="Header2 27 2 9 2 2 5" xfId="22634" xr:uid="{00000000-0005-0000-0000-00008D580000}"/>
    <cellStyle name="Header2 27 2 9 2 3" xfId="22635" xr:uid="{00000000-0005-0000-0000-00008E580000}"/>
    <cellStyle name="Header2 27 2 9 2 3 2" xfId="22636" xr:uid="{00000000-0005-0000-0000-00008F580000}"/>
    <cellStyle name="Header2 27 2 9 2 3 3" xfId="22637" xr:uid="{00000000-0005-0000-0000-000090580000}"/>
    <cellStyle name="Header2 27 2 9 2 3 4" xfId="22638" xr:uid="{00000000-0005-0000-0000-000091580000}"/>
    <cellStyle name="Header2 27 2 9 2 4" xfId="22639" xr:uid="{00000000-0005-0000-0000-000092580000}"/>
    <cellStyle name="Header2 27 2 9 2 5" xfId="22640" xr:uid="{00000000-0005-0000-0000-000093580000}"/>
    <cellStyle name="Header2 27 2 9 2 6" xfId="22641" xr:uid="{00000000-0005-0000-0000-000094580000}"/>
    <cellStyle name="Header2 27 2 9 3" xfId="22642" xr:uid="{00000000-0005-0000-0000-000095580000}"/>
    <cellStyle name="Header2 27 2 9 3 2" xfId="22643" xr:uid="{00000000-0005-0000-0000-000096580000}"/>
    <cellStyle name="Header2 27 2 9 3 2 2" xfId="22644" xr:uid="{00000000-0005-0000-0000-000097580000}"/>
    <cellStyle name="Header2 27 2 9 3 2 3" xfId="22645" xr:uid="{00000000-0005-0000-0000-000098580000}"/>
    <cellStyle name="Header2 27 2 9 3 2 4" xfId="22646" xr:uid="{00000000-0005-0000-0000-000099580000}"/>
    <cellStyle name="Header2 27 2 9 3 3" xfId="22647" xr:uid="{00000000-0005-0000-0000-00009A580000}"/>
    <cellStyle name="Header2 27 2 9 3 3 2" xfId="22648" xr:uid="{00000000-0005-0000-0000-00009B580000}"/>
    <cellStyle name="Header2 27 2 9 3 3 3" xfId="22649" xr:uid="{00000000-0005-0000-0000-00009C580000}"/>
    <cellStyle name="Header2 27 2 9 3 3 4" xfId="22650" xr:uid="{00000000-0005-0000-0000-00009D580000}"/>
    <cellStyle name="Header2 27 2 9 3 4" xfId="22651" xr:uid="{00000000-0005-0000-0000-00009E580000}"/>
    <cellStyle name="Header2 27 2 9 3 5" xfId="22652" xr:uid="{00000000-0005-0000-0000-00009F580000}"/>
    <cellStyle name="Header2 27 2 9 3 6" xfId="22653" xr:uid="{00000000-0005-0000-0000-0000A0580000}"/>
    <cellStyle name="Header2 27 2 9 4" xfId="22654" xr:uid="{00000000-0005-0000-0000-0000A1580000}"/>
    <cellStyle name="Header2 27 2 9 5" xfId="22655" xr:uid="{00000000-0005-0000-0000-0000A2580000}"/>
    <cellStyle name="Header2 27 3" xfId="22656" xr:uid="{00000000-0005-0000-0000-0000A3580000}"/>
    <cellStyle name="Header2 27 3 10" xfId="22657" xr:uid="{00000000-0005-0000-0000-0000A4580000}"/>
    <cellStyle name="Header2 27 3 10 2" xfId="22658" xr:uid="{00000000-0005-0000-0000-0000A5580000}"/>
    <cellStyle name="Header2 27 3 10 2 2" xfId="22659" xr:uid="{00000000-0005-0000-0000-0000A6580000}"/>
    <cellStyle name="Header2 27 3 10 2 2 2" xfId="22660" xr:uid="{00000000-0005-0000-0000-0000A7580000}"/>
    <cellStyle name="Header2 27 3 10 2 2 3" xfId="22661" xr:uid="{00000000-0005-0000-0000-0000A8580000}"/>
    <cellStyle name="Header2 27 3 10 2 2 4" xfId="22662" xr:uid="{00000000-0005-0000-0000-0000A9580000}"/>
    <cellStyle name="Header2 27 3 10 2 2 5" xfId="22663" xr:uid="{00000000-0005-0000-0000-0000AA580000}"/>
    <cellStyle name="Header2 27 3 10 2 3" xfId="22664" xr:uid="{00000000-0005-0000-0000-0000AB580000}"/>
    <cellStyle name="Header2 27 3 10 2 3 2" xfId="22665" xr:uid="{00000000-0005-0000-0000-0000AC580000}"/>
    <cellStyle name="Header2 27 3 10 2 3 3" xfId="22666" xr:uid="{00000000-0005-0000-0000-0000AD580000}"/>
    <cellStyle name="Header2 27 3 10 2 3 4" xfId="22667" xr:uid="{00000000-0005-0000-0000-0000AE580000}"/>
    <cellStyle name="Header2 27 3 10 2 4" xfId="22668" xr:uid="{00000000-0005-0000-0000-0000AF580000}"/>
    <cellStyle name="Header2 27 3 10 2 5" xfId="22669" xr:uid="{00000000-0005-0000-0000-0000B0580000}"/>
    <cellStyle name="Header2 27 3 10 2 6" xfId="22670" xr:uid="{00000000-0005-0000-0000-0000B1580000}"/>
    <cellStyle name="Header2 27 3 10 3" xfId="22671" xr:uid="{00000000-0005-0000-0000-0000B2580000}"/>
    <cellStyle name="Header2 27 3 10 3 2" xfId="22672" xr:uid="{00000000-0005-0000-0000-0000B3580000}"/>
    <cellStyle name="Header2 27 3 10 3 2 2" xfId="22673" xr:uid="{00000000-0005-0000-0000-0000B4580000}"/>
    <cellStyle name="Header2 27 3 10 3 2 3" xfId="22674" xr:uid="{00000000-0005-0000-0000-0000B5580000}"/>
    <cellStyle name="Header2 27 3 10 3 2 4" xfId="22675" xr:uid="{00000000-0005-0000-0000-0000B6580000}"/>
    <cellStyle name="Header2 27 3 10 3 3" xfId="22676" xr:uid="{00000000-0005-0000-0000-0000B7580000}"/>
    <cellStyle name="Header2 27 3 10 3 3 2" xfId="22677" xr:uid="{00000000-0005-0000-0000-0000B8580000}"/>
    <cellStyle name="Header2 27 3 10 3 3 3" xfId="22678" xr:uid="{00000000-0005-0000-0000-0000B9580000}"/>
    <cellStyle name="Header2 27 3 10 3 3 4" xfId="22679" xr:uid="{00000000-0005-0000-0000-0000BA580000}"/>
    <cellStyle name="Header2 27 3 10 3 4" xfId="22680" xr:uid="{00000000-0005-0000-0000-0000BB580000}"/>
    <cellStyle name="Header2 27 3 10 3 5" xfId="22681" xr:uid="{00000000-0005-0000-0000-0000BC580000}"/>
    <cellStyle name="Header2 27 3 10 3 6" xfId="22682" xr:uid="{00000000-0005-0000-0000-0000BD580000}"/>
    <cellStyle name="Header2 27 3 10 4" xfId="22683" xr:uid="{00000000-0005-0000-0000-0000BE580000}"/>
    <cellStyle name="Header2 27 3 10 5" xfId="22684" xr:uid="{00000000-0005-0000-0000-0000BF580000}"/>
    <cellStyle name="Header2 27 3 11" xfId="22685" xr:uid="{00000000-0005-0000-0000-0000C0580000}"/>
    <cellStyle name="Header2 27 3 11 2" xfId="22686" xr:uid="{00000000-0005-0000-0000-0000C1580000}"/>
    <cellStyle name="Header2 27 3 11 2 2" xfId="22687" xr:uid="{00000000-0005-0000-0000-0000C2580000}"/>
    <cellStyle name="Header2 27 3 11 2 2 2" xfId="22688" xr:uid="{00000000-0005-0000-0000-0000C3580000}"/>
    <cellStyle name="Header2 27 3 11 2 2 3" xfId="22689" xr:uid="{00000000-0005-0000-0000-0000C4580000}"/>
    <cellStyle name="Header2 27 3 11 2 2 4" xfId="22690" xr:uid="{00000000-0005-0000-0000-0000C5580000}"/>
    <cellStyle name="Header2 27 3 11 2 2 5" xfId="22691" xr:uid="{00000000-0005-0000-0000-0000C6580000}"/>
    <cellStyle name="Header2 27 3 11 2 3" xfId="22692" xr:uid="{00000000-0005-0000-0000-0000C7580000}"/>
    <cellStyle name="Header2 27 3 11 2 3 2" xfId="22693" xr:uid="{00000000-0005-0000-0000-0000C8580000}"/>
    <cellStyle name="Header2 27 3 11 2 3 3" xfId="22694" xr:uid="{00000000-0005-0000-0000-0000C9580000}"/>
    <cellStyle name="Header2 27 3 11 2 3 4" xfId="22695" xr:uid="{00000000-0005-0000-0000-0000CA580000}"/>
    <cellStyle name="Header2 27 3 11 2 4" xfId="22696" xr:uid="{00000000-0005-0000-0000-0000CB580000}"/>
    <cellStyle name="Header2 27 3 11 2 5" xfId="22697" xr:uid="{00000000-0005-0000-0000-0000CC580000}"/>
    <cellStyle name="Header2 27 3 11 2 6" xfId="22698" xr:uid="{00000000-0005-0000-0000-0000CD580000}"/>
    <cellStyle name="Header2 27 3 11 3" xfId="22699" xr:uid="{00000000-0005-0000-0000-0000CE580000}"/>
    <cellStyle name="Header2 27 3 11 3 2" xfId="22700" xr:uid="{00000000-0005-0000-0000-0000CF580000}"/>
    <cellStyle name="Header2 27 3 11 3 2 2" xfId="22701" xr:uid="{00000000-0005-0000-0000-0000D0580000}"/>
    <cellStyle name="Header2 27 3 11 3 2 3" xfId="22702" xr:uid="{00000000-0005-0000-0000-0000D1580000}"/>
    <cellStyle name="Header2 27 3 11 3 2 4" xfId="22703" xr:uid="{00000000-0005-0000-0000-0000D2580000}"/>
    <cellStyle name="Header2 27 3 11 3 3" xfId="22704" xr:uid="{00000000-0005-0000-0000-0000D3580000}"/>
    <cellStyle name="Header2 27 3 11 3 3 2" xfId="22705" xr:uid="{00000000-0005-0000-0000-0000D4580000}"/>
    <cellStyle name="Header2 27 3 11 3 3 3" xfId="22706" xr:uid="{00000000-0005-0000-0000-0000D5580000}"/>
    <cellStyle name="Header2 27 3 11 3 3 4" xfId="22707" xr:uid="{00000000-0005-0000-0000-0000D6580000}"/>
    <cellStyle name="Header2 27 3 11 3 4" xfId="22708" xr:uid="{00000000-0005-0000-0000-0000D7580000}"/>
    <cellStyle name="Header2 27 3 11 3 5" xfId="22709" xr:uid="{00000000-0005-0000-0000-0000D8580000}"/>
    <cellStyle name="Header2 27 3 11 3 6" xfId="22710" xr:uid="{00000000-0005-0000-0000-0000D9580000}"/>
    <cellStyle name="Header2 27 3 11 4" xfId="22711" xr:uid="{00000000-0005-0000-0000-0000DA580000}"/>
    <cellStyle name="Header2 27 3 11 5" xfId="22712" xr:uid="{00000000-0005-0000-0000-0000DB580000}"/>
    <cellStyle name="Header2 27 3 12" xfId="22713" xr:uid="{00000000-0005-0000-0000-0000DC580000}"/>
    <cellStyle name="Header2 27 3 12 2" xfId="22714" xr:uid="{00000000-0005-0000-0000-0000DD580000}"/>
    <cellStyle name="Header2 27 3 12 2 2" xfId="22715" xr:uid="{00000000-0005-0000-0000-0000DE580000}"/>
    <cellStyle name="Header2 27 3 12 2 2 2" xfId="22716" xr:uid="{00000000-0005-0000-0000-0000DF580000}"/>
    <cellStyle name="Header2 27 3 12 2 2 3" xfId="22717" xr:uid="{00000000-0005-0000-0000-0000E0580000}"/>
    <cellStyle name="Header2 27 3 12 2 2 4" xfId="22718" xr:uid="{00000000-0005-0000-0000-0000E1580000}"/>
    <cellStyle name="Header2 27 3 12 2 2 5" xfId="22719" xr:uid="{00000000-0005-0000-0000-0000E2580000}"/>
    <cellStyle name="Header2 27 3 12 2 3" xfId="22720" xr:uid="{00000000-0005-0000-0000-0000E3580000}"/>
    <cellStyle name="Header2 27 3 12 2 3 2" xfId="22721" xr:uid="{00000000-0005-0000-0000-0000E4580000}"/>
    <cellStyle name="Header2 27 3 12 2 3 3" xfId="22722" xr:uid="{00000000-0005-0000-0000-0000E5580000}"/>
    <cellStyle name="Header2 27 3 12 2 3 4" xfId="22723" xr:uid="{00000000-0005-0000-0000-0000E6580000}"/>
    <cellStyle name="Header2 27 3 12 2 4" xfId="22724" xr:uid="{00000000-0005-0000-0000-0000E7580000}"/>
    <cellStyle name="Header2 27 3 12 2 5" xfId="22725" xr:uid="{00000000-0005-0000-0000-0000E8580000}"/>
    <cellStyle name="Header2 27 3 12 2 6" xfId="22726" xr:uid="{00000000-0005-0000-0000-0000E9580000}"/>
    <cellStyle name="Header2 27 3 12 3" xfId="22727" xr:uid="{00000000-0005-0000-0000-0000EA580000}"/>
    <cellStyle name="Header2 27 3 12 3 2" xfId="22728" xr:uid="{00000000-0005-0000-0000-0000EB580000}"/>
    <cellStyle name="Header2 27 3 12 3 2 2" xfId="22729" xr:uid="{00000000-0005-0000-0000-0000EC580000}"/>
    <cellStyle name="Header2 27 3 12 3 2 3" xfId="22730" xr:uid="{00000000-0005-0000-0000-0000ED580000}"/>
    <cellStyle name="Header2 27 3 12 3 2 4" xfId="22731" xr:uid="{00000000-0005-0000-0000-0000EE580000}"/>
    <cellStyle name="Header2 27 3 12 3 3" xfId="22732" xr:uid="{00000000-0005-0000-0000-0000EF580000}"/>
    <cellStyle name="Header2 27 3 12 3 3 2" xfId="22733" xr:uid="{00000000-0005-0000-0000-0000F0580000}"/>
    <cellStyle name="Header2 27 3 12 3 3 3" xfId="22734" xr:uid="{00000000-0005-0000-0000-0000F1580000}"/>
    <cellStyle name="Header2 27 3 12 3 3 4" xfId="22735" xr:uid="{00000000-0005-0000-0000-0000F2580000}"/>
    <cellStyle name="Header2 27 3 12 3 4" xfId="22736" xr:uid="{00000000-0005-0000-0000-0000F3580000}"/>
    <cellStyle name="Header2 27 3 12 3 5" xfId="22737" xr:uid="{00000000-0005-0000-0000-0000F4580000}"/>
    <cellStyle name="Header2 27 3 12 3 6" xfId="22738" xr:uid="{00000000-0005-0000-0000-0000F5580000}"/>
    <cellStyle name="Header2 27 3 12 4" xfId="22739" xr:uid="{00000000-0005-0000-0000-0000F6580000}"/>
    <cellStyle name="Header2 27 3 12 5" xfId="22740" xr:uid="{00000000-0005-0000-0000-0000F7580000}"/>
    <cellStyle name="Header2 27 3 13" xfId="58753" xr:uid="{00000000-0005-0000-0000-0000F8580000}"/>
    <cellStyle name="Header2 27 3 2" xfId="22741" xr:uid="{00000000-0005-0000-0000-0000F9580000}"/>
    <cellStyle name="Header2 27 3 2 2" xfId="22742" xr:uid="{00000000-0005-0000-0000-0000FA580000}"/>
    <cellStyle name="Header2 27 3 2 2 2" xfId="22743" xr:uid="{00000000-0005-0000-0000-0000FB580000}"/>
    <cellStyle name="Header2 27 3 2 2 3" xfId="22744" xr:uid="{00000000-0005-0000-0000-0000FC580000}"/>
    <cellStyle name="Header2 27 3 2 3" xfId="22745" xr:uid="{00000000-0005-0000-0000-0000FD580000}"/>
    <cellStyle name="Header2 27 3 3" xfId="22746" xr:uid="{00000000-0005-0000-0000-0000FE580000}"/>
    <cellStyle name="Header2 27 3 3 2" xfId="22747" xr:uid="{00000000-0005-0000-0000-0000FF580000}"/>
    <cellStyle name="Header2 27 3 3 2 2" xfId="22748" xr:uid="{00000000-0005-0000-0000-000000590000}"/>
    <cellStyle name="Header2 27 3 3 2 3" xfId="22749" xr:uid="{00000000-0005-0000-0000-000001590000}"/>
    <cellStyle name="Header2 27 3 3 3" xfId="22750" xr:uid="{00000000-0005-0000-0000-000002590000}"/>
    <cellStyle name="Header2 27 3 4" xfId="22751" xr:uid="{00000000-0005-0000-0000-000003590000}"/>
    <cellStyle name="Header2 27 3 4 2" xfId="22752" xr:uid="{00000000-0005-0000-0000-000004590000}"/>
    <cellStyle name="Header2 27 3 4 2 2" xfId="22753" xr:uid="{00000000-0005-0000-0000-000005590000}"/>
    <cellStyle name="Header2 27 3 4 2 3" xfId="22754" xr:uid="{00000000-0005-0000-0000-000006590000}"/>
    <cellStyle name="Header2 27 3 4 3" xfId="22755" xr:uid="{00000000-0005-0000-0000-000007590000}"/>
    <cellStyle name="Header2 27 3 5" xfId="22756" xr:uid="{00000000-0005-0000-0000-000008590000}"/>
    <cellStyle name="Header2 27 3 5 2" xfId="22757" xr:uid="{00000000-0005-0000-0000-000009590000}"/>
    <cellStyle name="Header2 27 3 5 2 2" xfId="22758" xr:uid="{00000000-0005-0000-0000-00000A590000}"/>
    <cellStyle name="Header2 27 3 5 2 2 2" xfId="22759" xr:uid="{00000000-0005-0000-0000-00000B590000}"/>
    <cellStyle name="Header2 27 3 5 2 2 3" xfId="22760" xr:uid="{00000000-0005-0000-0000-00000C590000}"/>
    <cellStyle name="Header2 27 3 5 2 2 4" xfId="22761" xr:uid="{00000000-0005-0000-0000-00000D590000}"/>
    <cellStyle name="Header2 27 3 5 2 2 5" xfId="22762" xr:uid="{00000000-0005-0000-0000-00000E590000}"/>
    <cellStyle name="Header2 27 3 5 2 3" xfId="22763" xr:uid="{00000000-0005-0000-0000-00000F590000}"/>
    <cellStyle name="Header2 27 3 5 2 3 2" xfId="22764" xr:uid="{00000000-0005-0000-0000-000010590000}"/>
    <cellStyle name="Header2 27 3 5 2 3 3" xfId="22765" xr:uid="{00000000-0005-0000-0000-000011590000}"/>
    <cellStyle name="Header2 27 3 5 2 3 4" xfId="22766" xr:uid="{00000000-0005-0000-0000-000012590000}"/>
    <cellStyle name="Header2 27 3 5 2 4" xfId="22767" xr:uid="{00000000-0005-0000-0000-000013590000}"/>
    <cellStyle name="Header2 27 3 5 2 5" xfId="22768" xr:uid="{00000000-0005-0000-0000-000014590000}"/>
    <cellStyle name="Header2 27 3 5 2 6" xfId="22769" xr:uid="{00000000-0005-0000-0000-000015590000}"/>
    <cellStyle name="Header2 27 3 5 3" xfId="22770" xr:uid="{00000000-0005-0000-0000-000016590000}"/>
    <cellStyle name="Header2 27 3 5 3 2" xfId="22771" xr:uid="{00000000-0005-0000-0000-000017590000}"/>
    <cellStyle name="Header2 27 3 5 3 2 2" xfId="22772" xr:uid="{00000000-0005-0000-0000-000018590000}"/>
    <cellStyle name="Header2 27 3 5 3 2 3" xfId="22773" xr:uid="{00000000-0005-0000-0000-000019590000}"/>
    <cellStyle name="Header2 27 3 5 3 2 4" xfId="22774" xr:uid="{00000000-0005-0000-0000-00001A590000}"/>
    <cellStyle name="Header2 27 3 5 3 3" xfId="22775" xr:uid="{00000000-0005-0000-0000-00001B590000}"/>
    <cellStyle name="Header2 27 3 5 3 3 2" xfId="22776" xr:uid="{00000000-0005-0000-0000-00001C590000}"/>
    <cellStyle name="Header2 27 3 5 3 3 3" xfId="22777" xr:uid="{00000000-0005-0000-0000-00001D590000}"/>
    <cellStyle name="Header2 27 3 5 3 3 4" xfId="22778" xr:uid="{00000000-0005-0000-0000-00001E590000}"/>
    <cellStyle name="Header2 27 3 5 3 4" xfId="22779" xr:uid="{00000000-0005-0000-0000-00001F590000}"/>
    <cellStyle name="Header2 27 3 5 3 5" xfId="22780" xr:uid="{00000000-0005-0000-0000-000020590000}"/>
    <cellStyle name="Header2 27 3 5 3 6" xfId="22781" xr:uid="{00000000-0005-0000-0000-000021590000}"/>
    <cellStyle name="Header2 27 3 5 4" xfId="22782" xr:uid="{00000000-0005-0000-0000-000022590000}"/>
    <cellStyle name="Header2 27 3 5 5" xfId="22783" xr:uid="{00000000-0005-0000-0000-000023590000}"/>
    <cellStyle name="Header2 27 3 6" xfId="22784" xr:uid="{00000000-0005-0000-0000-000024590000}"/>
    <cellStyle name="Header2 27 3 6 2" xfId="22785" xr:uid="{00000000-0005-0000-0000-000025590000}"/>
    <cellStyle name="Header2 27 3 6 2 2" xfId="22786" xr:uid="{00000000-0005-0000-0000-000026590000}"/>
    <cellStyle name="Header2 27 3 6 2 2 2" xfId="22787" xr:uid="{00000000-0005-0000-0000-000027590000}"/>
    <cellStyle name="Header2 27 3 6 2 2 3" xfId="22788" xr:uid="{00000000-0005-0000-0000-000028590000}"/>
    <cellStyle name="Header2 27 3 6 2 2 4" xfId="22789" xr:uid="{00000000-0005-0000-0000-000029590000}"/>
    <cellStyle name="Header2 27 3 6 2 2 5" xfId="22790" xr:uid="{00000000-0005-0000-0000-00002A590000}"/>
    <cellStyle name="Header2 27 3 6 2 3" xfId="22791" xr:uid="{00000000-0005-0000-0000-00002B590000}"/>
    <cellStyle name="Header2 27 3 6 2 3 2" xfId="22792" xr:uid="{00000000-0005-0000-0000-00002C590000}"/>
    <cellStyle name="Header2 27 3 6 2 3 3" xfId="22793" xr:uid="{00000000-0005-0000-0000-00002D590000}"/>
    <cellStyle name="Header2 27 3 6 2 3 4" xfId="22794" xr:uid="{00000000-0005-0000-0000-00002E590000}"/>
    <cellStyle name="Header2 27 3 6 2 4" xfId="22795" xr:uid="{00000000-0005-0000-0000-00002F590000}"/>
    <cellStyle name="Header2 27 3 6 2 5" xfId="22796" xr:uid="{00000000-0005-0000-0000-000030590000}"/>
    <cellStyle name="Header2 27 3 6 2 6" xfId="22797" xr:uid="{00000000-0005-0000-0000-000031590000}"/>
    <cellStyle name="Header2 27 3 6 3" xfId="22798" xr:uid="{00000000-0005-0000-0000-000032590000}"/>
    <cellStyle name="Header2 27 3 6 3 2" xfId="22799" xr:uid="{00000000-0005-0000-0000-000033590000}"/>
    <cellStyle name="Header2 27 3 6 3 2 2" xfId="22800" xr:uid="{00000000-0005-0000-0000-000034590000}"/>
    <cellStyle name="Header2 27 3 6 3 2 3" xfId="22801" xr:uid="{00000000-0005-0000-0000-000035590000}"/>
    <cellStyle name="Header2 27 3 6 3 2 4" xfId="22802" xr:uid="{00000000-0005-0000-0000-000036590000}"/>
    <cellStyle name="Header2 27 3 6 3 3" xfId="22803" xr:uid="{00000000-0005-0000-0000-000037590000}"/>
    <cellStyle name="Header2 27 3 6 3 3 2" xfId="22804" xr:uid="{00000000-0005-0000-0000-000038590000}"/>
    <cellStyle name="Header2 27 3 6 3 3 3" xfId="22805" xr:uid="{00000000-0005-0000-0000-000039590000}"/>
    <cellStyle name="Header2 27 3 6 3 3 4" xfId="22806" xr:uid="{00000000-0005-0000-0000-00003A590000}"/>
    <cellStyle name="Header2 27 3 6 3 4" xfId="22807" xr:uid="{00000000-0005-0000-0000-00003B590000}"/>
    <cellStyle name="Header2 27 3 6 3 5" xfId="22808" xr:uid="{00000000-0005-0000-0000-00003C590000}"/>
    <cellStyle name="Header2 27 3 6 3 6" xfId="22809" xr:uid="{00000000-0005-0000-0000-00003D590000}"/>
    <cellStyle name="Header2 27 3 6 4" xfId="22810" xr:uid="{00000000-0005-0000-0000-00003E590000}"/>
    <cellStyle name="Header2 27 3 6 5" xfId="22811" xr:uid="{00000000-0005-0000-0000-00003F590000}"/>
    <cellStyle name="Header2 27 3 7" xfId="22812" xr:uid="{00000000-0005-0000-0000-000040590000}"/>
    <cellStyle name="Header2 27 3 7 2" xfId="22813" xr:uid="{00000000-0005-0000-0000-000041590000}"/>
    <cellStyle name="Header2 27 3 7 2 2" xfId="22814" xr:uid="{00000000-0005-0000-0000-000042590000}"/>
    <cellStyle name="Header2 27 3 7 2 2 2" xfId="22815" xr:uid="{00000000-0005-0000-0000-000043590000}"/>
    <cellStyle name="Header2 27 3 7 2 2 3" xfId="22816" xr:uid="{00000000-0005-0000-0000-000044590000}"/>
    <cellStyle name="Header2 27 3 7 2 2 4" xfId="22817" xr:uid="{00000000-0005-0000-0000-000045590000}"/>
    <cellStyle name="Header2 27 3 7 2 2 5" xfId="22818" xr:uid="{00000000-0005-0000-0000-000046590000}"/>
    <cellStyle name="Header2 27 3 7 2 3" xfId="22819" xr:uid="{00000000-0005-0000-0000-000047590000}"/>
    <cellStyle name="Header2 27 3 7 2 3 2" xfId="22820" xr:uid="{00000000-0005-0000-0000-000048590000}"/>
    <cellStyle name="Header2 27 3 7 2 3 3" xfId="22821" xr:uid="{00000000-0005-0000-0000-000049590000}"/>
    <cellStyle name="Header2 27 3 7 2 3 4" xfId="22822" xr:uid="{00000000-0005-0000-0000-00004A590000}"/>
    <cellStyle name="Header2 27 3 7 2 4" xfId="22823" xr:uid="{00000000-0005-0000-0000-00004B590000}"/>
    <cellStyle name="Header2 27 3 7 2 5" xfId="22824" xr:uid="{00000000-0005-0000-0000-00004C590000}"/>
    <cellStyle name="Header2 27 3 7 2 6" xfId="22825" xr:uid="{00000000-0005-0000-0000-00004D590000}"/>
    <cellStyle name="Header2 27 3 7 3" xfId="22826" xr:uid="{00000000-0005-0000-0000-00004E590000}"/>
    <cellStyle name="Header2 27 3 7 3 2" xfId="22827" xr:uid="{00000000-0005-0000-0000-00004F590000}"/>
    <cellStyle name="Header2 27 3 7 3 2 2" xfId="22828" xr:uid="{00000000-0005-0000-0000-000050590000}"/>
    <cellStyle name="Header2 27 3 7 3 2 3" xfId="22829" xr:uid="{00000000-0005-0000-0000-000051590000}"/>
    <cellStyle name="Header2 27 3 7 3 2 4" xfId="22830" xr:uid="{00000000-0005-0000-0000-000052590000}"/>
    <cellStyle name="Header2 27 3 7 3 3" xfId="22831" xr:uid="{00000000-0005-0000-0000-000053590000}"/>
    <cellStyle name="Header2 27 3 7 3 3 2" xfId="22832" xr:uid="{00000000-0005-0000-0000-000054590000}"/>
    <cellStyle name="Header2 27 3 7 3 3 3" xfId="22833" xr:uid="{00000000-0005-0000-0000-000055590000}"/>
    <cellStyle name="Header2 27 3 7 3 3 4" xfId="22834" xr:uid="{00000000-0005-0000-0000-000056590000}"/>
    <cellStyle name="Header2 27 3 7 3 4" xfId="22835" xr:uid="{00000000-0005-0000-0000-000057590000}"/>
    <cellStyle name="Header2 27 3 7 3 5" xfId="22836" xr:uid="{00000000-0005-0000-0000-000058590000}"/>
    <cellStyle name="Header2 27 3 7 3 6" xfId="22837" xr:uid="{00000000-0005-0000-0000-000059590000}"/>
    <cellStyle name="Header2 27 3 7 4" xfId="22838" xr:uid="{00000000-0005-0000-0000-00005A590000}"/>
    <cellStyle name="Header2 27 3 7 5" xfId="22839" xr:uid="{00000000-0005-0000-0000-00005B590000}"/>
    <cellStyle name="Header2 27 3 8" xfId="22840" xr:uid="{00000000-0005-0000-0000-00005C590000}"/>
    <cellStyle name="Header2 27 3 8 2" xfId="22841" xr:uid="{00000000-0005-0000-0000-00005D590000}"/>
    <cellStyle name="Header2 27 3 8 2 2" xfId="22842" xr:uid="{00000000-0005-0000-0000-00005E590000}"/>
    <cellStyle name="Header2 27 3 8 2 2 2" xfId="22843" xr:uid="{00000000-0005-0000-0000-00005F590000}"/>
    <cellStyle name="Header2 27 3 8 2 2 3" xfId="22844" xr:uid="{00000000-0005-0000-0000-000060590000}"/>
    <cellStyle name="Header2 27 3 8 2 2 4" xfId="22845" xr:uid="{00000000-0005-0000-0000-000061590000}"/>
    <cellStyle name="Header2 27 3 8 2 2 5" xfId="22846" xr:uid="{00000000-0005-0000-0000-000062590000}"/>
    <cellStyle name="Header2 27 3 8 2 3" xfId="22847" xr:uid="{00000000-0005-0000-0000-000063590000}"/>
    <cellStyle name="Header2 27 3 8 2 3 2" xfId="22848" xr:uid="{00000000-0005-0000-0000-000064590000}"/>
    <cellStyle name="Header2 27 3 8 2 3 3" xfId="22849" xr:uid="{00000000-0005-0000-0000-000065590000}"/>
    <cellStyle name="Header2 27 3 8 2 3 4" xfId="22850" xr:uid="{00000000-0005-0000-0000-000066590000}"/>
    <cellStyle name="Header2 27 3 8 2 4" xfId="22851" xr:uid="{00000000-0005-0000-0000-000067590000}"/>
    <cellStyle name="Header2 27 3 8 2 5" xfId="22852" xr:uid="{00000000-0005-0000-0000-000068590000}"/>
    <cellStyle name="Header2 27 3 8 2 6" xfId="22853" xr:uid="{00000000-0005-0000-0000-000069590000}"/>
    <cellStyle name="Header2 27 3 8 3" xfId="22854" xr:uid="{00000000-0005-0000-0000-00006A590000}"/>
    <cellStyle name="Header2 27 3 8 3 2" xfId="22855" xr:uid="{00000000-0005-0000-0000-00006B590000}"/>
    <cellStyle name="Header2 27 3 8 3 2 2" xfId="22856" xr:uid="{00000000-0005-0000-0000-00006C590000}"/>
    <cellStyle name="Header2 27 3 8 3 2 3" xfId="22857" xr:uid="{00000000-0005-0000-0000-00006D590000}"/>
    <cellStyle name="Header2 27 3 8 3 2 4" xfId="22858" xr:uid="{00000000-0005-0000-0000-00006E590000}"/>
    <cellStyle name="Header2 27 3 8 3 3" xfId="22859" xr:uid="{00000000-0005-0000-0000-00006F590000}"/>
    <cellStyle name="Header2 27 3 8 3 3 2" xfId="22860" xr:uid="{00000000-0005-0000-0000-000070590000}"/>
    <cellStyle name="Header2 27 3 8 3 3 3" xfId="22861" xr:uid="{00000000-0005-0000-0000-000071590000}"/>
    <cellStyle name="Header2 27 3 8 3 3 4" xfId="22862" xr:uid="{00000000-0005-0000-0000-000072590000}"/>
    <cellStyle name="Header2 27 3 8 3 4" xfId="22863" xr:uid="{00000000-0005-0000-0000-000073590000}"/>
    <cellStyle name="Header2 27 3 8 3 5" xfId="22864" xr:uid="{00000000-0005-0000-0000-000074590000}"/>
    <cellStyle name="Header2 27 3 8 3 6" xfId="22865" xr:uid="{00000000-0005-0000-0000-000075590000}"/>
    <cellStyle name="Header2 27 3 8 4" xfId="22866" xr:uid="{00000000-0005-0000-0000-000076590000}"/>
    <cellStyle name="Header2 27 3 8 5" xfId="22867" xr:uid="{00000000-0005-0000-0000-000077590000}"/>
    <cellStyle name="Header2 27 3 9" xfId="22868" xr:uid="{00000000-0005-0000-0000-000078590000}"/>
    <cellStyle name="Header2 27 3 9 2" xfId="22869" xr:uid="{00000000-0005-0000-0000-000079590000}"/>
    <cellStyle name="Header2 27 3 9 2 2" xfId="22870" xr:uid="{00000000-0005-0000-0000-00007A590000}"/>
    <cellStyle name="Header2 27 3 9 2 2 2" xfId="22871" xr:uid="{00000000-0005-0000-0000-00007B590000}"/>
    <cellStyle name="Header2 27 3 9 2 2 3" xfId="22872" xr:uid="{00000000-0005-0000-0000-00007C590000}"/>
    <cellStyle name="Header2 27 3 9 2 2 4" xfId="22873" xr:uid="{00000000-0005-0000-0000-00007D590000}"/>
    <cellStyle name="Header2 27 3 9 2 2 5" xfId="22874" xr:uid="{00000000-0005-0000-0000-00007E590000}"/>
    <cellStyle name="Header2 27 3 9 2 3" xfId="22875" xr:uid="{00000000-0005-0000-0000-00007F590000}"/>
    <cellStyle name="Header2 27 3 9 2 3 2" xfId="22876" xr:uid="{00000000-0005-0000-0000-000080590000}"/>
    <cellStyle name="Header2 27 3 9 2 3 3" xfId="22877" xr:uid="{00000000-0005-0000-0000-000081590000}"/>
    <cellStyle name="Header2 27 3 9 2 3 4" xfId="22878" xr:uid="{00000000-0005-0000-0000-000082590000}"/>
    <cellStyle name="Header2 27 3 9 2 4" xfId="22879" xr:uid="{00000000-0005-0000-0000-000083590000}"/>
    <cellStyle name="Header2 27 3 9 2 5" xfId="22880" xr:uid="{00000000-0005-0000-0000-000084590000}"/>
    <cellStyle name="Header2 27 3 9 2 6" xfId="22881" xr:uid="{00000000-0005-0000-0000-000085590000}"/>
    <cellStyle name="Header2 27 3 9 3" xfId="22882" xr:uid="{00000000-0005-0000-0000-000086590000}"/>
    <cellStyle name="Header2 27 3 9 3 2" xfId="22883" xr:uid="{00000000-0005-0000-0000-000087590000}"/>
    <cellStyle name="Header2 27 3 9 3 2 2" xfId="22884" xr:uid="{00000000-0005-0000-0000-000088590000}"/>
    <cellStyle name="Header2 27 3 9 3 2 3" xfId="22885" xr:uid="{00000000-0005-0000-0000-000089590000}"/>
    <cellStyle name="Header2 27 3 9 3 2 4" xfId="22886" xr:uid="{00000000-0005-0000-0000-00008A590000}"/>
    <cellStyle name="Header2 27 3 9 3 3" xfId="22887" xr:uid="{00000000-0005-0000-0000-00008B590000}"/>
    <cellStyle name="Header2 27 3 9 3 3 2" xfId="22888" xr:uid="{00000000-0005-0000-0000-00008C590000}"/>
    <cellStyle name="Header2 27 3 9 3 3 3" xfId="22889" xr:uid="{00000000-0005-0000-0000-00008D590000}"/>
    <cellStyle name="Header2 27 3 9 3 3 4" xfId="22890" xr:uid="{00000000-0005-0000-0000-00008E590000}"/>
    <cellStyle name="Header2 27 3 9 3 4" xfId="22891" xr:uid="{00000000-0005-0000-0000-00008F590000}"/>
    <cellStyle name="Header2 27 3 9 3 5" xfId="22892" xr:uid="{00000000-0005-0000-0000-000090590000}"/>
    <cellStyle name="Header2 27 3 9 3 6" xfId="22893" xr:uid="{00000000-0005-0000-0000-000091590000}"/>
    <cellStyle name="Header2 27 3 9 4" xfId="22894" xr:uid="{00000000-0005-0000-0000-000092590000}"/>
    <cellStyle name="Header2 27 3 9 5" xfId="22895" xr:uid="{00000000-0005-0000-0000-000093590000}"/>
    <cellStyle name="Header2 28" xfId="22896" xr:uid="{00000000-0005-0000-0000-000094590000}"/>
    <cellStyle name="Header2 28 2" xfId="22897" xr:uid="{00000000-0005-0000-0000-000095590000}"/>
    <cellStyle name="Header2 28 2 10" xfId="22898" xr:uid="{00000000-0005-0000-0000-000096590000}"/>
    <cellStyle name="Header2 28 2 10 2" xfId="22899" xr:uid="{00000000-0005-0000-0000-000097590000}"/>
    <cellStyle name="Header2 28 2 10 2 2" xfId="22900" xr:uid="{00000000-0005-0000-0000-000098590000}"/>
    <cellStyle name="Header2 28 2 10 2 2 2" xfId="22901" xr:uid="{00000000-0005-0000-0000-000099590000}"/>
    <cellStyle name="Header2 28 2 10 2 2 3" xfId="22902" xr:uid="{00000000-0005-0000-0000-00009A590000}"/>
    <cellStyle name="Header2 28 2 10 2 2 4" xfId="22903" xr:uid="{00000000-0005-0000-0000-00009B590000}"/>
    <cellStyle name="Header2 28 2 10 2 2 5" xfId="22904" xr:uid="{00000000-0005-0000-0000-00009C590000}"/>
    <cellStyle name="Header2 28 2 10 2 3" xfId="22905" xr:uid="{00000000-0005-0000-0000-00009D590000}"/>
    <cellStyle name="Header2 28 2 10 2 3 2" xfId="22906" xr:uid="{00000000-0005-0000-0000-00009E590000}"/>
    <cellStyle name="Header2 28 2 10 2 3 3" xfId="22907" xr:uid="{00000000-0005-0000-0000-00009F590000}"/>
    <cellStyle name="Header2 28 2 10 2 3 4" xfId="22908" xr:uid="{00000000-0005-0000-0000-0000A0590000}"/>
    <cellStyle name="Header2 28 2 10 2 4" xfId="22909" xr:uid="{00000000-0005-0000-0000-0000A1590000}"/>
    <cellStyle name="Header2 28 2 10 2 5" xfId="22910" xr:uid="{00000000-0005-0000-0000-0000A2590000}"/>
    <cellStyle name="Header2 28 2 10 2 6" xfId="22911" xr:uid="{00000000-0005-0000-0000-0000A3590000}"/>
    <cellStyle name="Header2 28 2 10 3" xfId="22912" xr:uid="{00000000-0005-0000-0000-0000A4590000}"/>
    <cellStyle name="Header2 28 2 10 3 2" xfId="22913" xr:uid="{00000000-0005-0000-0000-0000A5590000}"/>
    <cellStyle name="Header2 28 2 10 3 2 2" xfId="22914" xr:uid="{00000000-0005-0000-0000-0000A6590000}"/>
    <cellStyle name="Header2 28 2 10 3 2 3" xfId="22915" xr:uid="{00000000-0005-0000-0000-0000A7590000}"/>
    <cellStyle name="Header2 28 2 10 3 2 4" xfId="22916" xr:uid="{00000000-0005-0000-0000-0000A8590000}"/>
    <cellStyle name="Header2 28 2 10 3 3" xfId="22917" xr:uid="{00000000-0005-0000-0000-0000A9590000}"/>
    <cellStyle name="Header2 28 2 10 3 3 2" xfId="22918" xr:uid="{00000000-0005-0000-0000-0000AA590000}"/>
    <cellStyle name="Header2 28 2 10 3 3 3" xfId="22919" xr:uid="{00000000-0005-0000-0000-0000AB590000}"/>
    <cellStyle name="Header2 28 2 10 3 3 4" xfId="22920" xr:uid="{00000000-0005-0000-0000-0000AC590000}"/>
    <cellStyle name="Header2 28 2 10 3 4" xfId="22921" xr:uid="{00000000-0005-0000-0000-0000AD590000}"/>
    <cellStyle name="Header2 28 2 10 3 5" xfId="22922" xr:uid="{00000000-0005-0000-0000-0000AE590000}"/>
    <cellStyle name="Header2 28 2 10 3 6" xfId="22923" xr:uid="{00000000-0005-0000-0000-0000AF590000}"/>
    <cellStyle name="Header2 28 2 10 4" xfId="22924" xr:uid="{00000000-0005-0000-0000-0000B0590000}"/>
    <cellStyle name="Header2 28 2 10 5" xfId="22925" xr:uid="{00000000-0005-0000-0000-0000B1590000}"/>
    <cellStyle name="Header2 28 2 11" xfId="22926" xr:uid="{00000000-0005-0000-0000-0000B2590000}"/>
    <cellStyle name="Header2 28 2 11 2" xfId="22927" xr:uid="{00000000-0005-0000-0000-0000B3590000}"/>
    <cellStyle name="Header2 28 2 11 2 2" xfId="22928" xr:uid="{00000000-0005-0000-0000-0000B4590000}"/>
    <cellStyle name="Header2 28 2 11 2 2 2" xfId="22929" xr:uid="{00000000-0005-0000-0000-0000B5590000}"/>
    <cellStyle name="Header2 28 2 11 2 2 3" xfId="22930" xr:uid="{00000000-0005-0000-0000-0000B6590000}"/>
    <cellStyle name="Header2 28 2 11 2 2 4" xfId="22931" xr:uid="{00000000-0005-0000-0000-0000B7590000}"/>
    <cellStyle name="Header2 28 2 11 2 2 5" xfId="22932" xr:uid="{00000000-0005-0000-0000-0000B8590000}"/>
    <cellStyle name="Header2 28 2 11 2 3" xfId="22933" xr:uid="{00000000-0005-0000-0000-0000B9590000}"/>
    <cellStyle name="Header2 28 2 11 2 3 2" xfId="22934" xr:uid="{00000000-0005-0000-0000-0000BA590000}"/>
    <cellStyle name="Header2 28 2 11 2 3 3" xfId="22935" xr:uid="{00000000-0005-0000-0000-0000BB590000}"/>
    <cellStyle name="Header2 28 2 11 2 3 4" xfId="22936" xr:uid="{00000000-0005-0000-0000-0000BC590000}"/>
    <cellStyle name="Header2 28 2 11 2 4" xfId="22937" xr:uid="{00000000-0005-0000-0000-0000BD590000}"/>
    <cellStyle name="Header2 28 2 11 2 5" xfId="22938" xr:uid="{00000000-0005-0000-0000-0000BE590000}"/>
    <cellStyle name="Header2 28 2 11 2 6" xfId="22939" xr:uid="{00000000-0005-0000-0000-0000BF590000}"/>
    <cellStyle name="Header2 28 2 11 3" xfId="22940" xr:uid="{00000000-0005-0000-0000-0000C0590000}"/>
    <cellStyle name="Header2 28 2 11 3 2" xfId="22941" xr:uid="{00000000-0005-0000-0000-0000C1590000}"/>
    <cellStyle name="Header2 28 2 11 3 2 2" xfId="22942" xr:uid="{00000000-0005-0000-0000-0000C2590000}"/>
    <cellStyle name="Header2 28 2 11 3 2 3" xfId="22943" xr:uid="{00000000-0005-0000-0000-0000C3590000}"/>
    <cellStyle name="Header2 28 2 11 3 2 4" xfId="22944" xr:uid="{00000000-0005-0000-0000-0000C4590000}"/>
    <cellStyle name="Header2 28 2 11 3 3" xfId="22945" xr:uid="{00000000-0005-0000-0000-0000C5590000}"/>
    <cellStyle name="Header2 28 2 11 3 3 2" xfId="22946" xr:uid="{00000000-0005-0000-0000-0000C6590000}"/>
    <cellStyle name="Header2 28 2 11 3 3 3" xfId="22947" xr:uid="{00000000-0005-0000-0000-0000C7590000}"/>
    <cellStyle name="Header2 28 2 11 3 3 4" xfId="22948" xr:uid="{00000000-0005-0000-0000-0000C8590000}"/>
    <cellStyle name="Header2 28 2 11 3 4" xfId="22949" xr:uid="{00000000-0005-0000-0000-0000C9590000}"/>
    <cellStyle name="Header2 28 2 11 3 5" xfId="22950" xr:uid="{00000000-0005-0000-0000-0000CA590000}"/>
    <cellStyle name="Header2 28 2 11 3 6" xfId="22951" xr:uid="{00000000-0005-0000-0000-0000CB590000}"/>
    <cellStyle name="Header2 28 2 11 4" xfId="22952" xr:uid="{00000000-0005-0000-0000-0000CC590000}"/>
    <cellStyle name="Header2 28 2 11 5" xfId="22953" xr:uid="{00000000-0005-0000-0000-0000CD590000}"/>
    <cellStyle name="Header2 28 2 12" xfId="22954" xr:uid="{00000000-0005-0000-0000-0000CE590000}"/>
    <cellStyle name="Header2 28 2 12 2" xfId="22955" xr:uid="{00000000-0005-0000-0000-0000CF590000}"/>
    <cellStyle name="Header2 28 2 12 2 2" xfId="22956" xr:uid="{00000000-0005-0000-0000-0000D0590000}"/>
    <cellStyle name="Header2 28 2 12 2 2 2" xfId="22957" xr:uid="{00000000-0005-0000-0000-0000D1590000}"/>
    <cellStyle name="Header2 28 2 12 2 2 3" xfId="22958" xr:uid="{00000000-0005-0000-0000-0000D2590000}"/>
    <cellStyle name="Header2 28 2 12 2 2 4" xfId="22959" xr:uid="{00000000-0005-0000-0000-0000D3590000}"/>
    <cellStyle name="Header2 28 2 12 2 2 5" xfId="22960" xr:uid="{00000000-0005-0000-0000-0000D4590000}"/>
    <cellStyle name="Header2 28 2 12 2 3" xfId="22961" xr:uid="{00000000-0005-0000-0000-0000D5590000}"/>
    <cellStyle name="Header2 28 2 12 2 3 2" xfId="22962" xr:uid="{00000000-0005-0000-0000-0000D6590000}"/>
    <cellStyle name="Header2 28 2 12 2 3 3" xfId="22963" xr:uid="{00000000-0005-0000-0000-0000D7590000}"/>
    <cellStyle name="Header2 28 2 12 2 3 4" xfId="22964" xr:uid="{00000000-0005-0000-0000-0000D8590000}"/>
    <cellStyle name="Header2 28 2 12 2 4" xfId="22965" xr:uid="{00000000-0005-0000-0000-0000D9590000}"/>
    <cellStyle name="Header2 28 2 12 2 5" xfId="22966" xr:uid="{00000000-0005-0000-0000-0000DA590000}"/>
    <cellStyle name="Header2 28 2 12 2 6" xfId="22967" xr:uid="{00000000-0005-0000-0000-0000DB590000}"/>
    <cellStyle name="Header2 28 2 12 3" xfId="22968" xr:uid="{00000000-0005-0000-0000-0000DC590000}"/>
    <cellStyle name="Header2 28 2 12 3 2" xfId="22969" xr:uid="{00000000-0005-0000-0000-0000DD590000}"/>
    <cellStyle name="Header2 28 2 12 3 2 2" xfId="22970" xr:uid="{00000000-0005-0000-0000-0000DE590000}"/>
    <cellStyle name="Header2 28 2 12 3 2 3" xfId="22971" xr:uid="{00000000-0005-0000-0000-0000DF590000}"/>
    <cellStyle name="Header2 28 2 12 3 2 4" xfId="22972" xr:uid="{00000000-0005-0000-0000-0000E0590000}"/>
    <cellStyle name="Header2 28 2 12 3 3" xfId="22973" xr:uid="{00000000-0005-0000-0000-0000E1590000}"/>
    <cellStyle name="Header2 28 2 12 3 3 2" xfId="22974" xr:uid="{00000000-0005-0000-0000-0000E2590000}"/>
    <cellStyle name="Header2 28 2 12 3 3 3" xfId="22975" xr:uid="{00000000-0005-0000-0000-0000E3590000}"/>
    <cellStyle name="Header2 28 2 12 3 3 4" xfId="22976" xr:uid="{00000000-0005-0000-0000-0000E4590000}"/>
    <cellStyle name="Header2 28 2 12 3 4" xfId="22977" xr:uid="{00000000-0005-0000-0000-0000E5590000}"/>
    <cellStyle name="Header2 28 2 12 3 5" xfId="22978" xr:uid="{00000000-0005-0000-0000-0000E6590000}"/>
    <cellStyle name="Header2 28 2 12 3 6" xfId="22979" xr:uid="{00000000-0005-0000-0000-0000E7590000}"/>
    <cellStyle name="Header2 28 2 12 4" xfId="22980" xr:uid="{00000000-0005-0000-0000-0000E8590000}"/>
    <cellStyle name="Header2 28 2 12 5" xfId="22981" xr:uid="{00000000-0005-0000-0000-0000E9590000}"/>
    <cellStyle name="Header2 28 2 13" xfId="22982" xr:uid="{00000000-0005-0000-0000-0000EA590000}"/>
    <cellStyle name="Header2 28 2 13 2" xfId="22983" xr:uid="{00000000-0005-0000-0000-0000EB590000}"/>
    <cellStyle name="Header2 28 2 13 2 2" xfId="22984" xr:uid="{00000000-0005-0000-0000-0000EC590000}"/>
    <cellStyle name="Header2 28 2 13 2 2 2" xfId="22985" xr:uid="{00000000-0005-0000-0000-0000ED590000}"/>
    <cellStyle name="Header2 28 2 13 2 2 3" xfId="22986" xr:uid="{00000000-0005-0000-0000-0000EE590000}"/>
    <cellStyle name="Header2 28 2 13 2 2 4" xfId="22987" xr:uid="{00000000-0005-0000-0000-0000EF590000}"/>
    <cellStyle name="Header2 28 2 13 2 2 5" xfId="22988" xr:uid="{00000000-0005-0000-0000-0000F0590000}"/>
    <cellStyle name="Header2 28 2 13 2 3" xfId="22989" xr:uid="{00000000-0005-0000-0000-0000F1590000}"/>
    <cellStyle name="Header2 28 2 13 2 3 2" xfId="22990" xr:uid="{00000000-0005-0000-0000-0000F2590000}"/>
    <cellStyle name="Header2 28 2 13 2 3 3" xfId="22991" xr:uid="{00000000-0005-0000-0000-0000F3590000}"/>
    <cellStyle name="Header2 28 2 13 2 3 4" xfId="22992" xr:uid="{00000000-0005-0000-0000-0000F4590000}"/>
    <cellStyle name="Header2 28 2 13 2 4" xfId="22993" xr:uid="{00000000-0005-0000-0000-0000F5590000}"/>
    <cellStyle name="Header2 28 2 13 2 5" xfId="22994" xr:uid="{00000000-0005-0000-0000-0000F6590000}"/>
    <cellStyle name="Header2 28 2 13 2 6" xfId="22995" xr:uid="{00000000-0005-0000-0000-0000F7590000}"/>
    <cellStyle name="Header2 28 2 13 3" xfId="22996" xr:uid="{00000000-0005-0000-0000-0000F8590000}"/>
    <cellStyle name="Header2 28 2 13 3 2" xfId="22997" xr:uid="{00000000-0005-0000-0000-0000F9590000}"/>
    <cellStyle name="Header2 28 2 13 3 2 2" xfId="22998" xr:uid="{00000000-0005-0000-0000-0000FA590000}"/>
    <cellStyle name="Header2 28 2 13 3 2 3" xfId="22999" xr:uid="{00000000-0005-0000-0000-0000FB590000}"/>
    <cellStyle name="Header2 28 2 13 3 2 4" xfId="23000" xr:uid="{00000000-0005-0000-0000-0000FC590000}"/>
    <cellStyle name="Header2 28 2 13 3 3" xfId="23001" xr:uid="{00000000-0005-0000-0000-0000FD590000}"/>
    <cellStyle name="Header2 28 2 13 3 3 2" xfId="23002" xr:uid="{00000000-0005-0000-0000-0000FE590000}"/>
    <cellStyle name="Header2 28 2 13 3 3 3" xfId="23003" xr:uid="{00000000-0005-0000-0000-0000FF590000}"/>
    <cellStyle name="Header2 28 2 13 3 3 4" xfId="23004" xr:uid="{00000000-0005-0000-0000-0000005A0000}"/>
    <cellStyle name="Header2 28 2 13 3 4" xfId="23005" xr:uid="{00000000-0005-0000-0000-0000015A0000}"/>
    <cellStyle name="Header2 28 2 13 3 5" xfId="23006" xr:uid="{00000000-0005-0000-0000-0000025A0000}"/>
    <cellStyle name="Header2 28 2 13 3 6" xfId="23007" xr:uid="{00000000-0005-0000-0000-0000035A0000}"/>
    <cellStyle name="Header2 28 2 13 4" xfId="23008" xr:uid="{00000000-0005-0000-0000-0000045A0000}"/>
    <cellStyle name="Header2 28 2 13 5" xfId="23009" xr:uid="{00000000-0005-0000-0000-0000055A0000}"/>
    <cellStyle name="Header2 28 2 14" xfId="58754" xr:uid="{00000000-0005-0000-0000-0000065A0000}"/>
    <cellStyle name="Header2 28 2 2" xfId="23010" xr:uid="{00000000-0005-0000-0000-0000075A0000}"/>
    <cellStyle name="Header2 28 2 2 2" xfId="23011" xr:uid="{00000000-0005-0000-0000-0000085A0000}"/>
    <cellStyle name="Header2 28 2 2 2 2" xfId="23012" xr:uid="{00000000-0005-0000-0000-0000095A0000}"/>
    <cellStyle name="Header2 28 2 2 2 2 2" xfId="23013" xr:uid="{00000000-0005-0000-0000-00000A5A0000}"/>
    <cellStyle name="Header2 28 2 2 2 2 2 2" xfId="23014" xr:uid="{00000000-0005-0000-0000-00000B5A0000}"/>
    <cellStyle name="Header2 28 2 2 2 2 2 3" xfId="23015" xr:uid="{00000000-0005-0000-0000-00000C5A0000}"/>
    <cellStyle name="Header2 28 2 2 2 2 2 4" xfId="23016" xr:uid="{00000000-0005-0000-0000-00000D5A0000}"/>
    <cellStyle name="Header2 28 2 2 2 2 2 5" xfId="23017" xr:uid="{00000000-0005-0000-0000-00000E5A0000}"/>
    <cellStyle name="Header2 28 2 2 2 2 3" xfId="23018" xr:uid="{00000000-0005-0000-0000-00000F5A0000}"/>
    <cellStyle name="Header2 28 2 2 2 2 3 2" xfId="23019" xr:uid="{00000000-0005-0000-0000-0000105A0000}"/>
    <cellStyle name="Header2 28 2 2 2 2 3 3" xfId="23020" xr:uid="{00000000-0005-0000-0000-0000115A0000}"/>
    <cellStyle name="Header2 28 2 2 2 2 3 4" xfId="23021" xr:uid="{00000000-0005-0000-0000-0000125A0000}"/>
    <cellStyle name="Header2 28 2 2 2 2 4" xfId="23022" xr:uid="{00000000-0005-0000-0000-0000135A0000}"/>
    <cellStyle name="Header2 28 2 2 2 2 5" xfId="23023" xr:uid="{00000000-0005-0000-0000-0000145A0000}"/>
    <cellStyle name="Header2 28 2 2 2 2 6" xfId="23024" xr:uid="{00000000-0005-0000-0000-0000155A0000}"/>
    <cellStyle name="Header2 28 2 2 2 3" xfId="23025" xr:uid="{00000000-0005-0000-0000-0000165A0000}"/>
    <cellStyle name="Header2 28 2 2 2 3 2" xfId="23026" xr:uid="{00000000-0005-0000-0000-0000175A0000}"/>
    <cellStyle name="Header2 28 2 2 2 3 2 2" xfId="23027" xr:uid="{00000000-0005-0000-0000-0000185A0000}"/>
    <cellStyle name="Header2 28 2 2 2 3 2 3" xfId="23028" xr:uid="{00000000-0005-0000-0000-0000195A0000}"/>
    <cellStyle name="Header2 28 2 2 2 3 2 4" xfId="23029" xr:uid="{00000000-0005-0000-0000-00001A5A0000}"/>
    <cellStyle name="Header2 28 2 2 2 3 3" xfId="23030" xr:uid="{00000000-0005-0000-0000-00001B5A0000}"/>
    <cellStyle name="Header2 28 2 2 2 3 3 2" xfId="23031" xr:uid="{00000000-0005-0000-0000-00001C5A0000}"/>
    <cellStyle name="Header2 28 2 2 2 3 3 3" xfId="23032" xr:uid="{00000000-0005-0000-0000-00001D5A0000}"/>
    <cellStyle name="Header2 28 2 2 2 3 3 4" xfId="23033" xr:uid="{00000000-0005-0000-0000-00001E5A0000}"/>
    <cellStyle name="Header2 28 2 2 2 3 4" xfId="23034" xr:uid="{00000000-0005-0000-0000-00001F5A0000}"/>
    <cellStyle name="Header2 28 2 2 2 3 5" xfId="23035" xr:uid="{00000000-0005-0000-0000-0000205A0000}"/>
    <cellStyle name="Header2 28 2 2 2 3 6" xfId="23036" xr:uid="{00000000-0005-0000-0000-0000215A0000}"/>
    <cellStyle name="Header2 28 2 2 2 4" xfId="23037" xr:uid="{00000000-0005-0000-0000-0000225A0000}"/>
    <cellStyle name="Header2 28 2 2 2 5" xfId="23038" xr:uid="{00000000-0005-0000-0000-0000235A0000}"/>
    <cellStyle name="Header2 28 2 2 3" xfId="23039" xr:uid="{00000000-0005-0000-0000-0000245A0000}"/>
    <cellStyle name="Header2 28 2 2 3 2" xfId="23040" xr:uid="{00000000-0005-0000-0000-0000255A0000}"/>
    <cellStyle name="Header2 28 2 2 3 2 2" xfId="23041" xr:uid="{00000000-0005-0000-0000-0000265A0000}"/>
    <cellStyle name="Header2 28 2 2 3 2 2 2" xfId="23042" xr:uid="{00000000-0005-0000-0000-0000275A0000}"/>
    <cellStyle name="Header2 28 2 2 3 2 2 3" xfId="23043" xr:uid="{00000000-0005-0000-0000-0000285A0000}"/>
    <cellStyle name="Header2 28 2 2 3 2 2 4" xfId="23044" xr:uid="{00000000-0005-0000-0000-0000295A0000}"/>
    <cellStyle name="Header2 28 2 2 3 2 2 5" xfId="23045" xr:uid="{00000000-0005-0000-0000-00002A5A0000}"/>
    <cellStyle name="Header2 28 2 2 3 2 3" xfId="23046" xr:uid="{00000000-0005-0000-0000-00002B5A0000}"/>
    <cellStyle name="Header2 28 2 2 3 2 3 2" xfId="23047" xr:uid="{00000000-0005-0000-0000-00002C5A0000}"/>
    <cellStyle name="Header2 28 2 2 3 2 3 3" xfId="23048" xr:uid="{00000000-0005-0000-0000-00002D5A0000}"/>
    <cellStyle name="Header2 28 2 2 3 2 3 4" xfId="23049" xr:uid="{00000000-0005-0000-0000-00002E5A0000}"/>
    <cellStyle name="Header2 28 2 2 3 2 4" xfId="23050" xr:uid="{00000000-0005-0000-0000-00002F5A0000}"/>
    <cellStyle name="Header2 28 2 2 3 2 5" xfId="23051" xr:uid="{00000000-0005-0000-0000-0000305A0000}"/>
    <cellStyle name="Header2 28 2 2 3 2 6" xfId="23052" xr:uid="{00000000-0005-0000-0000-0000315A0000}"/>
    <cellStyle name="Header2 28 2 2 3 3" xfId="23053" xr:uid="{00000000-0005-0000-0000-0000325A0000}"/>
    <cellStyle name="Header2 28 2 2 3 3 2" xfId="23054" xr:uid="{00000000-0005-0000-0000-0000335A0000}"/>
    <cellStyle name="Header2 28 2 2 3 3 2 2" xfId="23055" xr:uid="{00000000-0005-0000-0000-0000345A0000}"/>
    <cellStyle name="Header2 28 2 2 3 3 2 3" xfId="23056" xr:uid="{00000000-0005-0000-0000-0000355A0000}"/>
    <cellStyle name="Header2 28 2 2 3 3 2 4" xfId="23057" xr:uid="{00000000-0005-0000-0000-0000365A0000}"/>
    <cellStyle name="Header2 28 2 2 3 3 3" xfId="23058" xr:uid="{00000000-0005-0000-0000-0000375A0000}"/>
    <cellStyle name="Header2 28 2 2 3 3 3 2" xfId="23059" xr:uid="{00000000-0005-0000-0000-0000385A0000}"/>
    <cellStyle name="Header2 28 2 2 3 3 3 3" xfId="23060" xr:uid="{00000000-0005-0000-0000-0000395A0000}"/>
    <cellStyle name="Header2 28 2 2 3 3 3 4" xfId="23061" xr:uid="{00000000-0005-0000-0000-00003A5A0000}"/>
    <cellStyle name="Header2 28 2 2 3 3 4" xfId="23062" xr:uid="{00000000-0005-0000-0000-00003B5A0000}"/>
    <cellStyle name="Header2 28 2 2 3 3 5" xfId="23063" xr:uid="{00000000-0005-0000-0000-00003C5A0000}"/>
    <cellStyle name="Header2 28 2 2 3 3 6" xfId="23064" xr:uid="{00000000-0005-0000-0000-00003D5A0000}"/>
    <cellStyle name="Header2 28 2 2 3 4" xfId="23065" xr:uid="{00000000-0005-0000-0000-00003E5A0000}"/>
    <cellStyle name="Header2 28 2 2 3 5" xfId="23066" xr:uid="{00000000-0005-0000-0000-00003F5A0000}"/>
    <cellStyle name="Header2 28 2 3" xfId="23067" xr:uid="{00000000-0005-0000-0000-0000405A0000}"/>
    <cellStyle name="Header2 28 2 3 2" xfId="23068" xr:uid="{00000000-0005-0000-0000-0000415A0000}"/>
    <cellStyle name="Header2 28 2 3 2 2" xfId="23069" xr:uid="{00000000-0005-0000-0000-0000425A0000}"/>
    <cellStyle name="Header2 28 2 3 2 3" xfId="23070" xr:uid="{00000000-0005-0000-0000-0000435A0000}"/>
    <cellStyle name="Header2 28 2 3 3" xfId="23071" xr:uid="{00000000-0005-0000-0000-0000445A0000}"/>
    <cellStyle name="Header2 28 2 4" xfId="23072" xr:uid="{00000000-0005-0000-0000-0000455A0000}"/>
    <cellStyle name="Header2 28 2 4 2" xfId="23073" xr:uid="{00000000-0005-0000-0000-0000465A0000}"/>
    <cellStyle name="Header2 28 2 4 2 2" xfId="23074" xr:uid="{00000000-0005-0000-0000-0000475A0000}"/>
    <cellStyle name="Header2 28 2 4 2 3" xfId="23075" xr:uid="{00000000-0005-0000-0000-0000485A0000}"/>
    <cellStyle name="Header2 28 2 4 3" xfId="23076" xr:uid="{00000000-0005-0000-0000-0000495A0000}"/>
    <cellStyle name="Header2 28 2 5" xfId="23077" xr:uid="{00000000-0005-0000-0000-00004A5A0000}"/>
    <cellStyle name="Header2 28 2 5 2" xfId="23078" xr:uid="{00000000-0005-0000-0000-00004B5A0000}"/>
    <cellStyle name="Header2 28 2 5 2 2" xfId="23079" xr:uid="{00000000-0005-0000-0000-00004C5A0000}"/>
    <cellStyle name="Header2 28 2 5 2 3" xfId="23080" xr:uid="{00000000-0005-0000-0000-00004D5A0000}"/>
    <cellStyle name="Header2 28 2 5 3" xfId="23081" xr:uid="{00000000-0005-0000-0000-00004E5A0000}"/>
    <cellStyle name="Header2 28 2 6" xfId="23082" xr:uid="{00000000-0005-0000-0000-00004F5A0000}"/>
    <cellStyle name="Header2 28 2 6 2" xfId="23083" xr:uid="{00000000-0005-0000-0000-0000505A0000}"/>
    <cellStyle name="Header2 28 2 6 2 2" xfId="23084" xr:uid="{00000000-0005-0000-0000-0000515A0000}"/>
    <cellStyle name="Header2 28 2 6 2 2 2" xfId="23085" xr:uid="{00000000-0005-0000-0000-0000525A0000}"/>
    <cellStyle name="Header2 28 2 6 2 2 3" xfId="23086" xr:uid="{00000000-0005-0000-0000-0000535A0000}"/>
    <cellStyle name="Header2 28 2 6 2 2 4" xfId="23087" xr:uid="{00000000-0005-0000-0000-0000545A0000}"/>
    <cellStyle name="Header2 28 2 6 2 2 5" xfId="23088" xr:uid="{00000000-0005-0000-0000-0000555A0000}"/>
    <cellStyle name="Header2 28 2 6 2 3" xfId="23089" xr:uid="{00000000-0005-0000-0000-0000565A0000}"/>
    <cellStyle name="Header2 28 2 6 2 3 2" xfId="23090" xr:uid="{00000000-0005-0000-0000-0000575A0000}"/>
    <cellStyle name="Header2 28 2 6 2 3 3" xfId="23091" xr:uid="{00000000-0005-0000-0000-0000585A0000}"/>
    <cellStyle name="Header2 28 2 6 2 3 4" xfId="23092" xr:uid="{00000000-0005-0000-0000-0000595A0000}"/>
    <cellStyle name="Header2 28 2 6 2 4" xfId="23093" xr:uid="{00000000-0005-0000-0000-00005A5A0000}"/>
    <cellStyle name="Header2 28 2 6 2 5" xfId="23094" xr:uid="{00000000-0005-0000-0000-00005B5A0000}"/>
    <cellStyle name="Header2 28 2 6 2 6" xfId="23095" xr:uid="{00000000-0005-0000-0000-00005C5A0000}"/>
    <cellStyle name="Header2 28 2 6 3" xfId="23096" xr:uid="{00000000-0005-0000-0000-00005D5A0000}"/>
    <cellStyle name="Header2 28 2 6 3 2" xfId="23097" xr:uid="{00000000-0005-0000-0000-00005E5A0000}"/>
    <cellStyle name="Header2 28 2 6 3 2 2" xfId="23098" xr:uid="{00000000-0005-0000-0000-00005F5A0000}"/>
    <cellStyle name="Header2 28 2 6 3 2 3" xfId="23099" xr:uid="{00000000-0005-0000-0000-0000605A0000}"/>
    <cellStyle name="Header2 28 2 6 3 2 4" xfId="23100" xr:uid="{00000000-0005-0000-0000-0000615A0000}"/>
    <cellStyle name="Header2 28 2 6 3 3" xfId="23101" xr:uid="{00000000-0005-0000-0000-0000625A0000}"/>
    <cellStyle name="Header2 28 2 6 3 3 2" xfId="23102" xr:uid="{00000000-0005-0000-0000-0000635A0000}"/>
    <cellStyle name="Header2 28 2 6 3 3 3" xfId="23103" xr:uid="{00000000-0005-0000-0000-0000645A0000}"/>
    <cellStyle name="Header2 28 2 6 3 3 4" xfId="23104" xr:uid="{00000000-0005-0000-0000-0000655A0000}"/>
    <cellStyle name="Header2 28 2 6 3 4" xfId="23105" xr:uid="{00000000-0005-0000-0000-0000665A0000}"/>
    <cellStyle name="Header2 28 2 6 3 5" xfId="23106" xr:uid="{00000000-0005-0000-0000-0000675A0000}"/>
    <cellStyle name="Header2 28 2 6 3 6" xfId="23107" xr:uid="{00000000-0005-0000-0000-0000685A0000}"/>
    <cellStyle name="Header2 28 2 6 4" xfId="23108" xr:uid="{00000000-0005-0000-0000-0000695A0000}"/>
    <cellStyle name="Header2 28 2 6 5" xfId="23109" xr:uid="{00000000-0005-0000-0000-00006A5A0000}"/>
    <cellStyle name="Header2 28 2 7" xfId="23110" xr:uid="{00000000-0005-0000-0000-00006B5A0000}"/>
    <cellStyle name="Header2 28 2 7 2" xfId="23111" xr:uid="{00000000-0005-0000-0000-00006C5A0000}"/>
    <cellStyle name="Header2 28 2 7 2 2" xfId="23112" xr:uid="{00000000-0005-0000-0000-00006D5A0000}"/>
    <cellStyle name="Header2 28 2 7 2 2 2" xfId="23113" xr:uid="{00000000-0005-0000-0000-00006E5A0000}"/>
    <cellStyle name="Header2 28 2 7 2 2 3" xfId="23114" xr:uid="{00000000-0005-0000-0000-00006F5A0000}"/>
    <cellStyle name="Header2 28 2 7 2 2 4" xfId="23115" xr:uid="{00000000-0005-0000-0000-0000705A0000}"/>
    <cellStyle name="Header2 28 2 7 2 2 5" xfId="23116" xr:uid="{00000000-0005-0000-0000-0000715A0000}"/>
    <cellStyle name="Header2 28 2 7 2 3" xfId="23117" xr:uid="{00000000-0005-0000-0000-0000725A0000}"/>
    <cellStyle name="Header2 28 2 7 2 3 2" xfId="23118" xr:uid="{00000000-0005-0000-0000-0000735A0000}"/>
    <cellStyle name="Header2 28 2 7 2 3 3" xfId="23119" xr:uid="{00000000-0005-0000-0000-0000745A0000}"/>
    <cellStyle name="Header2 28 2 7 2 3 4" xfId="23120" xr:uid="{00000000-0005-0000-0000-0000755A0000}"/>
    <cellStyle name="Header2 28 2 7 2 4" xfId="23121" xr:uid="{00000000-0005-0000-0000-0000765A0000}"/>
    <cellStyle name="Header2 28 2 7 2 5" xfId="23122" xr:uid="{00000000-0005-0000-0000-0000775A0000}"/>
    <cellStyle name="Header2 28 2 7 2 6" xfId="23123" xr:uid="{00000000-0005-0000-0000-0000785A0000}"/>
    <cellStyle name="Header2 28 2 7 3" xfId="23124" xr:uid="{00000000-0005-0000-0000-0000795A0000}"/>
    <cellStyle name="Header2 28 2 7 3 2" xfId="23125" xr:uid="{00000000-0005-0000-0000-00007A5A0000}"/>
    <cellStyle name="Header2 28 2 7 3 2 2" xfId="23126" xr:uid="{00000000-0005-0000-0000-00007B5A0000}"/>
    <cellStyle name="Header2 28 2 7 3 2 3" xfId="23127" xr:uid="{00000000-0005-0000-0000-00007C5A0000}"/>
    <cellStyle name="Header2 28 2 7 3 2 4" xfId="23128" xr:uid="{00000000-0005-0000-0000-00007D5A0000}"/>
    <cellStyle name="Header2 28 2 7 3 3" xfId="23129" xr:uid="{00000000-0005-0000-0000-00007E5A0000}"/>
    <cellStyle name="Header2 28 2 7 3 3 2" xfId="23130" xr:uid="{00000000-0005-0000-0000-00007F5A0000}"/>
    <cellStyle name="Header2 28 2 7 3 3 3" xfId="23131" xr:uid="{00000000-0005-0000-0000-0000805A0000}"/>
    <cellStyle name="Header2 28 2 7 3 3 4" xfId="23132" xr:uid="{00000000-0005-0000-0000-0000815A0000}"/>
    <cellStyle name="Header2 28 2 7 3 4" xfId="23133" xr:uid="{00000000-0005-0000-0000-0000825A0000}"/>
    <cellStyle name="Header2 28 2 7 3 5" xfId="23134" xr:uid="{00000000-0005-0000-0000-0000835A0000}"/>
    <cellStyle name="Header2 28 2 7 3 6" xfId="23135" xr:uid="{00000000-0005-0000-0000-0000845A0000}"/>
    <cellStyle name="Header2 28 2 7 4" xfId="23136" xr:uid="{00000000-0005-0000-0000-0000855A0000}"/>
    <cellStyle name="Header2 28 2 7 5" xfId="23137" xr:uid="{00000000-0005-0000-0000-0000865A0000}"/>
    <cellStyle name="Header2 28 2 8" xfId="23138" xr:uid="{00000000-0005-0000-0000-0000875A0000}"/>
    <cellStyle name="Header2 28 2 8 2" xfId="23139" xr:uid="{00000000-0005-0000-0000-0000885A0000}"/>
    <cellStyle name="Header2 28 2 8 2 2" xfId="23140" xr:uid="{00000000-0005-0000-0000-0000895A0000}"/>
    <cellStyle name="Header2 28 2 8 2 2 2" xfId="23141" xr:uid="{00000000-0005-0000-0000-00008A5A0000}"/>
    <cellStyle name="Header2 28 2 8 2 2 3" xfId="23142" xr:uid="{00000000-0005-0000-0000-00008B5A0000}"/>
    <cellStyle name="Header2 28 2 8 2 2 4" xfId="23143" xr:uid="{00000000-0005-0000-0000-00008C5A0000}"/>
    <cellStyle name="Header2 28 2 8 2 2 5" xfId="23144" xr:uid="{00000000-0005-0000-0000-00008D5A0000}"/>
    <cellStyle name="Header2 28 2 8 2 3" xfId="23145" xr:uid="{00000000-0005-0000-0000-00008E5A0000}"/>
    <cellStyle name="Header2 28 2 8 2 3 2" xfId="23146" xr:uid="{00000000-0005-0000-0000-00008F5A0000}"/>
    <cellStyle name="Header2 28 2 8 2 3 3" xfId="23147" xr:uid="{00000000-0005-0000-0000-0000905A0000}"/>
    <cellStyle name="Header2 28 2 8 2 3 4" xfId="23148" xr:uid="{00000000-0005-0000-0000-0000915A0000}"/>
    <cellStyle name="Header2 28 2 8 2 4" xfId="23149" xr:uid="{00000000-0005-0000-0000-0000925A0000}"/>
    <cellStyle name="Header2 28 2 8 2 5" xfId="23150" xr:uid="{00000000-0005-0000-0000-0000935A0000}"/>
    <cellStyle name="Header2 28 2 8 2 6" xfId="23151" xr:uid="{00000000-0005-0000-0000-0000945A0000}"/>
    <cellStyle name="Header2 28 2 8 3" xfId="23152" xr:uid="{00000000-0005-0000-0000-0000955A0000}"/>
    <cellStyle name="Header2 28 2 8 3 2" xfId="23153" xr:uid="{00000000-0005-0000-0000-0000965A0000}"/>
    <cellStyle name="Header2 28 2 8 3 2 2" xfId="23154" xr:uid="{00000000-0005-0000-0000-0000975A0000}"/>
    <cellStyle name="Header2 28 2 8 3 2 3" xfId="23155" xr:uid="{00000000-0005-0000-0000-0000985A0000}"/>
    <cellStyle name="Header2 28 2 8 3 2 4" xfId="23156" xr:uid="{00000000-0005-0000-0000-0000995A0000}"/>
    <cellStyle name="Header2 28 2 8 3 3" xfId="23157" xr:uid="{00000000-0005-0000-0000-00009A5A0000}"/>
    <cellStyle name="Header2 28 2 8 3 3 2" xfId="23158" xr:uid="{00000000-0005-0000-0000-00009B5A0000}"/>
    <cellStyle name="Header2 28 2 8 3 3 3" xfId="23159" xr:uid="{00000000-0005-0000-0000-00009C5A0000}"/>
    <cellStyle name="Header2 28 2 8 3 3 4" xfId="23160" xr:uid="{00000000-0005-0000-0000-00009D5A0000}"/>
    <cellStyle name="Header2 28 2 8 3 4" xfId="23161" xr:uid="{00000000-0005-0000-0000-00009E5A0000}"/>
    <cellStyle name="Header2 28 2 8 3 5" xfId="23162" xr:uid="{00000000-0005-0000-0000-00009F5A0000}"/>
    <cellStyle name="Header2 28 2 8 3 6" xfId="23163" xr:uid="{00000000-0005-0000-0000-0000A05A0000}"/>
    <cellStyle name="Header2 28 2 8 4" xfId="23164" xr:uid="{00000000-0005-0000-0000-0000A15A0000}"/>
    <cellStyle name="Header2 28 2 8 5" xfId="23165" xr:uid="{00000000-0005-0000-0000-0000A25A0000}"/>
    <cellStyle name="Header2 28 2 9" xfId="23166" xr:uid="{00000000-0005-0000-0000-0000A35A0000}"/>
    <cellStyle name="Header2 28 2 9 2" xfId="23167" xr:uid="{00000000-0005-0000-0000-0000A45A0000}"/>
    <cellStyle name="Header2 28 2 9 2 2" xfId="23168" xr:uid="{00000000-0005-0000-0000-0000A55A0000}"/>
    <cellStyle name="Header2 28 2 9 2 2 2" xfId="23169" xr:uid="{00000000-0005-0000-0000-0000A65A0000}"/>
    <cellStyle name="Header2 28 2 9 2 2 3" xfId="23170" xr:uid="{00000000-0005-0000-0000-0000A75A0000}"/>
    <cellStyle name="Header2 28 2 9 2 2 4" xfId="23171" xr:uid="{00000000-0005-0000-0000-0000A85A0000}"/>
    <cellStyle name="Header2 28 2 9 2 2 5" xfId="23172" xr:uid="{00000000-0005-0000-0000-0000A95A0000}"/>
    <cellStyle name="Header2 28 2 9 2 3" xfId="23173" xr:uid="{00000000-0005-0000-0000-0000AA5A0000}"/>
    <cellStyle name="Header2 28 2 9 2 3 2" xfId="23174" xr:uid="{00000000-0005-0000-0000-0000AB5A0000}"/>
    <cellStyle name="Header2 28 2 9 2 3 3" xfId="23175" xr:uid="{00000000-0005-0000-0000-0000AC5A0000}"/>
    <cellStyle name="Header2 28 2 9 2 3 4" xfId="23176" xr:uid="{00000000-0005-0000-0000-0000AD5A0000}"/>
    <cellStyle name="Header2 28 2 9 2 4" xfId="23177" xr:uid="{00000000-0005-0000-0000-0000AE5A0000}"/>
    <cellStyle name="Header2 28 2 9 2 5" xfId="23178" xr:uid="{00000000-0005-0000-0000-0000AF5A0000}"/>
    <cellStyle name="Header2 28 2 9 2 6" xfId="23179" xr:uid="{00000000-0005-0000-0000-0000B05A0000}"/>
    <cellStyle name="Header2 28 2 9 3" xfId="23180" xr:uid="{00000000-0005-0000-0000-0000B15A0000}"/>
    <cellStyle name="Header2 28 2 9 3 2" xfId="23181" xr:uid="{00000000-0005-0000-0000-0000B25A0000}"/>
    <cellStyle name="Header2 28 2 9 3 2 2" xfId="23182" xr:uid="{00000000-0005-0000-0000-0000B35A0000}"/>
    <cellStyle name="Header2 28 2 9 3 2 3" xfId="23183" xr:uid="{00000000-0005-0000-0000-0000B45A0000}"/>
    <cellStyle name="Header2 28 2 9 3 2 4" xfId="23184" xr:uid="{00000000-0005-0000-0000-0000B55A0000}"/>
    <cellStyle name="Header2 28 2 9 3 3" xfId="23185" xr:uid="{00000000-0005-0000-0000-0000B65A0000}"/>
    <cellStyle name="Header2 28 2 9 3 3 2" xfId="23186" xr:uid="{00000000-0005-0000-0000-0000B75A0000}"/>
    <cellStyle name="Header2 28 2 9 3 3 3" xfId="23187" xr:uid="{00000000-0005-0000-0000-0000B85A0000}"/>
    <cellStyle name="Header2 28 2 9 3 3 4" xfId="23188" xr:uid="{00000000-0005-0000-0000-0000B95A0000}"/>
    <cellStyle name="Header2 28 2 9 3 4" xfId="23189" xr:uid="{00000000-0005-0000-0000-0000BA5A0000}"/>
    <cellStyle name="Header2 28 2 9 3 5" xfId="23190" xr:uid="{00000000-0005-0000-0000-0000BB5A0000}"/>
    <cellStyle name="Header2 28 2 9 3 6" xfId="23191" xr:uid="{00000000-0005-0000-0000-0000BC5A0000}"/>
    <cellStyle name="Header2 28 2 9 4" xfId="23192" xr:uid="{00000000-0005-0000-0000-0000BD5A0000}"/>
    <cellStyle name="Header2 28 2 9 5" xfId="23193" xr:uid="{00000000-0005-0000-0000-0000BE5A0000}"/>
    <cellStyle name="Header2 28 3" xfId="23194" xr:uid="{00000000-0005-0000-0000-0000BF5A0000}"/>
    <cellStyle name="Header2 28 3 10" xfId="23195" xr:uid="{00000000-0005-0000-0000-0000C05A0000}"/>
    <cellStyle name="Header2 28 3 10 2" xfId="23196" xr:uid="{00000000-0005-0000-0000-0000C15A0000}"/>
    <cellStyle name="Header2 28 3 10 2 2" xfId="23197" xr:uid="{00000000-0005-0000-0000-0000C25A0000}"/>
    <cellStyle name="Header2 28 3 10 2 2 2" xfId="23198" xr:uid="{00000000-0005-0000-0000-0000C35A0000}"/>
    <cellStyle name="Header2 28 3 10 2 2 3" xfId="23199" xr:uid="{00000000-0005-0000-0000-0000C45A0000}"/>
    <cellStyle name="Header2 28 3 10 2 2 4" xfId="23200" xr:uid="{00000000-0005-0000-0000-0000C55A0000}"/>
    <cellStyle name="Header2 28 3 10 2 2 5" xfId="23201" xr:uid="{00000000-0005-0000-0000-0000C65A0000}"/>
    <cellStyle name="Header2 28 3 10 2 3" xfId="23202" xr:uid="{00000000-0005-0000-0000-0000C75A0000}"/>
    <cellStyle name="Header2 28 3 10 2 3 2" xfId="23203" xr:uid="{00000000-0005-0000-0000-0000C85A0000}"/>
    <cellStyle name="Header2 28 3 10 2 3 3" xfId="23204" xr:uid="{00000000-0005-0000-0000-0000C95A0000}"/>
    <cellStyle name="Header2 28 3 10 2 3 4" xfId="23205" xr:uid="{00000000-0005-0000-0000-0000CA5A0000}"/>
    <cellStyle name="Header2 28 3 10 2 4" xfId="23206" xr:uid="{00000000-0005-0000-0000-0000CB5A0000}"/>
    <cellStyle name="Header2 28 3 10 2 5" xfId="23207" xr:uid="{00000000-0005-0000-0000-0000CC5A0000}"/>
    <cellStyle name="Header2 28 3 10 2 6" xfId="23208" xr:uid="{00000000-0005-0000-0000-0000CD5A0000}"/>
    <cellStyle name="Header2 28 3 10 3" xfId="23209" xr:uid="{00000000-0005-0000-0000-0000CE5A0000}"/>
    <cellStyle name="Header2 28 3 10 3 2" xfId="23210" xr:uid="{00000000-0005-0000-0000-0000CF5A0000}"/>
    <cellStyle name="Header2 28 3 10 3 2 2" xfId="23211" xr:uid="{00000000-0005-0000-0000-0000D05A0000}"/>
    <cellStyle name="Header2 28 3 10 3 2 3" xfId="23212" xr:uid="{00000000-0005-0000-0000-0000D15A0000}"/>
    <cellStyle name="Header2 28 3 10 3 2 4" xfId="23213" xr:uid="{00000000-0005-0000-0000-0000D25A0000}"/>
    <cellStyle name="Header2 28 3 10 3 3" xfId="23214" xr:uid="{00000000-0005-0000-0000-0000D35A0000}"/>
    <cellStyle name="Header2 28 3 10 3 3 2" xfId="23215" xr:uid="{00000000-0005-0000-0000-0000D45A0000}"/>
    <cellStyle name="Header2 28 3 10 3 3 3" xfId="23216" xr:uid="{00000000-0005-0000-0000-0000D55A0000}"/>
    <cellStyle name="Header2 28 3 10 3 3 4" xfId="23217" xr:uid="{00000000-0005-0000-0000-0000D65A0000}"/>
    <cellStyle name="Header2 28 3 10 3 4" xfId="23218" xr:uid="{00000000-0005-0000-0000-0000D75A0000}"/>
    <cellStyle name="Header2 28 3 10 3 5" xfId="23219" xr:uid="{00000000-0005-0000-0000-0000D85A0000}"/>
    <cellStyle name="Header2 28 3 10 3 6" xfId="23220" xr:uid="{00000000-0005-0000-0000-0000D95A0000}"/>
    <cellStyle name="Header2 28 3 10 4" xfId="23221" xr:uid="{00000000-0005-0000-0000-0000DA5A0000}"/>
    <cellStyle name="Header2 28 3 10 5" xfId="23222" xr:uid="{00000000-0005-0000-0000-0000DB5A0000}"/>
    <cellStyle name="Header2 28 3 11" xfId="23223" xr:uid="{00000000-0005-0000-0000-0000DC5A0000}"/>
    <cellStyle name="Header2 28 3 11 2" xfId="23224" xr:uid="{00000000-0005-0000-0000-0000DD5A0000}"/>
    <cellStyle name="Header2 28 3 11 2 2" xfId="23225" xr:uid="{00000000-0005-0000-0000-0000DE5A0000}"/>
    <cellStyle name="Header2 28 3 11 2 2 2" xfId="23226" xr:uid="{00000000-0005-0000-0000-0000DF5A0000}"/>
    <cellStyle name="Header2 28 3 11 2 2 3" xfId="23227" xr:uid="{00000000-0005-0000-0000-0000E05A0000}"/>
    <cellStyle name="Header2 28 3 11 2 2 4" xfId="23228" xr:uid="{00000000-0005-0000-0000-0000E15A0000}"/>
    <cellStyle name="Header2 28 3 11 2 2 5" xfId="23229" xr:uid="{00000000-0005-0000-0000-0000E25A0000}"/>
    <cellStyle name="Header2 28 3 11 2 3" xfId="23230" xr:uid="{00000000-0005-0000-0000-0000E35A0000}"/>
    <cellStyle name="Header2 28 3 11 2 3 2" xfId="23231" xr:uid="{00000000-0005-0000-0000-0000E45A0000}"/>
    <cellStyle name="Header2 28 3 11 2 3 3" xfId="23232" xr:uid="{00000000-0005-0000-0000-0000E55A0000}"/>
    <cellStyle name="Header2 28 3 11 2 3 4" xfId="23233" xr:uid="{00000000-0005-0000-0000-0000E65A0000}"/>
    <cellStyle name="Header2 28 3 11 2 4" xfId="23234" xr:uid="{00000000-0005-0000-0000-0000E75A0000}"/>
    <cellStyle name="Header2 28 3 11 2 5" xfId="23235" xr:uid="{00000000-0005-0000-0000-0000E85A0000}"/>
    <cellStyle name="Header2 28 3 11 2 6" xfId="23236" xr:uid="{00000000-0005-0000-0000-0000E95A0000}"/>
    <cellStyle name="Header2 28 3 11 3" xfId="23237" xr:uid="{00000000-0005-0000-0000-0000EA5A0000}"/>
    <cellStyle name="Header2 28 3 11 3 2" xfId="23238" xr:uid="{00000000-0005-0000-0000-0000EB5A0000}"/>
    <cellStyle name="Header2 28 3 11 3 2 2" xfId="23239" xr:uid="{00000000-0005-0000-0000-0000EC5A0000}"/>
    <cellStyle name="Header2 28 3 11 3 2 3" xfId="23240" xr:uid="{00000000-0005-0000-0000-0000ED5A0000}"/>
    <cellStyle name="Header2 28 3 11 3 2 4" xfId="23241" xr:uid="{00000000-0005-0000-0000-0000EE5A0000}"/>
    <cellStyle name="Header2 28 3 11 3 3" xfId="23242" xr:uid="{00000000-0005-0000-0000-0000EF5A0000}"/>
    <cellStyle name="Header2 28 3 11 3 3 2" xfId="23243" xr:uid="{00000000-0005-0000-0000-0000F05A0000}"/>
    <cellStyle name="Header2 28 3 11 3 3 3" xfId="23244" xr:uid="{00000000-0005-0000-0000-0000F15A0000}"/>
    <cellStyle name="Header2 28 3 11 3 3 4" xfId="23245" xr:uid="{00000000-0005-0000-0000-0000F25A0000}"/>
    <cellStyle name="Header2 28 3 11 3 4" xfId="23246" xr:uid="{00000000-0005-0000-0000-0000F35A0000}"/>
    <cellStyle name="Header2 28 3 11 3 5" xfId="23247" xr:uid="{00000000-0005-0000-0000-0000F45A0000}"/>
    <cellStyle name="Header2 28 3 11 3 6" xfId="23248" xr:uid="{00000000-0005-0000-0000-0000F55A0000}"/>
    <cellStyle name="Header2 28 3 11 4" xfId="23249" xr:uid="{00000000-0005-0000-0000-0000F65A0000}"/>
    <cellStyle name="Header2 28 3 11 5" xfId="23250" xr:uid="{00000000-0005-0000-0000-0000F75A0000}"/>
    <cellStyle name="Header2 28 3 12" xfId="23251" xr:uid="{00000000-0005-0000-0000-0000F85A0000}"/>
    <cellStyle name="Header2 28 3 12 2" xfId="23252" xr:uid="{00000000-0005-0000-0000-0000F95A0000}"/>
    <cellStyle name="Header2 28 3 12 2 2" xfId="23253" xr:uid="{00000000-0005-0000-0000-0000FA5A0000}"/>
    <cellStyle name="Header2 28 3 12 2 2 2" xfId="23254" xr:uid="{00000000-0005-0000-0000-0000FB5A0000}"/>
    <cellStyle name="Header2 28 3 12 2 2 3" xfId="23255" xr:uid="{00000000-0005-0000-0000-0000FC5A0000}"/>
    <cellStyle name="Header2 28 3 12 2 2 4" xfId="23256" xr:uid="{00000000-0005-0000-0000-0000FD5A0000}"/>
    <cellStyle name="Header2 28 3 12 2 2 5" xfId="23257" xr:uid="{00000000-0005-0000-0000-0000FE5A0000}"/>
    <cellStyle name="Header2 28 3 12 2 3" xfId="23258" xr:uid="{00000000-0005-0000-0000-0000FF5A0000}"/>
    <cellStyle name="Header2 28 3 12 2 3 2" xfId="23259" xr:uid="{00000000-0005-0000-0000-0000005B0000}"/>
    <cellStyle name="Header2 28 3 12 2 3 3" xfId="23260" xr:uid="{00000000-0005-0000-0000-0000015B0000}"/>
    <cellStyle name="Header2 28 3 12 2 3 4" xfId="23261" xr:uid="{00000000-0005-0000-0000-0000025B0000}"/>
    <cellStyle name="Header2 28 3 12 2 4" xfId="23262" xr:uid="{00000000-0005-0000-0000-0000035B0000}"/>
    <cellStyle name="Header2 28 3 12 2 5" xfId="23263" xr:uid="{00000000-0005-0000-0000-0000045B0000}"/>
    <cellStyle name="Header2 28 3 12 2 6" xfId="23264" xr:uid="{00000000-0005-0000-0000-0000055B0000}"/>
    <cellStyle name="Header2 28 3 12 3" xfId="23265" xr:uid="{00000000-0005-0000-0000-0000065B0000}"/>
    <cellStyle name="Header2 28 3 12 3 2" xfId="23266" xr:uid="{00000000-0005-0000-0000-0000075B0000}"/>
    <cellStyle name="Header2 28 3 12 3 2 2" xfId="23267" xr:uid="{00000000-0005-0000-0000-0000085B0000}"/>
    <cellStyle name="Header2 28 3 12 3 2 3" xfId="23268" xr:uid="{00000000-0005-0000-0000-0000095B0000}"/>
    <cellStyle name="Header2 28 3 12 3 2 4" xfId="23269" xr:uid="{00000000-0005-0000-0000-00000A5B0000}"/>
    <cellStyle name="Header2 28 3 12 3 3" xfId="23270" xr:uid="{00000000-0005-0000-0000-00000B5B0000}"/>
    <cellStyle name="Header2 28 3 12 3 3 2" xfId="23271" xr:uid="{00000000-0005-0000-0000-00000C5B0000}"/>
    <cellStyle name="Header2 28 3 12 3 3 3" xfId="23272" xr:uid="{00000000-0005-0000-0000-00000D5B0000}"/>
    <cellStyle name="Header2 28 3 12 3 3 4" xfId="23273" xr:uid="{00000000-0005-0000-0000-00000E5B0000}"/>
    <cellStyle name="Header2 28 3 12 3 4" xfId="23274" xr:uid="{00000000-0005-0000-0000-00000F5B0000}"/>
    <cellStyle name="Header2 28 3 12 3 5" xfId="23275" xr:uid="{00000000-0005-0000-0000-0000105B0000}"/>
    <cellStyle name="Header2 28 3 12 3 6" xfId="23276" xr:uid="{00000000-0005-0000-0000-0000115B0000}"/>
    <cellStyle name="Header2 28 3 12 4" xfId="23277" xr:uid="{00000000-0005-0000-0000-0000125B0000}"/>
    <cellStyle name="Header2 28 3 12 5" xfId="23278" xr:uid="{00000000-0005-0000-0000-0000135B0000}"/>
    <cellStyle name="Header2 28 3 13" xfId="58755" xr:uid="{00000000-0005-0000-0000-0000145B0000}"/>
    <cellStyle name="Header2 28 3 2" xfId="23279" xr:uid="{00000000-0005-0000-0000-0000155B0000}"/>
    <cellStyle name="Header2 28 3 2 2" xfId="23280" xr:uid="{00000000-0005-0000-0000-0000165B0000}"/>
    <cellStyle name="Header2 28 3 2 2 2" xfId="23281" xr:uid="{00000000-0005-0000-0000-0000175B0000}"/>
    <cellStyle name="Header2 28 3 2 2 3" xfId="23282" xr:uid="{00000000-0005-0000-0000-0000185B0000}"/>
    <cellStyle name="Header2 28 3 2 3" xfId="23283" xr:uid="{00000000-0005-0000-0000-0000195B0000}"/>
    <cellStyle name="Header2 28 3 3" xfId="23284" xr:uid="{00000000-0005-0000-0000-00001A5B0000}"/>
    <cellStyle name="Header2 28 3 3 2" xfId="23285" xr:uid="{00000000-0005-0000-0000-00001B5B0000}"/>
    <cellStyle name="Header2 28 3 3 2 2" xfId="23286" xr:uid="{00000000-0005-0000-0000-00001C5B0000}"/>
    <cellStyle name="Header2 28 3 3 2 3" xfId="23287" xr:uid="{00000000-0005-0000-0000-00001D5B0000}"/>
    <cellStyle name="Header2 28 3 3 3" xfId="23288" xr:uid="{00000000-0005-0000-0000-00001E5B0000}"/>
    <cellStyle name="Header2 28 3 4" xfId="23289" xr:uid="{00000000-0005-0000-0000-00001F5B0000}"/>
    <cellStyle name="Header2 28 3 4 2" xfId="23290" xr:uid="{00000000-0005-0000-0000-0000205B0000}"/>
    <cellStyle name="Header2 28 3 4 2 2" xfId="23291" xr:uid="{00000000-0005-0000-0000-0000215B0000}"/>
    <cellStyle name="Header2 28 3 4 2 3" xfId="23292" xr:uid="{00000000-0005-0000-0000-0000225B0000}"/>
    <cellStyle name="Header2 28 3 4 3" xfId="23293" xr:uid="{00000000-0005-0000-0000-0000235B0000}"/>
    <cellStyle name="Header2 28 3 5" xfId="23294" xr:uid="{00000000-0005-0000-0000-0000245B0000}"/>
    <cellStyle name="Header2 28 3 5 2" xfId="23295" xr:uid="{00000000-0005-0000-0000-0000255B0000}"/>
    <cellStyle name="Header2 28 3 5 2 2" xfId="23296" xr:uid="{00000000-0005-0000-0000-0000265B0000}"/>
    <cellStyle name="Header2 28 3 5 2 2 2" xfId="23297" xr:uid="{00000000-0005-0000-0000-0000275B0000}"/>
    <cellStyle name="Header2 28 3 5 2 2 3" xfId="23298" xr:uid="{00000000-0005-0000-0000-0000285B0000}"/>
    <cellStyle name="Header2 28 3 5 2 2 4" xfId="23299" xr:uid="{00000000-0005-0000-0000-0000295B0000}"/>
    <cellStyle name="Header2 28 3 5 2 2 5" xfId="23300" xr:uid="{00000000-0005-0000-0000-00002A5B0000}"/>
    <cellStyle name="Header2 28 3 5 2 3" xfId="23301" xr:uid="{00000000-0005-0000-0000-00002B5B0000}"/>
    <cellStyle name="Header2 28 3 5 2 3 2" xfId="23302" xr:uid="{00000000-0005-0000-0000-00002C5B0000}"/>
    <cellStyle name="Header2 28 3 5 2 3 3" xfId="23303" xr:uid="{00000000-0005-0000-0000-00002D5B0000}"/>
    <cellStyle name="Header2 28 3 5 2 3 4" xfId="23304" xr:uid="{00000000-0005-0000-0000-00002E5B0000}"/>
    <cellStyle name="Header2 28 3 5 2 4" xfId="23305" xr:uid="{00000000-0005-0000-0000-00002F5B0000}"/>
    <cellStyle name="Header2 28 3 5 2 5" xfId="23306" xr:uid="{00000000-0005-0000-0000-0000305B0000}"/>
    <cellStyle name="Header2 28 3 5 2 6" xfId="23307" xr:uid="{00000000-0005-0000-0000-0000315B0000}"/>
    <cellStyle name="Header2 28 3 5 3" xfId="23308" xr:uid="{00000000-0005-0000-0000-0000325B0000}"/>
    <cellStyle name="Header2 28 3 5 3 2" xfId="23309" xr:uid="{00000000-0005-0000-0000-0000335B0000}"/>
    <cellStyle name="Header2 28 3 5 3 2 2" xfId="23310" xr:uid="{00000000-0005-0000-0000-0000345B0000}"/>
    <cellStyle name="Header2 28 3 5 3 2 3" xfId="23311" xr:uid="{00000000-0005-0000-0000-0000355B0000}"/>
    <cellStyle name="Header2 28 3 5 3 2 4" xfId="23312" xr:uid="{00000000-0005-0000-0000-0000365B0000}"/>
    <cellStyle name="Header2 28 3 5 3 3" xfId="23313" xr:uid="{00000000-0005-0000-0000-0000375B0000}"/>
    <cellStyle name="Header2 28 3 5 3 3 2" xfId="23314" xr:uid="{00000000-0005-0000-0000-0000385B0000}"/>
    <cellStyle name="Header2 28 3 5 3 3 3" xfId="23315" xr:uid="{00000000-0005-0000-0000-0000395B0000}"/>
    <cellStyle name="Header2 28 3 5 3 3 4" xfId="23316" xr:uid="{00000000-0005-0000-0000-00003A5B0000}"/>
    <cellStyle name="Header2 28 3 5 3 4" xfId="23317" xr:uid="{00000000-0005-0000-0000-00003B5B0000}"/>
    <cellStyle name="Header2 28 3 5 3 5" xfId="23318" xr:uid="{00000000-0005-0000-0000-00003C5B0000}"/>
    <cellStyle name="Header2 28 3 5 3 6" xfId="23319" xr:uid="{00000000-0005-0000-0000-00003D5B0000}"/>
    <cellStyle name="Header2 28 3 5 4" xfId="23320" xr:uid="{00000000-0005-0000-0000-00003E5B0000}"/>
    <cellStyle name="Header2 28 3 5 5" xfId="23321" xr:uid="{00000000-0005-0000-0000-00003F5B0000}"/>
    <cellStyle name="Header2 28 3 6" xfId="23322" xr:uid="{00000000-0005-0000-0000-0000405B0000}"/>
    <cellStyle name="Header2 28 3 6 2" xfId="23323" xr:uid="{00000000-0005-0000-0000-0000415B0000}"/>
    <cellStyle name="Header2 28 3 6 2 2" xfId="23324" xr:uid="{00000000-0005-0000-0000-0000425B0000}"/>
    <cellStyle name="Header2 28 3 6 2 2 2" xfId="23325" xr:uid="{00000000-0005-0000-0000-0000435B0000}"/>
    <cellStyle name="Header2 28 3 6 2 2 3" xfId="23326" xr:uid="{00000000-0005-0000-0000-0000445B0000}"/>
    <cellStyle name="Header2 28 3 6 2 2 4" xfId="23327" xr:uid="{00000000-0005-0000-0000-0000455B0000}"/>
    <cellStyle name="Header2 28 3 6 2 2 5" xfId="23328" xr:uid="{00000000-0005-0000-0000-0000465B0000}"/>
    <cellStyle name="Header2 28 3 6 2 3" xfId="23329" xr:uid="{00000000-0005-0000-0000-0000475B0000}"/>
    <cellStyle name="Header2 28 3 6 2 3 2" xfId="23330" xr:uid="{00000000-0005-0000-0000-0000485B0000}"/>
    <cellStyle name="Header2 28 3 6 2 3 3" xfId="23331" xr:uid="{00000000-0005-0000-0000-0000495B0000}"/>
    <cellStyle name="Header2 28 3 6 2 3 4" xfId="23332" xr:uid="{00000000-0005-0000-0000-00004A5B0000}"/>
    <cellStyle name="Header2 28 3 6 2 4" xfId="23333" xr:uid="{00000000-0005-0000-0000-00004B5B0000}"/>
    <cellStyle name="Header2 28 3 6 2 5" xfId="23334" xr:uid="{00000000-0005-0000-0000-00004C5B0000}"/>
    <cellStyle name="Header2 28 3 6 2 6" xfId="23335" xr:uid="{00000000-0005-0000-0000-00004D5B0000}"/>
    <cellStyle name="Header2 28 3 6 3" xfId="23336" xr:uid="{00000000-0005-0000-0000-00004E5B0000}"/>
    <cellStyle name="Header2 28 3 6 3 2" xfId="23337" xr:uid="{00000000-0005-0000-0000-00004F5B0000}"/>
    <cellStyle name="Header2 28 3 6 3 2 2" xfId="23338" xr:uid="{00000000-0005-0000-0000-0000505B0000}"/>
    <cellStyle name="Header2 28 3 6 3 2 3" xfId="23339" xr:uid="{00000000-0005-0000-0000-0000515B0000}"/>
    <cellStyle name="Header2 28 3 6 3 2 4" xfId="23340" xr:uid="{00000000-0005-0000-0000-0000525B0000}"/>
    <cellStyle name="Header2 28 3 6 3 3" xfId="23341" xr:uid="{00000000-0005-0000-0000-0000535B0000}"/>
    <cellStyle name="Header2 28 3 6 3 3 2" xfId="23342" xr:uid="{00000000-0005-0000-0000-0000545B0000}"/>
    <cellStyle name="Header2 28 3 6 3 3 3" xfId="23343" xr:uid="{00000000-0005-0000-0000-0000555B0000}"/>
    <cellStyle name="Header2 28 3 6 3 3 4" xfId="23344" xr:uid="{00000000-0005-0000-0000-0000565B0000}"/>
    <cellStyle name="Header2 28 3 6 3 4" xfId="23345" xr:uid="{00000000-0005-0000-0000-0000575B0000}"/>
    <cellStyle name="Header2 28 3 6 3 5" xfId="23346" xr:uid="{00000000-0005-0000-0000-0000585B0000}"/>
    <cellStyle name="Header2 28 3 6 3 6" xfId="23347" xr:uid="{00000000-0005-0000-0000-0000595B0000}"/>
    <cellStyle name="Header2 28 3 6 4" xfId="23348" xr:uid="{00000000-0005-0000-0000-00005A5B0000}"/>
    <cellStyle name="Header2 28 3 6 5" xfId="23349" xr:uid="{00000000-0005-0000-0000-00005B5B0000}"/>
    <cellStyle name="Header2 28 3 7" xfId="23350" xr:uid="{00000000-0005-0000-0000-00005C5B0000}"/>
    <cellStyle name="Header2 28 3 7 2" xfId="23351" xr:uid="{00000000-0005-0000-0000-00005D5B0000}"/>
    <cellStyle name="Header2 28 3 7 2 2" xfId="23352" xr:uid="{00000000-0005-0000-0000-00005E5B0000}"/>
    <cellStyle name="Header2 28 3 7 2 2 2" xfId="23353" xr:uid="{00000000-0005-0000-0000-00005F5B0000}"/>
    <cellStyle name="Header2 28 3 7 2 2 3" xfId="23354" xr:uid="{00000000-0005-0000-0000-0000605B0000}"/>
    <cellStyle name="Header2 28 3 7 2 2 4" xfId="23355" xr:uid="{00000000-0005-0000-0000-0000615B0000}"/>
    <cellStyle name="Header2 28 3 7 2 2 5" xfId="23356" xr:uid="{00000000-0005-0000-0000-0000625B0000}"/>
    <cellStyle name="Header2 28 3 7 2 3" xfId="23357" xr:uid="{00000000-0005-0000-0000-0000635B0000}"/>
    <cellStyle name="Header2 28 3 7 2 3 2" xfId="23358" xr:uid="{00000000-0005-0000-0000-0000645B0000}"/>
    <cellStyle name="Header2 28 3 7 2 3 3" xfId="23359" xr:uid="{00000000-0005-0000-0000-0000655B0000}"/>
    <cellStyle name="Header2 28 3 7 2 3 4" xfId="23360" xr:uid="{00000000-0005-0000-0000-0000665B0000}"/>
    <cellStyle name="Header2 28 3 7 2 4" xfId="23361" xr:uid="{00000000-0005-0000-0000-0000675B0000}"/>
    <cellStyle name="Header2 28 3 7 2 5" xfId="23362" xr:uid="{00000000-0005-0000-0000-0000685B0000}"/>
    <cellStyle name="Header2 28 3 7 2 6" xfId="23363" xr:uid="{00000000-0005-0000-0000-0000695B0000}"/>
    <cellStyle name="Header2 28 3 7 3" xfId="23364" xr:uid="{00000000-0005-0000-0000-00006A5B0000}"/>
    <cellStyle name="Header2 28 3 7 3 2" xfId="23365" xr:uid="{00000000-0005-0000-0000-00006B5B0000}"/>
    <cellStyle name="Header2 28 3 7 3 2 2" xfId="23366" xr:uid="{00000000-0005-0000-0000-00006C5B0000}"/>
    <cellStyle name="Header2 28 3 7 3 2 3" xfId="23367" xr:uid="{00000000-0005-0000-0000-00006D5B0000}"/>
    <cellStyle name="Header2 28 3 7 3 2 4" xfId="23368" xr:uid="{00000000-0005-0000-0000-00006E5B0000}"/>
    <cellStyle name="Header2 28 3 7 3 3" xfId="23369" xr:uid="{00000000-0005-0000-0000-00006F5B0000}"/>
    <cellStyle name="Header2 28 3 7 3 3 2" xfId="23370" xr:uid="{00000000-0005-0000-0000-0000705B0000}"/>
    <cellStyle name="Header2 28 3 7 3 3 3" xfId="23371" xr:uid="{00000000-0005-0000-0000-0000715B0000}"/>
    <cellStyle name="Header2 28 3 7 3 3 4" xfId="23372" xr:uid="{00000000-0005-0000-0000-0000725B0000}"/>
    <cellStyle name="Header2 28 3 7 3 4" xfId="23373" xr:uid="{00000000-0005-0000-0000-0000735B0000}"/>
    <cellStyle name="Header2 28 3 7 3 5" xfId="23374" xr:uid="{00000000-0005-0000-0000-0000745B0000}"/>
    <cellStyle name="Header2 28 3 7 3 6" xfId="23375" xr:uid="{00000000-0005-0000-0000-0000755B0000}"/>
    <cellStyle name="Header2 28 3 7 4" xfId="23376" xr:uid="{00000000-0005-0000-0000-0000765B0000}"/>
    <cellStyle name="Header2 28 3 7 5" xfId="23377" xr:uid="{00000000-0005-0000-0000-0000775B0000}"/>
    <cellStyle name="Header2 28 3 8" xfId="23378" xr:uid="{00000000-0005-0000-0000-0000785B0000}"/>
    <cellStyle name="Header2 28 3 8 2" xfId="23379" xr:uid="{00000000-0005-0000-0000-0000795B0000}"/>
    <cellStyle name="Header2 28 3 8 2 2" xfId="23380" xr:uid="{00000000-0005-0000-0000-00007A5B0000}"/>
    <cellStyle name="Header2 28 3 8 2 2 2" xfId="23381" xr:uid="{00000000-0005-0000-0000-00007B5B0000}"/>
    <cellStyle name="Header2 28 3 8 2 2 3" xfId="23382" xr:uid="{00000000-0005-0000-0000-00007C5B0000}"/>
    <cellStyle name="Header2 28 3 8 2 2 4" xfId="23383" xr:uid="{00000000-0005-0000-0000-00007D5B0000}"/>
    <cellStyle name="Header2 28 3 8 2 2 5" xfId="23384" xr:uid="{00000000-0005-0000-0000-00007E5B0000}"/>
    <cellStyle name="Header2 28 3 8 2 3" xfId="23385" xr:uid="{00000000-0005-0000-0000-00007F5B0000}"/>
    <cellStyle name="Header2 28 3 8 2 3 2" xfId="23386" xr:uid="{00000000-0005-0000-0000-0000805B0000}"/>
    <cellStyle name="Header2 28 3 8 2 3 3" xfId="23387" xr:uid="{00000000-0005-0000-0000-0000815B0000}"/>
    <cellStyle name="Header2 28 3 8 2 3 4" xfId="23388" xr:uid="{00000000-0005-0000-0000-0000825B0000}"/>
    <cellStyle name="Header2 28 3 8 2 4" xfId="23389" xr:uid="{00000000-0005-0000-0000-0000835B0000}"/>
    <cellStyle name="Header2 28 3 8 2 5" xfId="23390" xr:uid="{00000000-0005-0000-0000-0000845B0000}"/>
    <cellStyle name="Header2 28 3 8 2 6" xfId="23391" xr:uid="{00000000-0005-0000-0000-0000855B0000}"/>
    <cellStyle name="Header2 28 3 8 3" xfId="23392" xr:uid="{00000000-0005-0000-0000-0000865B0000}"/>
    <cellStyle name="Header2 28 3 8 3 2" xfId="23393" xr:uid="{00000000-0005-0000-0000-0000875B0000}"/>
    <cellStyle name="Header2 28 3 8 3 2 2" xfId="23394" xr:uid="{00000000-0005-0000-0000-0000885B0000}"/>
    <cellStyle name="Header2 28 3 8 3 2 3" xfId="23395" xr:uid="{00000000-0005-0000-0000-0000895B0000}"/>
    <cellStyle name="Header2 28 3 8 3 2 4" xfId="23396" xr:uid="{00000000-0005-0000-0000-00008A5B0000}"/>
    <cellStyle name="Header2 28 3 8 3 3" xfId="23397" xr:uid="{00000000-0005-0000-0000-00008B5B0000}"/>
    <cellStyle name="Header2 28 3 8 3 3 2" xfId="23398" xr:uid="{00000000-0005-0000-0000-00008C5B0000}"/>
    <cellStyle name="Header2 28 3 8 3 3 3" xfId="23399" xr:uid="{00000000-0005-0000-0000-00008D5B0000}"/>
    <cellStyle name="Header2 28 3 8 3 3 4" xfId="23400" xr:uid="{00000000-0005-0000-0000-00008E5B0000}"/>
    <cellStyle name="Header2 28 3 8 3 4" xfId="23401" xr:uid="{00000000-0005-0000-0000-00008F5B0000}"/>
    <cellStyle name="Header2 28 3 8 3 5" xfId="23402" xr:uid="{00000000-0005-0000-0000-0000905B0000}"/>
    <cellStyle name="Header2 28 3 8 3 6" xfId="23403" xr:uid="{00000000-0005-0000-0000-0000915B0000}"/>
    <cellStyle name="Header2 28 3 8 4" xfId="23404" xr:uid="{00000000-0005-0000-0000-0000925B0000}"/>
    <cellStyle name="Header2 28 3 8 5" xfId="23405" xr:uid="{00000000-0005-0000-0000-0000935B0000}"/>
    <cellStyle name="Header2 28 3 9" xfId="23406" xr:uid="{00000000-0005-0000-0000-0000945B0000}"/>
    <cellStyle name="Header2 28 3 9 2" xfId="23407" xr:uid="{00000000-0005-0000-0000-0000955B0000}"/>
    <cellStyle name="Header2 28 3 9 2 2" xfId="23408" xr:uid="{00000000-0005-0000-0000-0000965B0000}"/>
    <cellStyle name="Header2 28 3 9 2 2 2" xfId="23409" xr:uid="{00000000-0005-0000-0000-0000975B0000}"/>
    <cellStyle name="Header2 28 3 9 2 2 3" xfId="23410" xr:uid="{00000000-0005-0000-0000-0000985B0000}"/>
    <cellStyle name="Header2 28 3 9 2 2 4" xfId="23411" xr:uid="{00000000-0005-0000-0000-0000995B0000}"/>
    <cellStyle name="Header2 28 3 9 2 2 5" xfId="23412" xr:uid="{00000000-0005-0000-0000-00009A5B0000}"/>
    <cellStyle name="Header2 28 3 9 2 3" xfId="23413" xr:uid="{00000000-0005-0000-0000-00009B5B0000}"/>
    <cellStyle name="Header2 28 3 9 2 3 2" xfId="23414" xr:uid="{00000000-0005-0000-0000-00009C5B0000}"/>
    <cellStyle name="Header2 28 3 9 2 3 3" xfId="23415" xr:uid="{00000000-0005-0000-0000-00009D5B0000}"/>
    <cellStyle name="Header2 28 3 9 2 3 4" xfId="23416" xr:uid="{00000000-0005-0000-0000-00009E5B0000}"/>
    <cellStyle name="Header2 28 3 9 2 4" xfId="23417" xr:uid="{00000000-0005-0000-0000-00009F5B0000}"/>
    <cellStyle name="Header2 28 3 9 2 5" xfId="23418" xr:uid="{00000000-0005-0000-0000-0000A05B0000}"/>
    <cellStyle name="Header2 28 3 9 2 6" xfId="23419" xr:uid="{00000000-0005-0000-0000-0000A15B0000}"/>
    <cellStyle name="Header2 28 3 9 3" xfId="23420" xr:uid="{00000000-0005-0000-0000-0000A25B0000}"/>
    <cellStyle name="Header2 28 3 9 3 2" xfId="23421" xr:uid="{00000000-0005-0000-0000-0000A35B0000}"/>
    <cellStyle name="Header2 28 3 9 3 2 2" xfId="23422" xr:uid="{00000000-0005-0000-0000-0000A45B0000}"/>
    <cellStyle name="Header2 28 3 9 3 2 3" xfId="23423" xr:uid="{00000000-0005-0000-0000-0000A55B0000}"/>
    <cellStyle name="Header2 28 3 9 3 2 4" xfId="23424" xr:uid="{00000000-0005-0000-0000-0000A65B0000}"/>
    <cellStyle name="Header2 28 3 9 3 3" xfId="23425" xr:uid="{00000000-0005-0000-0000-0000A75B0000}"/>
    <cellStyle name="Header2 28 3 9 3 3 2" xfId="23426" xr:uid="{00000000-0005-0000-0000-0000A85B0000}"/>
    <cellStyle name="Header2 28 3 9 3 3 3" xfId="23427" xr:uid="{00000000-0005-0000-0000-0000A95B0000}"/>
    <cellStyle name="Header2 28 3 9 3 3 4" xfId="23428" xr:uid="{00000000-0005-0000-0000-0000AA5B0000}"/>
    <cellStyle name="Header2 28 3 9 3 4" xfId="23429" xr:uid="{00000000-0005-0000-0000-0000AB5B0000}"/>
    <cellStyle name="Header2 28 3 9 3 5" xfId="23430" xr:uid="{00000000-0005-0000-0000-0000AC5B0000}"/>
    <cellStyle name="Header2 28 3 9 3 6" xfId="23431" xr:uid="{00000000-0005-0000-0000-0000AD5B0000}"/>
    <cellStyle name="Header2 28 3 9 4" xfId="23432" xr:uid="{00000000-0005-0000-0000-0000AE5B0000}"/>
    <cellStyle name="Header2 28 3 9 5" xfId="23433" xr:uid="{00000000-0005-0000-0000-0000AF5B0000}"/>
    <cellStyle name="Header2 29" xfId="23434" xr:uid="{00000000-0005-0000-0000-0000B05B0000}"/>
    <cellStyle name="Header2 29 2" xfId="23435" xr:uid="{00000000-0005-0000-0000-0000B15B0000}"/>
    <cellStyle name="Header2 29 2 10" xfId="23436" xr:uid="{00000000-0005-0000-0000-0000B25B0000}"/>
    <cellStyle name="Header2 29 2 10 2" xfId="23437" xr:uid="{00000000-0005-0000-0000-0000B35B0000}"/>
    <cellStyle name="Header2 29 2 10 2 2" xfId="23438" xr:uid="{00000000-0005-0000-0000-0000B45B0000}"/>
    <cellStyle name="Header2 29 2 10 2 2 2" xfId="23439" xr:uid="{00000000-0005-0000-0000-0000B55B0000}"/>
    <cellStyle name="Header2 29 2 10 2 2 3" xfId="23440" xr:uid="{00000000-0005-0000-0000-0000B65B0000}"/>
    <cellStyle name="Header2 29 2 10 2 2 4" xfId="23441" xr:uid="{00000000-0005-0000-0000-0000B75B0000}"/>
    <cellStyle name="Header2 29 2 10 2 2 5" xfId="23442" xr:uid="{00000000-0005-0000-0000-0000B85B0000}"/>
    <cellStyle name="Header2 29 2 10 2 3" xfId="23443" xr:uid="{00000000-0005-0000-0000-0000B95B0000}"/>
    <cellStyle name="Header2 29 2 10 2 3 2" xfId="23444" xr:uid="{00000000-0005-0000-0000-0000BA5B0000}"/>
    <cellStyle name="Header2 29 2 10 2 3 3" xfId="23445" xr:uid="{00000000-0005-0000-0000-0000BB5B0000}"/>
    <cellStyle name="Header2 29 2 10 2 3 4" xfId="23446" xr:uid="{00000000-0005-0000-0000-0000BC5B0000}"/>
    <cellStyle name="Header2 29 2 10 2 4" xfId="23447" xr:uid="{00000000-0005-0000-0000-0000BD5B0000}"/>
    <cellStyle name="Header2 29 2 10 2 5" xfId="23448" xr:uid="{00000000-0005-0000-0000-0000BE5B0000}"/>
    <cellStyle name="Header2 29 2 10 2 6" xfId="23449" xr:uid="{00000000-0005-0000-0000-0000BF5B0000}"/>
    <cellStyle name="Header2 29 2 10 3" xfId="23450" xr:uid="{00000000-0005-0000-0000-0000C05B0000}"/>
    <cellStyle name="Header2 29 2 10 3 2" xfId="23451" xr:uid="{00000000-0005-0000-0000-0000C15B0000}"/>
    <cellStyle name="Header2 29 2 10 3 2 2" xfId="23452" xr:uid="{00000000-0005-0000-0000-0000C25B0000}"/>
    <cellStyle name="Header2 29 2 10 3 2 3" xfId="23453" xr:uid="{00000000-0005-0000-0000-0000C35B0000}"/>
    <cellStyle name="Header2 29 2 10 3 2 4" xfId="23454" xr:uid="{00000000-0005-0000-0000-0000C45B0000}"/>
    <cellStyle name="Header2 29 2 10 3 3" xfId="23455" xr:uid="{00000000-0005-0000-0000-0000C55B0000}"/>
    <cellStyle name="Header2 29 2 10 3 3 2" xfId="23456" xr:uid="{00000000-0005-0000-0000-0000C65B0000}"/>
    <cellStyle name="Header2 29 2 10 3 3 3" xfId="23457" xr:uid="{00000000-0005-0000-0000-0000C75B0000}"/>
    <cellStyle name="Header2 29 2 10 3 3 4" xfId="23458" xr:uid="{00000000-0005-0000-0000-0000C85B0000}"/>
    <cellStyle name="Header2 29 2 10 3 4" xfId="23459" xr:uid="{00000000-0005-0000-0000-0000C95B0000}"/>
    <cellStyle name="Header2 29 2 10 3 5" xfId="23460" xr:uid="{00000000-0005-0000-0000-0000CA5B0000}"/>
    <cellStyle name="Header2 29 2 10 3 6" xfId="23461" xr:uid="{00000000-0005-0000-0000-0000CB5B0000}"/>
    <cellStyle name="Header2 29 2 10 4" xfId="23462" xr:uid="{00000000-0005-0000-0000-0000CC5B0000}"/>
    <cellStyle name="Header2 29 2 10 5" xfId="23463" xr:uid="{00000000-0005-0000-0000-0000CD5B0000}"/>
    <cellStyle name="Header2 29 2 11" xfId="23464" xr:uid="{00000000-0005-0000-0000-0000CE5B0000}"/>
    <cellStyle name="Header2 29 2 11 2" xfId="23465" xr:uid="{00000000-0005-0000-0000-0000CF5B0000}"/>
    <cellStyle name="Header2 29 2 11 2 2" xfId="23466" xr:uid="{00000000-0005-0000-0000-0000D05B0000}"/>
    <cellStyle name="Header2 29 2 11 2 2 2" xfId="23467" xr:uid="{00000000-0005-0000-0000-0000D15B0000}"/>
    <cellStyle name="Header2 29 2 11 2 2 3" xfId="23468" xr:uid="{00000000-0005-0000-0000-0000D25B0000}"/>
    <cellStyle name="Header2 29 2 11 2 2 4" xfId="23469" xr:uid="{00000000-0005-0000-0000-0000D35B0000}"/>
    <cellStyle name="Header2 29 2 11 2 2 5" xfId="23470" xr:uid="{00000000-0005-0000-0000-0000D45B0000}"/>
    <cellStyle name="Header2 29 2 11 2 3" xfId="23471" xr:uid="{00000000-0005-0000-0000-0000D55B0000}"/>
    <cellStyle name="Header2 29 2 11 2 3 2" xfId="23472" xr:uid="{00000000-0005-0000-0000-0000D65B0000}"/>
    <cellStyle name="Header2 29 2 11 2 3 3" xfId="23473" xr:uid="{00000000-0005-0000-0000-0000D75B0000}"/>
    <cellStyle name="Header2 29 2 11 2 3 4" xfId="23474" xr:uid="{00000000-0005-0000-0000-0000D85B0000}"/>
    <cellStyle name="Header2 29 2 11 2 4" xfId="23475" xr:uid="{00000000-0005-0000-0000-0000D95B0000}"/>
    <cellStyle name="Header2 29 2 11 2 5" xfId="23476" xr:uid="{00000000-0005-0000-0000-0000DA5B0000}"/>
    <cellStyle name="Header2 29 2 11 2 6" xfId="23477" xr:uid="{00000000-0005-0000-0000-0000DB5B0000}"/>
    <cellStyle name="Header2 29 2 11 3" xfId="23478" xr:uid="{00000000-0005-0000-0000-0000DC5B0000}"/>
    <cellStyle name="Header2 29 2 11 3 2" xfId="23479" xr:uid="{00000000-0005-0000-0000-0000DD5B0000}"/>
    <cellStyle name="Header2 29 2 11 3 2 2" xfId="23480" xr:uid="{00000000-0005-0000-0000-0000DE5B0000}"/>
    <cellStyle name="Header2 29 2 11 3 2 3" xfId="23481" xr:uid="{00000000-0005-0000-0000-0000DF5B0000}"/>
    <cellStyle name="Header2 29 2 11 3 2 4" xfId="23482" xr:uid="{00000000-0005-0000-0000-0000E05B0000}"/>
    <cellStyle name="Header2 29 2 11 3 3" xfId="23483" xr:uid="{00000000-0005-0000-0000-0000E15B0000}"/>
    <cellStyle name="Header2 29 2 11 3 3 2" xfId="23484" xr:uid="{00000000-0005-0000-0000-0000E25B0000}"/>
    <cellStyle name="Header2 29 2 11 3 3 3" xfId="23485" xr:uid="{00000000-0005-0000-0000-0000E35B0000}"/>
    <cellStyle name="Header2 29 2 11 3 3 4" xfId="23486" xr:uid="{00000000-0005-0000-0000-0000E45B0000}"/>
    <cellStyle name="Header2 29 2 11 3 4" xfId="23487" xr:uid="{00000000-0005-0000-0000-0000E55B0000}"/>
    <cellStyle name="Header2 29 2 11 3 5" xfId="23488" xr:uid="{00000000-0005-0000-0000-0000E65B0000}"/>
    <cellStyle name="Header2 29 2 11 3 6" xfId="23489" xr:uid="{00000000-0005-0000-0000-0000E75B0000}"/>
    <cellStyle name="Header2 29 2 11 4" xfId="23490" xr:uid="{00000000-0005-0000-0000-0000E85B0000}"/>
    <cellStyle name="Header2 29 2 11 5" xfId="23491" xr:uid="{00000000-0005-0000-0000-0000E95B0000}"/>
    <cellStyle name="Header2 29 2 12" xfId="23492" xr:uid="{00000000-0005-0000-0000-0000EA5B0000}"/>
    <cellStyle name="Header2 29 2 12 2" xfId="23493" xr:uid="{00000000-0005-0000-0000-0000EB5B0000}"/>
    <cellStyle name="Header2 29 2 12 2 2" xfId="23494" xr:uid="{00000000-0005-0000-0000-0000EC5B0000}"/>
    <cellStyle name="Header2 29 2 12 2 2 2" xfId="23495" xr:uid="{00000000-0005-0000-0000-0000ED5B0000}"/>
    <cellStyle name="Header2 29 2 12 2 2 3" xfId="23496" xr:uid="{00000000-0005-0000-0000-0000EE5B0000}"/>
    <cellStyle name="Header2 29 2 12 2 2 4" xfId="23497" xr:uid="{00000000-0005-0000-0000-0000EF5B0000}"/>
    <cellStyle name="Header2 29 2 12 2 2 5" xfId="23498" xr:uid="{00000000-0005-0000-0000-0000F05B0000}"/>
    <cellStyle name="Header2 29 2 12 2 3" xfId="23499" xr:uid="{00000000-0005-0000-0000-0000F15B0000}"/>
    <cellStyle name="Header2 29 2 12 2 3 2" xfId="23500" xr:uid="{00000000-0005-0000-0000-0000F25B0000}"/>
    <cellStyle name="Header2 29 2 12 2 3 3" xfId="23501" xr:uid="{00000000-0005-0000-0000-0000F35B0000}"/>
    <cellStyle name="Header2 29 2 12 2 3 4" xfId="23502" xr:uid="{00000000-0005-0000-0000-0000F45B0000}"/>
    <cellStyle name="Header2 29 2 12 2 4" xfId="23503" xr:uid="{00000000-0005-0000-0000-0000F55B0000}"/>
    <cellStyle name="Header2 29 2 12 2 5" xfId="23504" xr:uid="{00000000-0005-0000-0000-0000F65B0000}"/>
    <cellStyle name="Header2 29 2 12 2 6" xfId="23505" xr:uid="{00000000-0005-0000-0000-0000F75B0000}"/>
    <cellStyle name="Header2 29 2 12 3" xfId="23506" xr:uid="{00000000-0005-0000-0000-0000F85B0000}"/>
    <cellStyle name="Header2 29 2 12 3 2" xfId="23507" xr:uid="{00000000-0005-0000-0000-0000F95B0000}"/>
    <cellStyle name="Header2 29 2 12 3 2 2" xfId="23508" xr:uid="{00000000-0005-0000-0000-0000FA5B0000}"/>
    <cellStyle name="Header2 29 2 12 3 2 3" xfId="23509" xr:uid="{00000000-0005-0000-0000-0000FB5B0000}"/>
    <cellStyle name="Header2 29 2 12 3 2 4" xfId="23510" xr:uid="{00000000-0005-0000-0000-0000FC5B0000}"/>
    <cellStyle name="Header2 29 2 12 3 3" xfId="23511" xr:uid="{00000000-0005-0000-0000-0000FD5B0000}"/>
    <cellStyle name="Header2 29 2 12 3 3 2" xfId="23512" xr:uid="{00000000-0005-0000-0000-0000FE5B0000}"/>
    <cellStyle name="Header2 29 2 12 3 3 3" xfId="23513" xr:uid="{00000000-0005-0000-0000-0000FF5B0000}"/>
    <cellStyle name="Header2 29 2 12 3 3 4" xfId="23514" xr:uid="{00000000-0005-0000-0000-0000005C0000}"/>
    <cellStyle name="Header2 29 2 12 3 4" xfId="23515" xr:uid="{00000000-0005-0000-0000-0000015C0000}"/>
    <cellStyle name="Header2 29 2 12 3 5" xfId="23516" xr:uid="{00000000-0005-0000-0000-0000025C0000}"/>
    <cellStyle name="Header2 29 2 12 3 6" xfId="23517" xr:uid="{00000000-0005-0000-0000-0000035C0000}"/>
    <cellStyle name="Header2 29 2 12 4" xfId="23518" xr:uid="{00000000-0005-0000-0000-0000045C0000}"/>
    <cellStyle name="Header2 29 2 12 5" xfId="23519" xr:uid="{00000000-0005-0000-0000-0000055C0000}"/>
    <cellStyle name="Header2 29 2 13" xfId="23520" xr:uid="{00000000-0005-0000-0000-0000065C0000}"/>
    <cellStyle name="Header2 29 2 13 2" xfId="23521" xr:uid="{00000000-0005-0000-0000-0000075C0000}"/>
    <cellStyle name="Header2 29 2 13 2 2" xfId="23522" xr:uid="{00000000-0005-0000-0000-0000085C0000}"/>
    <cellStyle name="Header2 29 2 13 2 2 2" xfId="23523" xr:uid="{00000000-0005-0000-0000-0000095C0000}"/>
    <cellStyle name="Header2 29 2 13 2 2 3" xfId="23524" xr:uid="{00000000-0005-0000-0000-00000A5C0000}"/>
    <cellStyle name="Header2 29 2 13 2 2 4" xfId="23525" xr:uid="{00000000-0005-0000-0000-00000B5C0000}"/>
    <cellStyle name="Header2 29 2 13 2 2 5" xfId="23526" xr:uid="{00000000-0005-0000-0000-00000C5C0000}"/>
    <cellStyle name="Header2 29 2 13 2 3" xfId="23527" xr:uid="{00000000-0005-0000-0000-00000D5C0000}"/>
    <cellStyle name="Header2 29 2 13 2 3 2" xfId="23528" xr:uid="{00000000-0005-0000-0000-00000E5C0000}"/>
    <cellStyle name="Header2 29 2 13 2 3 3" xfId="23529" xr:uid="{00000000-0005-0000-0000-00000F5C0000}"/>
    <cellStyle name="Header2 29 2 13 2 3 4" xfId="23530" xr:uid="{00000000-0005-0000-0000-0000105C0000}"/>
    <cellStyle name="Header2 29 2 13 2 4" xfId="23531" xr:uid="{00000000-0005-0000-0000-0000115C0000}"/>
    <cellStyle name="Header2 29 2 13 2 5" xfId="23532" xr:uid="{00000000-0005-0000-0000-0000125C0000}"/>
    <cellStyle name="Header2 29 2 13 2 6" xfId="23533" xr:uid="{00000000-0005-0000-0000-0000135C0000}"/>
    <cellStyle name="Header2 29 2 13 3" xfId="23534" xr:uid="{00000000-0005-0000-0000-0000145C0000}"/>
    <cellStyle name="Header2 29 2 13 3 2" xfId="23535" xr:uid="{00000000-0005-0000-0000-0000155C0000}"/>
    <cellStyle name="Header2 29 2 13 3 2 2" xfId="23536" xr:uid="{00000000-0005-0000-0000-0000165C0000}"/>
    <cellStyle name="Header2 29 2 13 3 2 3" xfId="23537" xr:uid="{00000000-0005-0000-0000-0000175C0000}"/>
    <cellStyle name="Header2 29 2 13 3 2 4" xfId="23538" xr:uid="{00000000-0005-0000-0000-0000185C0000}"/>
    <cellStyle name="Header2 29 2 13 3 3" xfId="23539" xr:uid="{00000000-0005-0000-0000-0000195C0000}"/>
    <cellStyle name="Header2 29 2 13 3 3 2" xfId="23540" xr:uid="{00000000-0005-0000-0000-00001A5C0000}"/>
    <cellStyle name="Header2 29 2 13 3 3 3" xfId="23541" xr:uid="{00000000-0005-0000-0000-00001B5C0000}"/>
    <cellStyle name="Header2 29 2 13 3 3 4" xfId="23542" xr:uid="{00000000-0005-0000-0000-00001C5C0000}"/>
    <cellStyle name="Header2 29 2 13 3 4" xfId="23543" xr:uid="{00000000-0005-0000-0000-00001D5C0000}"/>
    <cellStyle name="Header2 29 2 13 3 5" xfId="23544" xr:uid="{00000000-0005-0000-0000-00001E5C0000}"/>
    <cellStyle name="Header2 29 2 13 3 6" xfId="23545" xr:uid="{00000000-0005-0000-0000-00001F5C0000}"/>
    <cellStyle name="Header2 29 2 13 4" xfId="23546" xr:uid="{00000000-0005-0000-0000-0000205C0000}"/>
    <cellStyle name="Header2 29 2 13 5" xfId="23547" xr:uid="{00000000-0005-0000-0000-0000215C0000}"/>
    <cellStyle name="Header2 29 2 14" xfId="58756" xr:uid="{00000000-0005-0000-0000-0000225C0000}"/>
    <cellStyle name="Header2 29 2 2" xfId="23548" xr:uid="{00000000-0005-0000-0000-0000235C0000}"/>
    <cellStyle name="Header2 29 2 2 2" xfId="23549" xr:uid="{00000000-0005-0000-0000-0000245C0000}"/>
    <cellStyle name="Header2 29 2 2 2 2" xfId="23550" xr:uid="{00000000-0005-0000-0000-0000255C0000}"/>
    <cellStyle name="Header2 29 2 2 2 2 2" xfId="23551" xr:uid="{00000000-0005-0000-0000-0000265C0000}"/>
    <cellStyle name="Header2 29 2 2 2 2 2 2" xfId="23552" xr:uid="{00000000-0005-0000-0000-0000275C0000}"/>
    <cellStyle name="Header2 29 2 2 2 2 2 3" xfId="23553" xr:uid="{00000000-0005-0000-0000-0000285C0000}"/>
    <cellStyle name="Header2 29 2 2 2 2 2 4" xfId="23554" xr:uid="{00000000-0005-0000-0000-0000295C0000}"/>
    <cellStyle name="Header2 29 2 2 2 2 2 5" xfId="23555" xr:uid="{00000000-0005-0000-0000-00002A5C0000}"/>
    <cellStyle name="Header2 29 2 2 2 2 3" xfId="23556" xr:uid="{00000000-0005-0000-0000-00002B5C0000}"/>
    <cellStyle name="Header2 29 2 2 2 2 3 2" xfId="23557" xr:uid="{00000000-0005-0000-0000-00002C5C0000}"/>
    <cellStyle name="Header2 29 2 2 2 2 3 3" xfId="23558" xr:uid="{00000000-0005-0000-0000-00002D5C0000}"/>
    <cellStyle name="Header2 29 2 2 2 2 3 4" xfId="23559" xr:uid="{00000000-0005-0000-0000-00002E5C0000}"/>
    <cellStyle name="Header2 29 2 2 2 2 4" xfId="23560" xr:uid="{00000000-0005-0000-0000-00002F5C0000}"/>
    <cellStyle name="Header2 29 2 2 2 2 5" xfId="23561" xr:uid="{00000000-0005-0000-0000-0000305C0000}"/>
    <cellStyle name="Header2 29 2 2 2 2 6" xfId="23562" xr:uid="{00000000-0005-0000-0000-0000315C0000}"/>
    <cellStyle name="Header2 29 2 2 2 3" xfId="23563" xr:uid="{00000000-0005-0000-0000-0000325C0000}"/>
    <cellStyle name="Header2 29 2 2 2 3 2" xfId="23564" xr:uid="{00000000-0005-0000-0000-0000335C0000}"/>
    <cellStyle name="Header2 29 2 2 2 3 2 2" xfId="23565" xr:uid="{00000000-0005-0000-0000-0000345C0000}"/>
    <cellStyle name="Header2 29 2 2 2 3 2 3" xfId="23566" xr:uid="{00000000-0005-0000-0000-0000355C0000}"/>
    <cellStyle name="Header2 29 2 2 2 3 2 4" xfId="23567" xr:uid="{00000000-0005-0000-0000-0000365C0000}"/>
    <cellStyle name="Header2 29 2 2 2 3 3" xfId="23568" xr:uid="{00000000-0005-0000-0000-0000375C0000}"/>
    <cellStyle name="Header2 29 2 2 2 3 3 2" xfId="23569" xr:uid="{00000000-0005-0000-0000-0000385C0000}"/>
    <cellStyle name="Header2 29 2 2 2 3 3 3" xfId="23570" xr:uid="{00000000-0005-0000-0000-0000395C0000}"/>
    <cellStyle name="Header2 29 2 2 2 3 3 4" xfId="23571" xr:uid="{00000000-0005-0000-0000-00003A5C0000}"/>
    <cellStyle name="Header2 29 2 2 2 3 4" xfId="23572" xr:uid="{00000000-0005-0000-0000-00003B5C0000}"/>
    <cellStyle name="Header2 29 2 2 2 3 5" xfId="23573" xr:uid="{00000000-0005-0000-0000-00003C5C0000}"/>
    <cellStyle name="Header2 29 2 2 2 3 6" xfId="23574" xr:uid="{00000000-0005-0000-0000-00003D5C0000}"/>
    <cellStyle name="Header2 29 2 2 2 4" xfId="23575" xr:uid="{00000000-0005-0000-0000-00003E5C0000}"/>
    <cellStyle name="Header2 29 2 2 2 5" xfId="23576" xr:uid="{00000000-0005-0000-0000-00003F5C0000}"/>
    <cellStyle name="Header2 29 2 2 3" xfId="23577" xr:uid="{00000000-0005-0000-0000-0000405C0000}"/>
    <cellStyle name="Header2 29 2 2 3 2" xfId="23578" xr:uid="{00000000-0005-0000-0000-0000415C0000}"/>
    <cellStyle name="Header2 29 2 2 3 2 2" xfId="23579" xr:uid="{00000000-0005-0000-0000-0000425C0000}"/>
    <cellStyle name="Header2 29 2 2 3 2 2 2" xfId="23580" xr:uid="{00000000-0005-0000-0000-0000435C0000}"/>
    <cellStyle name="Header2 29 2 2 3 2 2 3" xfId="23581" xr:uid="{00000000-0005-0000-0000-0000445C0000}"/>
    <cellStyle name="Header2 29 2 2 3 2 2 4" xfId="23582" xr:uid="{00000000-0005-0000-0000-0000455C0000}"/>
    <cellStyle name="Header2 29 2 2 3 2 2 5" xfId="23583" xr:uid="{00000000-0005-0000-0000-0000465C0000}"/>
    <cellStyle name="Header2 29 2 2 3 2 3" xfId="23584" xr:uid="{00000000-0005-0000-0000-0000475C0000}"/>
    <cellStyle name="Header2 29 2 2 3 2 3 2" xfId="23585" xr:uid="{00000000-0005-0000-0000-0000485C0000}"/>
    <cellStyle name="Header2 29 2 2 3 2 3 3" xfId="23586" xr:uid="{00000000-0005-0000-0000-0000495C0000}"/>
    <cellStyle name="Header2 29 2 2 3 2 3 4" xfId="23587" xr:uid="{00000000-0005-0000-0000-00004A5C0000}"/>
    <cellStyle name="Header2 29 2 2 3 2 4" xfId="23588" xr:uid="{00000000-0005-0000-0000-00004B5C0000}"/>
    <cellStyle name="Header2 29 2 2 3 2 5" xfId="23589" xr:uid="{00000000-0005-0000-0000-00004C5C0000}"/>
    <cellStyle name="Header2 29 2 2 3 2 6" xfId="23590" xr:uid="{00000000-0005-0000-0000-00004D5C0000}"/>
    <cellStyle name="Header2 29 2 2 3 3" xfId="23591" xr:uid="{00000000-0005-0000-0000-00004E5C0000}"/>
    <cellStyle name="Header2 29 2 2 3 3 2" xfId="23592" xr:uid="{00000000-0005-0000-0000-00004F5C0000}"/>
    <cellStyle name="Header2 29 2 2 3 3 2 2" xfId="23593" xr:uid="{00000000-0005-0000-0000-0000505C0000}"/>
    <cellStyle name="Header2 29 2 2 3 3 2 3" xfId="23594" xr:uid="{00000000-0005-0000-0000-0000515C0000}"/>
    <cellStyle name="Header2 29 2 2 3 3 2 4" xfId="23595" xr:uid="{00000000-0005-0000-0000-0000525C0000}"/>
    <cellStyle name="Header2 29 2 2 3 3 3" xfId="23596" xr:uid="{00000000-0005-0000-0000-0000535C0000}"/>
    <cellStyle name="Header2 29 2 2 3 3 3 2" xfId="23597" xr:uid="{00000000-0005-0000-0000-0000545C0000}"/>
    <cellStyle name="Header2 29 2 2 3 3 3 3" xfId="23598" xr:uid="{00000000-0005-0000-0000-0000555C0000}"/>
    <cellStyle name="Header2 29 2 2 3 3 3 4" xfId="23599" xr:uid="{00000000-0005-0000-0000-0000565C0000}"/>
    <cellStyle name="Header2 29 2 2 3 3 4" xfId="23600" xr:uid="{00000000-0005-0000-0000-0000575C0000}"/>
    <cellStyle name="Header2 29 2 2 3 3 5" xfId="23601" xr:uid="{00000000-0005-0000-0000-0000585C0000}"/>
    <cellStyle name="Header2 29 2 2 3 3 6" xfId="23602" xr:uid="{00000000-0005-0000-0000-0000595C0000}"/>
    <cellStyle name="Header2 29 2 2 3 4" xfId="23603" xr:uid="{00000000-0005-0000-0000-00005A5C0000}"/>
    <cellStyle name="Header2 29 2 2 3 5" xfId="23604" xr:uid="{00000000-0005-0000-0000-00005B5C0000}"/>
    <cellStyle name="Header2 29 2 3" xfId="23605" xr:uid="{00000000-0005-0000-0000-00005C5C0000}"/>
    <cellStyle name="Header2 29 2 3 2" xfId="23606" xr:uid="{00000000-0005-0000-0000-00005D5C0000}"/>
    <cellStyle name="Header2 29 2 3 2 2" xfId="23607" xr:uid="{00000000-0005-0000-0000-00005E5C0000}"/>
    <cellStyle name="Header2 29 2 3 2 3" xfId="23608" xr:uid="{00000000-0005-0000-0000-00005F5C0000}"/>
    <cellStyle name="Header2 29 2 3 3" xfId="23609" xr:uid="{00000000-0005-0000-0000-0000605C0000}"/>
    <cellStyle name="Header2 29 2 4" xfId="23610" xr:uid="{00000000-0005-0000-0000-0000615C0000}"/>
    <cellStyle name="Header2 29 2 4 2" xfId="23611" xr:uid="{00000000-0005-0000-0000-0000625C0000}"/>
    <cellStyle name="Header2 29 2 4 2 2" xfId="23612" xr:uid="{00000000-0005-0000-0000-0000635C0000}"/>
    <cellStyle name="Header2 29 2 4 2 3" xfId="23613" xr:uid="{00000000-0005-0000-0000-0000645C0000}"/>
    <cellStyle name="Header2 29 2 4 3" xfId="23614" xr:uid="{00000000-0005-0000-0000-0000655C0000}"/>
    <cellStyle name="Header2 29 2 5" xfId="23615" xr:uid="{00000000-0005-0000-0000-0000665C0000}"/>
    <cellStyle name="Header2 29 2 5 2" xfId="23616" xr:uid="{00000000-0005-0000-0000-0000675C0000}"/>
    <cellStyle name="Header2 29 2 5 2 2" xfId="23617" xr:uid="{00000000-0005-0000-0000-0000685C0000}"/>
    <cellStyle name="Header2 29 2 5 2 3" xfId="23618" xr:uid="{00000000-0005-0000-0000-0000695C0000}"/>
    <cellStyle name="Header2 29 2 5 3" xfId="23619" xr:uid="{00000000-0005-0000-0000-00006A5C0000}"/>
    <cellStyle name="Header2 29 2 6" xfId="23620" xr:uid="{00000000-0005-0000-0000-00006B5C0000}"/>
    <cellStyle name="Header2 29 2 6 2" xfId="23621" xr:uid="{00000000-0005-0000-0000-00006C5C0000}"/>
    <cellStyle name="Header2 29 2 6 2 2" xfId="23622" xr:uid="{00000000-0005-0000-0000-00006D5C0000}"/>
    <cellStyle name="Header2 29 2 6 2 2 2" xfId="23623" xr:uid="{00000000-0005-0000-0000-00006E5C0000}"/>
    <cellStyle name="Header2 29 2 6 2 2 3" xfId="23624" xr:uid="{00000000-0005-0000-0000-00006F5C0000}"/>
    <cellStyle name="Header2 29 2 6 2 2 4" xfId="23625" xr:uid="{00000000-0005-0000-0000-0000705C0000}"/>
    <cellStyle name="Header2 29 2 6 2 2 5" xfId="23626" xr:uid="{00000000-0005-0000-0000-0000715C0000}"/>
    <cellStyle name="Header2 29 2 6 2 3" xfId="23627" xr:uid="{00000000-0005-0000-0000-0000725C0000}"/>
    <cellStyle name="Header2 29 2 6 2 3 2" xfId="23628" xr:uid="{00000000-0005-0000-0000-0000735C0000}"/>
    <cellStyle name="Header2 29 2 6 2 3 3" xfId="23629" xr:uid="{00000000-0005-0000-0000-0000745C0000}"/>
    <cellStyle name="Header2 29 2 6 2 3 4" xfId="23630" xr:uid="{00000000-0005-0000-0000-0000755C0000}"/>
    <cellStyle name="Header2 29 2 6 2 4" xfId="23631" xr:uid="{00000000-0005-0000-0000-0000765C0000}"/>
    <cellStyle name="Header2 29 2 6 2 5" xfId="23632" xr:uid="{00000000-0005-0000-0000-0000775C0000}"/>
    <cellStyle name="Header2 29 2 6 2 6" xfId="23633" xr:uid="{00000000-0005-0000-0000-0000785C0000}"/>
    <cellStyle name="Header2 29 2 6 3" xfId="23634" xr:uid="{00000000-0005-0000-0000-0000795C0000}"/>
    <cellStyle name="Header2 29 2 6 3 2" xfId="23635" xr:uid="{00000000-0005-0000-0000-00007A5C0000}"/>
    <cellStyle name="Header2 29 2 6 3 2 2" xfId="23636" xr:uid="{00000000-0005-0000-0000-00007B5C0000}"/>
    <cellStyle name="Header2 29 2 6 3 2 3" xfId="23637" xr:uid="{00000000-0005-0000-0000-00007C5C0000}"/>
    <cellStyle name="Header2 29 2 6 3 2 4" xfId="23638" xr:uid="{00000000-0005-0000-0000-00007D5C0000}"/>
    <cellStyle name="Header2 29 2 6 3 3" xfId="23639" xr:uid="{00000000-0005-0000-0000-00007E5C0000}"/>
    <cellStyle name="Header2 29 2 6 3 3 2" xfId="23640" xr:uid="{00000000-0005-0000-0000-00007F5C0000}"/>
    <cellStyle name="Header2 29 2 6 3 3 3" xfId="23641" xr:uid="{00000000-0005-0000-0000-0000805C0000}"/>
    <cellStyle name="Header2 29 2 6 3 3 4" xfId="23642" xr:uid="{00000000-0005-0000-0000-0000815C0000}"/>
    <cellStyle name="Header2 29 2 6 3 4" xfId="23643" xr:uid="{00000000-0005-0000-0000-0000825C0000}"/>
    <cellStyle name="Header2 29 2 6 3 5" xfId="23644" xr:uid="{00000000-0005-0000-0000-0000835C0000}"/>
    <cellStyle name="Header2 29 2 6 3 6" xfId="23645" xr:uid="{00000000-0005-0000-0000-0000845C0000}"/>
    <cellStyle name="Header2 29 2 6 4" xfId="23646" xr:uid="{00000000-0005-0000-0000-0000855C0000}"/>
    <cellStyle name="Header2 29 2 6 5" xfId="23647" xr:uid="{00000000-0005-0000-0000-0000865C0000}"/>
    <cellStyle name="Header2 29 2 7" xfId="23648" xr:uid="{00000000-0005-0000-0000-0000875C0000}"/>
    <cellStyle name="Header2 29 2 7 2" xfId="23649" xr:uid="{00000000-0005-0000-0000-0000885C0000}"/>
    <cellStyle name="Header2 29 2 7 2 2" xfId="23650" xr:uid="{00000000-0005-0000-0000-0000895C0000}"/>
    <cellStyle name="Header2 29 2 7 2 2 2" xfId="23651" xr:uid="{00000000-0005-0000-0000-00008A5C0000}"/>
    <cellStyle name="Header2 29 2 7 2 2 3" xfId="23652" xr:uid="{00000000-0005-0000-0000-00008B5C0000}"/>
    <cellStyle name="Header2 29 2 7 2 2 4" xfId="23653" xr:uid="{00000000-0005-0000-0000-00008C5C0000}"/>
    <cellStyle name="Header2 29 2 7 2 2 5" xfId="23654" xr:uid="{00000000-0005-0000-0000-00008D5C0000}"/>
    <cellStyle name="Header2 29 2 7 2 3" xfId="23655" xr:uid="{00000000-0005-0000-0000-00008E5C0000}"/>
    <cellStyle name="Header2 29 2 7 2 3 2" xfId="23656" xr:uid="{00000000-0005-0000-0000-00008F5C0000}"/>
    <cellStyle name="Header2 29 2 7 2 3 3" xfId="23657" xr:uid="{00000000-0005-0000-0000-0000905C0000}"/>
    <cellStyle name="Header2 29 2 7 2 3 4" xfId="23658" xr:uid="{00000000-0005-0000-0000-0000915C0000}"/>
    <cellStyle name="Header2 29 2 7 2 4" xfId="23659" xr:uid="{00000000-0005-0000-0000-0000925C0000}"/>
    <cellStyle name="Header2 29 2 7 2 5" xfId="23660" xr:uid="{00000000-0005-0000-0000-0000935C0000}"/>
    <cellStyle name="Header2 29 2 7 2 6" xfId="23661" xr:uid="{00000000-0005-0000-0000-0000945C0000}"/>
    <cellStyle name="Header2 29 2 7 3" xfId="23662" xr:uid="{00000000-0005-0000-0000-0000955C0000}"/>
    <cellStyle name="Header2 29 2 7 3 2" xfId="23663" xr:uid="{00000000-0005-0000-0000-0000965C0000}"/>
    <cellStyle name="Header2 29 2 7 3 2 2" xfId="23664" xr:uid="{00000000-0005-0000-0000-0000975C0000}"/>
    <cellStyle name="Header2 29 2 7 3 2 3" xfId="23665" xr:uid="{00000000-0005-0000-0000-0000985C0000}"/>
    <cellStyle name="Header2 29 2 7 3 2 4" xfId="23666" xr:uid="{00000000-0005-0000-0000-0000995C0000}"/>
    <cellStyle name="Header2 29 2 7 3 3" xfId="23667" xr:uid="{00000000-0005-0000-0000-00009A5C0000}"/>
    <cellStyle name="Header2 29 2 7 3 3 2" xfId="23668" xr:uid="{00000000-0005-0000-0000-00009B5C0000}"/>
    <cellStyle name="Header2 29 2 7 3 3 3" xfId="23669" xr:uid="{00000000-0005-0000-0000-00009C5C0000}"/>
    <cellStyle name="Header2 29 2 7 3 3 4" xfId="23670" xr:uid="{00000000-0005-0000-0000-00009D5C0000}"/>
    <cellStyle name="Header2 29 2 7 3 4" xfId="23671" xr:uid="{00000000-0005-0000-0000-00009E5C0000}"/>
    <cellStyle name="Header2 29 2 7 3 5" xfId="23672" xr:uid="{00000000-0005-0000-0000-00009F5C0000}"/>
    <cellStyle name="Header2 29 2 7 3 6" xfId="23673" xr:uid="{00000000-0005-0000-0000-0000A05C0000}"/>
    <cellStyle name="Header2 29 2 7 4" xfId="23674" xr:uid="{00000000-0005-0000-0000-0000A15C0000}"/>
    <cellStyle name="Header2 29 2 7 5" xfId="23675" xr:uid="{00000000-0005-0000-0000-0000A25C0000}"/>
    <cellStyle name="Header2 29 2 8" xfId="23676" xr:uid="{00000000-0005-0000-0000-0000A35C0000}"/>
    <cellStyle name="Header2 29 2 8 2" xfId="23677" xr:uid="{00000000-0005-0000-0000-0000A45C0000}"/>
    <cellStyle name="Header2 29 2 8 2 2" xfId="23678" xr:uid="{00000000-0005-0000-0000-0000A55C0000}"/>
    <cellStyle name="Header2 29 2 8 2 2 2" xfId="23679" xr:uid="{00000000-0005-0000-0000-0000A65C0000}"/>
    <cellStyle name="Header2 29 2 8 2 2 3" xfId="23680" xr:uid="{00000000-0005-0000-0000-0000A75C0000}"/>
    <cellStyle name="Header2 29 2 8 2 2 4" xfId="23681" xr:uid="{00000000-0005-0000-0000-0000A85C0000}"/>
    <cellStyle name="Header2 29 2 8 2 2 5" xfId="23682" xr:uid="{00000000-0005-0000-0000-0000A95C0000}"/>
    <cellStyle name="Header2 29 2 8 2 3" xfId="23683" xr:uid="{00000000-0005-0000-0000-0000AA5C0000}"/>
    <cellStyle name="Header2 29 2 8 2 3 2" xfId="23684" xr:uid="{00000000-0005-0000-0000-0000AB5C0000}"/>
    <cellStyle name="Header2 29 2 8 2 3 3" xfId="23685" xr:uid="{00000000-0005-0000-0000-0000AC5C0000}"/>
    <cellStyle name="Header2 29 2 8 2 3 4" xfId="23686" xr:uid="{00000000-0005-0000-0000-0000AD5C0000}"/>
    <cellStyle name="Header2 29 2 8 2 4" xfId="23687" xr:uid="{00000000-0005-0000-0000-0000AE5C0000}"/>
    <cellStyle name="Header2 29 2 8 2 5" xfId="23688" xr:uid="{00000000-0005-0000-0000-0000AF5C0000}"/>
    <cellStyle name="Header2 29 2 8 2 6" xfId="23689" xr:uid="{00000000-0005-0000-0000-0000B05C0000}"/>
    <cellStyle name="Header2 29 2 8 3" xfId="23690" xr:uid="{00000000-0005-0000-0000-0000B15C0000}"/>
    <cellStyle name="Header2 29 2 8 3 2" xfId="23691" xr:uid="{00000000-0005-0000-0000-0000B25C0000}"/>
    <cellStyle name="Header2 29 2 8 3 2 2" xfId="23692" xr:uid="{00000000-0005-0000-0000-0000B35C0000}"/>
    <cellStyle name="Header2 29 2 8 3 2 3" xfId="23693" xr:uid="{00000000-0005-0000-0000-0000B45C0000}"/>
    <cellStyle name="Header2 29 2 8 3 2 4" xfId="23694" xr:uid="{00000000-0005-0000-0000-0000B55C0000}"/>
    <cellStyle name="Header2 29 2 8 3 3" xfId="23695" xr:uid="{00000000-0005-0000-0000-0000B65C0000}"/>
    <cellStyle name="Header2 29 2 8 3 3 2" xfId="23696" xr:uid="{00000000-0005-0000-0000-0000B75C0000}"/>
    <cellStyle name="Header2 29 2 8 3 3 3" xfId="23697" xr:uid="{00000000-0005-0000-0000-0000B85C0000}"/>
    <cellStyle name="Header2 29 2 8 3 3 4" xfId="23698" xr:uid="{00000000-0005-0000-0000-0000B95C0000}"/>
    <cellStyle name="Header2 29 2 8 3 4" xfId="23699" xr:uid="{00000000-0005-0000-0000-0000BA5C0000}"/>
    <cellStyle name="Header2 29 2 8 3 5" xfId="23700" xr:uid="{00000000-0005-0000-0000-0000BB5C0000}"/>
    <cellStyle name="Header2 29 2 8 3 6" xfId="23701" xr:uid="{00000000-0005-0000-0000-0000BC5C0000}"/>
    <cellStyle name="Header2 29 2 8 4" xfId="23702" xr:uid="{00000000-0005-0000-0000-0000BD5C0000}"/>
    <cellStyle name="Header2 29 2 8 5" xfId="23703" xr:uid="{00000000-0005-0000-0000-0000BE5C0000}"/>
    <cellStyle name="Header2 29 2 9" xfId="23704" xr:uid="{00000000-0005-0000-0000-0000BF5C0000}"/>
    <cellStyle name="Header2 29 2 9 2" xfId="23705" xr:uid="{00000000-0005-0000-0000-0000C05C0000}"/>
    <cellStyle name="Header2 29 2 9 2 2" xfId="23706" xr:uid="{00000000-0005-0000-0000-0000C15C0000}"/>
    <cellStyle name="Header2 29 2 9 2 2 2" xfId="23707" xr:uid="{00000000-0005-0000-0000-0000C25C0000}"/>
    <cellStyle name="Header2 29 2 9 2 2 3" xfId="23708" xr:uid="{00000000-0005-0000-0000-0000C35C0000}"/>
    <cellStyle name="Header2 29 2 9 2 2 4" xfId="23709" xr:uid="{00000000-0005-0000-0000-0000C45C0000}"/>
    <cellStyle name="Header2 29 2 9 2 2 5" xfId="23710" xr:uid="{00000000-0005-0000-0000-0000C55C0000}"/>
    <cellStyle name="Header2 29 2 9 2 3" xfId="23711" xr:uid="{00000000-0005-0000-0000-0000C65C0000}"/>
    <cellStyle name="Header2 29 2 9 2 3 2" xfId="23712" xr:uid="{00000000-0005-0000-0000-0000C75C0000}"/>
    <cellStyle name="Header2 29 2 9 2 3 3" xfId="23713" xr:uid="{00000000-0005-0000-0000-0000C85C0000}"/>
    <cellStyle name="Header2 29 2 9 2 3 4" xfId="23714" xr:uid="{00000000-0005-0000-0000-0000C95C0000}"/>
    <cellStyle name="Header2 29 2 9 2 4" xfId="23715" xr:uid="{00000000-0005-0000-0000-0000CA5C0000}"/>
    <cellStyle name="Header2 29 2 9 2 5" xfId="23716" xr:uid="{00000000-0005-0000-0000-0000CB5C0000}"/>
    <cellStyle name="Header2 29 2 9 2 6" xfId="23717" xr:uid="{00000000-0005-0000-0000-0000CC5C0000}"/>
    <cellStyle name="Header2 29 2 9 3" xfId="23718" xr:uid="{00000000-0005-0000-0000-0000CD5C0000}"/>
    <cellStyle name="Header2 29 2 9 3 2" xfId="23719" xr:uid="{00000000-0005-0000-0000-0000CE5C0000}"/>
    <cellStyle name="Header2 29 2 9 3 2 2" xfId="23720" xr:uid="{00000000-0005-0000-0000-0000CF5C0000}"/>
    <cellStyle name="Header2 29 2 9 3 2 3" xfId="23721" xr:uid="{00000000-0005-0000-0000-0000D05C0000}"/>
    <cellStyle name="Header2 29 2 9 3 2 4" xfId="23722" xr:uid="{00000000-0005-0000-0000-0000D15C0000}"/>
    <cellStyle name="Header2 29 2 9 3 3" xfId="23723" xr:uid="{00000000-0005-0000-0000-0000D25C0000}"/>
    <cellStyle name="Header2 29 2 9 3 3 2" xfId="23724" xr:uid="{00000000-0005-0000-0000-0000D35C0000}"/>
    <cellStyle name="Header2 29 2 9 3 3 3" xfId="23725" xr:uid="{00000000-0005-0000-0000-0000D45C0000}"/>
    <cellStyle name="Header2 29 2 9 3 3 4" xfId="23726" xr:uid="{00000000-0005-0000-0000-0000D55C0000}"/>
    <cellStyle name="Header2 29 2 9 3 4" xfId="23727" xr:uid="{00000000-0005-0000-0000-0000D65C0000}"/>
    <cellStyle name="Header2 29 2 9 3 5" xfId="23728" xr:uid="{00000000-0005-0000-0000-0000D75C0000}"/>
    <cellStyle name="Header2 29 2 9 3 6" xfId="23729" xr:uid="{00000000-0005-0000-0000-0000D85C0000}"/>
    <cellStyle name="Header2 29 2 9 4" xfId="23730" xr:uid="{00000000-0005-0000-0000-0000D95C0000}"/>
    <cellStyle name="Header2 29 2 9 5" xfId="23731" xr:uid="{00000000-0005-0000-0000-0000DA5C0000}"/>
    <cellStyle name="Header2 29 3" xfId="23732" xr:uid="{00000000-0005-0000-0000-0000DB5C0000}"/>
    <cellStyle name="Header2 29 3 10" xfId="23733" xr:uid="{00000000-0005-0000-0000-0000DC5C0000}"/>
    <cellStyle name="Header2 29 3 10 2" xfId="23734" xr:uid="{00000000-0005-0000-0000-0000DD5C0000}"/>
    <cellStyle name="Header2 29 3 10 2 2" xfId="23735" xr:uid="{00000000-0005-0000-0000-0000DE5C0000}"/>
    <cellStyle name="Header2 29 3 10 2 2 2" xfId="23736" xr:uid="{00000000-0005-0000-0000-0000DF5C0000}"/>
    <cellStyle name="Header2 29 3 10 2 2 3" xfId="23737" xr:uid="{00000000-0005-0000-0000-0000E05C0000}"/>
    <cellStyle name="Header2 29 3 10 2 2 4" xfId="23738" xr:uid="{00000000-0005-0000-0000-0000E15C0000}"/>
    <cellStyle name="Header2 29 3 10 2 2 5" xfId="23739" xr:uid="{00000000-0005-0000-0000-0000E25C0000}"/>
    <cellStyle name="Header2 29 3 10 2 3" xfId="23740" xr:uid="{00000000-0005-0000-0000-0000E35C0000}"/>
    <cellStyle name="Header2 29 3 10 2 3 2" xfId="23741" xr:uid="{00000000-0005-0000-0000-0000E45C0000}"/>
    <cellStyle name="Header2 29 3 10 2 3 3" xfId="23742" xr:uid="{00000000-0005-0000-0000-0000E55C0000}"/>
    <cellStyle name="Header2 29 3 10 2 3 4" xfId="23743" xr:uid="{00000000-0005-0000-0000-0000E65C0000}"/>
    <cellStyle name="Header2 29 3 10 2 4" xfId="23744" xr:uid="{00000000-0005-0000-0000-0000E75C0000}"/>
    <cellStyle name="Header2 29 3 10 2 5" xfId="23745" xr:uid="{00000000-0005-0000-0000-0000E85C0000}"/>
    <cellStyle name="Header2 29 3 10 2 6" xfId="23746" xr:uid="{00000000-0005-0000-0000-0000E95C0000}"/>
    <cellStyle name="Header2 29 3 10 3" xfId="23747" xr:uid="{00000000-0005-0000-0000-0000EA5C0000}"/>
    <cellStyle name="Header2 29 3 10 3 2" xfId="23748" xr:uid="{00000000-0005-0000-0000-0000EB5C0000}"/>
    <cellStyle name="Header2 29 3 10 3 2 2" xfId="23749" xr:uid="{00000000-0005-0000-0000-0000EC5C0000}"/>
    <cellStyle name="Header2 29 3 10 3 2 3" xfId="23750" xr:uid="{00000000-0005-0000-0000-0000ED5C0000}"/>
    <cellStyle name="Header2 29 3 10 3 2 4" xfId="23751" xr:uid="{00000000-0005-0000-0000-0000EE5C0000}"/>
    <cellStyle name="Header2 29 3 10 3 3" xfId="23752" xr:uid="{00000000-0005-0000-0000-0000EF5C0000}"/>
    <cellStyle name="Header2 29 3 10 3 3 2" xfId="23753" xr:uid="{00000000-0005-0000-0000-0000F05C0000}"/>
    <cellStyle name="Header2 29 3 10 3 3 3" xfId="23754" xr:uid="{00000000-0005-0000-0000-0000F15C0000}"/>
    <cellStyle name="Header2 29 3 10 3 3 4" xfId="23755" xr:uid="{00000000-0005-0000-0000-0000F25C0000}"/>
    <cellStyle name="Header2 29 3 10 3 4" xfId="23756" xr:uid="{00000000-0005-0000-0000-0000F35C0000}"/>
    <cellStyle name="Header2 29 3 10 3 5" xfId="23757" xr:uid="{00000000-0005-0000-0000-0000F45C0000}"/>
    <cellStyle name="Header2 29 3 10 3 6" xfId="23758" xr:uid="{00000000-0005-0000-0000-0000F55C0000}"/>
    <cellStyle name="Header2 29 3 10 4" xfId="23759" xr:uid="{00000000-0005-0000-0000-0000F65C0000}"/>
    <cellStyle name="Header2 29 3 10 5" xfId="23760" xr:uid="{00000000-0005-0000-0000-0000F75C0000}"/>
    <cellStyle name="Header2 29 3 11" xfId="23761" xr:uid="{00000000-0005-0000-0000-0000F85C0000}"/>
    <cellStyle name="Header2 29 3 11 2" xfId="23762" xr:uid="{00000000-0005-0000-0000-0000F95C0000}"/>
    <cellStyle name="Header2 29 3 11 2 2" xfId="23763" xr:uid="{00000000-0005-0000-0000-0000FA5C0000}"/>
    <cellStyle name="Header2 29 3 11 2 2 2" xfId="23764" xr:uid="{00000000-0005-0000-0000-0000FB5C0000}"/>
    <cellStyle name="Header2 29 3 11 2 2 3" xfId="23765" xr:uid="{00000000-0005-0000-0000-0000FC5C0000}"/>
    <cellStyle name="Header2 29 3 11 2 2 4" xfId="23766" xr:uid="{00000000-0005-0000-0000-0000FD5C0000}"/>
    <cellStyle name="Header2 29 3 11 2 2 5" xfId="23767" xr:uid="{00000000-0005-0000-0000-0000FE5C0000}"/>
    <cellStyle name="Header2 29 3 11 2 3" xfId="23768" xr:uid="{00000000-0005-0000-0000-0000FF5C0000}"/>
    <cellStyle name="Header2 29 3 11 2 3 2" xfId="23769" xr:uid="{00000000-0005-0000-0000-0000005D0000}"/>
    <cellStyle name="Header2 29 3 11 2 3 3" xfId="23770" xr:uid="{00000000-0005-0000-0000-0000015D0000}"/>
    <cellStyle name="Header2 29 3 11 2 3 4" xfId="23771" xr:uid="{00000000-0005-0000-0000-0000025D0000}"/>
    <cellStyle name="Header2 29 3 11 2 4" xfId="23772" xr:uid="{00000000-0005-0000-0000-0000035D0000}"/>
    <cellStyle name="Header2 29 3 11 2 5" xfId="23773" xr:uid="{00000000-0005-0000-0000-0000045D0000}"/>
    <cellStyle name="Header2 29 3 11 2 6" xfId="23774" xr:uid="{00000000-0005-0000-0000-0000055D0000}"/>
    <cellStyle name="Header2 29 3 11 3" xfId="23775" xr:uid="{00000000-0005-0000-0000-0000065D0000}"/>
    <cellStyle name="Header2 29 3 11 3 2" xfId="23776" xr:uid="{00000000-0005-0000-0000-0000075D0000}"/>
    <cellStyle name="Header2 29 3 11 3 2 2" xfId="23777" xr:uid="{00000000-0005-0000-0000-0000085D0000}"/>
    <cellStyle name="Header2 29 3 11 3 2 3" xfId="23778" xr:uid="{00000000-0005-0000-0000-0000095D0000}"/>
    <cellStyle name="Header2 29 3 11 3 2 4" xfId="23779" xr:uid="{00000000-0005-0000-0000-00000A5D0000}"/>
    <cellStyle name="Header2 29 3 11 3 3" xfId="23780" xr:uid="{00000000-0005-0000-0000-00000B5D0000}"/>
    <cellStyle name="Header2 29 3 11 3 3 2" xfId="23781" xr:uid="{00000000-0005-0000-0000-00000C5D0000}"/>
    <cellStyle name="Header2 29 3 11 3 3 3" xfId="23782" xr:uid="{00000000-0005-0000-0000-00000D5D0000}"/>
    <cellStyle name="Header2 29 3 11 3 3 4" xfId="23783" xr:uid="{00000000-0005-0000-0000-00000E5D0000}"/>
    <cellStyle name="Header2 29 3 11 3 4" xfId="23784" xr:uid="{00000000-0005-0000-0000-00000F5D0000}"/>
    <cellStyle name="Header2 29 3 11 3 5" xfId="23785" xr:uid="{00000000-0005-0000-0000-0000105D0000}"/>
    <cellStyle name="Header2 29 3 11 3 6" xfId="23786" xr:uid="{00000000-0005-0000-0000-0000115D0000}"/>
    <cellStyle name="Header2 29 3 11 4" xfId="23787" xr:uid="{00000000-0005-0000-0000-0000125D0000}"/>
    <cellStyle name="Header2 29 3 11 5" xfId="23788" xr:uid="{00000000-0005-0000-0000-0000135D0000}"/>
    <cellStyle name="Header2 29 3 12" xfId="23789" xr:uid="{00000000-0005-0000-0000-0000145D0000}"/>
    <cellStyle name="Header2 29 3 12 2" xfId="23790" xr:uid="{00000000-0005-0000-0000-0000155D0000}"/>
    <cellStyle name="Header2 29 3 12 2 2" xfId="23791" xr:uid="{00000000-0005-0000-0000-0000165D0000}"/>
    <cellStyle name="Header2 29 3 12 2 2 2" xfId="23792" xr:uid="{00000000-0005-0000-0000-0000175D0000}"/>
    <cellStyle name="Header2 29 3 12 2 2 3" xfId="23793" xr:uid="{00000000-0005-0000-0000-0000185D0000}"/>
    <cellStyle name="Header2 29 3 12 2 2 4" xfId="23794" xr:uid="{00000000-0005-0000-0000-0000195D0000}"/>
    <cellStyle name="Header2 29 3 12 2 2 5" xfId="23795" xr:uid="{00000000-0005-0000-0000-00001A5D0000}"/>
    <cellStyle name="Header2 29 3 12 2 3" xfId="23796" xr:uid="{00000000-0005-0000-0000-00001B5D0000}"/>
    <cellStyle name="Header2 29 3 12 2 3 2" xfId="23797" xr:uid="{00000000-0005-0000-0000-00001C5D0000}"/>
    <cellStyle name="Header2 29 3 12 2 3 3" xfId="23798" xr:uid="{00000000-0005-0000-0000-00001D5D0000}"/>
    <cellStyle name="Header2 29 3 12 2 3 4" xfId="23799" xr:uid="{00000000-0005-0000-0000-00001E5D0000}"/>
    <cellStyle name="Header2 29 3 12 2 4" xfId="23800" xr:uid="{00000000-0005-0000-0000-00001F5D0000}"/>
    <cellStyle name="Header2 29 3 12 2 5" xfId="23801" xr:uid="{00000000-0005-0000-0000-0000205D0000}"/>
    <cellStyle name="Header2 29 3 12 2 6" xfId="23802" xr:uid="{00000000-0005-0000-0000-0000215D0000}"/>
    <cellStyle name="Header2 29 3 12 3" xfId="23803" xr:uid="{00000000-0005-0000-0000-0000225D0000}"/>
    <cellStyle name="Header2 29 3 12 3 2" xfId="23804" xr:uid="{00000000-0005-0000-0000-0000235D0000}"/>
    <cellStyle name="Header2 29 3 12 3 2 2" xfId="23805" xr:uid="{00000000-0005-0000-0000-0000245D0000}"/>
    <cellStyle name="Header2 29 3 12 3 2 3" xfId="23806" xr:uid="{00000000-0005-0000-0000-0000255D0000}"/>
    <cellStyle name="Header2 29 3 12 3 2 4" xfId="23807" xr:uid="{00000000-0005-0000-0000-0000265D0000}"/>
    <cellStyle name="Header2 29 3 12 3 3" xfId="23808" xr:uid="{00000000-0005-0000-0000-0000275D0000}"/>
    <cellStyle name="Header2 29 3 12 3 3 2" xfId="23809" xr:uid="{00000000-0005-0000-0000-0000285D0000}"/>
    <cellStyle name="Header2 29 3 12 3 3 3" xfId="23810" xr:uid="{00000000-0005-0000-0000-0000295D0000}"/>
    <cellStyle name="Header2 29 3 12 3 3 4" xfId="23811" xr:uid="{00000000-0005-0000-0000-00002A5D0000}"/>
    <cellStyle name="Header2 29 3 12 3 4" xfId="23812" xr:uid="{00000000-0005-0000-0000-00002B5D0000}"/>
    <cellStyle name="Header2 29 3 12 3 5" xfId="23813" xr:uid="{00000000-0005-0000-0000-00002C5D0000}"/>
    <cellStyle name="Header2 29 3 12 3 6" xfId="23814" xr:uid="{00000000-0005-0000-0000-00002D5D0000}"/>
    <cellStyle name="Header2 29 3 12 4" xfId="23815" xr:uid="{00000000-0005-0000-0000-00002E5D0000}"/>
    <cellStyle name="Header2 29 3 12 5" xfId="23816" xr:uid="{00000000-0005-0000-0000-00002F5D0000}"/>
    <cellStyle name="Header2 29 3 13" xfId="58757" xr:uid="{00000000-0005-0000-0000-0000305D0000}"/>
    <cellStyle name="Header2 29 3 2" xfId="23817" xr:uid="{00000000-0005-0000-0000-0000315D0000}"/>
    <cellStyle name="Header2 29 3 2 2" xfId="23818" xr:uid="{00000000-0005-0000-0000-0000325D0000}"/>
    <cellStyle name="Header2 29 3 2 2 2" xfId="23819" xr:uid="{00000000-0005-0000-0000-0000335D0000}"/>
    <cellStyle name="Header2 29 3 2 2 3" xfId="23820" xr:uid="{00000000-0005-0000-0000-0000345D0000}"/>
    <cellStyle name="Header2 29 3 2 3" xfId="23821" xr:uid="{00000000-0005-0000-0000-0000355D0000}"/>
    <cellStyle name="Header2 29 3 3" xfId="23822" xr:uid="{00000000-0005-0000-0000-0000365D0000}"/>
    <cellStyle name="Header2 29 3 3 2" xfId="23823" xr:uid="{00000000-0005-0000-0000-0000375D0000}"/>
    <cellStyle name="Header2 29 3 3 2 2" xfId="23824" xr:uid="{00000000-0005-0000-0000-0000385D0000}"/>
    <cellStyle name="Header2 29 3 3 2 3" xfId="23825" xr:uid="{00000000-0005-0000-0000-0000395D0000}"/>
    <cellStyle name="Header2 29 3 3 3" xfId="23826" xr:uid="{00000000-0005-0000-0000-00003A5D0000}"/>
    <cellStyle name="Header2 29 3 4" xfId="23827" xr:uid="{00000000-0005-0000-0000-00003B5D0000}"/>
    <cellStyle name="Header2 29 3 4 2" xfId="23828" xr:uid="{00000000-0005-0000-0000-00003C5D0000}"/>
    <cellStyle name="Header2 29 3 4 2 2" xfId="23829" xr:uid="{00000000-0005-0000-0000-00003D5D0000}"/>
    <cellStyle name="Header2 29 3 4 2 3" xfId="23830" xr:uid="{00000000-0005-0000-0000-00003E5D0000}"/>
    <cellStyle name="Header2 29 3 4 3" xfId="23831" xr:uid="{00000000-0005-0000-0000-00003F5D0000}"/>
    <cellStyle name="Header2 29 3 5" xfId="23832" xr:uid="{00000000-0005-0000-0000-0000405D0000}"/>
    <cellStyle name="Header2 29 3 5 2" xfId="23833" xr:uid="{00000000-0005-0000-0000-0000415D0000}"/>
    <cellStyle name="Header2 29 3 5 2 2" xfId="23834" xr:uid="{00000000-0005-0000-0000-0000425D0000}"/>
    <cellStyle name="Header2 29 3 5 2 2 2" xfId="23835" xr:uid="{00000000-0005-0000-0000-0000435D0000}"/>
    <cellStyle name="Header2 29 3 5 2 2 3" xfId="23836" xr:uid="{00000000-0005-0000-0000-0000445D0000}"/>
    <cellStyle name="Header2 29 3 5 2 2 4" xfId="23837" xr:uid="{00000000-0005-0000-0000-0000455D0000}"/>
    <cellStyle name="Header2 29 3 5 2 2 5" xfId="23838" xr:uid="{00000000-0005-0000-0000-0000465D0000}"/>
    <cellStyle name="Header2 29 3 5 2 3" xfId="23839" xr:uid="{00000000-0005-0000-0000-0000475D0000}"/>
    <cellStyle name="Header2 29 3 5 2 3 2" xfId="23840" xr:uid="{00000000-0005-0000-0000-0000485D0000}"/>
    <cellStyle name="Header2 29 3 5 2 3 3" xfId="23841" xr:uid="{00000000-0005-0000-0000-0000495D0000}"/>
    <cellStyle name="Header2 29 3 5 2 3 4" xfId="23842" xr:uid="{00000000-0005-0000-0000-00004A5D0000}"/>
    <cellStyle name="Header2 29 3 5 2 4" xfId="23843" xr:uid="{00000000-0005-0000-0000-00004B5D0000}"/>
    <cellStyle name="Header2 29 3 5 2 5" xfId="23844" xr:uid="{00000000-0005-0000-0000-00004C5D0000}"/>
    <cellStyle name="Header2 29 3 5 2 6" xfId="23845" xr:uid="{00000000-0005-0000-0000-00004D5D0000}"/>
    <cellStyle name="Header2 29 3 5 3" xfId="23846" xr:uid="{00000000-0005-0000-0000-00004E5D0000}"/>
    <cellStyle name="Header2 29 3 5 3 2" xfId="23847" xr:uid="{00000000-0005-0000-0000-00004F5D0000}"/>
    <cellStyle name="Header2 29 3 5 3 2 2" xfId="23848" xr:uid="{00000000-0005-0000-0000-0000505D0000}"/>
    <cellStyle name="Header2 29 3 5 3 2 3" xfId="23849" xr:uid="{00000000-0005-0000-0000-0000515D0000}"/>
    <cellStyle name="Header2 29 3 5 3 2 4" xfId="23850" xr:uid="{00000000-0005-0000-0000-0000525D0000}"/>
    <cellStyle name="Header2 29 3 5 3 3" xfId="23851" xr:uid="{00000000-0005-0000-0000-0000535D0000}"/>
    <cellStyle name="Header2 29 3 5 3 3 2" xfId="23852" xr:uid="{00000000-0005-0000-0000-0000545D0000}"/>
    <cellStyle name="Header2 29 3 5 3 3 3" xfId="23853" xr:uid="{00000000-0005-0000-0000-0000555D0000}"/>
    <cellStyle name="Header2 29 3 5 3 3 4" xfId="23854" xr:uid="{00000000-0005-0000-0000-0000565D0000}"/>
    <cellStyle name="Header2 29 3 5 3 4" xfId="23855" xr:uid="{00000000-0005-0000-0000-0000575D0000}"/>
    <cellStyle name="Header2 29 3 5 3 5" xfId="23856" xr:uid="{00000000-0005-0000-0000-0000585D0000}"/>
    <cellStyle name="Header2 29 3 5 3 6" xfId="23857" xr:uid="{00000000-0005-0000-0000-0000595D0000}"/>
    <cellStyle name="Header2 29 3 5 4" xfId="23858" xr:uid="{00000000-0005-0000-0000-00005A5D0000}"/>
    <cellStyle name="Header2 29 3 5 5" xfId="23859" xr:uid="{00000000-0005-0000-0000-00005B5D0000}"/>
    <cellStyle name="Header2 29 3 6" xfId="23860" xr:uid="{00000000-0005-0000-0000-00005C5D0000}"/>
    <cellStyle name="Header2 29 3 6 2" xfId="23861" xr:uid="{00000000-0005-0000-0000-00005D5D0000}"/>
    <cellStyle name="Header2 29 3 6 2 2" xfId="23862" xr:uid="{00000000-0005-0000-0000-00005E5D0000}"/>
    <cellStyle name="Header2 29 3 6 2 2 2" xfId="23863" xr:uid="{00000000-0005-0000-0000-00005F5D0000}"/>
    <cellStyle name="Header2 29 3 6 2 2 3" xfId="23864" xr:uid="{00000000-0005-0000-0000-0000605D0000}"/>
    <cellStyle name="Header2 29 3 6 2 2 4" xfId="23865" xr:uid="{00000000-0005-0000-0000-0000615D0000}"/>
    <cellStyle name="Header2 29 3 6 2 2 5" xfId="23866" xr:uid="{00000000-0005-0000-0000-0000625D0000}"/>
    <cellStyle name="Header2 29 3 6 2 3" xfId="23867" xr:uid="{00000000-0005-0000-0000-0000635D0000}"/>
    <cellStyle name="Header2 29 3 6 2 3 2" xfId="23868" xr:uid="{00000000-0005-0000-0000-0000645D0000}"/>
    <cellStyle name="Header2 29 3 6 2 3 3" xfId="23869" xr:uid="{00000000-0005-0000-0000-0000655D0000}"/>
    <cellStyle name="Header2 29 3 6 2 3 4" xfId="23870" xr:uid="{00000000-0005-0000-0000-0000665D0000}"/>
    <cellStyle name="Header2 29 3 6 2 4" xfId="23871" xr:uid="{00000000-0005-0000-0000-0000675D0000}"/>
    <cellStyle name="Header2 29 3 6 2 5" xfId="23872" xr:uid="{00000000-0005-0000-0000-0000685D0000}"/>
    <cellStyle name="Header2 29 3 6 2 6" xfId="23873" xr:uid="{00000000-0005-0000-0000-0000695D0000}"/>
    <cellStyle name="Header2 29 3 6 3" xfId="23874" xr:uid="{00000000-0005-0000-0000-00006A5D0000}"/>
    <cellStyle name="Header2 29 3 6 3 2" xfId="23875" xr:uid="{00000000-0005-0000-0000-00006B5D0000}"/>
    <cellStyle name="Header2 29 3 6 3 2 2" xfId="23876" xr:uid="{00000000-0005-0000-0000-00006C5D0000}"/>
    <cellStyle name="Header2 29 3 6 3 2 3" xfId="23877" xr:uid="{00000000-0005-0000-0000-00006D5D0000}"/>
    <cellStyle name="Header2 29 3 6 3 2 4" xfId="23878" xr:uid="{00000000-0005-0000-0000-00006E5D0000}"/>
    <cellStyle name="Header2 29 3 6 3 3" xfId="23879" xr:uid="{00000000-0005-0000-0000-00006F5D0000}"/>
    <cellStyle name="Header2 29 3 6 3 3 2" xfId="23880" xr:uid="{00000000-0005-0000-0000-0000705D0000}"/>
    <cellStyle name="Header2 29 3 6 3 3 3" xfId="23881" xr:uid="{00000000-0005-0000-0000-0000715D0000}"/>
    <cellStyle name="Header2 29 3 6 3 3 4" xfId="23882" xr:uid="{00000000-0005-0000-0000-0000725D0000}"/>
    <cellStyle name="Header2 29 3 6 3 4" xfId="23883" xr:uid="{00000000-0005-0000-0000-0000735D0000}"/>
    <cellStyle name="Header2 29 3 6 3 5" xfId="23884" xr:uid="{00000000-0005-0000-0000-0000745D0000}"/>
    <cellStyle name="Header2 29 3 6 3 6" xfId="23885" xr:uid="{00000000-0005-0000-0000-0000755D0000}"/>
    <cellStyle name="Header2 29 3 6 4" xfId="23886" xr:uid="{00000000-0005-0000-0000-0000765D0000}"/>
    <cellStyle name="Header2 29 3 6 5" xfId="23887" xr:uid="{00000000-0005-0000-0000-0000775D0000}"/>
    <cellStyle name="Header2 29 3 7" xfId="23888" xr:uid="{00000000-0005-0000-0000-0000785D0000}"/>
    <cellStyle name="Header2 29 3 7 2" xfId="23889" xr:uid="{00000000-0005-0000-0000-0000795D0000}"/>
    <cellStyle name="Header2 29 3 7 2 2" xfId="23890" xr:uid="{00000000-0005-0000-0000-00007A5D0000}"/>
    <cellStyle name="Header2 29 3 7 2 2 2" xfId="23891" xr:uid="{00000000-0005-0000-0000-00007B5D0000}"/>
    <cellStyle name="Header2 29 3 7 2 2 3" xfId="23892" xr:uid="{00000000-0005-0000-0000-00007C5D0000}"/>
    <cellStyle name="Header2 29 3 7 2 2 4" xfId="23893" xr:uid="{00000000-0005-0000-0000-00007D5D0000}"/>
    <cellStyle name="Header2 29 3 7 2 2 5" xfId="23894" xr:uid="{00000000-0005-0000-0000-00007E5D0000}"/>
    <cellStyle name="Header2 29 3 7 2 3" xfId="23895" xr:uid="{00000000-0005-0000-0000-00007F5D0000}"/>
    <cellStyle name="Header2 29 3 7 2 3 2" xfId="23896" xr:uid="{00000000-0005-0000-0000-0000805D0000}"/>
    <cellStyle name="Header2 29 3 7 2 3 3" xfId="23897" xr:uid="{00000000-0005-0000-0000-0000815D0000}"/>
    <cellStyle name="Header2 29 3 7 2 3 4" xfId="23898" xr:uid="{00000000-0005-0000-0000-0000825D0000}"/>
    <cellStyle name="Header2 29 3 7 2 4" xfId="23899" xr:uid="{00000000-0005-0000-0000-0000835D0000}"/>
    <cellStyle name="Header2 29 3 7 2 5" xfId="23900" xr:uid="{00000000-0005-0000-0000-0000845D0000}"/>
    <cellStyle name="Header2 29 3 7 2 6" xfId="23901" xr:uid="{00000000-0005-0000-0000-0000855D0000}"/>
    <cellStyle name="Header2 29 3 7 3" xfId="23902" xr:uid="{00000000-0005-0000-0000-0000865D0000}"/>
    <cellStyle name="Header2 29 3 7 3 2" xfId="23903" xr:uid="{00000000-0005-0000-0000-0000875D0000}"/>
    <cellStyle name="Header2 29 3 7 3 2 2" xfId="23904" xr:uid="{00000000-0005-0000-0000-0000885D0000}"/>
    <cellStyle name="Header2 29 3 7 3 2 3" xfId="23905" xr:uid="{00000000-0005-0000-0000-0000895D0000}"/>
    <cellStyle name="Header2 29 3 7 3 2 4" xfId="23906" xr:uid="{00000000-0005-0000-0000-00008A5D0000}"/>
    <cellStyle name="Header2 29 3 7 3 3" xfId="23907" xr:uid="{00000000-0005-0000-0000-00008B5D0000}"/>
    <cellStyle name="Header2 29 3 7 3 3 2" xfId="23908" xr:uid="{00000000-0005-0000-0000-00008C5D0000}"/>
    <cellStyle name="Header2 29 3 7 3 3 3" xfId="23909" xr:uid="{00000000-0005-0000-0000-00008D5D0000}"/>
    <cellStyle name="Header2 29 3 7 3 3 4" xfId="23910" xr:uid="{00000000-0005-0000-0000-00008E5D0000}"/>
    <cellStyle name="Header2 29 3 7 3 4" xfId="23911" xr:uid="{00000000-0005-0000-0000-00008F5D0000}"/>
    <cellStyle name="Header2 29 3 7 3 5" xfId="23912" xr:uid="{00000000-0005-0000-0000-0000905D0000}"/>
    <cellStyle name="Header2 29 3 7 3 6" xfId="23913" xr:uid="{00000000-0005-0000-0000-0000915D0000}"/>
    <cellStyle name="Header2 29 3 7 4" xfId="23914" xr:uid="{00000000-0005-0000-0000-0000925D0000}"/>
    <cellStyle name="Header2 29 3 7 5" xfId="23915" xr:uid="{00000000-0005-0000-0000-0000935D0000}"/>
    <cellStyle name="Header2 29 3 8" xfId="23916" xr:uid="{00000000-0005-0000-0000-0000945D0000}"/>
    <cellStyle name="Header2 29 3 8 2" xfId="23917" xr:uid="{00000000-0005-0000-0000-0000955D0000}"/>
    <cellStyle name="Header2 29 3 8 2 2" xfId="23918" xr:uid="{00000000-0005-0000-0000-0000965D0000}"/>
    <cellStyle name="Header2 29 3 8 2 2 2" xfId="23919" xr:uid="{00000000-0005-0000-0000-0000975D0000}"/>
    <cellStyle name="Header2 29 3 8 2 2 3" xfId="23920" xr:uid="{00000000-0005-0000-0000-0000985D0000}"/>
    <cellStyle name="Header2 29 3 8 2 2 4" xfId="23921" xr:uid="{00000000-0005-0000-0000-0000995D0000}"/>
    <cellStyle name="Header2 29 3 8 2 2 5" xfId="23922" xr:uid="{00000000-0005-0000-0000-00009A5D0000}"/>
    <cellStyle name="Header2 29 3 8 2 3" xfId="23923" xr:uid="{00000000-0005-0000-0000-00009B5D0000}"/>
    <cellStyle name="Header2 29 3 8 2 3 2" xfId="23924" xr:uid="{00000000-0005-0000-0000-00009C5D0000}"/>
    <cellStyle name="Header2 29 3 8 2 3 3" xfId="23925" xr:uid="{00000000-0005-0000-0000-00009D5D0000}"/>
    <cellStyle name="Header2 29 3 8 2 3 4" xfId="23926" xr:uid="{00000000-0005-0000-0000-00009E5D0000}"/>
    <cellStyle name="Header2 29 3 8 2 4" xfId="23927" xr:uid="{00000000-0005-0000-0000-00009F5D0000}"/>
    <cellStyle name="Header2 29 3 8 2 5" xfId="23928" xr:uid="{00000000-0005-0000-0000-0000A05D0000}"/>
    <cellStyle name="Header2 29 3 8 2 6" xfId="23929" xr:uid="{00000000-0005-0000-0000-0000A15D0000}"/>
    <cellStyle name="Header2 29 3 8 3" xfId="23930" xr:uid="{00000000-0005-0000-0000-0000A25D0000}"/>
    <cellStyle name="Header2 29 3 8 3 2" xfId="23931" xr:uid="{00000000-0005-0000-0000-0000A35D0000}"/>
    <cellStyle name="Header2 29 3 8 3 2 2" xfId="23932" xr:uid="{00000000-0005-0000-0000-0000A45D0000}"/>
    <cellStyle name="Header2 29 3 8 3 2 3" xfId="23933" xr:uid="{00000000-0005-0000-0000-0000A55D0000}"/>
    <cellStyle name="Header2 29 3 8 3 2 4" xfId="23934" xr:uid="{00000000-0005-0000-0000-0000A65D0000}"/>
    <cellStyle name="Header2 29 3 8 3 3" xfId="23935" xr:uid="{00000000-0005-0000-0000-0000A75D0000}"/>
    <cellStyle name="Header2 29 3 8 3 3 2" xfId="23936" xr:uid="{00000000-0005-0000-0000-0000A85D0000}"/>
    <cellStyle name="Header2 29 3 8 3 3 3" xfId="23937" xr:uid="{00000000-0005-0000-0000-0000A95D0000}"/>
    <cellStyle name="Header2 29 3 8 3 3 4" xfId="23938" xr:uid="{00000000-0005-0000-0000-0000AA5D0000}"/>
    <cellStyle name="Header2 29 3 8 3 4" xfId="23939" xr:uid="{00000000-0005-0000-0000-0000AB5D0000}"/>
    <cellStyle name="Header2 29 3 8 3 5" xfId="23940" xr:uid="{00000000-0005-0000-0000-0000AC5D0000}"/>
    <cellStyle name="Header2 29 3 8 3 6" xfId="23941" xr:uid="{00000000-0005-0000-0000-0000AD5D0000}"/>
    <cellStyle name="Header2 29 3 8 4" xfId="23942" xr:uid="{00000000-0005-0000-0000-0000AE5D0000}"/>
    <cellStyle name="Header2 29 3 8 5" xfId="23943" xr:uid="{00000000-0005-0000-0000-0000AF5D0000}"/>
    <cellStyle name="Header2 29 3 9" xfId="23944" xr:uid="{00000000-0005-0000-0000-0000B05D0000}"/>
    <cellStyle name="Header2 29 3 9 2" xfId="23945" xr:uid="{00000000-0005-0000-0000-0000B15D0000}"/>
    <cellStyle name="Header2 29 3 9 2 2" xfId="23946" xr:uid="{00000000-0005-0000-0000-0000B25D0000}"/>
    <cellStyle name="Header2 29 3 9 2 2 2" xfId="23947" xr:uid="{00000000-0005-0000-0000-0000B35D0000}"/>
    <cellStyle name="Header2 29 3 9 2 2 3" xfId="23948" xr:uid="{00000000-0005-0000-0000-0000B45D0000}"/>
    <cellStyle name="Header2 29 3 9 2 2 4" xfId="23949" xr:uid="{00000000-0005-0000-0000-0000B55D0000}"/>
    <cellStyle name="Header2 29 3 9 2 2 5" xfId="23950" xr:uid="{00000000-0005-0000-0000-0000B65D0000}"/>
    <cellStyle name="Header2 29 3 9 2 3" xfId="23951" xr:uid="{00000000-0005-0000-0000-0000B75D0000}"/>
    <cellStyle name="Header2 29 3 9 2 3 2" xfId="23952" xr:uid="{00000000-0005-0000-0000-0000B85D0000}"/>
    <cellStyle name="Header2 29 3 9 2 3 3" xfId="23953" xr:uid="{00000000-0005-0000-0000-0000B95D0000}"/>
    <cellStyle name="Header2 29 3 9 2 3 4" xfId="23954" xr:uid="{00000000-0005-0000-0000-0000BA5D0000}"/>
    <cellStyle name="Header2 29 3 9 2 4" xfId="23955" xr:uid="{00000000-0005-0000-0000-0000BB5D0000}"/>
    <cellStyle name="Header2 29 3 9 2 5" xfId="23956" xr:uid="{00000000-0005-0000-0000-0000BC5D0000}"/>
    <cellStyle name="Header2 29 3 9 2 6" xfId="23957" xr:uid="{00000000-0005-0000-0000-0000BD5D0000}"/>
    <cellStyle name="Header2 29 3 9 3" xfId="23958" xr:uid="{00000000-0005-0000-0000-0000BE5D0000}"/>
    <cellStyle name="Header2 29 3 9 3 2" xfId="23959" xr:uid="{00000000-0005-0000-0000-0000BF5D0000}"/>
    <cellStyle name="Header2 29 3 9 3 2 2" xfId="23960" xr:uid="{00000000-0005-0000-0000-0000C05D0000}"/>
    <cellStyle name="Header2 29 3 9 3 2 3" xfId="23961" xr:uid="{00000000-0005-0000-0000-0000C15D0000}"/>
    <cellStyle name="Header2 29 3 9 3 2 4" xfId="23962" xr:uid="{00000000-0005-0000-0000-0000C25D0000}"/>
    <cellStyle name="Header2 29 3 9 3 3" xfId="23963" xr:uid="{00000000-0005-0000-0000-0000C35D0000}"/>
    <cellStyle name="Header2 29 3 9 3 3 2" xfId="23964" xr:uid="{00000000-0005-0000-0000-0000C45D0000}"/>
    <cellStyle name="Header2 29 3 9 3 3 3" xfId="23965" xr:uid="{00000000-0005-0000-0000-0000C55D0000}"/>
    <cellStyle name="Header2 29 3 9 3 3 4" xfId="23966" xr:uid="{00000000-0005-0000-0000-0000C65D0000}"/>
    <cellStyle name="Header2 29 3 9 3 4" xfId="23967" xr:uid="{00000000-0005-0000-0000-0000C75D0000}"/>
    <cellStyle name="Header2 29 3 9 3 5" xfId="23968" xr:uid="{00000000-0005-0000-0000-0000C85D0000}"/>
    <cellStyle name="Header2 29 3 9 3 6" xfId="23969" xr:uid="{00000000-0005-0000-0000-0000C95D0000}"/>
    <cellStyle name="Header2 29 3 9 4" xfId="23970" xr:uid="{00000000-0005-0000-0000-0000CA5D0000}"/>
    <cellStyle name="Header2 29 3 9 5" xfId="23971" xr:uid="{00000000-0005-0000-0000-0000CB5D0000}"/>
    <cellStyle name="Header2 3" xfId="23972" xr:uid="{00000000-0005-0000-0000-0000CC5D0000}"/>
    <cellStyle name="Header2 3 2" xfId="23973" xr:uid="{00000000-0005-0000-0000-0000CD5D0000}"/>
    <cellStyle name="Header2 3 2 10" xfId="23974" xr:uid="{00000000-0005-0000-0000-0000CE5D0000}"/>
    <cellStyle name="Header2 3 2 10 2" xfId="23975" xr:uid="{00000000-0005-0000-0000-0000CF5D0000}"/>
    <cellStyle name="Header2 3 2 10 2 2" xfId="23976" xr:uid="{00000000-0005-0000-0000-0000D05D0000}"/>
    <cellStyle name="Header2 3 2 10 2 2 2" xfId="23977" xr:uid="{00000000-0005-0000-0000-0000D15D0000}"/>
    <cellStyle name="Header2 3 2 10 2 2 3" xfId="23978" xr:uid="{00000000-0005-0000-0000-0000D25D0000}"/>
    <cellStyle name="Header2 3 2 10 2 2 4" xfId="23979" xr:uid="{00000000-0005-0000-0000-0000D35D0000}"/>
    <cellStyle name="Header2 3 2 10 2 2 5" xfId="23980" xr:uid="{00000000-0005-0000-0000-0000D45D0000}"/>
    <cellStyle name="Header2 3 2 10 2 3" xfId="23981" xr:uid="{00000000-0005-0000-0000-0000D55D0000}"/>
    <cellStyle name="Header2 3 2 10 2 3 2" xfId="23982" xr:uid="{00000000-0005-0000-0000-0000D65D0000}"/>
    <cellStyle name="Header2 3 2 10 2 3 3" xfId="23983" xr:uid="{00000000-0005-0000-0000-0000D75D0000}"/>
    <cellStyle name="Header2 3 2 10 2 3 4" xfId="23984" xr:uid="{00000000-0005-0000-0000-0000D85D0000}"/>
    <cellStyle name="Header2 3 2 10 2 4" xfId="23985" xr:uid="{00000000-0005-0000-0000-0000D95D0000}"/>
    <cellStyle name="Header2 3 2 10 2 5" xfId="23986" xr:uid="{00000000-0005-0000-0000-0000DA5D0000}"/>
    <cellStyle name="Header2 3 2 10 2 6" xfId="23987" xr:uid="{00000000-0005-0000-0000-0000DB5D0000}"/>
    <cellStyle name="Header2 3 2 10 3" xfId="23988" xr:uid="{00000000-0005-0000-0000-0000DC5D0000}"/>
    <cellStyle name="Header2 3 2 10 3 2" xfId="23989" xr:uid="{00000000-0005-0000-0000-0000DD5D0000}"/>
    <cellStyle name="Header2 3 2 10 3 2 2" xfId="23990" xr:uid="{00000000-0005-0000-0000-0000DE5D0000}"/>
    <cellStyle name="Header2 3 2 10 3 2 3" xfId="23991" xr:uid="{00000000-0005-0000-0000-0000DF5D0000}"/>
    <cellStyle name="Header2 3 2 10 3 2 4" xfId="23992" xr:uid="{00000000-0005-0000-0000-0000E05D0000}"/>
    <cellStyle name="Header2 3 2 10 3 3" xfId="23993" xr:uid="{00000000-0005-0000-0000-0000E15D0000}"/>
    <cellStyle name="Header2 3 2 10 3 3 2" xfId="23994" xr:uid="{00000000-0005-0000-0000-0000E25D0000}"/>
    <cellStyle name="Header2 3 2 10 3 3 3" xfId="23995" xr:uid="{00000000-0005-0000-0000-0000E35D0000}"/>
    <cellStyle name="Header2 3 2 10 3 3 4" xfId="23996" xr:uid="{00000000-0005-0000-0000-0000E45D0000}"/>
    <cellStyle name="Header2 3 2 10 3 4" xfId="23997" xr:uid="{00000000-0005-0000-0000-0000E55D0000}"/>
    <cellStyle name="Header2 3 2 10 3 5" xfId="23998" xr:uid="{00000000-0005-0000-0000-0000E65D0000}"/>
    <cellStyle name="Header2 3 2 10 3 6" xfId="23999" xr:uid="{00000000-0005-0000-0000-0000E75D0000}"/>
    <cellStyle name="Header2 3 2 10 4" xfId="24000" xr:uid="{00000000-0005-0000-0000-0000E85D0000}"/>
    <cellStyle name="Header2 3 2 10 5" xfId="24001" xr:uid="{00000000-0005-0000-0000-0000E95D0000}"/>
    <cellStyle name="Header2 3 2 11" xfId="24002" xr:uid="{00000000-0005-0000-0000-0000EA5D0000}"/>
    <cellStyle name="Header2 3 2 11 2" xfId="24003" xr:uid="{00000000-0005-0000-0000-0000EB5D0000}"/>
    <cellStyle name="Header2 3 2 11 2 2" xfId="24004" xr:uid="{00000000-0005-0000-0000-0000EC5D0000}"/>
    <cellStyle name="Header2 3 2 11 2 2 2" xfId="24005" xr:uid="{00000000-0005-0000-0000-0000ED5D0000}"/>
    <cellStyle name="Header2 3 2 11 2 2 3" xfId="24006" xr:uid="{00000000-0005-0000-0000-0000EE5D0000}"/>
    <cellStyle name="Header2 3 2 11 2 2 4" xfId="24007" xr:uid="{00000000-0005-0000-0000-0000EF5D0000}"/>
    <cellStyle name="Header2 3 2 11 2 2 5" xfId="24008" xr:uid="{00000000-0005-0000-0000-0000F05D0000}"/>
    <cellStyle name="Header2 3 2 11 2 3" xfId="24009" xr:uid="{00000000-0005-0000-0000-0000F15D0000}"/>
    <cellStyle name="Header2 3 2 11 2 3 2" xfId="24010" xr:uid="{00000000-0005-0000-0000-0000F25D0000}"/>
    <cellStyle name="Header2 3 2 11 2 3 3" xfId="24011" xr:uid="{00000000-0005-0000-0000-0000F35D0000}"/>
    <cellStyle name="Header2 3 2 11 2 3 4" xfId="24012" xr:uid="{00000000-0005-0000-0000-0000F45D0000}"/>
    <cellStyle name="Header2 3 2 11 2 4" xfId="24013" xr:uid="{00000000-0005-0000-0000-0000F55D0000}"/>
    <cellStyle name="Header2 3 2 11 2 5" xfId="24014" xr:uid="{00000000-0005-0000-0000-0000F65D0000}"/>
    <cellStyle name="Header2 3 2 11 2 6" xfId="24015" xr:uid="{00000000-0005-0000-0000-0000F75D0000}"/>
    <cellStyle name="Header2 3 2 11 3" xfId="24016" xr:uid="{00000000-0005-0000-0000-0000F85D0000}"/>
    <cellStyle name="Header2 3 2 11 3 2" xfId="24017" xr:uid="{00000000-0005-0000-0000-0000F95D0000}"/>
    <cellStyle name="Header2 3 2 11 3 2 2" xfId="24018" xr:uid="{00000000-0005-0000-0000-0000FA5D0000}"/>
    <cellStyle name="Header2 3 2 11 3 2 3" xfId="24019" xr:uid="{00000000-0005-0000-0000-0000FB5D0000}"/>
    <cellStyle name="Header2 3 2 11 3 2 4" xfId="24020" xr:uid="{00000000-0005-0000-0000-0000FC5D0000}"/>
    <cellStyle name="Header2 3 2 11 3 3" xfId="24021" xr:uid="{00000000-0005-0000-0000-0000FD5D0000}"/>
    <cellStyle name="Header2 3 2 11 3 3 2" xfId="24022" xr:uid="{00000000-0005-0000-0000-0000FE5D0000}"/>
    <cellStyle name="Header2 3 2 11 3 3 3" xfId="24023" xr:uid="{00000000-0005-0000-0000-0000FF5D0000}"/>
    <cellStyle name="Header2 3 2 11 3 3 4" xfId="24024" xr:uid="{00000000-0005-0000-0000-0000005E0000}"/>
    <cellStyle name="Header2 3 2 11 3 4" xfId="24025" xr:uid="{00000000-0005-0000-0000-0000015E0000}"/>
    <cellStyle name="Header2 3 2 11 3 5" xfId="24026" xr:uid="{00000000-0005-0000-0000-0000025E0000}"/>
    <cellStyle name="Header2 3 2 11 3 6" xfId="24027" xr:uid="{00000000-0005-0000-0000-0000035E0000}"/>
    <cellStyle name="Header2 3 2 11 4" xfId="24028" xr:uid="{00000000-0005-0000-0000-0000045E0000}"/>
    <cellStyle name="Header2 3 2 11 5" xfId="24029" xr:uid="{00000000-0005-0000-0000-0000055E0000}"/>
    <cellStyle name="Header2 3 2 12" xfId="24030" xr:uid="{00000000-0005-0000-0000-0000065E0000}"/>
    <cellStyle name="Header2 3 2 12 2" xfId="24031" xr:uid="{00000000-0005-0000-0000-0000075E0000}"/>
    <cellStyle name="Header2 3 2 12 2 2" xfId="24032" xr:uid="{00000000-0005-0000-0000-0000085E0000}"/>
    <cellStyle name="Header2 3 2 12 2 2 2" xfId="24033" xr:uid="{00000000-0005-0000-0000-0000095E0000}"/>
    <cellStyle name="Header2 3 2 12 2 2 3" xfId="24034" xr:uid="{00000000-0005-0000-0000-00000A5E0000}"/>
    <cellStyle name="Header2 3 2 12 2 2 4" xfId="24035" xr:uid="{00000000-0005-0000-0000-00000B5E0000}"/>
    <cellStyle name="Header2 3 2 12 2 2 5" xfId="24036" xr:uid="{00000000-0005-0000-0000-00000C5E0000}"/>
    <cellStyle name="Header2 3 2 12 2 3" xfId="24037" xr:uid="{00000000-0005-0000-0000-00000D5E0000}"/>
    <cellStyle name="Header2 3 2 12 2 3 2" xfId="24038" xr:uid="{00000000-0005-0000-0000-00000E5E0000}"/>
    <cellStyle name="Header2 3 2 12 2 3 3" xfId="24039" xr:uid="{00000000-0005-0000-0000-00000F5E0000}"/>
    <cellStyle name="Header2 3 2 12 2 3 4" xfId="24040" xr:uid="{00000000-0005-0000-0000-0000105E0000}"/>
    <cellStyle name="Header2 3 2 12 2 4" xfId="24041" xr:uid="{00000000-0005-0000-0000-0000115E0000}"/>
    <cellStyle name="Header2 3 2 12 2 5" xfId="24042" xr:uid="{00000000-0005-0000-0000-0000125E0000}"/>
    <cellStyle name="Header2 3 2 12 2 6" xfId="24043" xr:uid="{00000000-0005-0000-0000-0000135E0000}"/>
    <cellStyle name="Header2 3 2 12 3" xfId="24044" xr:uid="{00000000-0005-0000-0000-0000145E0000}"/>
    <cellStyle name="Header2 3 2 12 3 2" xfId="24045" xr:uid="{00000000-0005-0000-0000-0000155E0000}"/>
    <cellStyle name="Header2 3 2 12 3 2 2" xfId="24046" xr:uid="{00000000-0005-0000-0000-0000165E0000}"/>
    <cellStyle name="Header2 3 2 12 3 2 3" xfId="24047" xr:uid="{00000000-0005-0000-0000-0000175E0000}"/>
    <cellStyle name="Header2 3 2 12 3 2 4" xfId="24048" xr:uid="{00000000-0005-0000-0000-0000185E0000}"/>
    <cellStyle name="Header2 3 2 12 3 3" xfId="24049" xr:uid="{00000000-0005-0000-0000-0000195E0000}"/>
    <cellStyle name="Header2 3 2 12 3 3 2" xfId="24050" xr:uid="{00000000-0005-0000-0000-00001A5E0000}"/>
    <cellStyle name="Header2 3 2 12 3 3 3" xfId="24051" xr:uid="{00000000-0005-0000-0000-00001B5E0000}"/>
    <cellStyle name="Header2 3 2 12 3 3 4" xfId="24052" xr:uid="{00000000-0005-0000-0000-00001C5E0000}"/>
    <cellStyle name="Header2 3 2 12 3 4" xfId="24053" xr:uid="{00000000-0005-0000-0000-00001D5E0000}"/>
    <cellStyle name="Header2 3 2 12 3 5" xfId="24054" xr:uid="{00000000-0005-0000-0000-00001E5E0000}"/>
    <cellStyle name="Header2 3 2 12 3 6" xfId="24055" xr:uid="{00000000-0005-0000-0000-00001F5E0000}"/>
    <cellStyle name="Header2 3 2 12 4" xfId="24056" xr:uid="{00000000-0005-0000-0000-0000205E0000}"/>
    <cellStyle name="Header2 3 2 12 5" xfId="24057" xr:uid="{00000000-0005-0000-0000-0000215E0000}"/>
    <cellStyle name="Header2 3 2 13" xfId="24058" xr:uid="{00000000-0005-0000-0000-0000225E0000}"/>
    <cellStyle name="Header2 3 2 13 2" xfId="24059" xr:uid="{00000000-0005-0000-0000-0000235E0000}"/>
    <cellStyle name="Header2 3 2 13 2 2" xfId="24060" xr:uid="{00000000-0005-0000-0000-0000245E0000}"/>
    <cellStyle name="Header2 3 2 13 2 2 2" xfId="24061" xr:uid="{00000000-0005-0000-0000-0000255E0000}"/>
    <cellStyle name="Header2 3 2 13 2 2 3" xfId="24062" xr:uid="{00000000-0005-0000-0000-0000265E0000}"/>
    <cellStyle name="Header2 3 2 13 2 2 4" xfId="24063" xr:uid="{00000000-0005-0000-0000-0000275E0000}"/>
    <cellStyle name="Header2 3 2 13 2 2 5" xfId="24064" xr:uid="{00000000-0005-0000-0000-0000285E0000}"/>
    <cellStyle name="Header2 3 2 13 2 3" xfId="24065" xr:uid="{00000000-0005-0000-0000-0000295E0000}"/>
    <cellStyle name="Header2 3 2 13 2 3 2" xfId="24066" xr:uid="{00000000-0005-0000-0000-00002A5E0000}"/>
    <cellStyle name="Header2 3 2 13 2 3 3" xfId="24067" xr:uid="{00000000-0005-0000-0000-00002B5E0000}"/>
    <cellStyle name="Header2 3 2 13 2 3 4" xfId="24068" xr:uid="{00000000-0005-0000-0000-00002C5E0000}"/>
    <cellStyle name="Header2 3 2 13 2 4" xfId="24069" xr:uid="{00000000-0005-0000-0000-00002D5E0000}"/>
    <cellStyle name="Header2 3 2 13 2 5" xfId="24070" xr:uid="{00000000-0005-0000-0000-00002E5E0000}"/>
    <cellStyle name="Header2 3 2 13 2 6" xfId="24071" xr:uid="{00000000-0005-0000-0000-00002F5E0000}"/>
    <cellStyle name="Header2 3 2 13 3" xfId="24072" xr:uid="{00000000-0005-0000-0000-0000305E0000}"/>
    <cellStyle name="Header2 3 2 13 3 2" xfId="24073" xr:uid="{00000000-0005-0000-0000-0000315E0000}"/>
    <cellStyle name="Header2 3 2 13 3 2 2" xfId="24074" xr:uid="{00000000-0005-0000-0000-0000325E0000}"/>
    <cellStyle name="Header2 3 2 13 3 2 3" xfId="24075" xr:uid="{00000000-0005-0000-0000-0000335E0000}"/>
    <cellStyle name="Header2 3 2 13 3 2 4" xfId="24076" xr:uid="{00000000-0005-0000-0000-0000345E0000}"/>
    <cellStyle name="Header2 3 2 13 3 3" xfId="24077" xr:uid="{00000000-0005-0000-0000-0000355E0000}"/>
    <cellStyle name="Header2 3 2 13 3 3 2" xfId="24078" xr:uid="{00000000-0005-0000-0000-0000365E0000}"/>
    <cellStyle name="Header2 3 2 13 3 3 3" xfId="24079" xr:uid="{00000000-0005-0000-0000-0000375E0000}"/>
    <cellStyle name="Header2 3 2 13 3 3 4" xfId="24080" xr:uid="{00000000-0005-0000-0000-0000385E0000}"/>
    <cellStyle name="Header2 3 2 13 3 4" xfId="24081" xr:uid="{00000000-0005-0000-0000-0000395E0000}"/>
    <cellStyle name="Header2 3 2 13 3 5" xfId="24082" xr:uid="{00000000-0005-0000-0000-00003A5E0000}"/>
    <cellStyle name="Header2 3 2 13 3 6" xfId="24083" xr:uid="{00000000-0005-0000-0000-00003B5E0000}"/>
    <cellStyle name="Header2 3 2 13 4" xfId="24084" xr:uid="{00000000-0005-0000-0000-00003C5E0000}"/>
    <cellStyle name="Header2 3 2 13 5" xfId="24085" xr:uid="{00000000-0005-0000-0000-00003D5E0000}"/>
    <cellStyle name="Header2 3 2 14" xfId="58758" xr:uid="{00000000-0005-0000-0000-00003E5E0000}"/>
    <cellStyle name="Header2 3 2 2" xfId="24086" xr:uid="{00000000-0005-0000-0000-00003F5E0000}"/>
    <cellStyle name="Header2 3 2 2 2" xfId="24087" xr:uid="{00000000-0005-0000-0000-0000405E0000}"/>
    <cellStyle name="Header2 3 2 2 2 2" xfId="24088" xr:uid="{00000000-0005-0000-0000-0000415E0000}"/>
    <cellStyle name="Header2 3 2 2 2 2 2" xfId="24089" xr:uid="{00000000-0005-0000-0000-0000425E0000}"/>
    <cellStyle name="Header2 3 2 2 2 2 2 2" xfId="24090" xr:uid="{00000000-0005-0000-0000-0000435E0000}"/>
    <cellStyle name="Header2 3 2 2 2 2 2 3" xfId="24091" xr:uid="{00000000-0005-0000-0000-0000445E0000}"/>
    <cellStyle name="Header2 3 2 2 2 2 2 4" xfId="24092" xr:uid="{00000000-0005-0000-0000-0000455E0000}"/>
    <cellStyle name="Header2 3 2 2 2 2 2 5" xfId="24093" xr:uid="{00000000-0005-0000-0000-0000465E0000}"/>
    <cellStyle name="Header2 3 2 2 2 2 3" xfId="24094" xr:uid="{00000000-0005-0000-0000-0000475E0000}"/>
    <cellStyle name="Header2 3 2 2 2 2 3 2" xfId="24095" xr:uid="{00000000-0005-0000-0000-0000485E0000}"/>
    <cellStyle name="Header2 3 2 2 2 2 3 3" xfId="24096" xr:uid="{00000000-0005-0000-0000-0000495E0000}"/>
    <cellStyle name="Header2 3 2 2 2 2 3 4" xfId="24097" xr:uid="{00000000-0005-0000-0000-00004A5E0000}"/>
    <cellStyle name="Header2 3 2 2 2 2 4" xfId="24098" xr:uid="{00000000-0005-0000-0000-00004B5E0000}"/>
    <cellStyle name="Header2 3 2 2 2 2 5" xfId="24099" xr:uid="{00000000-0005-0000-0000-00004C5E0000}"/>
    <cellStyle name="Header2 3 2 2 2 2 6" xfId="24100" xr:uid="{00000000-0005-0000-0000-00004D5E0000}"/>
    <cellStyle name="Header2 3 2 2 2 3" xfId="24101" xr:uid="{00000000-0005-0000-0000-00004E5E0000}"/>
    <cellStyle name="Header2 3 2 2 2 3 2" xfId="24102" xr:uid="{00000000-0005-0000-0000-00004F5E0000}"/>
    <cellStyle name="Header2 3 2 2 2 3 2 2" xfId="24103" xr:uid="{00000000-0005-0000-0000-0000505E0000}"/>
    <cellStyle name="Header2 3 2 2 2 3 2 3" xfId="24104" xr:uid="{00000000-0005-0000-0000-0000515E0000}"/>
    <cellStyle name="Header2 3 2 2 2 3 2 4" xfId="24105" xr:uid="{00000000-0005-0000-0000-0000525E0000}"/>
    <cellStyle name="Header2 3 2 2 2 3 3" xfId="24106" xr:uid="{00000000-0005-0000-0000-0000535E0000}"/>
    <cellStyle name="Header2 3 2 2 2 3 3 2" xfId="24107" xr:uid="{00000000-0005-0000-0000-0000545E0000}"/>
    <cellStyle name="Header2 3 2 2 2 3 3 3" xfId="24108" xr:uid="{00000000-0005-0000-0000-0000555E0000}"/>
    <cellStyle name="Header2 3 2 2 2 3 3 4" xfId="24109" xr:uid="{00000000-0005-0000-0000-0000565E0000}"/>
    <cellStyle name="Header2 3 2 2 2 3 4" xfId="24110" xr:uid="{00000000-0005-0000-0000-0000575E0000}"/>
    <cellStyle name="Header2 3 2 2 2 3 5" xfId="24111" xr:uid="{00000000-0005-0000-0000-0000585E0000}"/>
    <cellStyle name="Header2 3 2 2 2 3 6" xfId="24112" xr:uid="{00000000-0005-0000-0000-0000595E0000}"/>
    <cellStyle name="Header2 3 2 2 2 4" xfId="24113" xr:uid="{00000000-0005-0000-0000-00005A5E0000}"/>
    <cellStyle name="Header2 3 2 2 2 5" xfId="24114" xr:uid="{00000000-0005-0000-0000-00005B5E0000}"/>
    <cellStyle name="Header2 3 2 2 3" xfId="24115" xr:uid="{00000000-0005-0000-0000-00005C5E0000}"/>
    <cellStyle name="Header2 3 2 2 3 2" xfId="24116" xr:uid="{00000000-0005-0000-0000-00005D5E0000}"/>
    <cellStyle name="Header2 3 2 2 3 2 2" xfId="24117" xr:uid="{00000000-0005-0000-0000-00005E5E0000}"/>
    <cellStyle name="Header2 3 2 2 3 2 2 2" xfId="24118" xr:uid="{00000000-0005-0000-0000-00005F5E0000}"/>
    <cellStyle name="Header2 3 2 2 3 2 2 3" xfId="24119" xr:uid="{00000000-0005-0000-0000-0000605E0000}"/>
    <cellStyle name="Header2 3 2 2 3 2 2 4" xfId="24120" xr:uid="{00000000-0005-0000-0000-0000615E0000}"/>
    <cellStyle name="Header2 3 2 2 3 2 2 5" xfId="24121" xr:uid="{00000000-0005-0000-0000-0000625E0000}"/>
    <cellStyle name="Header2 3 2 2 3 2 3" xfId="24122" xr:uid="{00000000-0005-0000-0000-0000635E0000}"/>
    <cellStyle name="Header2 3 2 2 3 2 3 2" xfId="24123" xr:uid="{00000000-0005-0000-0000-0000645E0000}"/>
    <cellStyle name="Header2 3 2 2 3 2 3 3" xfId="24124" xr:uid="{00000000-0005-0000-0000-0000655E0000}"/>
    <cellStyle name="Header2 3 2 2 3 2 3 4" xfId="24125" xr:uid="{00000000-0005-0000-0000-0000665E0000}"/>
    <cellStyle name="Header2 3 2 2 3 2 4" xfId="24126" xr:uid="{00000000-0005-0000-0000-0000675E0000}"/>
    <cellStyle name="Header2 3 2 2 3 2 5" xfId="24127" xr:uid="{00000000-0005-0000-0000-0000685E0000}"/>
    <cellStyle name="Header2 3 2 2 3 2 6" xfId="24128" xr:uid="{00000000-0005-0000-0000-0000695E0000}"/>
    <cellStyle name="Header2 3 2 2 3 3" xfId="24129" xr:uid="{00000000-0005-0000-0000-00006A5E0000}"/>
    <cellStyle name="Header2 3 2 2 3 3 2" xfId="24130" xr:uid="{00000000-0005-0000-0000-00006B5E0000}"/>
    <cellStyle name="Header2 3 2 2 3 3 2 2" xfId="24131" xr:uid="{00000000-0005-0000-0000-00006C5E0000}"/>
    <cellStyle name="Header2 3 2 2 3 3 2 3" xfId="24132" xr:uid="{00000000-0005-0000-0000-00006D5E0000}"/>
    <cellStyle name="Header2 3 2 2 3 3 2 4" xfId="24133" xr:uid="{00000000-0005-0000-0000-00006E5E0000}"/>
    <cellStyle name="Header2 3 2 2 3 3 3" xfId="24134" xr:uid="{00000000-0005-0000-0000-00006F5E0000}"/>
    <cellStyle name="Header2 3 2 2 3 3 3 2" xfId="24135" xr:uid="{00000000-0005-0000-0000-0000705E0000}"/>
    <cellStyle name="Header2 3 2 2 3 3 3 3" xfId="24136" xr:uid="{00000000-0005-0000-0000-0000715E0000}"/>
    <cellStyle name="Header2 3 2 2 3 3 3 4" xfId="24137" xr:uid="{00000000-0005-0000-0000-0000725E0000}"/>
    <cellStyle name="Header2 3 2 2 3 3 4" xfId="24138" xr:uid="{00000000-0005-0000-0000-0000735E0000}"/>
    <cellStyle name="Header2 3 2 2 3 3 5" xfId="24139" xr:uid="{00000000-0005-0000-0000-0000745E0000}"/>
    <cellStyle name="Header2 3 2 2 3 3 6" xfId="24140" xr:uid="{00000000-0005-0000-0000-0000755E0000}"/>
    <cellStyle name="Header2 3 2 2 3 4" xfId="24141" xr:uid="{00000000-0005-0000-0000-0000765E0000}"/>
    <cellStyle name="Header2 3 2 2 3 5" xfId="24142" xr:uid="{00000000-0005-0000-0000-0000775E0000}"/>
    <cellStyle name="Header2 3 2 3" xfId="24143" xr:uid="{00000000-0005-0000-0000-0000785E0000}"/>
    <cellStyle name="Header2 3 2 3 2" xfId="24144" xr:uid="{00000000-0005-0000-0000-0000795E0000}"/>
    <cellStyle name="Header2 3 2 3 2 2" xfId="24145" xr:uid="{00000000-0005-0000-0000-00007A5E0000}"/>
    <cellStyle name="Header2 3 2 3 2 3" xfId="24146" xr:uid="{00000000-0005-0000-0000-00007B5E0000}"/>
    <cellStyle name="Header2 3 2 3 3" xfId="24147" xr:uid="{00000000-0005-0000-0000-00007C5E0000}"/>
    <cellStyle name="Header2 3 2 4" xfId="24148" xr:uid="{00000000-0005-0000-0000-00007D5E0000}"/>
    <cellStyle name="Header2 3 2 4 2" xfId="24149" xr:uid="{00000000-0005-0000-0000-00007E5E0000}"/>
    <cellStyle name="Header2 3 2 4 2 2" xfId="24150" xr:uid="{00000000-0005-0000-0000-00007F5E0000}"/>
    <cellStyle name="Header2 3 2 4 2 3" xfId="24151" xr:uid="{00000000-0005-0000-0000-0000805E0000}"/>
    <cellStyle name="Header2 3 2 4 3" xfId="24152" xr:uid="{00000000-0005-0000-0000-0000815E0000}"/>
    <cellStyle name="Header2 3 2 5" xfId="24153" xr:uid="{00000000-0005-0000-0000-0000825E0000}"/>
    <cellStyle name="Header2 3 2 5 2" xfId="24154" xr:uid="{00000000-0005-0000-0000-0000835E0000}"/>
    <cellStyle name="Header2 3 2 5 2 2" xfId="24155" xr:uid="{00000000-0005-0000-0000-0000845E0000}"/>
    <cellStyle name="Header2 3 2 5 2 3" xfId="24156" xr:uid="{00000000-0005-0000-0000-0000855E0000}"/>
    <cellStyle name="Header2 3 2 5 3" xfId="24157" xr:uid="{00000000-0005-0000-0000-0000865E0000}"/>
    <cellStyle name="Header2 3 2 6" xfId="24158" xr:uid="{00000000-0005-0000-0000-0000875E0000}"/>
    <cellStyle name="Header2 3 2 6 2" xfId="24159" xr:uid="{00000000-0005-0000-0000-0000885E0000}"/>
    <cellStyle name="Header2 3 2 6 2 2" xfId="24160" xr:uid="{00000000-0005-0000-0000-0000895E0000}"/>
    <cellStyle name="Header2 3 2 6 2 2 2" xfId="24161" xr:uid="{00000000-0005-0000-0000-00008A5E0000}"/>
    <cellStyle name="Header2 3 2 6 2 2 3" xfId="24162" xr:uid="{00000000-0005-0000-0000-00008B5E0000}"/>
    <cellStyle name="Header2 3 2 6 2 2 4" xfId="24163" xr:uid="{00000000-0005-0000-0000-00008C5E0000}"/>
    <cellStyle name="Header2 3 2 6 2 2 5" xfId="24164" xr:uid="{00000000-0005-0000-0000-00008D5E0000}"/>
    <cellStyle name="Header2 3 2 6 2 3" xfId="24165" xr:uid="{00000000-0005-0000-0000-00008E5E0000}"/>
    <cellStyle name="Header2 3 2 6 2 3 2" xfId="24166" xr:uid="{00000000-0005-0000-0000-00008F5E0000}"/>
    <cellStyle name="Header2 3 2 6 2 3 3" xfId="24167" xr:uid="{00000000-0005-0000-0000-0000905E0000}"/>
    <cellStyle name="Header2 3 2 6 2 3 4" xfId="24168" xr:uid="{00000000-0005-0000-0000-0000915E0000}"/>
    <cellStyle name="Header2 3 2 6 2 4" xfId="24169" xr:uid="{00000000-0005-0000-0000-0000925E0000}"/>
    <cellStyle name="Header2 3 2 6 2 5" xfId="24170" xr:uid="{00000000-0005-0000-0000-0000935E0000}"/>
    <cellStyle name="Header2 3 2 6 2 6" xfId="24171" xr:uid="{00000000-0005-0000-0000-0000945E0000}"/>
    <cellStyle name="Header2 3 2 6 3" xfId="24172" xr:uid="{00000000-0005-0000-0000-0000955E0000}"/>
    <cellStyle name="Header2 3 2 6 3 2" xfId="24173" xr:uid="{00000000-0005-0000-0000-0000965E0000}"/>
    <cellStyle name="Header2 3 2 6 3 2 2" xfId="24174" xr:uid="{00000000-0005-0000-0000-0000975E0000}"/>
    <cellStyle name="Header2 3 2 6 3 2 3" xfId="24175" xr:uid="{00000000-0005-0000-0000-0000985E0000}"/>
    <cellStyle name="Header2 3 2 6 3 2 4" xfId="24176" xr:uid="{00000000-0005-0000-0000-0000995E0000}"/>
    <cellStyle name="Header2 3 2 6 3 3" xfId="24177" xr:uid="{00000000-0005-0000-0000-00009A5E0000}"/>
    <cellStyle name="Header2 3 2 6 3 3 2" xfId="24178" xr:uid="{00000000-0005-0000-0000-00009B5E0000}"/>
    <cellStyle name="Header2 3 2 6 3 3 3" xfId="24179" xr:uid="{00000000-0005-0000-0000-00009C5E0000}"/>
    <cellStyle name="Header2 3 2 6 3 3 4" xfId="24180" xr:uid="{00000000-0005-0000-0000-00009D5E0000}"/>
    <cellStyle name="Header2 3 2 6 3 4" xfId="24181" xr:uid="{00000000-0005-0000-0000-00009E5E0000}"/>
    <cellStyle name="Header2 3 2 6 3 5" xfId="24182" xr:uid="{00000000-0005-0000-0000-00009F5E0000}"/>
    <cellStyle name="Header2 3 2 6 3 6" xfId="24183" xr:uid="{00000000-0005-0000-0000-0000A05E0000}"/>
    <cellStyle name="Header2 3 2 6 4" xfId="24184" xr:uid="{00000000-0005-0000-0000-0000A15E0000}"/>
    <cellStyle name="Header2 3 2 6 5" xfId="24185" xr:uid="{00000000-0005-0000-0000-0000A25E0000}"/>
    <cellStyle name="Header2 3 2 7" xfId="24186" xr:uid="{00000000-0005-0000-0000-0000A35E0000}"/>
    <cellStyle name="Header2 3 2 7 2" xfId="24187" xr:uid="{00000000-0005-0000-0000-0000A45E0000}"/>
    <cellStyle name="Header2 3 2 7 2 2" xfId="24188" xr:uid="{00000000-0005-0000-0000-0000A55E0000}"/>
    <cellStyle name="Header2 3 2 7 2 2 2" xfId="24189" xr:uid="{00000000-0005-0000-0000-0000A65E0000}"/>
    <cellStyle name="Header2 3 2 7 2 2 3" xfId="24190" xr:uid="{00000000-0005-0000-0000-0000A75E0000}"/>
    <cellStyle name="Header2 3 2 7 2 2 4" xfId="24191" xr:uid="{00000000-0005-0000-0000-0000A85E0000}"/>
    <cellStyle name="Header2 3 2 7 2 2 5" xfId="24192" xr:uid="{00000000-0005-0000-0000-0000A95E0000}"/>
    <cellStyle name="Header2 3 2 7 2 3" xfId="24193" xr:uid="{00000000-0005-0000-0000-0000AA5E0000}"/>
    <cellStyle name="Header2 3 2 7 2 3 2" xfId="24194" xr:uid="{00000000-0005-0000-0000-0000AB5E0000}"/>
    <cellStyle name="Header2 3 2 7 2 3 3" xfId="24195" xr:uid="{00000000-0005-0000-0000-0000AC5E0000}"/>
    <cellStyle name="Header2 3 2 7 2 3 4" xfId="24196" xr:uid="{00000000-0005-0000-0000-0000AD5E0000}"/>
    <cellStyle name="Header2 3 2 7 2 4" xfId="24197" xr:uid="{00000000-0005-0000-0000-0000AE5E0000}"/>
    <cellStyle name="Header2 3 2 7 2 5" xfId="24198" xr:uid="{00000000-0005-0000-0000-0000AF5E0000}"/>
    <cellStyle name="Header2 3 2 7 2 6" xfId="24199" xr:uid="{00000000-0005-0000-0000-0000B05E0000}"/>
    <cellStyle name="Header2 3 2 7 3" xfId="24200" xr:uid="{00000000-0005-0000-0000-0000B15E0000}"/>
    <cellStyle name="Header2 3 2 7 3 2" xfId="24201" xr:uid="{00000000-0005-0000-0000-0000B25E0000}"/>
    <cellStyle name="Header2 3 2 7 3 2 2" xfId="24202" xr:uid="{00000000-0005-0000-0000-0000B35E0000}"/>
    <cellStyle name="Header2 3 2 7 3 2 3" xfId="24203" xr:uid="{00000000-0005-0000-0000-0000B45E0000}"/>
    <cellStyle name="Header2 3 2 7 3 2 4" xfId="24204" xr:uid="{00000000-0005-0000-0000-0000B55E0000}"/>
    <cellStyle name="Header2 3 2 7 3 3" xfId="24205" xr:uid="{00000000-0005-0000-0000-0000B65E0000}"/>
    <cellStyle name="Header2 3 2 7 3 3 2" xfId="24206" xr:uid="{00000000-0005-0000-0000-0000B75E0000}"/>
    <cellStyle name="Header2 3 2 7 3 3 3" xfId="24207" xr:uid="{00000000-0005-0000-0000-0000B85E0000}"/>
    <cellStyle name="Header2 3 2 7 3 3 4" xfId="24208" xr:uid="{00000000-0005-0000-0000-0000B95E0000}"/>
    <cellStyle name="Header2 3 2 7 3 4" xfId="24209" xr:uid="{00000000-0005-0000-0000-0000BA5E0000}"/>
    <cellStyle name="Header2 3 2 7 3 5" xfId="24210" xr:uid="{00000000-0005-0000-0000-0000BB5E0000}"/>
    <cellStyle name="Header2 3 2 7 3 6" xfId="24211" xr:uid="{00000000-0005-0000-0000-0000BC5E0000}"/>
    <cellStyle name="Header2 3 2 7 4" xfId="24212" xr:uid="{00000000-0005-0000-0000-0000BD5E0000}"/>
    <cellStyle name="Header2 3 2 7 5" xfId="24213" xr:uid="{00000000-0005-0000-0000-0000BE5E0000}"/>
    <cellStyle name="Header2 3 2 8" xfId="24214" xr:uid="{00000000-0005-0000-0000-0000BF5E0000}"/>
    <cellStyle name="Header2 3 2 8 2" xfId="24215" xr:uid="{00000000-0005-0000-0000-0000C05E0000}"/>
    <cellStyle name="Header2 3 2 8 2 2" xfId="24216" xr:uid="{00000000-0005-0000-0000-0000C15E0000}"/>
    <cellStyle name="Header2 3 2 8 2 2 2" xfId="24217" xr:uid="{00000000-0005-0000-0000-0000C25E0000}"/>
    <cellStyle name="Header2 3 2 8 2 2 3" xfId="24218" xr:uid="{00000000-0005-0000-0000-0000C35E0000}"/>
    <cellStyle name="Header2 3 2 8 2 2 4" xfId="24219" xr:uid="{00000000-0005-0000-0000-0000C45E0000}"/>
    <cellStyle name="Header2 3 2 8 2 2 5" xfId="24220" xr:uid="{00000000-0005-0000-0000-0000C55E0000}"/>
    <cellStyle name="Header2 3 2 8 2 3" xfId="24221" xr:uid="{00000000-0005-0000-0000-0000C65E0000}"/>
    <cellStyle name="Header2 3 2 8 2 3 2" xfId="24222" xr:uid="{00000000-0005-0000-0000-0000C75E0000}"/>
    <cellStyle name="Header2 3 2 8 2 3 3" xfId="24223" xr:uid="{00000000-0005-0000-0000-0000C85E0000}"/>
    <cellStyle name="Header2 3 2 8 2 3 4" xfId="24224" xr:uid="{00000000-0005-0000-0000-0000C95E0000}"/>
    <cellStyle name="Header2 3 2 8 2 4" xfId="24225" xr:uid="{00000000-0005-0000-0000-0000CA5E0000}"/>
    <cellStyle name="Header2 3 2 8 2 5" xfId="24226" xr:uid="{00000000-0005-0000-0000-0000CB5E0000}"/>
    <cellStyle name="Header2 3 2 8 2 6" xfId="24227" xr:uid="{00000000-0005-0000-0000-0000CC5E0000}"/>
    <cellStyle name="Header2 3 2 8 3" xfId="24228" xr:uid="{00000000-0005-0000-0000-0000CD5E0000}"/>
    <cellStyle name="Header2 3 2 8 3 2" xfId="24229" xr:uid="{00000000-0005-0000-0000-0000CE5E0000}"/>
    <cellStyle name="Header2 3 2 8 3 2 2" xfId="24230" xr:uid="{00000000-0005-0000-0000-0000CF5E0000}"/>
    <cellStyle name="Header2 3 2 8 3 2 3" xfId="24231" xr:uid="{00000000-0005-0000-0000-0000D05E0000}"/>
    <cellStyle name="Header2 3 2 8 3 2 4" xfId="24232" xr:uid="{00000000-0005-0000-0000-0000D15E0000}"/>
    <cellStyle name="Header2 3 2 8 3 3" xfId="24233" xr:uid="{00000000-0005-0000-0000-0000D25E0000}"/>
    <cellStyle name="Header2 3 2 8 3 3 2" xfId="24234" xr:uid="{00000000-0005-0000-0000-0000D35E0000}"/>
    <cellStyle name="Header2 3 2 8 3 3 3" xfId="24235" xr:uid="{00000000-0005-0000-0000-0000D45E0000}"/>
    <cellStyle name="Header2 3 2 8 3 3 4" xfId="24236" xr:uid="{00000000-0005-0000-0000-0000D55E0000}"/>
    <cellStyle name="Header2 3 2 8 3 4" xfId="24237" xr:uid="{00000000-0005-0000-0000-0000D65E0000}"/>
    <cellStyle name="Header2 3 2 8 3 5" xfId="24238" xr:uid="{00000000-0005-0000-0000-0000D75E0000}"/>
    <cellStyle name="Header2 3 2 8 3 6" xfId="24239" xr:uid="{00000000-0005-0000-0000-0000D85E0000}"/>
    <cellStyle name="Header2 3 2 8 4" xfId="24240" xr:uid="{00000000-0005-0000-0000-0000D95E0000}"/>
    <cellStyle name="Header2 3 2 8 5" xfId="24241" xr:uid="{00000000-0005-0000-0000-0000DA5E0000}"/>
    <cellStyle name="Header2 3 2 9" xfId="24242" xr:uid="{00000000-0005-0000-0000-0000DB5E0000}"/>
    <cellStyle name="Header2 3 2 9 2" xfId="24243" xr:uid="{00000000-0005-0000-0000-0000DC5E0000}"/>
    <cellStyle name="Header2 3 2 9 2 2" xfId="24244" xr:uid="{00000000-0005-0000-0000-0000DD5E0000}"/>
    <cellStyle name="Header2 3 2 9 2 2 2" xfId="24245" xr:uid="{00000000-0005-0000-0000-0000DE5E0000}"/>
    <cellStyle name="Header2 3 2 9 2 2 3" xfId="24246" xr:uid="{00000000-0005-0000-0000-0000DF5E0000}"/>
    <cellStyle name="Header2 3 2 9 2 2 4" xfId="24247" xr:uid="{00000000-0005-0000-0000-0000E05E0000}"/>
    <cellStyle name="Header2 3 2 9 2 2 5" xfId="24248" xr:uid="{00000000-0005-0000-0000-0000E15E0000}"/>
    <cellStyle name="Header2 3 2 9 2 3" xfId="24249" xr:uid="{00000000-0005-0000-0000-0000E25E0000}"/>
    <cellStyle name="Header2 3 2 9 2 3 2" xfId="24250" xr:uid="{00000000-0005-0000-0000-0000E35E0000}"/>
    <cellStyle name="Header2 3 2 9 2 3 3" xfId="24251" xr:uid="{00000000-0005-0000-0000-0000E45E0000}"/>
    <cellStyle name="Header2 3 2 9 2 3 4" xfId="24252" xr:uid="{00000000-0005-0000-0000-0000E55E0000}"/>
    <cellStyle name="Header2 3 2 9 2 4" xfId="24253" xr:uid="{00000000-0005-0000-0000-0000E65E0000}"/>
    <cellStyle name="Header2 3 2 9 2 5" xfId="24254" xr:uid="{00000000-0005-0000-0000-0000E75E0000}"/>
    <cellStyle name="Header2 3 2 9 2 6" xfId="24255" xr:uid="{00000000-0005-0000-0000-0000E85E0000}"/>
    <cellStyle name="Header2 3 2 9 3" xfId="24256" xr:uid="{00000000-0005-0000-0000-0000E95E0000}"/>
    <cellStyle name="Header2 3 2 9 3 2" xfId="24257" xr:uid="{00000000-0005-0000-0000-0000EA5E0000}"/>
    <cellStyle name="Header2 3 2 9 3 2 2" xfId="24258" xr:uid="{00000000-0005-0000-0000-0000EB5E0000}"/>
    <cellStyle name="Header2 3 2 9 3 2 3" xfId="24259" xr:uid="{00000000-0005-0000-0000-0000EC5E0000}"/>
    <cellStyle name="Header2 3 2 9 3 2 4" xfId="24260" xr:uid="{00000000-0005-0000-0000-0000ED5E0000}"/>
    <cellStyle name="Header2 3 2 9 3 3" xfId="24261" xr:uid="{00000000-0005-0000-0000-0000EE5E0000}"/>
    <cellStyle name="Header2 3 2 9 3 3 2" xfId="24262" xr:uid="{00000000-0005-0000-0000-0000EF5E0000}"/>
    <cellStyle name="Header2 3 2 9 3 3 3" xfId="24263" xr:uid="{00000000-0005-0000-0000-0000F05E0000}"/>
    <cellStyle name="Header2 3 2 9 3 3 4" xfId="24264" xr:uid="{00000000-0005-0000-0000-0000F15E0000}"/>
    <cellStyle name="Header2 3 2 9 3 4" xfId="24265" xr:uid="{00000000-0005-0000-0000-0000F25E0000}"/>
    <cellStyle name="Header2 3 2 9 3 5" xfId="24266" xr:uid="{00000000-0005-0000-0000-0000F35E0000}"/>
    <cellStyle name="Header2 3 2 9 3 6" xfId="24267" xr:uid="{00000000-0005-0000-0000-0000F45E0000}"/>
    <cellStyle name="Header2 3 2 9 4" xfId="24268" xr:uid="{00000000-0005-0000-0000-0000F55E0000}"/>
    <cellStyle name="Header2 3 2 9 5" xfId="24269" xr:uid="{00000000-0005-0000-0000-0000F65E0000}"/>
    <cellStyle name="Header2 3 3" xfId="24270" xr:uid="{00000000-0005-0000-0000-0000F75E0000}"/>
    <cellStyle name="Header2 3 3 10" xfId="24271" xr:uid="{00000000-0005-0000-0000-0000F85E0000}"/>
    <cellStyle name="Header2 3 3 10 2" xfId="24272" xr:uid="{00000000-0005-0000-0000-0000F95E0000}"/>
    <cellStyle name="Header2 3 3 10 2 2" xfId="24273" xr:uid="{00000000-0005-0000-0000-0000FA5E0000}"/>
    <cellStyle name="Header2 3 3 10 2 2 2" xfId="24274" xr:uid="{00000000-0005-0000-0000-0000FB5E0000}"/>
    <cellStyle name="Header2 3 3 10 2 2 3" xfId="24275" xr:uid="{00000000-0005-0000-0000-0000FC5E0000}"/>
    <cellStyle name="Header2 3 3 10 2 2 4" xfId="24276" xr:uid="{00000000-0005-0000-0000-0000FD5E0000}"/>
    <cellStyle name="Header2 3 3 10 2 2 5" xfId="24277" xr:uid="{00000000-0005-0000-0000-0000FE5E0000}"/>
    <cellStyle name="Header2 3 3 10 2 3" xfId="24278" xr:uid="{00000000-0005-0000-0000-0000FF5E0000}"/>
    <cellStyle name="Header2 3 3 10 2 3 2" xfId="24279" xr:uid="{00000000-0005-0000-0000-0000005F0000}"/>
    <cellStyle name="Header2 3 3 10 2 3 3" xfId="24280" xr:uid="{00000000-0005-0000-0000-0000015F0000}"/>
    <cellStyle name="Header2 3 3 10 2 3 4" xfId="24281" xr:uid="{00000000-0005-0000-0000-0000025F0000}"/>
    <cellStyle name="Header2 3 3 10 2 4" xfId="24282" xr:uid="{00000000-0005-0000-0000-0000035F0000}"/>
    <cellStyle name="Header2 3 3 10 2 5" xfId="24283" xr:uid="{00000000-0005-0000-0000-0000045F0000}"/>
    <cellStyle name="Header2 3 3 10 2 6" xfId="24284" xr:uid="{00000000-0005-0000-0000-0000055F0000}"/>
    <cellStyle name="Header2 3 3 10 3" xfId="24285" xr:uid="{00000000-0005-0000-0000-0000065F0000}"/>
    <cellStyle name="Header2 3 3 10 3 2" xfId="24286" xr:uid="{00000000-0005-0000-0000-0000075F0000}"/>
    <cellStyle name="Header2 3 3 10 3 2 2" xfId="24287" xr:uid="{00000000-0005-0000-0000-0000085F0000}"/>
    <cellStyle name="Header2 3 3 10 3 2 3" xfId="24288" xr:uid="{00000000-0005-0000-0000-0000095F0000}"/>
    <cellStyle name="Header2 3 3 10 3 2 4" xfId="24289" xr:uid="{00000000-0005-0000-0000-00000A5F0000}"/>
    <cellStyle name="Header2 3 3 10 3 3" xfId="24290" xr:uid="{00000000-0005-0000-0000-00000B5F0000}"/>
    <cellStyle name="Header2 3 3 10 3 3 2" xfId="24291" xr:uid="{00000000-0005-0000-0000-00000C5F0000}"/>
    <cellStyle name="Header2 3 3 10 3 3 3" xfId="24292" xr:uid="{00000000-0005-0000-0000-00000D5F0000}"/>
    <cellStyle name="Header2 3 3 10 3 3 4" xfId="24293" xr:uid="{00000000-0005-0000-0000-00000E5F0000}"/>
    <cellStyle name="Header2 3 3 10 3 4" xfId="24294" xr:uid="{00000000-0005-0000-0000-00000F5F0000}"/>
    <cellStyle name="Header2 3 3 10 3 5" xfId="24295" xr:uid="{00000000-0005-0000-0000-0000105F0000}"/>
    <cellStyle name="Header2 3 3 10 3 6" xfId="24296" xr:uid="{00000000-0005-0000-0000-0000115F0000}"/>
    <cellStyle name="Header2 3 3 10 4" xfId="24297" xr:uid="{00000000-0005-0000-0000-0000125F0000}"/>
    <cellStyle name="Header2 3 3 10 5" xfId="24298" xr:uid="{00000000-0005-0000-0000-0000135F0000}"/>
    <cellStyle name="Header2 3 3 11" xfId="24299" xr:uid="{00000000-0005-0000-0000-0000145F0000}"/>
    <cellStyle name="Header2 3 3 11 2" xfId="24300" xr:uid="{00000000-0005-0000-0000-0000155F0000}"/>
    <cellStyle name="Header2 3 3 11 2 2" xfId="24301" xr:uid="{00000000-0005-0000-0000-0000165F0000}"/>
    <cellStyle name="Header2 3 3 11 2 2 2" xfId="24302" xr:uid="{00000000-0005-0000-0000-0000175F0000}"/>
    <cellStyle name="Header2 3 3 11 2 2 3" xfId="24303" xr:uid="{00000000-0005-0000-0000-0000185F0000}"/>
    <cellStyle name="Header2 3 3 11 2 2 4" xfId="24304" xr:uid="{00000000-0005-0000-0000-0000195F0000}"/>
    <cellStyle name="Header2 3 3 11 2 2 5" xfId="24305" xr:uid="{00000000-0005-0000-0000-00001A5F0000}"/>
    <cellStyle name="Header2 3 3 11 2 3" xfId="24306" xr:uid="{00000000-0005-0000-0000-00001B5F0000}"/>
    <cellStyle name="Header2 3 3 11 2 3 2" xfId="24307" xr:uid="{00000000-0005-0000-0000-00001C5F0000}"/>
    <cellStyle name="Header2 3 3 11 2 3 3" xfId="24308" xr:uid="{00000000-0005-0000-0000-00001D5F0000}"/>
    <cellStyle name="Header2 3 3 11 2 3 4" xfId="24309" xr:uid="{00000000-0005-0000-0000-00001E5F0000}"/>
    <cellStyle name="Header2 3 3 11 2 4" xfId="24310" xr:uid="{00000000-0005-0000-0000-00001F5F0000}"/>
    <cellStyle name="Header2 3 3 11 2 5" xfId="24311" xr:uid="{00000000-0005-0000-0000-0000205F0000}"/>
    <cellStyle name="Header2 3 3 11 2 6" xfId="24312" xr:uid="{00000000-0005-0000-0000-0000215F0000}"/>
    <cellStyle name="Header2 3 3 11 3" xfId="24313" xr:uid="{00000000-0005-0000-0000-0000225F0000}"/>
    <cellStyle name="Header2 3 3 11 3 2" xfId="24314" xr:uid="{00000000-0005-0000-0000-0000235F0000}"/>
    <cellStyle name="Header2 3 3 11 3 2 2" xfId="24315" xr:uid="{00000000-0005-0000-0000-0000245F0000}"/>
    <cellStyle name="Header2 3 3 11 3 2 3" xfId="24316" xr:uid="{00000000-0005-0000-0000-0000255F0000}"/>
    <cellStyle name="Header2 3 3 11 3 2 4" xfId="24317" xr:uid="{00000000-0005-0000-0000-0000265F0000}"/>
    <cellStyle name="Header2 3 3 11 3 3" xfId="24318" xr:uid="{00000000-0005-0000-0000-0000275F0000}"/>
    <cellStyle name="Header2 3 3 11 3 3 2" xfId="24319" xr:uid="{00000000-0005-0000-0000-0000285F0000}"/>
    <cellStyle name="Header2 3 3 11 3 3 3" xfId="24320" xr:uid="{00000000-0005-0000-0000-0000295F0000}"/>
    <cellStyle name="Header2 3 3 11 3 3 4" xfId="24321" xr:uid="{00000000-0005-0000-0000-00002A5F0000}"/>
    <cellStyle name="Header2 3 3 11 3 4" xfId="24322" xr:uid="{00000000-0005-0000-0000-00002B5F0000}"/>
    <cellStyle name="Header2 3 3 11 3 5" xfId="24323" xr:uid="{00000000-0005-0000-0000-00002C5F0000}"/>
    <cellStyle name="Header2 3 3 11 3 6" xfId="24324" xr:uid="{00000000-0005-0000-0000-00002D5F0000}"/>
    <cellStyle name="Header2 3 3 11 4" xfId="24325" xr:uid="{00000000-0005-0000-0000-00002E5F0000}"/>
    <cellStyle name="Header2 3 3 11 5" xfId="24326" xr:uid="{00000000-0005-0000-0000-00002F5F0000}"/>
    <cellStyle name="Header2 3 3 12" xfId="24327" xr:uid="{00000000-0005-0000-0000-0000305F0000}"/>
    <cellStyle name="Header2 3 3 12 2" xfId="24328" xr:uid="{00000000-0005-0000-0000-0000315F0000}"/>
    <cellStyle name="Header2 3 3 12 2 2" xfId="24329" xr:uid="{00000000-0005-0000-0000-0000325F0000}"/>
    <cellStyle name="Header2 3 3 12 2 2 2" xfId="24330" xr:uid="{00000000-0005-0000-0000-0000335F0000}"/>
    <cellStyle name="Header2 3 3 12 2 2 3" xfId="24331" xr:uid="{00000000-0005-0000-0000-0000345F0000}"/>
    <cellStyle name="Header2 3 3 12 2 2 4" xfId="24332" xr:uid="{00000000-0005-0000-0000-0000355F0000}"/>
    <cellStyle name="Header2 3 3 12 2 2 5" xfId="24333" xr:uid="{00000000-0005-0000-0000-0000365F0000}"/>
    <cellStyle name="Header2 3 3 12 2 3" xfId="24334" xr:uid="{00000000-0005-0000-0000-0000375F0000}"/>
    <cellStyle name="Header2 3 3 12 2 3 2" xfId="24335" xr:uid="{00000000-0005-0000-0000-0000385F0000}"/>
    <cellStyle name="Header2 3 3 12 2 3 3" xfId="24336" xr:uid="{00000000-0005-0000-0000-0000395F0000}"/>
    <cellStyle name="Header2 3 3 12 2 3 4" xfId="24337" xr:uid="{00000000-0005-0000-0000-00003A5F0000}"/>
    <cellStyle name="Header2 3 3 12 2 4" xfId="24338" xr:uid="{00000000-0005-0000-0000-00003B5F0000}"/>
    <cellStyle name="Header2 3 3 12 2 5" xfId="24339" xr:uid="{00000000-0005-0000-0000-00003C5F0000}"/>
    <cellStyle name="Header2 3 3 12 2 6" xfId="24340" xr:uid="{00000000-0005-0000-0000-00003D5F0000}"/>
    <cellStyle name="Header2 3 3 12 3" xfId="24341" xr:uid="{00000000-0005-0000-0000-00003E5F0000}"/>
    <cellStyle name="Header2 3 3 12 3 2" xfId="24342" xr:uid="{00000000-0005-0000-0000-00003F5F0000}"/>
    <cellStyle name="Header2 3 3 12 3 2 2" xfId="24343" xr:uid="{00000000-0005-0000-0000-0000405F0000}"/>
    <cellStyle name="Header2 3 3 12 3 2 3" xfId="24344" xr:uid="{00000000-0005-0000-0000-0000415F0000}"/>
    <cellStyle name="Header2 3 3 12 3 2 4" xfId="24345" xr:uid="{00000000-0005-0000-0000-0000425F0000}"/>
    <cellStyle name="Header2 3 3 12 3 3" xfId="24346" xr:uid="{00000000-0005-0000-0000-0000435F0000}"/>
    <cellStyle name="Header2 3 3 12 3 3 2" xfId="24347" xr:uid="{00000000-0005-0000-0000-0000445F0000}"/>
    <cellStyle name="Header2 3 3 12 3 3 3" xfId="24348" xr:uid="{00000000-0005-0000-0000-0000455F0000}"/>
    <cellStyle name="Header2 3 3 12 3 3 4" xfId="24349" xr:uid="{00000000-0005-0000-0000-0000465F0000}"/>
    <cellStyle name="Header2 3 3 12 3 4" xfId="24350" xr:uid="{00000000-0005-0000-0000-0000475F0000}"/>
    <cellStyle name="Header2 3 3 12 3 5" xfId="24351" xr:uid="{00000000-0005-0000-0000-0000485F0000}"/>
    <cellStyle name="Header2 3 3 12 3 6" xfId="24352" xr:uid="{00000000-0005-0000-0000-0000495F0000}"/>
    <cellStyle name="Header2 3 3 12 4" xfId="24353" xr:uid="{00000000-0005-0000-0000-00004A5F0000}"/>
    <cellStyle name="Header2 3 3 12 5" xfId="24354" xr:uid="{00000000-0005-0000-0000-00004B5F0000}"/>
    <cellStyle name="Header2 3 3 13" xfId="58759" xr:uid="{00000000-0005-0000-0000-00004C5F0000}"/>
    <cellStyle name="Header2 3 3 2" xfId="24355" xr:uid="{00000000-0005-0000-0000-00004D5F0000}"/>
    <cellStyle name="Header2 3 3 2 2" xfId="24356" xr:uid="{00000000-0005-0000-0000-00004E5F0000}"/>
    <cellStyle name="Header2 3 3 2 2 2" xfId="24357" xr:uid="{00000000-0005-0000-0000-00004F5F0000}"/>
    <cellStyle name="Header2 3 3 2 2 3" xfId="24358" xr:uid="{00000000-0005-0000-0000-0000505F0000}"/>
    <cellStyle name="Header2 3 3 2 3" xfId="24359" xr:uid="{00000000-0005-0000-0000-0000515F0000}"/>
    <cellStyle name="Header2 3 3 3" xfId="24360" xr:uid="{00000000-0005-0000-0000-0000525F0000}"/>
    <cellStyle name="Header2 3 3 3 2" xfId="24361" xr:uid="{00000000-0005-0000-0000-0000535F0000}"/>
    <cellStyle name="Header2 3 3 3 2 2" xfId="24362" xr:uid="{00000000-0005-0000-0000-0000545F0000}"/>
    <cellStyle name="Header2 3 3 3 2 3" xfId="24363" xr:uid="{00000000-0005-0000-0000-0000555F0000}"/>
    <cellStyle name="Header2 3 3 3 3" xfId="24364" xr:uid="{00000000-0005-0000-0000-0000565F0000}"/>
    <cellStyle name="Header2 3 3 4" xfId="24365" xr:uid="{00000000-0005-0000-0000-0000575F0000}"/>
    <cellStyle name="Header2 3 3 4 2" xfId="24366" xr:uid="{00000000-0005-0000-0000-0000585F0000}"/>
    <cellStyle name="Header2 3 3 4 2 2" xfId="24367" xr:uid="{00000000-0005-0000-0000-0000595F0000}"/>
    <cellStyle name="Header2 3 3 4 2 3" xfId="24368" xr:uid="{00000000-0005-0000-0000-00005A5F0000}"/>
    <cellStyle name="Header2 3 3 4 3" xfId="24369" xr:uid="{00000000-0005-0000-0000-00005B5F0000}"/>
    <cellStyle name="Header2 3 3 5" xfId="24370" xr:uid="{00000000-0005-0000-0000-00005C5F0000}"/>
    <cellStyle name="Header2 3 3 5 2" xfId="24371" xr:uid="{00000000-0005-0000-0000-00005D5F0000}"/>
    <cellStyle name="Header2 3 3 5 2 2" xfId="24372" xr:uid="{00000000-0005-0000-0000-00005E5F0000}"/>
    <cellStyle name="Header2 3 3 5 2 2 2" xfId="24373" xr:uid="{00000000-0005-0000-0000-00005F5F0000}"/>
    <cellStyle name="Header2 3 3 5 2 2 3" xfId="24374" xr:uid="{00000000-0005-0000-0000-0000605F0000}"/>
    <cellStyle name="Header2 3 3 5 2 2 4" xfId="24375" xr:uid="{00000000-0005-0000-0000-0000615F0000}"/>
    <cellStyle name="Header2 3 3 5 2 2 5" xfId="24376" xr:uid="{00000000-0005-0000-0000-0000625F0000}"/>
    <cellStyle name="Header2 3 3 5 2 3" xfId="24377" xr:uid="{00000000-0005-0000-0000-0000635F0000}"/>
    <cellStyle name="Header2 3 3 5 2 3 2" xfId="24378" xr:uid="{00000000-0005-0000-0000-0000645F0000}"/>
    <cellStyle name="Header2 3 3 5 2 3 3" xfId="24379" xr:uid="{00000000-0005-0000-0000-0000655F0000}"/>
    <cellStyle name="Header2 3 3 5 2 3 4" xfId="24380" xr:uid="{00000000-0005-0000-0000-0000665F0000}"/>
    <cellStyle name="Header2 3 3 5 2 4" xfId="24381" xr:uid="{00000000-0005-0000-0000-0000675F0000}"/>
    <cellStyle name="Header2 3 3 5 2 5" xfId="24382" xr:uid="{00000000-0005-0000-0000-0000685F0000}"/>
    <cellStyle name="Header2 3 3 5 2 6" xfId="24383" xr:uid="{00000000-0005-0000-0000-0000695F0000}"/>
    <cellStyle name="Header2 3 3 5 3" xfId="24384" xr:uid="{00000000-0005-0000-0000-00006A5F0000}"/>
    <cellStyle name="Header2 3 3 5 3 2" xfId="24385" xr:uid="{00000000-0005-0000-0000-00006B5F0000}"/>
    <cellStyle name="Header2 3 3 5 3 2 2" xfId="24386" xr:uid="{00000000-0005-0000-0000-00006C5F0000}"/>
    <cellStyle name="Header2 3 3 5 3 2 3" xfId="24387" xr:uid="{00000000-0005-0000-0000-00006D5F0000}"/>
    <cellStyle name="Header2 3 3 5 3 2 4" xfId="24388" xr:uid="{00000000-0005-0000-0000-00006E5F0000}"/>
    <cellStyle name="Header2 3 3 5 3 3" xfId="24389" xr:uid="{00000000-0005-0000-0000-00006F5F0000}"/>
    <cellStyle name="Header2 3 3 5 3 3 2" xfId="24390" xr:uid="{00000000-0005-0000-0000-0000705F0000}"/>
    <cellStyle name="Header2 3 3 5 3 3 3" xfId="24391" xr:uid="{00000000-0005-0000-0000-0000715F0000}"/>
    <cellStyle name="Header2 3 3 5 3 3 4" xfId="24392" xr:uid="{00000000-0005-0000-0000-0000725F0000}"/>
    <cellStyle name="Header2 3 3 5 3 4" xfId="24393" xr:uid="{00000000-0005-0000-0000-0000735F0000}"/>
    <cellStyle name="Header2 3 3 5 3 5" xfId="24394" xr:uid="{00000000-0005-0000-0000-0000745F0000}"/>
    <cellStyle name="Header2 3 3 5 3 6" xfId="24395" xr:uid="{00000000-0005-0000-0000-0000755F0000}"/>
    <cellStyle name="Header2 3 3 5 4" xfId="24396" xr:uid="{00000000-0005-0000-0000-0000765F0000}"/>
    <cellStyle name="Header2 3 3 5 5" xfId="24397" xr:uid="{00000000-0005-0000-0000-0000775F0000}"/>
    <cellStyle name="Header2 3 3 6" xfId="24398" xr:uid="{00000000-0005-0000-0000-0000785F0000}"/>
    <cellStyle name="Header2 3 3 6 2" xfId="24399" xr:uid="{00000000-0005-0000-0000-0000795F0000}"/>
    <cellStyle name="Header2 3 3 6 2 2" xfId="24400" xr:uid="{00000000-0005-0000-0000-00007A5F0000}"/>
    <cellStyle name="Header2 3 3 6 2 2 2" xfId="24401" xr:uid="{00000000-0005-0000-0000-00007B5F0000}"/>
    <cellStyle name="Header2 3 3 6 2 2 3" xfId="24402" xr:uid="{00000000-0005-0000-0000-00007C5F0000}"/>
    <cellStyle name="Header2 3 3 6 2 2 4" xfId="24403" xr:uid="{00000000-0005-0000-0000-00007D5F0000}"/>
    <cellStyle name="Header2 3 3 6 2 2 5" xfId="24404" xr:uid="{00000000-0005-0000-0000-00007E5F0000}"/>
    <cellStyle name="Header2 3 3 6 2 3" xfId="24405" xr:uid="{00000000-0005-0000-0000-00007F5F0000}"/>
    <cellStyle name="Header2 3 3 6 2 3 2" xfId="24406" xr:uid="{00000000-0005-0000-0000-0000805F0000}"/>
    <cellStyle name="Header2 3 3 6 2 3 3" xfId="24407" xr:uid="{00000000-0005-0000-0000-0000815F0000}"/>
    <cellStyle name="Header2 3 3 6 2 3 4" xfId="24408" xr:uid="{00000000-0005-0000-0000-0000825F0000}"/>
    <cellStyle name="Header2 3 3 6 2 4" xfId="24409" xr:uid="{00000000-0005-0000-0000-0000835F0000}"/>
    <cellStyle name="Header2 3 3 6 2 5" xfId="24410" xr:uid="{00000000-0005-0000-0000-0000845F0000}"/>
    <cellStyle name="Header2 3 3 6 2 6" xfId="24411" xr:uid="{00000000-0005-0000-0000-0000855F0000}"/>
    <cellStyle name="Header2 3 3 6 3" xfId="24412" xr:uid="{00000000-0005-0000-0000-0000865F0000}"/>
    <cellStyle name="Header2 3 3 6 3 2" xfId="24413" xr:uid="{00000000-0005-0000-0000-0000875F0000}"/>
    <cellStyle name="Header2 3 3 6 3 2 2" xfId="24414" xr:uid="{00000000-0005-0000-0000-0000885F0000}"/>
    <cellStyle name="Header2 3 3 6 3 2 3" xfId="24415" xr:uid="{00000000-0005-0000-0000-0000895F0000}"/>
    <cellStyle name="Header2 3 3 6 3 2 4" xfId="24416" xr:uid="{00000000-0005-0000-0000-00008A5F0000}"/>
    <cellStyle name="Header2 3 3 6 3 3" xfId="24417" xr:uid="{00000000-0005-0000-0000-00008B5F0000}"/>
    <cellStyle name="Header2 3 3 6 3 3 2" xfId="24418" xr:uid="{00000000-0005-0000-0000-00008C5F0000}"/>
    <cellStyle name="Header2 3 3 6 3 3 3" xfId="24419" xr:uid="{00000000-0005-0000-0000-00008D5F0000}"/>
    <cellStyle name="Header2 3 3 6 3 3 4" xfId="24420" xr:uid="{00000000-0005-0000-0000-00008E5F0000}"/>
    <cellStyle name="Header2 3 3 6 3 4" xfId="24421" xr:uid="{00000000-0005-0000-0000-00008F5F0000}"/>
    <cellStyle name="Header2 3 3 6 3 5" xfId="24422" xr:uid="{00000000-0005-0000-0000-0000905F0000}"/>
    <cellStyle name="Header2 3 3 6 3 6" xfId="24423" xr:uid="{00000000-0005-0000-0000-0000915F0000}"/>
    <cellStyle name="Header2 3 3 6 4" xfId="24424" xr:uid="{00000000-0005-0000-0000-0000925F0000}"/>
    <cellStyle name="Header2 3 3 6 5" xfId="24425" xr:uid="{00000000-0005-0000-0000-0000935F0000}"/>
    <cellStyle name="Header2 3 3 7" xfId="24426" xr:uid="{00000000-0005-0000-0000-0000945F0000}"/>
    <cellStyle name="Header2 3 3 7 2" xfId="24427" xr:uid="{00000000-0005-0000-0000-0000955F0000}"/>
    <cellStyle name="Header2 3 3 7 2 2" xfId="24428" xr:uid="{00000000-0005-0000-0000-0000965F0000}"/>
    <cellStyle name="Header2 3 3 7 2 2 2" xfId="24429" xr:uid="{00000000-0005-0000-0000-0000975F0000}"/>
    <cellStyle name="Header2 3 3 7 2 2 3" xfId="24430" xr:uid="{00000000-0005-0000-0000-0000985F0000}"/>
    <cellStyle name="Header2 3 3 7 2 2 4" xfId="24431" xr:uid="{00000000-0005-0000-0000-0000995F0000}"/>
    <cellStyle name="Header2 3 3 7 2 2 5" xfId="24432" xr:uid="{00000000-0005-0000-0000-00009A5F0000}"/>
    <cellStyle name="Header2 3 3 7 2 3" xfId="24433" xr:uid="{00000000-0005-0000-0000-00009B5F0000}"/>
    <cellStyle name="Header2 3 3 7 2 3 2" xfId="24434" xr:uid="{00000000-0005-0000-0000-00009C5F0000}"/>
    <cellStyle name="Header2 3 3 7 2 3 3" xfId="24435" xr:uid="{00000000-0005-0000-0000-00009D5F0000}"/>
    <cellStyle name="Header2 3 3 7 2 3 4" xfId="24436" xr:uid="{00000000-0005-0000-0000-00009E5F0000}"/>
    <cellStyle name="Header2 3 3 7 2 4" xfId="24437" xr:uid="{00000000-0005-0000-0000-00009F5F0000}"/>
    <cellStyle name="Header2 3 3 7 2 5" xfId="24438" xr:uid="{00000000-0005-0000-0000-0000A05F0000}"/>
    <cellStyle name="Header2 3 3 7 2 6" xfId="24439" xr:uid="{00000000-0005-0000-0000-0000A15F0000}"/>
    <cellStyle name="Header2 3 3 7 3" xfId="24440" xr:uid="{00000000-0005-0000-0000-0000A25F0000}"/>
    <cellStyle name="Header2 3 3 7 3 2" xfId="24441" xr:uid="{00000000-0005-0000-0000-0000A35F0000}"/>
    <cellStyle name="Header2 3 3 7 3 2 2" xfId="24442" xr:uid="{00000000-0005-0000-0000-0000A45F0000}"/>
    <cellStyle name="Header2 3 3 7 3 2 3" xfId="24443" xr:uid="{00000000-0005-0000-0000-0000A55F0000}"/>
    <cellStyle name="Header2 3 3 7 3 2 4" xfId="24444" xr:uid="{00000000-0005-0000-0000-0000A65F0000}"/>
    <cellStyle name="Header2 3 3 7 3 3" xfId="24445" xr:uid="{00000000-0005-0000-0000-0000A75F0000}"/>
    <cellStyle name="Header2 3 3 7 3 3 2" xfId="24446" xr:uid="{00000000-0005-0000-0000-0000A85F0000}"/>
    <cellStyle name="Header2 3 3 7 3 3 3" xfId="24447" xr:uid="{00000000-0005-0000-0000-0000A95F0000}"/>
    <cellStyle name="Header2 3 3 7 3 3 4" xfId="24448" xr:uid="{00000000-0005-0000-0000-0000AA5F0000}"/>
    <cellStyle name="Header2 3 3 7 3 4" xfId="24449" xr:uid="{00000000-0005-0000-0000-0000AB5F0000}"/>
    <cellStyle name="Header2 3 3 7 3 5" xfId="24450" xr:uid="{00000000-0005-0000-0000-0000AC5F0000}"/>
    <cellStyle name="Header2 3 3 7 3 6" xfId="24451" xr:uid="{00000000-0005-0000-0000-0000AD5F0000}"/>
    <cellStyle name="Header2 3 3 7 4" xfId="24452" xr:uid="{00000000-0005-0000-0000-0000AE5F0000}"/>
    <cellStyle name="Header2 3 3 7 5" xfId="24453" xr:uid="{00000000-0005-0000-0000-0000AF5F0000}"/>
    <cellStyle name="Header2 3 3 8" xfId="24454" xr:uid="{00000000-0005-0000-0000-0000B05F0000}"/>
    <cellStyle name="Header2 3 3 8 2" xfId="24455" xr:uid="{00000000-0005-0000-0000-0000B15F0000}"/>
    <cellStyle name="Header2 3 3 8 2 2" xfId="24456" xr:uid="{00000000-0005-0000-0000-0000B25F0000}"/>
    <cellStyle name="Header2 3 3 8 2 2 2" xfId="24457" xr:uid="{00000000-0005-0000-0000-0000B35F0000}"/>
    <cellStyle name="Header2 3 3 8 2 2 3" xfId="24458" xr:uid="{00000000-0005-0000-0000-0000B45F0000}"/>
    <cellStyle name="Header2 3 3 8 2 2 4" xfId="24459" xr:uid="{00000000-0005-0000-0000-0000B55F0000}"/>
    <cellStyle name="Header2 3 3 8 2 2 5" xfId="24460" xr:uid="{00000000-0005-0000-0000-0000B65F0000}"/>
    <cellStyle name="Header2 3 3 8 2 3" xfId="24461" xr:uid="{00000000-0005-0000-0000-0000B75F0000}"/>
    <cellStyle name="Header2 3 3 8 2 3 2" xfId="24462" xr:uid="{00000000-0005-0000-0000-0000B85F0000}"/>
    <cellStyle name="Header2 3 3 8 2 3 3" xfId="24463" xr:uid="{00000000-0005-0000-0000-0000B95F0000}"/>
    <cellStyle name="Header2 3 3 8 2 3 4" xfId="24464" xr:uid="{00000000-0005-0000-0000-0000BA5F0000}"/>
    <cellStyle name="Header2 3 3 8 2 4" xfId="24465" xr:uid="{00000000-0005-0000-0000-0000BB5F0000}"/>
    <cellStyle name="Header2 3 3 8 2 5" xfId="24466" xr:uid="{00000000-0005-0000-0000-0000BC5F0000}"/>
    <cellStyle name="Header2 3 3 8 2 6" xfId="24467" xr:uid="{00000000-0005-0000-0000-0000BD5F0000}"/>
    <cellStyle name="Header2 3 3 8 3" xfId="24468" xr:uid="{00000000-0005-0000-0000-0000BE5F0000}"/>
    <cellStyle name="Header2 3 3 8 3 2" xfId="24469" xr:uid="{00000000-0005-0000-0000-0000BF5F0000}"/>
    <cellStyle name="Header2 3 3 8 3 2 2" xfId="24470" xr:uid="{00000000-0005-0000-0000-0000C05F0000}"/>
    <cellStyle name="Header2 3 3 8 3 2 3" xfId="24471" xr:uid="{00000000-0005-0000-0000-0000C15F0000}"/>
    <cellStyle name="Header2 3 3 8 3 2 4" xfId="24472" xr:uid="{00000000-0005-0000-0000-0000C25F0000}"/>
    <cellStyle name="Header2 3 3 8 3 3" xfId="24473" xr:uid="{00000000-0005-0000-0000-0000C35F0000}"/>
    <cellStyle name="Header2 3 3 8 3 3 2" xfId="24474" xr:uid="{00000000-0005-0000-0000-0000C45F0000}"/>
    <cellStyle name="Header2 3 3 8 3 3 3" xfId="24475" xr:uid="{00000000-0005-0000-0000-0000C55F0000}"/>
    <cellStyle name="Header2 3 3 8 3 3 4" xfId="24476" xr:uid="{00000000-0005-0000-0000-0000C65F0000}"/>
    <cellStyle name="Header2 3 3 8 3 4" xfId="24477" xr:uid="{00000000-0005-0000-0000-0000C75F0000}"/>
    <cellStyle name="Header2 3 3 8 3 5" xfId="24478" xr:uid="{00000000-0005-0000-0000-0000C85F0000}"/>
    <cellStyle name="Header2 3 3 8 3 6" xfId="24479" xr:uid="{00000000-0005-0000-0000-0000C95F0000}"/>
    <cellStyle name="Header2 3 3 8 4" xfId="24480" xr:uid="{00000000-0005-0000-0000-0000CA5F0000}"/>
    <cellStyle name="Header2 3 3 8 5" xfId="24481" xr:uid="{00000000-0005-0000-0000-0000CB5F0000}"/>
    <cellStyle name="Header2 3 3 9" xfId="24482" xr:uid="{00000000-0005-0000-0000-0000CC5F0000}"/>
    <cellStyle name="Header2 3 3 9 2" xfId="24483" xr:uid="{00000000-0005-0000-0000-0000CD5F0000}"/>
    <cellStyle name="Header2 3 3 9 2 2" xfId="24484" xr:uid="{00000000-0005-0000-0000-0000CE5F0000}"/>
    <cellStyle name="Header2 3 3 9 2 2 2" xfId="24485" xr:uid="{00000000-0005-0000-0000-0000CF5F0000}"/>
    <cellStyle name="Header2 3 3 9 2 2 3" xfId="24486" xr:uid="{00000000-0005-0000-0000-0000D05F0000}"/>
    <cellStyle name="Header2 3 3 9 2 2 4" xfId="24487" xr:uid="{00000000-0005-0000-0000-0000D15F0000}"/>
    <cellStyle name="Header2 3 3 9 2 2 5" xfId="24488" xr:uid="{00000000-0005-0000-0000-0000D25F0000}"/>
    <cellStyle name="Header2 3 3 9 2 3" xfId="24489" xr:uid="{00000000-0005-0000-0000-0000D35F0000}"/>
    <cellStyle name="Header2 3 3 9 2 3 2" xfId="24490" xr:uid="{00000000-0005-0000-0000-0000D45F0000}"/>
    <cellStyle name="Header2 3 3 9 2 3 3" xfId="24491" xr:uid="{00000000-0005-0000-0000-0000D55F0000}"/>
    <cellStyle name="Header2 3 3 9 2 3 4" xfId="24492" xr:uid="{00000000-0005-0000-0000-0000D65F0000}"/>
    <cellStyle name="Header2 3 3 9 2 4" xfId="24493" xr:uid="{00000000-0005-0000-0000-0000D75F0000}"/>
    <cellStyle name="Header2 3 3 9 2 5" xfId="24494" xr:uid="{00000000-0005-0000-0000-0000D85F0000}"/>
    <cellStyle name="Header2 3 3 9 2 6" xfId="24495" xr:uid="{00000000-0005-0000-0000-0000D95F0000}"/>
    <cellStyle name="Header2 3 3 9 3" xfId="24496" xr:uid="{00000000-0005-0000-0000-0000DA5F0000}"/>
    <cellStyle name="Header2 3 3 9 3 2" xfId="24497" xr:uid="{00000000-0005-0000-0000-0000DB5F0000}"/>
    <cellStyle name="Header2 3 3 9 3 2 2" xfId="24498" xr:uid="{00000000-0005-0000-0000-0000DC5F0000}"/>
    <cellStyle name="Header2 3 3 9 3 2 3" xfId="24499" xr:uid="{00000000-0005-0000-0000-0000DD5F0000}"/>
    <cellStyle name="Header2 3 3 9 3 2 4" xfId="24500" xr:uid="{00000000-0005-0000-0000-0000DE5F0000}"/>
    <cellStyle name="Header2 3 3 9 3 3" xfId="24501" xr:uid="{00000000-0005-0000-0000-0000DF5F0000}"/>
    <cellStyle name="Header2 3 3 9 3 3 2" xfId="24502" xr:uid="{00000000-0005-0000-0000-0000E05F0000}"/>
    <cellStyle name="Header2 3 3 9 3 3 3" xfId="24503" xr:uid="{00000000-0005-0000-0000-0000E15F0000}"/>
    <cellStyle name="Header2 3 3 9 3 3 4" xfId="24504" xr:uid="{00000000-0005-0000-0000-0000E25F0000}"/>
    <cellStyle name="Header2 3 3 9 3 4" xfId="24505" xr:uid="{00000000-0005-0000-0000-0000E35F0000}"/>
    <cellStyle name="Header2 3 3 9 3 5" xfId="24506" xr:uid="{00000000-0005-0000-0000-0000E45F0000}"/>
    <cellStyle name="Header2 3 3 9 3 6" xfId="24507" xr:uid="{00000000-0005-0000-0000-0000E55F0000}"/>
    <cellStyle name="Header2 3 3 9 4" xfId="24508" xr:uid="{00000000-0005-0000-0000-0000E65F0000}"/>
    <cellStyle name="Header2 3 3 9 5" xfId="24509" xr:uid="{00000000-0005-0000-0000-0000E75F0000}"/>
    <cellStyle name="Header2 30" xfId="24510" xr:uid="{00000000-0005-0000-0000-0000E85F0000}"/>
    <cellStyle name="Header2 30 10" xfId="24511" xr:uid="{00000000-0005-0000-0000-0000E95F0000}"/>
    <cellStyle name="Header2 30 10 2" xfId="24512" xr:uid="{00000000-0005-0000-0000-0000EA5F0000}"/>
    <cellStyle name="Header2 30 10 2 2" xfId="24513" xr:uid="{00000000-0005-0000-0000-0000EB5F0000}"/>
    <cellStyle name="Header2 30 10 2 2 2" xfId="24514" xr:uid="{00000000-0005-0000-0000-0000EC5F0000}"/>
    <cellStyle name="Header2 30 10 2 2 3" xfId="24515" xr:uid="{00000000-0005-0000-0000-0000ED5F0000}"/>
    <cellStyle name="Header2 30 10 2 2 4" xfId="24516" xr:uid="{00000000-0005-0000-0000-0000EE5F0000}"/>
    <cellStyle name="Header2 30 10 2 2 5" xfId="24517" xr:uid="{00000000-0005-0000-0000-0000EF5F0000}"/>
    <cellStyle name="Header2 30 10 2 3" xfId="24518" xr:uid="{00000000-0005-0000-0000-0000F05F0000}"/>
    <cellStyle name="Header2 30 10 2 3 2" xfId="24519" xr:uid="{00000000-0005-0000-0000-0000F15F0000}"/>
    <cellStyle name="Header2 30 10 2 3 3" xfId="24520" xr:uid="{00000000-0005-0000-0000-0000F25F0000}"/>
    <cellStyle name="Header2 30 10 2 3 4" xfId="24521" xr:uid="{00000000-0005-0000-0000-0000F35F0000}"/>
    <cellStyle name="Header2 30 10 2 4" xfId="24522" xr:uid="{00000000-0005-0000-0000-0000F45F0000}"/>
    <cellStyle name="Header2 30 10 2 5" xfId="24523" xr:uid="{00000000-0005-0000-0000-0000F55F0000}"/>
    <cellStyle name="Header2 30 10 2 6" xfId="24524" xr:uid="{00000000-0005-0000-0000-0000F65F0000}"/>
    <cellStyle name="Header2 30 10 3" xfId="24525" xr:uid="{00000000-0005-0000-0000-0000F75F0000}"/>
    <cellStyle name="Header2 30 10 3 2" xfId="24526" xr:uid="{00000000-0005-0000-0000-0000F85F0000}"/>
    <cellStyle name="Header2 30 10 3 2 2" xfId="24527" xr:uid="{00000000-0005-0000-0000-0000F95F0000}"/>
    <cellStyle name="Header2 30 10 3 2 3" xfId="24528" xr:uid="{00000000-0005-0000-0000-0000FA5F0000}"/>
    <cellStyle name="Header2 30 10 3 2 4" xfId="24529" xr:uid="{00000000-0005-0000-0000-0000FB5F0000}"/>
    <cellStyle name="Header2 30 10 3 3" xfId="24530" xr:uid="{00000000-0005-0000-0000-0000FC5F0000}"/>
    <cellStyle name="Header2 30 10 3 3 2" xfId="24531" xr:uid="{00000000-0005-0000-0000-0000FD5F0000}"/>
    <cellStyle name="Header2 30 10 3 3 3" xfId="24532" xr:uid="{00000000-0005-0000-0000-0000FE5F0000}"/>
    <cellStyle name="Header2 30 10 3 3 4" xfId="24533" xr:uid="{00000000-0005-0000-0000-0000FF5F0000}"/>
    <cellStyle name="Header2 30 10 3 4" xfId="24534" xr:uid="{00000000-0005-0000-0000-000000600000}"/>
    <cellStyle name="Header2 30 10 3 5" xfId="24535" xr:uid="{00000000-0005-0000-0000-000001600000}"/>
    <cellStyle name="Header2 30 10 3 6" xfId="24536" xr:uid="{00000000-0005-0000-0000-000002600000}"/>
    <cellStyle name="Header2 30 10 4" xfId="24537" xr:uid="{00000000-0005-0000-0000-000003600000}"/>
    <cellStyle name="Header2 30 10 5" xfId="24538" xr:uid="{00000000-0005-0000-0000-000004600000}"/>
    <cellStyle name="Header2 30 11" xfId="24539" xr:uid="{00000000-0005-0000-0000-000005600000}"/>
    <cellStyle name="Header2 30 11 2" xfId="24540" xr:uid="{00000000-0005-0000-0000-000006600000}"/>
    <cellStyle name="Header2 30 11 2 2" xfId="24541" xr:uid="{00000000-0005-0000-0000-000007600000}"/>
    <cellStyle name="Header2 30 11 2 2 2" xfId="24542" xr:uid="{00000000-0005-0000-0000-000008600000}"/>
    <cellStyle name="Header2 30 11 2 2 3" xfId="24543" xr:uid="{00000000-0005-0000-0000-000009600000}"/>
    <cellStyle name="Header2 30 11 2 2 4" xfId="24544" xr:uid="{00000000-0005-0000-0000-00000A600000}"/>
    <cellStyle name="Header2 30 11 2 2 5" xfId="24545" xr:uid="{00000000-0005-0000-0000-00000B600000}"/>
    <cellStyle name="Header2 30 11 2 3" xfId="24546" xr:uid="{00000000-0005-0000-0000-00000C600000}"/>
    <cellStyle name="Header2 30 11 2 3 2" xfId="24547" xr:uid="{00000000-0005-0000-0000-00000D600000}"/>
    <cellStyle name="Header2 30 11 2 3 3" xfId="24548" xr:uid="{00000000-0005-0000-0000-00000E600000}"/>
    <cellStyle name="Header2 30 11 2 3 4" xfId="24549" xr:uid="{00000000-0005-0000-0000-00000F600000}"/>
    <cellStyle name="Header2 30 11 2 4" xfId="24550" xr:uid="{00000000-0005-0000-0000-000010600000}"/>
    <cellStyle name="Header2 30 11 2 5" xfId="24551" xr:uid="{00000000-0005-0000-0000-000011600000}"/>
    <cellStyle name="Header2 30 11 2 6" xfId="24552" xr:uid="{00000000-0005-0000-0000-000012600000}"/>
    <cellStyle name="Header2 30 11 3" xfId="24553" xr:uid="{00000000-0005-0000-0000-000013600000}"/>
    <cellStyle name="Header2 30 11 3 2" xfId="24554" xr:uid="{00000000-0005-0000-0000-000014600000}"/>
    <cellStyle name="Header2 30 11 3 2 2" xfId="24555" xr:uid="{00000000-0005-0000-0000-000015600000}"/>
    <cellStyle name="Header2 30 11 3 2 3" xfId="24556" xr:uid="{00000000-0005-0000-0000-000016600000}"/>
    <cellStyle name="Header2 30 11 3 2 4" xfId="24557" xr:uid="{00000000-0005-0000-0000-000017600000}"/>
    <cellStyle name="Header2 30 11 3 3" xfId="24558" xr:uid="{00000000-0005-0000-0000-000018600000}"/>
    <cellStyle name="Header2 30 11 3 3 2" xfId="24559" xr:uid="{00000000-0005-0000-0000-000019600000}"/>
    <cellStyle name="Header2 30 11 3 3 3" xfId="24560" xr:uid="{00000000-0005-0000-0000-00001A600000}"/>
    <cellStyle name="Header2 30 11 3 3 4" xfId="24561" xr:uid="{00000000-0005-0000-0000-00001B600000}"/>
    <cellStyle name="Header2 30 11 3 4" xfId="24562" xr:uid="{00000000-0005-0000-0000-00001C600000}"/>
    <cellStyle name="Header2 30 11 3 5" xfId="24563" xr:uid="{00000000-0005-0000-0000-00001D600000}"/>
    <cellStyle name="Header2 30 11 3 6" xfId="24564" xr:uid="{00000000-0005-0000-0000-00001E600000}"/>
    <cellStyle name="Header2 30 11 4" xfId="24565" xr:uid="{00000000-0005-0000-0000-00001F600000}"/>
    <cellStyle name="Header2 30 11 5" xfId="24566" xr:uid="{00000000-0005-0000-0000-000020600000}"/>
    <cellStyle name="Header2 30 12" xfId="24567" xr:uid="{00000000-0005-0000-0000-000021600000}"/>
    <cellStyle name="Header2 30 12 2" xfId="24568" xr:uid="{00000000-0005-0000-0000-000022600000}"/>
    <cellStyle name="Header2 30 12 2 2" xfId="24569" xr:uid="{00000000-0005-0000-0000-000023600000}"/>
    <cellStyle name="Header2 30 12 2 2 2" xfId="24570" xr:uid="{00000000-0005-0000-0000-000024600000}"/>
    <cellStyle name="Header2 30 12 2 2 3" xfId="24571" xr:uid="{00000000-0005-0000-0000-000025600000}"/>
    <cellStyle name="Header2 30 12 2 2 4" xfId="24572" xr:uid="{00000000-0005-0000-0000-000026600000}"/>
    <cellStyle name="Header2 30 12 2 2 5" xfId="24573" xr:uid="{00000000-0005-0000-0000-000027600000}"/>
    <cellStyle name="Header2 30 12 2 3" xfId="24574" xr:uid="{00000000-0005-0000-0000-000028600000}"/>
    <cellStyle name="Header2 30 12 2 3 2" xfId="24575" xr:uid="{00000000-0005-0000-0000-000029600000}"/>
    <cellStyle name="Header2 30 12 2 3 3" xfId="24576" xr:uid="{00000000-0005-0000-0000-00002A600000}"/>
    <cellStyle name="Header2 30 12 2 3 4" xfId="24577" xr:uid="{00000000-0005-0000-0000-00002B600000}"/>
    <cellStyle name="Header2 30 12 2 4" xfId="24578" xr:uid="{00000000-0005-0000-0000-00002C600000}"/>
    <cellStyle name="Header2 30 12 2 5" xfId="24579" xr:uid="{00000000-0005-0000-0000-00002D600000}"/>
    <cellStyle name="Header2 30 12 2 6" xfId="24580" xr:uid="{00000000-0005-0000-0000-00002E600000}"/>
    <cellStyle name="Header2 30 12 3" xfId="24581" xr:uid="{00000000-0005-0000-0000-00002F600000}"/>
    <cellStyle name="Header2 30 12 3 2" xfId="24582" xr:uid="{00000000-0005-0000-0000-000030600000}"/>
    <cellStyle name="Header2 30 12 3 2 2" xfId="24583" xr:uid="{00000000-0005-0000-0000-000031600000}"/>
    <cellStyle name="Header2 30 12 3 2 3" xfId="24584" xr:uid="{00000000-0005-0000-0000-000032600000}"/>
    <cellStyle name="Header2 30 12 3 2 4" xfId="24585" xr:uid="{00000000-0005-0000-0000-000033600000}"/>
    <cellStyle name="Header2 30 12 3 3" xfId="24586" xr:uid="{00000000-0005-0000-0000-000034600000}"/>
    <cellStyle name="Header2 30 12 3 3 2" xfId="24587" xr:uid="{00000000-0005-0000-0000-000035600000}"/>
    <cellStyle name="Header2 30 12 3 3 3" xfId="24588" xr:uid="{00000000-0005-0000-0000-000036600000}"/>
    <cellStyle name="Header2 30 12 3 3 4" xfId="24589" xr:uid="{00000000-0005-0000-0000-000037600000}"/>
    <cellStyle name="Header2 30 12 3 4" xfId="24590" xr:uid="{00000000-0005-0000-0000-000038600000}"/>
    <cellStyle name="Header2 30 12 3 5" xfId="24591" xr:uid="{00000000-0005-0000-0000-000039600000}"/>
    <cellStyle name="Header2 30 12 3 6" xfId="24592" xr:uid="{00000000-0005-0000-0000-00003A600000}"/>
    <cellStyle name="Header2 30 12 4" xfId="24593" xr:uid="{00000000-0005-0000-0000-00003B600000}"/>
    <cellStyle name="Header2 30 12 5" xfId="24594" xr:uid="{00000000-0005-0000-0000-00003C600000}"/>
    <cellStyle name="Header2 30 13" xfId="24595" xr:uid="{00000000-0005-0000-0000-00003D600000}"/>
    <cellStyle name="Header2 30 13 2" xfId="24596" xr:uid="{00000000-0005-0000-0000-00003E600000}"/>
    <cellStyle name="Header2 30 13 2 2" xfId="24597" xr:uid="{00000000-0005-0000-0000-00003F600000}"/>
    <cellStyle name="Header2 30 13 2 2 2" xfId="24598" xr:uid="{00000000-0005-0000-0000-000040600000}"/>
    <cellStyle name="Header2 30 13 2 2 3" xfId="24599" xr:uid="{00000000-0005-0000-0000-000041600000}"/>
    <cellStyle name="Header2 30 13 2 2 4" xfId="24600" xr:uid="{00000000-0005-0000-0000-000042600000}"/>
    <cellStyle name="Header2 30 13 2 2 5" xfId="24601" xr:uid="{00000000-0005-0000-0000-000043600000}"/>
    <cellStyle name="Header2 30 13 2 3" xfId="24602" xr:uid="{00000000-0005-0000-0000-000044600000}"/>
    <cellStyle name="Header2 30 13 2 3 2" xfId="24603" xr:uid="{00000000-0005-0000-0000-000045600000}"/>
    <cellStyle name="Header2 30 13 2 3 3" xfId="24604" xr:uid="{00000000-0005-0000-0000-000046600000}"/>
    <cellStyle name="Header2 30 13 2 3 4" xfId="24605" xr:uid="{00000000-0005-0000-0000-000047600000}"/>
    <cellStyle name="Header2 30 13 2 4" xfId="24606" xr:uid="{00000000-0005-0000-0000-000048600000}"/>
    <cellStyle name="Header2 30 13 2 5" xfId="24607" xr:uid="{00000000-0005-0000-0000-000049600000}"/>
    <cellStyle name="Header2 30 13 2 6" xfId="24608" xr:uid="{00000000-0005-0000-0000-00004A600000}"/>
    <cellStyle name="Header2 30 13 3" xfId="24609" xr:uid="{00000000-0005-0000-0000-00004B600000}"/>
    <cellStyle name="Header2 30 13 3 2" xfId="24610" xr:uid="{00000000-0005-0000-0000-00004C600000}"/>
    <cellStyle name="Header2 30 13 3 2 2" xfId="24611" xr:uid="{00000000-0005-0000-0000-00004D600000}"/>
    <cellStyle name="Header2 30 13 3 2 3" xfId="24612" xr:uid="{00000000-0005-0000-0000-00004E600000}"/>
    <cellStyle name="Header2 30 13 3 2 4" xfId="24613" xr:uid="{00000000-0005-0000-0000-00004F600000}"/>
    <cellStyle name="Header2 30 13 3 3" xfId="24614" xr:uid="{00000000-0005-0000-0000-000050600000}"/>
    <cellStyle name="Header2 30 13 3 3 2" xfId="24615" xr:uid="{00000000-0005-0000-0000-000051600000}"/>
    <cellStyle name="Header2 30 13 3 3 3" xfId="24616" xr:uid="{00000000-0005-0000-0000-000052600000}"/>
    <cellStyle name="Header2 30 13 3 3 4" xfId="24617" xr:uid="{00000000-0005-0000-0000-000053600000}"/>
    <cellStyle name="Header2 30 13 3 4" xfId="24618" xr:uid="{00000000-0005-0000-0000-000054600000}"/>
    <cellStyle name="Header2 30 13 3 5" xfId="24619" xr:uid="{00000000-0005-0000-0000-000055600000}"/>
    <cellStyle name="Header2 30 13 3 6" xfId="24620" xr:uid="{00000000-0005-0000-0000-000056600000}"/>
    <cellStyle name="Header2 30 13 4" xfId="24621" xr:uid="{00000000-0005-0000-0000-000057600000}"/>
    <cellStyle name="Header2 30 13 5" xfId="24622" xr:uid="{00000000-0005-0000-0000-000058600000}"/>
    <cellStyle name="Header2 30 14" xfId="58760" xr:uid="{00000000-0005-0000-0000-000059600000}"/>
    <cellStyle name="Header2 30 2" xfId="24623" xr:uid="{00000000-0005-0000-0000-00005A600000}"/>
    <cellStyle name="Header2 30 2 2" xfId="24624" xr:uid="{00000000-0005-0000-0000-00005B600000}"/>
    <cellStyle name="Header2 30 2 2 2" xfId="24625" xr:uid="{00000000-0005-0000-0000-00005C600000}"/>
    <cellStyle name="Header2 30 2 2 2 2" xfId="24626" xr:uid="{00000000-0005-0000-0000-00005D600000}"/>
    <cellStyle name="Header2 30 2 2 2 2 2" xfId="24627" xr:uid="{00000000-0005-0000-0000-00005E600000}"/>
    <cellStyle name="Header2 30 2 2 2 2 3" xfId="24628" xr:uid="{00000000-0005-0000-0000-00005F600000}"/>
    <cellStyle name="Header2 30 2 2 2 2 4" xfId="24629" xr:uid="{00000000-0005-0000-0000-000060600000}"/>
    <cellStyle name="Header2 30 2 2 2 2 5" xfId="24630" xr:uid="{00000000-0005-0000-0000-000061600000}"/>
    <cellStyle name="Header2 30 2 2 2 3" xfId="24631" xr:uid="{00000000-0005-0000-0000-000062600000}"/>
    <cellStyle name="Header2 30 2 2 2 3 2" xfId="24632" xr:uid="{00000000-0005-0000-0000-000063600000}"/>
    <cellStyle name="Header2 30 2 2 2 3 3" xfId="24633" xr:uid="{00000000-0005-0000-0000-000064600000}"/>
    <cellStyle name="Header2 30 2 2 2 3 4" xfId="24634" xr:uid="{00000000-0005-0000-0000-000065600000}"/>
    <cellStyle name="Header2 30 2 2 2 4" xfId="24635" xr:uid="{00000000-0005-0000-0000-000066600000}"/>
    <cellStyle name="Header2 30 2 2 2 5" xfId="24636" xr:uid="{00000000-0005-0000-0000-000067600000}"/>
    <cellStyle name="Header2 30 2 2 2 6" xfId="24637" xr:uid="{00000000-0005-0000-0000-000068600000}"/>
    <cellStyle name="Header2 30 2 2 3" xfId="24638" xr:uid="{00000000-0005-0000-0000-000069600000}"/>
    <cellStyle name="Header2 30 2 2 3 2" xfId="24639" xr:uid="{00000000-0005-0000-0000-00006A600000}"/>
    <cellStyle name="Header2 30 2 2 3 2 2" xfId="24640" xr:uid="{00000000-0005-0000-0000-00006B600000}"/>
    <cellStyle name="Header2 30 2 2 3 2 3" xfId="24641" xr:uid="{00000000-0005-0000-0000-00006C600000}"/>
    <cellStyle name="Header2 30 2 2 3 2 4" xfId="24642" xr:uid="{00000000-0005-0000-0000-00006D600000}"/>
    <cellStyle name="Header2 30 2 2 3 3" xfId="24643" xr:uid="{00000000-0005-0000-0000-00006E600000}"/>
    <cellStyle name="Header2 30 2 2 3 3 2" xfId="24644" xr:uid="{00000000-0005-0000-0000-00006F600000}"/>
    <cellStyle name="Header2 30 2 2 3 3 3" xfId="24645" xr:uid="{00000000-0005-0000-0000-000070600000}"/>
    <cellStyle name="Header2 30 2 2 3 3 4" xfId="24646" xr:uid="{00000000-0005-0000-0000-000071600000}"/>
    <cellStyle name="Header2 30 2 2 3 4" xfId="24647" xr:uid="{00000000-0005-0000-0000-000072600000}"/>
    <cellStyle name="Header2 30 2 2 3 5" xfId="24648" xr:uid="{00000000-0005-0000-0000-000073600000}"/>
    <cellStyle name="Header2 30 2 2 3 6" xfId="24649" xr:uid="{00000000-0005-0000-0000-000074600000}"/>
    <cellStyle name="Header2 30 2 2 4" xfId="24650" xr:uid="{00000000-0005-0000-0000-000075600000}"/>
    <cellStyle name="Header2 30 2 2 5" xfId="24651" xr:uid="{00000000-0005-0000-0000-000076600000}"/>
    <cellStyle name="Header2 30 2 3" xfId="24652" xr:uid="{00000000-0005-0000-0000-000077600000}"/>
    <cellStyle name="Header2 30 2 3 2" xfId="24653" xr:uid="{00000000-0005-0000-0000-000078600000}"/>
    <cellStyle name="Header2 30 2 3 2 2" xfId="24654" xr:uid="{00000000-0005-0000-0000-000079600000}"/>
    <cellStyle name="Header2 30 2 3 2 2 2" xfId="24655" xr:uid="{00000000-0005-0000-0000-00007A600000}"/>
    <cellStyle name="Header2 30 2 3 2 2 3" xfId="24656" xr:uid="{00000000-0005-0000-0000-00007B600000}"/>
    <cellStyle name="Header2 30 2 3 2 2 4" xfId="24657" xr:uid="{00000000-0005-0000-0000-00007C600000}"/>
    <cellStyle name="Header2 30 2 3 2 2 5" xfId="24658" xr:uid="{00000000-0005-0000-0000-00007D600000}"/>
    <cellStyle name="Header2 30 2 3 2 3" xfId="24659" xr:uid="{00000000-0005-0000-0000-00007E600000}"/>
    <cellStyle name="Header2 30 2 3 2 3 2" xfId="24660" xr:uid="{00000000-0005-0000-0000-00007F600000}"/>
    <cellStyle name="Header2 30 2 3 2 3 3" xfId="24661" xr:uid="{00000000-0005-0000-0000-000080600000}"/>
    <cellStyle name="Header2 30 2 3 2 3 4" xfId="24662" xr:uid="{00000000-0005-0000-0000-000081600000}"/>
    <cellStyle name="Header2 30 2 3 2 4" xfId="24663" xr:uid="{00000000-0005-0000-0000-000082600000}"/>
    <cellStyle name="Header2 30 2 3 2 5" xfId="24664" xr:uid="{00000000-0005-0000-0000-000083600000}"/>
    <cellStyle name="Header2 30 2 3 2 6" xfId="24665" xr:uid="{00000000-0005-0000-0000-000084600000}"/>
    <cellStyle name="Header2 30 2 3 3" xfId="24666" xr:uid="{00000000-0005-0000-0000-000085600000}"/>
    <cellStyle name="Header2 30 2 3 3 2" xfId="24667" xr:uid="{00000000-0005-0000-0000-000086600000}"/>
    <cellStyle name="Header2 30 2 3 3 2 2" xfId="24668" xr:uid="{00000000-0005-0000-0000-000087600000}"/>
    <cellStyle name="Header2 30 2 3 3 2 3" xfId="24669" xr:uid="{00000000-0005-0000-0000-000088600000}"/>
    <cellStyle name="Header2 30 2 3 3 2 4" xfId="24670" xr:uid="{00000000-0005-0000-0000-000089600000}"/>
    <cellStyle name="Header2 30 2 3 3 3" xfId="24671" xr:uid="{00000000-0005-0000-0000-00008A600000}"/>
    <cellStyle name="Header2 30 2 3 3 3 2" xfId="24672" xr:uid="{00000000-0005-0000-0000-00008B600000}"/>
    <cellStyle name="Header2 30 2 3 3 3 3" xfId="24673" xr:uid="{00000000-0005-0000-0000-00008C600000}"/>
    <cellStyle name="Header2 30 2 3 3 3 4" xfId="24674" xr:uid="{00000000-0005-0000-0000-00008D600000}"/>
    <cellStyle name="Header2 30 2 3 3 4" xfId="24675" xr:uid="{00000000-0005-0000-0000-00008E600000}"/>
    <cellStyle name="Header2 30 2 3 3 5" xfId="24676" xr:uid="{00000000-0005-0000-0000-00008F600000}"/>
    <cellStyle name="Header2 30 2 3 3 6" xfId="24677" xr:uid="{00000000-0005-0000-0000-000090600000}"/>
    <cellStyle name="Header2 30 2 3 4" xfId="24678" xr:uid="{00000000-0005-0000-0000-000091600000}"/>
    <cellStyle name="Header2 30 2 3 5" xfId="24679" xr:uid="{00000000-0005-0000-0000-000092600000}"/>
    <cellStyle name="Header2 30 3" xfId="24680" xr:uid="{00000000-0005-0000-0000-000093600000}"/>
    <cellStyle name="Header2 30 3 2" xfId="24681" xr:uid="{00000000-0005-0000-0000-000094600000}"/>
    <cellStyle name="Header2 30 3 2 2" xfId="24682" xr:uid="{00000000-0005-0000-0000-000095600000}"/>
    <cellStyle name="Header2 30 3 2 3" xfId="24683" xr:uid="{00000000-0005-0000-0000-000096600000}"/>
    <cellStyle name="Header2 30 3 3" xfId="24684" xr:uid="{00000000-0005-0000-0000-000097600000}"/>
    <cellStyle name="Header2 30 4" xfId="24685" xr:uid="{00000000-0005-0000-0000-000098600000}"/>
    <cellStyle name="Header2 30 4 2" xfId="24686" xr:uid="{00000000-0005-0000-0000-000099600000}"/>
    <cellStyle name="Header2 30 4 2 2" xfId="24687" xr:uid="{00000000-0005-0000-0000-00009A600000}"/>
    <cellStyle name="Header2 30 4 2 3" xfId="24688" xr:uid="{00000000-0005-0000-0000-00009B600000}"/>
    <cellStyle name="Header2 30 4 3" xfId="24689" xr:uid="{00000000-0005-0000-0000-00009C600000}"/>
    <cellStyle name="Header2 30 5" xfId="24690" xr:uid="{00000000-0005-0000-0000-00009D600000}"/>
    <cellStyle name="Header2 30 5 2" xfId="24691" xr:uid="{00000000-0005-0000-0000-00009E600000}"/>
    <cellStyle name="Header2 30 5 2 2" xfId="24692" xr:uid="{00000000-0005-0000-0000-00009F600000}"/>
    <cellStyle name="Header2 30 5 2 3" xfId="24693" xr:uid="{00000000-0005-0000-0000-0000A0600000}"/>
    <cellStyle name="Header2 30 5 3" xfId="24694" xr:uid="{00000000-0005-0000-0000-0000A1600000}"/>
    <cellStyle name="Header2 30 6" xfId="24695" xr:uid="{00000000-0005-0000-0000-0000A2600000}"/>
    <cellStyle name="Header2 30 6 2" xfId="24696" xr:uid="{00000000-0005-0000-0000-0000A3600000}"/>
    <cellStyle name="Header2 30 6 2 2" xfId="24697" xr:uid="{00000000-0005-0000-0000-0000A4600000}"/>
    <cellStyle name="Header2 30 6 2 2 2" xfId="24698" xr:uid="{00000000-0005-0000-0000-0000A5600000}"/>
    <cellStyle name="Header2 30 6 2 2 3" xfId="24699" xr:uid="{00000000-0005-0000-0000-0000A6600000}"/>
    <cellStyle name="Header2 30 6 2 2 4" xfId="24700" xr:uid="{00000000-0005-0000-0000-0000A7600000}"/>
    <cellStyle name="Header2 30 6 2 2 5" xfId="24701" xr:uid="{00000000-0005-0000-0000-0000A8600000}"/>
    <cellStyle name="Header2 30 6 2 3" xfId="24702" xr:uid="{00000000-0005-0000-0000-0000A9600000}"/>
    <cellStyle name="Header2 30 6 2 3 2" xfId="24703" xr:uid="{00000000-0005-0000-0000-0000AA600000}"/>
    <cellStyle name="Header2 30 6 2 3 3" xfId="24704" xr:uid="{00000000-0005-0000-0000-0000AB600000}"/>
    <cellStyle name="Header2 30 6 2 3 4" xfId="24705" xr:uid="{00000000-0005-0000-0000-0000AC600000}"/>
    <cellStyle name="Header2 30 6 2 4" xfId="24706" xr:uid="{00000000-0005-0000-0000-0000AD600000}"/>
    <cellStyle name="Header2 30 6 2 5" xfId="24707" xr:uid="{00000000-0005-0000-0000-0000AE600000}"/>
    <cellStyle name="Header2 30 6 2 6" xfId="24708" xr:uid="{00000000-0005-0000-0000-0000AF600000}"/>
    <cellStyle name="Header2 30 6 3" xfId="24709" xr:uid="{00000000-0005-0000-0000-0000B0600000}"/>
    <cellStyle name="Header2 30 6 3 2" xfId="24710" xr:uid="{00000000-0005-0000-0000-0000B1600000}"/>
    <cellStyle name="Header2 30 6 3 2 2" xfId="24711" xr:uid="{00000000-0005-0000-0000-0000B2600000}"/>
    <cellStyle name="Header2 30 6 3 2 3" xfId="24712" xr:uid="{00000000-0005-0000-0000-0000B3600000}"/>
    <cellStyle name="Header2 30 6 3 2 4" xfId="24713" xr:uid="{00000000-0005-0000-0000-0000B4600000}"/>
    <cellStyle name="Header2 30 6 3 3" xfId="24714" xr:uid="{00000000-0005-0000-0000-0000B5600000}"/>
    <cellStyle name="Header2 30 6 3 3 2" xfId="24715" xr:uid="{00000000-0005-0000-0000-0000B6600000}"/>
    <cellStyle name="Header2 30 6 3 3 3" xfId="24716" xr:uid="{00000000-0005-0000-0000-0000B7600000}"/>
    <cellStyle name="Header2 30 6 3 3 4" xfId="24717" xr:uid="{00000000-0005-0000-0000-0000B8600000}"/>
    <cellStyle name="Header2 30 6 3 4" xfId="24718" xr:uid="{00000000-0005-0000-0000-0000B9600000}"/>
    <cellStyle name="Header2 30 6 3 5" xfId="24719" xr:uid="{00000000-0005-0000-0000-0000BA600000}"/>
    <cellStyle name="Header2 30 6 3 6" xfId="24720" xr:uid="{00000000-0005-0000-0000-0000BB600000}"/>
    <cellStyle name="Header2 30 6 4" xfId="24721" xr:uid="{00000000-0005-0000-0000-0000BC600000}"/>
    <cellStyle name="Header2 30 6 5" xfId="24722" xr:uid="{00000000-0005-0000-0000-0000BD600000}"/>
    <cellStyle name="Header2 30 7" xfId="24723" xr:uid="{00000000-0005-0000-0000-0000BE600000}"/>
    <cellStyle name="Header2 30 7 2" xfId="24724" xr:uid="{00000000-0005-0000-0000-0000BF600000}"/>
    <cellStyle name="Header2 30 7 2 2" xfId="24725" xr:uid="{00000000-0005-0000-0000-0000C0600000}"/>
    <cellStyle name="Header2 30 7 2 2 2" xfId="24726" xr:uid="{00000000-0005-0000-0000-0000C1600000}"/>
    <cellStyle name="Header2 30 7 2 2 3" xfId="24727" xr:uid="{00000000-0005-0000-0000-0000C2600000}"/>
    <cellStyle name="Header2 30 7 2 2 4" xfId="24728" xr:uid="{00000000-0005-0000-0000-0000C3600000}"/>
    <cellStyle name="Header2 30 7 2 2 5" xfId="24729" xr:uid="{00000000-0005-0000-0000-0000C4600000}"/>
    <cellStyle name="Header2 30 7 2 3" xfId="24730" xr:uid="{00000000-0005-0000-0000-0000C5600000}"/>
    <cellStyle name="Header2 30 7 2 3 2" xfId="24731" xr:uid="{00000000-0005-0000-0000-0000C6600000}"/>
    <cellStyle name="Header2 30 7 2 3 3" xfId="24732" xr:uid="{00000000-0005-0000-0000-0000C7600000}"/>
    <cellStyle name="Header2 30 7 2 3 4" xfId="24733" xr:uid="{00000000-0005-0000-0000-0000C8600000}"/>
    <cellStyle name="Header2 30 7 2 4" xfId="24734" xr:uid="{00000000-0005-0000-0000-0000C9600000}"/>
    <cellStyle name="Header2 30 7 2 5" xfId="24735" xr:uid="{00000000-0005-0000-0000-0000CA600000}"/>
    <cellStyle name="Header2 30 7 2 6" xfId="24736" xr:uid="{00000000-0005-0000-0000-0000CB600000}"/>
    <cellStyle name="Header2 30 7 3" xfId="24737" xr:uid="{00000000-0005-0000-0000-0000CC600000}"/>
    <cellStyle name="Header2 30 7 3 2" xfId="24738" xr:uid="{00000000-0005-0000-0000-0000CD600000}"/>
    <cellStyle name="Header2 30 7 3 2 2" xfId="24739" xr:uid="{00000000-0005-0000-0000-0000CE600000}"/>
    <cellStyle name="Header2 30 7 3 2 3" xfId="24740" xr:uid="{00000000-0005-0000-0000-0000CF600000}"/>
    <cellStyle name="Header2 30 7 3 2 4" xfId="24741" xr:uid="{00000000-0005-0000-0000-0000D0600000}"/>
    <cellStyle name="Header2 30 7 3 3" xfId="24742" xr:uid="{00000000-0005-0000-0000-0000D1600000}"/>
    <cellStyle name="Header2 30 7 3 3 2" xfId="24743" xr:uid="{00000000-0005-0000-0000-0000D2600000}"/>
    <cellStyle name="Header2 30 7 3 3 3" xfId="24744" xr:uid="{00000000-0005-0000-0000-0000D3600000}"/>
    <cellStyle name="Header2 30 7 3 3 4" xfId="24745" xr:uid="{00000000-0005-0000-0000-0000D4600000}"/>
    <cellStyle name="Header2 30 7 3 4" xfId="24746" xr:uid="{00000000-0005-0000-0000-0000D5600000}"/>
    <cellStyle name="Header2 30 7 3 5" xfId="24747" xr:uid="{00000000-0005-0000-0000-0000D6600000}"/>
    <cellStyle name="Header2 30 7 3 6" xfId="24748" xr:uid="{00000000-0005-0000-0000-0000D7600000}"/>
    <cellStyle name="Header2 30 7 4" xfId="24749" xr:uid="{00000000-0005-0000-0000-0000D8600000}"/>
    <cellStyle name="Header2 30 7 5" xfId="24750" xr:uid="{00000000-0005-0000-0000-0000D9600000}"/>
    <cellStyle name="Header2 30 8" xfId="24751" xr:uid="{00000000-0005-0000-0000-0000DA600000}"/>
    <cellStyle name="Header2 30 8 2" xfId="24752" xr:uid="{00000000-0005-0000-0000-0000DB600000}"/>
    <cellStyle name="Header2 30 8 2 2" xfId="24753" xr:uid="{00000000-0005-0000-0000-0000DC600000}"/>
    <cellStyle name="Header2 30 8 2 2 2" xfId="24754" xr:uid="{00000000-0005-0000-0000-0000DD600000}"/>
    <cellStyle name="Header2 30 8 2 2 3" xfId="24755" xr:uid="{00000000-0005-0000-0000-0000DE600000}"/>
    <cellStyle name="Header2 30 8 2 2 4" xfId="24756" xr:uid="{00000000-0005-0000-0000-0000DF600000}"/>
    <cellStyle name="Header2 30 8 2 2 5" xfId="24757" xr:uid="{00000000-0005-0000-0000-0000E0600000}"/>
    <cellStyle name="Header2 30 8 2 3" xfId="24758" xr:uid="{00000000-0005-0000-0000-0000E1600000}"/>
    <cellStyle name="Header2 30 8 2 3 2" xfId="24759" xr:uid="{00000000-0005-0000-0000-0000E2600000}"/>
    <cellStyle name="Header2 30 8 2 3 3" xfId="24760" xr:uid="{00000000-0005-0000-0000-0000E3600000}"/>
    <cellStyle name="Header2 30 8 2 3 4" xfId="24761" xr:uid="{00000000-0005-0000-0000-0000E4600000}"/>
    <cellStyle name="Header2 30 8 2 4" xfId="24762" xr:uid="{00000000-0005-0000-0000-0000E5600000}"/>
    <cellStyle name="Header2 30 8 2 5" xfId="24763" xr:uid="{00000000-0005-0000-0000-0000E6600000}"/>
    <cellStyle name="Header2 30 8 2 6" xfId="24764" xr:uid="{00000000-0005-0000-0000-0000E7600000}"/>
    <cellStyle name="Header2 30 8 3" xfId="24765" xr:uid="{00000000-0005-0000-0000-0000E8600000}"/>
    <cellStyle name="Header2 30 8 3 2" xfId="24766" xr:uid="{00000000-0005-0000-0000-0000E9600000}"/>
    <cellStyle name="Header2 30 8 3 2 2" xfId="24767" xr:uid="{00000000-0005-0000-0000-0000EA600000}"/>
    <cellStyle name="Header2 30 8 3 2 3" xfId="24768" xr:uid="{00000000-0005-0000-0000-0000EB600000}"/>
    <cellStyle name="Header2 30 8 3 2 4" xfId="24769" xr:uid="{00000000-0005-0000-0000-0000EC600000}"/>
    <cellStyle name="Header2 30 8 3 3" xfId="24770" xr:uid="{00000000-0005-0000-0000-0000ED600000}"/>
    <cellStyle name="Header2 30 8 3 3 2" xfId="24771" xr:uid="{00000000-0005-0000-0000-0000EE600000}"/>
    <cellStyle name="Header2 30 8 3 3 3" xfId="24772" xr:uid="{00000000-0005-0000-0000-0000EF600000}"/>
    <cellStyle name="Header2 30 8 3 3 4" xfId="24773" xr:uid="{00000000-0005-0000-0000-0000F0600000}"/>
    <cellStyle name="Header2 30 8 3 4" xfId="24774" xr:uid="{00000000-0005-0000-0000-0000F1600000}"/>
    <cellStyle name="Header2 30 8 3 5" xfId="24775" xr:uid="{00000000-0005-0000-0000-0000F2600000}"/>
    <cellStyle name="Header2 30 8 3 6" xfId="24776" xr:uid="{00000000-0005-0000-0000-0000F3600000}"/>
    <cellStyle name="Header2 30 8 4" xfId="24777" xr:uid="{00000000-0005-0000-0000-0000F4600000}"/>
    <cellStyle name="Header2 30 8 5" xfId="24778" xr:uid="{00000000-0005-0000-0000-0000F5600000}"/>
    <cellStyle name="Header2 30 9" xfId="24779" xr:uid="{00000000-0005-0000-0000-0000F6600000}"/>
    <cellStyle name="Header2 30 9 2" xfId="24780" xr:uid="{00000000-0005-0000-0000-0000F7600000}"/>
    <cellStyle name="Header2 30 9 2 2" xfId="24781" xr:uid="{00000000-0005-0000-0000-0000F8600000}"/>
    <cellStyle name="Header2 30 9 2 2 2" xfId="24782" xr:uid="{00000000-0005-0000-0000-0000F9600000}"/>
    <cellStyle name="Header2 30 9 2 2 3" xfId="24783" xr:uid="{00000000-0005-0000-0000-0000FA600000}"/>
    <cellStyle name="Header2 30 9 2 2 4" xfId="24784" xr:uid="{00000000-0005-0000-0000-0000FB600000}"/>
    <cellStyle name="Header2 30 9 2 2 5" xfId="24785" xr:uid="{00000000-0005-0000-0000-0000FC600000}"/>
    <cellStyle name="Header2 30 9 2 3" xfId="24786" xr:uid="{00000000-0005-0000-0000-0000FD600000}"/>
    <cellStyle name="Header2 30 9 2 3 2" xfId="24787" xr:uid="{00000000-0005-0000-0000-0000FE600000}"/>
    <cellStyle name="Header2 30 9 2 3 3" xfId="24788" xr:uid="{00000000-0005-0000-0000-0000FF600000}"/>
    <cellStyle name="Header2 30 9 2 3 4" xfId="24789" xr:uid="{00000000-0005-0000-0000-000000610000}"/>
    <cellStyle name="Header2 30 9 2 4" xfId="24790" xr:uid="{00000000-0005-0000-0000-000001610000}"/>
    <cellStyle name="Header2 30 9 2 5" xfId="24791" xr:uid="{00000000-0005-0000-0000-000002610000}"/>
    <cellStyle name="Header2 30 9 2 6" xfId="24792" xr:uid="{00000000-0005-0000-0000-000003610000}"/>
    <cellStyle name="Header2 30 9 3" xfId="24793" xr:uid="{00000000-0005-0000-0000-000004610000}"/>
    <cellStyle name="Header2 30 9 3 2" xfId="24794" xr:uid="{00000000-0005-0000-0000-000005610000}"/>
    <cellStyle name="Header2 30 9 3 2 2" xfId="24795" xr:uid="{00000000-0005-0000-0000-000006610000}"/>
    <cellStyle name="Header2 30 9 3 2 3" xfId="24796" xr:uid="{00000000-0005-0000-0000-000007610000}"/>
    <cellStyle name="Header2 30 9 3 2 4" xfId="24797" xr:uid="{00000000-0005-0000-0000-000008610000}"/>
    <cellStyle name="Header2 30 9 3 3" xfId="24798" xr:uid="{00000000-0005-0000-0000-000009610000}"/>
    <cellStyle name="Header2 30 9 3 3 2" xfId="24799" xr:uid="{00000000-0005-0000-0000-00000A610000}"/>
    <cellStyle name="Header2 30 9 3 3 3" xfId="24800" xr:uid="{00000000-0005-0000-0000-00000B610000}"/>
    <cellStyle name="Header2 30 9 3 3 4" xfId="24801" xr:uid="{00000000-0005-0000-0000-00000C610000}"/>
    <cellStyle name="Header2 30 9 3 4" xfId="24802" xr:uid="{00000000-0005-0000-0000-00000D610000}"/>
    <cellStyle name="Header2 30 9 3 5" xfId="24803" xr:uid="{00000000-0005-0000-0000-00000E610000}"/>
    <cellStyle name="Header2 30 9 3 6" xfId="24804" xr:uid="{00000000-0005-0000-0000-00000F610000}"/>
    <cellStyle name="Header2 30 9 4" xfId="24805" xr:uid="{00000000-0005-0000-0000-000010610000}"/>
    <cellStyle name="Header2 30 9 5" xfId="24806" xr:uid="{00000000-0005-0000-0000-000011610000}"/>
    <cellStyle name="Header2 31" xfId="24807" xr:uid="{00000000-0005-0000-0000-000012610000}"/>
    <cellStyle name="Header2 31 10" xfId="24808" xr:uid="{00000000-0005-0000-0000-000013610000}"/>
    <cellStyle name="Header2 31 10 2" xfId="24809" xr:uid="{00000000-0005-0000-0000-000014610000}"/>
    <cellStyle name="Header2 31 10 2 2" xfId="24810" xr:uid="{00000000-0005-0000-0000-000015610000}"/>
    <cellStyle name="Header2 31 10 2 2 2" xfId="24811" xr:uid="{00000000-0005-0000-0000-000016610000}"/>
    <cellStyle name="Header2 31 10 2 2 3" xfId="24812" xr:uid="{00000000-0005-0000-0000-000017610000}"/>
    <cellStyle name="Header2 31 10 2 2 4" xfId="24813" xr:uid="{00000000-0005-0000-0000-000018610000}"/>
    <cellStyle name="Header2 31 10 2 2 5" xfId="24814" xr:uid="{00000000-0005-0000-0000-000019610000}"/>
    <cellStyle name="Header2 31 10 2 3" xfId="24815" xr:uid="{00000000-0005-0000-0000-00001A610000}"/>
    <cellStyle name="Header2 31 10 2 3 2" xfId="24816" xr:uid="{00000000-0005-0000-0000-00001B610000}"/>
    <cellStyle name="Header2 31 10 2 3 3" xfId="24817" xr:uid="{00000000-0005-0000-0000-00001C610000}"/>
    <cellStyle name="Header2 31 10 2 3 4" xfId="24818" xr:uid="{00000000-0005-0000-0000-00001D610000}"/>
    <cellStyle name="Header2 31 10 2 4" xfId="24819" xr:uid="{00000000-0005-0000-0000-00001E610000}"/>
    <cellStyle name="Header2 31 10 2 5" xfId="24820" xr:uid="{00000000-0005-0000-0000-00001F610000}"/>
    <cellStyle name="Header2 31 10 2 6" xfId="24821" xr:uid="{00000000-0005-0000-0000-000020610000}"/>
    <cellStyle name="Header2 31 10 3" xfId="24822" xr:uid="{00000000-0005-0000-0000-000021610000}"/>
    <cellStyle name="Header2 31 10 3 2" xfId="24823" xr:uid="{00000000-0005-0000-0000-000022610000}"/>
    <cellStyle name="Header2 31 10 3 2 2" xfId="24824" xr:uid="{00000000-0005-0000-0000-000023610000}"/>
    <cellStyle name="Header2 31 10 3 2 3" xfId="24825" xr:uid="{00000000-0005-0000-0000-000024610000}"/>
    <cellStyle name="Header2 31 10 3 2 4" xfId="24826" xr:uid="{00000000-0005-0000-0000-000025610000}"/>
    <cellStyle name="Header2 31 10 3 3" xfId="24827" xr:uid="{00000000-0005-0000-0000-000026610000}"/>
    <cellStyle name="Header2 31 10 3 3 2" xfId="24828" xr:uid="{00000000-0005-0000-0000-000027610000}"/>
    <cellStyle name="Header2 31 10 3 3 3" xfId="24829" xr:uid="{00000000-0005-0000-0000-000028610000}"/>
    <cellStyle name="Header2 31 10 3 3 4" xfId="24830" xr:uid="{00000000-0005-0000-0000-000029610000}"/>
    <cellStyle name="Header2 31 10 3 4" xfId="24831" xr:uid="{00000000-0005-0000-0000-00002A610000}"/>
    <cellStyle name="Header2 31 10 3 5" xfId="24832" xr:uid="{00000000-0005-0000-0000-00002B610000}"/>
    <cellStyle name="Header2 31 10 3 6" xfId="24833" xr:uid="{00000000-0005-0000-0000-00002C610000}"/>
    <cellStyle name="Header2 31 10 4" xfId="24834" xr:uid="{00000000-0005-0000-0000-00002D610000}"/>
    <cellStyle name="Header2 31 10 5" xfId="24835" xr:uid="{00000000-0005-0000-0000-00002E610000}"/>
    <cellStyle name="Header2 31 11" xfId="24836" xr:uid="{00000000-0005-0000-0000-00002F610000}"/>
    <cellStyle name="Header2 31 11 2" xfId="24837" xr:uid="{00000000-0005-0000-0000-000030610000}"/>
    <cellStyle name="Header2 31 11 2 2" xfId="24838" xr:uid="{00000000-0005-0000-0000-000031610000}"/>
    <cellStyle name="Header2 31 11 2 2 2" xfId="24839" xr:uid="{00000000-0005-0000-0000-000032610000}"/>
    <cellStyle name="Header2 31 11 2 2 3" xfId="24840" xr:uid="{00000000-0005-0000-0000-000033610000}"/>
    <cellStyle name="Header2 31 11 2 2 4" xfId="24841" xr:uid="{00000000-0005-0000-0000-000034610000}"/>
    <cellStyle name="Header2 31 11 2 2 5" xfId="24842" xr:uid="{00000000-0005-0000-0000-000035610000}"/>
    <cellStyle name="Header2 31 11 2 3" xfId="24843" xr:uid="{00000000-0005-0000-0000-000036610000}"/>
    <cellStyle name="Header2 31 11 2 3 2" xfId="24844" xr:uid="{00000000-0005-0000-0000-000037610000}"/>
    <cellStyle name="Header2 31 11 2 3 3" xfId="24845" xr:uid="{00000000-0005-0000-0000-000038610000}"/>
    <cellStyle name="Header2 31 11 2 3 4" xfId="24846" xr:uid="{00000000-0005-0000-0000-000039610000}"/>
    <cellStyle name="Header2 31 11 2 4" xfId="24847" xr:uid="{00000000-0005-0000-0000-00003A610000}"/>
    <cellStyle name="Header2 31 11 2 5" xfId="24848" xr:uid="{00000000-0005-0000-0000-00003B610000}"/>
    <cellStyle name="Header2 31 11 2 6" xfId="24849" xr:uid="{00000000-0005-0000-0000-00003C610000}"/>
    <cellStyle name="Header2 31 11 3" xfId="24850" xr:uid="{00000000-0005-0000-0000-00003D610000}"/>
    <cellStyle name="Header2 31 11 3 2" xfId="24851" xr:uid="{00000000-0005-0000-0000-00003E610000}"/>
    <cellStyle name="Header2 31 11 3 2 2" xfId="24852" xr:uid="{00000000-0005-0000-0000-00003F610000}"/>
    <cellStyle name="Header2 31 11 3 2 3" xfId="24853" xr:uid="{00000000-0005-0000-0000-000040610000}"/>
    <cellStyle name="Header2 31 11 3 2 4" xfId="24854" xr:uid="{00000000-0005-0000-0000-000041610000}"/>
    <cellStyle name="Header2 31 11 3 3" xfId="24855" xr:uid="{00000000-0005-0000-0000-000042610000}"/>
    <cellStyle name="Header2 31 11 3 3 2" xfId="24856" xr:uid="{00000000-0005-0000-0000-000043610000}"/>
    <cellStyle name="Header2 31 11 3 3 3" xfId="24857" xr:uid="{00000000-0005-0000-0000-000044610000}"/>
    <cellStyle name="Header2 31 11 3 3 4" xfId="24858" xr:uid="{00000000-0005-0000-0000-000045610000}"/>
    <cellStyle name="Header2 31 11 3 4" xfId="24859" xr:uid="{00000000-0005-0000-0000-000046610000}"/>
    <cellStyle name="Header2 31 11 3 5" xfId="24860" xr:uid="{00000000-0005-0000-0000-000047610000}"/>
    <cellStyle name="Header2 31 11 3 6" xfId="24861" xr:uid="{00000000-0005-0000-0000-000048610000}"/>
    <cellStyle name="Header2 31 11 4" xfId="24862" xr:uid="{00000000-0005-0000-0000-000049610000}"/>
    <cellStyle name="Header2 31 11 5" xfId="24863" xr:uid="{00000000-0005-0000-0000-00004A610000}"/>
    <cellStyle name="Header2 31 12" xfId="24864" xr:uid="{00000000-0005-0000-0000-00004B610000}"/>
    <cellStyle name="Header2 31 12 2" xfId="24865" xr:uid="{00000000-0005-0000-0000-00004C610000}"/>
    <cellStyle name="Header2 31 12 2 2" xfId="24866" xr:uid="{00000000-0005-0000-0000-00004D610000}"/>
    <cellStyle name="Header2 31 12 2 2 2" xfId="24867" xr:uid="{00000000-0005-0000-0000-00004E610000}"/>
    <cellStyle name="Header2 31 12 2 2 3" xfId="24868" xr:uid="{00000000-0005-0000-0000-00004F610000}"/>
    <cellStyle name="Header2 31 12 2 2 4" xfId="24869" xr:uid="{00000000-0005-0000-0000-000050610000}"/>
    <cellStyle name="Header2 31 12 2 2 5" xfId="24870" xr:uid="{00000000-0005-0000-0000-000051610000}"/>
    <cellStyle name="Header2 31 12 2 3" xfId="24871" xr:uid="{00000000-0005-0000-0000-000052610000}"/>
    <cellStyle name="Header2 31 12 2 3 2" xfId="24872" xr:uid="{00000000-0005-0000-0000-000053610000}"/>
    <cellStyle name="Header2 31 12 2 3 3" xfId="24873" xr:uid="{00000000-0005-0000-0000-000054610000}"/>
    <cellStyle name="Header2 31 12 2 3 4" xfId="24874" xr:uid="{00000000-0005-0000-0000-000055610000}"/>
    <cellStyle name="Header2 31 12 2 4" xfId="24875" xr:uid="{00000000-0005-0000-0000-000056610000}"/>
    <cellStyle name="Header2 31 12 2 5" xfId="24876" xr:uid="{00000000-0005-0000-0000-000057610000}"/>
    <cellStyle name="Header2 31 12 2 6" xfId="24877" xr:uid="{00000000-0005-0000-0000-000058610000}"/>
    <cellStyle name="Header2 31 12 3" xfId="24878" xr:uid="{00000000-0005-0000-0000-000059610000}"/>
    <cellStyle name="Header2 31 12 3 2" xfId="24879" xr:uid="{00000000-0005-0000-0000-00005A610000}"/>
    <cellStyle name="Header2 31 12 3 2 2" xfId="24880" xr:uid="{00000000-0005-0000-0000-00005B610000}"/>
    <cellStyle name="Header2 31 12 3 2 3" xfId="24881" xr:uid="{00000000-0005-0000-0000-00005C610000}"/>
    <cellStyle name="Header2 31 12 3 2 4" xfId="24882" xr:uid="{00000000-0005-0000-0000-00005D610000}"/>
    <cellStyle name="Header2 31 12 3 3" xfId="24883" xr:uid="{00000000-0005-0000-0000-00005E610000}"/>
    <cellStyle name="Header2 31 12 3 3 2" xfId="24884" xr:uid="{00000000-0005-0000-0000-00005F610000}"/>
    <cellStyle name="Header2 31 12 3 3 3" xfId="24885" xr:uid="{00000000-0005-0000-0000-000060610000}"/>
    <cellStyle name="Header2 31 12 3 3 4" xfId="24886" xr:uid="{00000000-0005-0000-0000-000061610000}"/>
    <cellStyle name="Header2 31 12 3 4" xfId="24887" xr:uid="{00000000-0005-0000-0000-000062610000}"/>
    <cellStyle name="Header2 31 12 3 5" xfId="24888" xr:uid="{00000000-0005-0000-0000-000063610000}"/>
    <cellStyle name="Header2 31 12 3 6" xfId="24889" xr:uid="{00000000-0005-0000-0000-000064610000}"/>
    <cellStyle name="Header2 31 12 4" xfId="24890" xr:uid="{00000000-0005-0000-0000-000065610000}"/>
    <cellStyle name="Header2 31 12 5" xfId="24891" xr:uid="{00000000-0005-0000-0000-000066610000}"/>
    <cellStyle name="Header2 31 13" xfId="58761" xr:uid="{00000000-0005-0000-0000-000067610000}"/>
    <cellStyle name="Header2 31 2" xfId="24892" xr:uid="{00000000-0005-0000-0000-000068610000}"/>
    <cellStyle name="Header2 31 2 2" xfId="24893" xr:uid="{00000000-0005-0000-0000-000069610000}"/>
    <cellStyle name="Header2 31 2 2 2" xfId="24894" xr:uid="{00000000-0005-0000-0000-00006A610000}"/>
    <cellStyle name="Header2 31 2 2 3" xfId="24895" xr:uid="{00000000-0005-0000-0000-00006B610000}"/>
    <cellStyle name="Header2 31 2 3" xfId="24896" xr:uid="{00000000-0005-0000-0000-00006C610000}"/>
    <cellStyle name="Header2 31 3" xfId="24897" xr:uid="{00000000-0005-0000-0000-00006D610000}"/>
    <cellStyle name="Header2 31 3 2" xfId="24898" xr:uid="{00000000-0005-0000-0000-00006E610000}"/>
    <cellStyle name="Header2 31 3 2 2" xfId="24899" xr:uid="{00000000-0005-0000-0000-00006F610000}"/>
    <cellStyle name="Header2 31 3 2 3" xfId="24900" xr:uid="{00000000-0005-0000-0000-000070610000}"/>
    <cellStyle name="Header2 31 3 3" xfId="24901" xr:uid="{00000000-0005-0000-0000-000071610000}"/>
    <cellStyle name="Header2 31 4" xfId="24902" xr:uid="{00000000-0005-0000-0000-000072610000}"/>
    <cellStyle name="Header2 31 4 2" xfId="24903" xr:uid="{00000000-0005-0000-0000-000073610000}"/>
    <cellStyle name="Header2 31 4 2 2" xfId="24904" xr:uid="{00000000-0005-0000-0000-000074610000}"/>
    <cellStyle name="Header2 31 4 2 3" xfId="24905" xr:uid="{00000000-0005-0000-0000-000075610000}"/>
    <cellStyle name="Header2 31 4 3" xfId="24906" xr:uid="{00000000-0005-0000-0000-000076610000}"/>
    <cellStyle name="Header2 31 5" xfId="24907" xr:uid="{00000000-0005-0000-0000-000077610000}"/>
    <cellStyle name="Header2 31 5 2" xfId="24908" xr:uid="{00000000-0005-0000-0000-000078610000}"/>
    <cellStyle name="Header2 31 5 2 2" xfId="24909" xr:uid="{00000000-0005-0000-0000-000079610000}"/>
    <cellStyle name="Header2 31 5 2 2 2" xfId="24910" xr:uid="{00000000-0005-0000-0000-00007A610000}"/>
    <cellStyle name="Header2 31 5 2 2 3" xfId="24911" xr:uid="{00000000-0005-0000-0000-00007B610000}"/>
    <cellStyle name="Header2 31 5 2 2 4" xfId="24912" xr:uid="{00000000-0005-0000-0000-00007C610000}"/>
    <cellStyle name="Header2 31 5 2 2 5" xfId="24913" xr:uid="{00000000-0005-0000-0000-00007D610000}"/>
    <cellStyle name="Header2 31 5 2 3" xfId="24914" xr:uid="{00000000-0005-0000-0000-00007E610000}"/>
    <cellStyle name="Header2 31 5 2 3 2" xfId="24915" xr:uid="{00000000-0005-0000-0000-00007F610000}"/>
    <cellStyle name="Header2 31 5 2 3 3" xfId="24916" xr:uid="{00000000-0005-0000-0000-000080610000}"/>
    <cellStyle name="Header2 31 5 2 3 4" xfId="24917" xr:uid="{00000000-0005-0000-0000-000081610000}"/>
    <cellStyle name="Header2 31 5 2 4" xfId="24918" xr:uid="{00000000-0005-0000-0000-000082610000}"/>
    <cellStyle name="Header2 31 5 2 5" xfId="24919" xr:uid="{00000000-0005-0000-0000-000083610000}"/>
    <cellStyle name="Header2 31 5 2 6" xfId="24920" xr:uid="{00000000-0005-0000-0000-000084610000}"/>
    <cellStyle name="Header2 31 5 3" xfId="24921" xr:uid="{00000000-0005-0000-0000-000085610000}"/>
    <cellStyle name="Header2 31 5 3 2" xfId="24922" xr:uid="{00000000-0005-0000-0000-000086610000}"/>
    <cellStyle name="Header2 31 5 3 2 2" xfId="24923" xr:uid="{00000000-0005-0000-0000-000087610000}"/>
    <cellStyle name="Header2 31 5 3 2 3" xfId="24924" xr:uid="{00000000-0005-0000-0000-000088610000}"/>
    <cellStyle name="Header2 31 5 3 2 4" xfId="24925" xr:uid="{00000000-0005-0000-0000-000089610000}"/>
    <cellStyle name="Header2 31 5 3 3" xfId="24926" xr:uid="{00000000-0005-0000-0000-00008A610000}"/>
    <cellStyle name="Header2 31 5 3 3 2" xfId="24927" xr:uid="{00000000-0005-0000-0000-00008B610000}"/>
    <cellStyle name="Header2 31 5 3 3 3" xfId="24928" xr:uid="{00000000-0005-0000-0000-00008C610000}"/>
    <cellStyle name="Header2 31 5 3 3 4" xfId="24929" xr:uid="{00000000-0005-0000-0000-00008D610000}"/>
    <cellStyle name="Header2 31 5 3 4" xfId="24930" xr:uid="{00000000-0005-0000-0000-00008E610000}"/>
    <cellStyle name="Header2 31 5 3 5" xfId="24931" xr:uid="{00000000-0005-0000-0000-00008F610000}"/>
    <cellStyle name="Header2 31 5 3 6" xfId="24932" xr:uid="{00000000-0005-0000-0000-000090610000}"/>
    <cellStyle name="Header2 31 5 4" xfId="24933" xr:uid="{00000000-0005-0000-0000-000091610000}"/>
    <cellStyle name="Header2 31 5 5" xfId="24934" xr:uid="{00000000-0005-0000-0000-000092610000}"/>
    <cellStyle name="Header2 31 6" xfId="24935" xr:uid="{00000000-0005-0000-0000-000093610000}"/>
    <cellStyle name="Header2 31 6 2" xfId="24936" xr:uid="{00000000-0005-0000-0000-000094610000}"/>
    <cellStyle name="Header2 31 6 2 2" xfId="24937" xr:uid="{00000000-0005-0000-0000-000095610000}"/>
    <cellStyle name="Header2 31 6 2 2 2" xfId="24938" xr:uid="{00000000-0005-0000-0000-000096610000}"/>
    <cellStyle name="Header2 31 6 2 2 3" xfId="24939" xr:uid="{00000000-0005-0000-0000-000097610000}"/>
    <cellStyle name="Header2 31 6 2 2 4" xfId="24940" xr:uid="{00000000-0005-0000-0000-000098610000}"/>
    <cellStyle name="Header2 31 6 2 2 5" xfId="24941" xr:uid="{00000000-0005-0000-0000-000099610000}"/>
    <cellStyle name="Header2 31 6 2 3" xfId="24942" xr:uid="{00000000-0005-0000-0000-00009A610000}"/>
    <cellStyle name="Header2 31 6 2 3 2" xfId="24943" xr:uid="{00000000-0005-0000-0000-00009B610000}"/>
    <cellStyle name="Header2 31 6 2 3 3" xfId="24944" xr:uid="{00000000-0005-0000-0000-00009C610000}"/>
    <cellStyle name="Header2 31 6 2 3 4" xfId="24945" xr:uid="{00000000-0005-0000-0000-00009D610000}"/>
    <cellStyle name="Header2 31 6 2 4" xfId="24946" xr:uid="{00000000-0005-0000-0000-00009E610000}"/>
    <cellStyle name="Header2 31 6 2 5" xfId="24947" xr:uid="{00000000-0005-0000-0000-00009F610000}"/>
    <cellStyle name="Header2 31 6 2 6" xfId="24948" xr:uid="{00000000-0005-0000-0000-0000A0610000}"/>
    <cellStyle name="Header2 31 6 3" xfId="24949" xr:uid="{00000000-0005-0000-0000-0000A1610000}"/>
    <cellStyle name="Header2 31 6 3 2" xfId="24950" xr:uid="{00000000-0005-0000-0000-0000A2610000}"/>
    <cellStyle name="Header2 31 6 3 2 2" xfId="24951" xr:uid="{00000000-0005-0000-0000-0000A3610000}"/>
    <cellStyle name="Header2 31 6 3 2 3" xfId="24952" xr:uid="{00000000-0005-0000-0000-0000A4610000}"/>
    <cellStyle name="Header2 31 6 3 2 4" xfId="24953" xr:uid="{00000000-0005-0000-0000-0000A5610000}"/>
    <cellStyle name="Header2 31 6 3 3" xfId="24954" xr:uid="{00000000-0005-0000-0000-0000A6610000}"/>
    <cellStyle name="Header2 31 6 3 3 2" xfId="24955" xr:uid="{00000000-0005-0000-0000-0000A7610000}"/>
    <cellStyle name="Header2 31 6 3 3 3" xfId="24956" xr:uid="{00000000-0005-0000-0000-0000A8610000}"/>
    <cellStyle name="Header2 31 6 3 3 4" xfId="24957" xr:uid="{00000000-0005-0000-0000-0000A9610000}"/>
    <cellStyle name="Header2 31 6 3 4" xfId="24958" xr:uid="{00000000-0005-0000-0000-0000AA610000}"/>
    <cellStyle name="Header2 31 6 3 5" xfId="24959" xr:uid="{00000000-0005-0000-0000-0000AB610000}"/>
    <cellStyle name="Header2 31 6 3 6" xfId="24960" xr:uid="{00000000-0005-0000-0000-0000AC610000}"/>
    <cellStyle name="Header2 31 6 4" xfId="24961" xr:uid="{00000000-0005-0000-0000-0000AD610000}"/>
    <cellStyle name="Header2 31 6 5" xfId="24962" xr:uid="{00000000-0005-0000-0000-0000AE610000}"/>
    <cellStyle name="Header2 31 7" xfId="24963" xr:uid="{00000000-0005-0000-0000-0000AF610000}"/>
    <cellStyle name="Header2 31 7 2" xfId="24964" xr:uid="{00000000-0005-0000-0000-0000B0610000}"/>
    <cellStyle name="Header2 31 7 2 2" xfId="24965" xr:uid="{00000000-0005-0000-0000-0000B1610000}"/>
    <cellStyle name="Header2 31 7 2 2 2" xfId="24966" xr:uid="{00000000-0005-0000-0000-0000B2610000}"/>
    <cellStyle name="Header2 31 7 2 2 3" xfId="24967" xr:uid="{00000000-0005-0000-0000-0000B3610000}"/>
    <cellStyle name="Header2 31 7 2 2 4" xfId="24968" xr:uid="{00000000-0005-0000-0000-0000B4610000}"/>
    <cellStyle name="Header2 31 7 2 2 5" xfId="24969" xr:uid="{00000000-0005-0000-0000-0000B5610000}"/>
    <cellStyle name="Header2 31 7 2 3" xfId="24970" xr:uid="{00000000-0005-0000-0000-0000B6610000}"/>
    <cellStyle name="Header2 31 7 2 3 2" xfId="24971" xr:uid="{00000000-0005-0000-0000-0000B7610000}"/>
    <cellStyle name="Header2 31 7 2 3 3" xfId="24972" xr:uid="{00000000-0005-0000-0000-0000B8610000}"/>
    <cellStyle name="Header2 31 7 2 3 4" xfId="24973" xr:uid="{00000000-0005-0000-0000-0000B9610000}"/>
    <cellStyle name="Header2 31 7 2 4" xfId="24974" xr:uid="{00000000-0005-0000-0000-0000BA610000}"/>
    <cellStyle name="Header2 31 7 2 5" xfId="24975" xr:uid="{00000000-0005-0000-0000-0000BB610000}"/>
    <cellStyle name="Header2 31 7 2 6" xfId="24976" xr:uid="{00000000-0005-0000-0000-0000BC610000}"/>
    <cellStyle name="Header2 31 7 3" xfId="24977" xr:uid="{00000000-0005-0000-0000-0000BD610000}"/>
    <cellStyle name="Header2 31 7 3 2" xfId="24978" xr:uid="{00000000-0005-0000-0000-0000BE610000}"/>
    <cellStyle name="Header2 31 7 3 2 2" xfId="24979" xr:uid="{00000000-0005-0000-0000-0000BF610000}"/>
    <cellStyle name="Header2 31 7 3 2 3" xfId="24980" xr:uid="{00000000-0005-0000-0000-0000C0610000}"/>
    <cellStyle name="Header2 31 7 3 2 4" xfId="24981" xr:uid="{00000000-0005-0000-0000-0000C1610000}"/>
    <cellStyle name="Header2 31 7 3 3" xfId="24982" xr:uid="{00000000-0005-0000-0000-0000C2610000}"/>
    <cellStyle name="Header2 31 7 3 3 2" xfId="24983" xr:uid="{00000000-0005-0000-0000-0000C3610000}"/>
    <cellStyle name="Header2 31 7 3 3 3" xfId="24984" xr:uid="{00000000-0005-0000-0000-0000C4610000}"/>
    <cellStyle name="Header2 31 7 3 3 4" xfId="24985" xr:uid="{00000000-0005-0000-0000-0000C5610000}"/>
    <cellStyle name="Header2 31 7 3 4" xfId="24986" xr:uid="{00000000-0005-0000-0000-0000C6610000}"/>
    <cellStyle name="Header2 31 7 3 5" xfId="24987" xr:uid="{00000000-0005-0000-0000-0000C7610000}"/>
    <cellStyle name="Header2 31 7 3 6" xfId="24988" xr:uid="{00000000-0005-0000-0000-0000C8610000}"/>
    <cellStyle name="Header2 31 7 4" xfId="24989" xr:uid="{00000000-0005-0000-0000-0000C9610000}"/>
    <cellStyle name="Header2 31 7 5" xfId="24990" xr:uid="{00000000-0005-0000-0000-0000CA610000}"/>
    <cellStyle name="Header2 31 8" xfId="24991" xr:uid="{00000000-0005-0000-0000-0000CB610000}"/>
    <cellStyle name="Header2 31 8 2" xfId="24992" xr:uid="{00000000-0005-0000-0000-0000CC610000}"/>
    <cellStyle name="Header2 31 8 2 2" xfId="24993" xr:uid="{00000000-0005-0000-0000-0000CD610000}"/>
    <cellStyle name="Header2 31 8 2 2 2" xfId="24994" xr:uid="{00000000-0005-0000-0000-0000CE610000}"/>
    <cellStyle name="Header2 31 8 2 2 3" xfId="24995" xr:uid="{00000000-0005-0000-0000-0000CF610000}"/>
    <cellStyle name="Header2 31 8 2 2 4" xfId="24996" xr:uid="{00000000-0005-0000-0000-0000D0610000}"/>
    <cellStyle name="Header2 31 8 2 2 5" xfId="24997" xr:uid="{00000000-0005-0000-0000-0000D1610000}"/>
    <cellStyle name="Header2 31 8 2 3" xfId="24998" xr:uid="{00000000-0005-0000-0000-0000D2610000}"/>
    <cellStyle name="Header2 31 8 2 3 2" xfId="24999" xr:uid="{00000000-0005-0000-0000-0000D3610000}"/>
    <cellStyle name="Header2 31 8 2 3 3" xfId="25000" xr:uid="{00000000-0005-0000-0000-0000D4610000}"/>
    <cellStyle name="Header2 31 8 2 3 4" xfId="25001" xr:uid="{00000000-0005-0000-0000-0000D5610000}"/>
    <cellStyle name="Header2 31 8 2 4" xfId="25002" xr:uid="{00000000-0005-0000-0000-0000D6610000}"/>
    <cellStyle name="Header2 31 8 2 5" xfId="25003" xr:uid="{00000000-0005-0000-0000-0000D7610000}"/>
    <cellStyle name="Header2 31 8 2 6" xfId="25004" xr:uid="{00000000-0005-0000-0000-0000D8610000}"/>
    <cellStyle name="Header2 31 8 3" xfId="25005" xr:uid="{00000000-0005-0000-0000-0000D9610000}"/>
    <cellStyle name="Header2 31 8 3 2" xfId="25006" xr:uid="{00000000-0005-0000-0000-0000DA610000}"/>
    <cellStyle name="Header2 31 8 3 2 2" xfId="25007" xr:uid="{00000000-0005-0000-0000-0000DB610000}"/>
    <cellStyle name="Header2 31 8 3 2 3" xfId="25008" xr:uid="{00000000-0005-0000-0000-0000DC610000}"/>
    <cellStyle name="Header2 31 8 3 2 4" xfId="25009" xr:uid="{00000000-0005-0000-0000-0000DD610000}"/>
    <cellStyle name="Header2 31 8 3 3" xfId="25010" xr:uid="{00000000-0005-0000-0000-0000DE610000}"/>
    <cellStyle name="Header2 31 8 3 3 2" xfId="25011" xr:uid="{00000000-0005-0000-0000-0000DF610000}"/>
    <cellStyle name="Header2 31 8 3 3 3" xfId="25012" xr:uid="{00000000-0005-0000-0000-0000E0610000}"/>
    <cellStyle name="Header2 31 8 3 3 4" xfId="25013" xr:uid="{00000000-0005-0000-0000-0000E1610000}"/>
    <cellStyle name="Header2 31 8 3 4" xfId="25014" xr:uid="{00000000-0005-0000-0000-0000E2610000}"/>
    <cellStyle name="Header2 31 8 3 5" xfId="25015" xr:uid="{00000000-0005-0000-0000-0000E3610000}"/>
    <cellStyle name="Header2 31 8 3 6" xfId="25016" xr:uid="{00000000-0005-0000-0000-0000E4610000}"/>
    <cellStyle name="Header2 31 8 4" xfId="25017" xr:uid="{00000000-0005-0000-0000-0000E5610000}"/>
    <cellStyle name="Header2 31 8 5" xfId="25018" xr:uid="{00000000-0005-0000-0000-0000E6610000}"/>
    <cellStyle name="Header2 31 9" xfId="25019" xr:uid="{00000000-0005-0000-0000-0000E7610000}"/>
    <cellStyle name="Header2 31 9 2" xfId="25020" xr:uid="{00000000-0005-0000-0000-0000E8610000}"/>
    <cellStyle name="Header2 31 9 2 2" xfId="25021" xr:uid="{00000000-0005-0000-0000-0000E9610000}"/>
    <cellStyle name="Header2 31 9 2 2 2" xfId="25022" xr:uid="{00000000-0005-0000-0000-0000EA610000}"/>
    <cellStyle name="Header2 31 9 2 2 3" xfId="25023" xr:uid="{00000000-0005-0000-0000-0000EB610000}"/>
    <cellStyle name="Header2 31 9 2 2 4" xfId="25024" xr:uid="{00000000-0005-0000-0000-0000EC610000}"/>
    <cellStyle name="Header2 31 9 2 2 5" xfId="25025" xr:uid="{00000000-0005-0000-0000-0000ED610000}"/>
    <cellStyle name="Header2 31 9 2 3" xfId="25026" xr:uid="{00000000-0005-0000-0000-0000EE610000}"/>
    <cellStyle name="Header2 31 9 2 3 2" xfId="25027" xr:uid="{00000000-0005-0000-0000-0000EF610000}"/>
    <cellStyle name="Header2 31 9 2 3 3" xfId="25028" xr:uid="{00000000-0005-0000-0000-0000F0610000}"/>
    <cellStyle name="Header2 31 9 2 3 4" xfId="25029" xr:uid="{00000000-0005-0000-0000-0000F1610000}"/>
    <cellStyle name="Header2 31 9 2 4" xfId="25030" xr:uid="{00000000-0005-0000-0000-0000F2610000}"/>
    <cellStyle name="Header2 31 9 2 5" xfId="25031" xr:uid="{00000000-0005-0000-0000-0000F3610000}"/>
    <cellStyle name="Header2 31 9 2 6" xfId="25032" xr:uid="{00000000-0005-0000-0000-0000F4610000}"/>
    <cellStyle name="Header2 31 9 3" xfId="25033" xr:uid="{00000000-0005-0000-0000-0000F5610000}"/>
    <cellStyle name="Header2 31 9 3 2" xfId="25034" xr:uid="{00000000-0005-0000-0000-0000F6610000}"/>
    <cellStyle name="Header2 31 9 3 2 2" xfId="25035" xr:uid="{00000000-0005-0000-0000-0000F7610000}"/>
    <cellStyle name="Header2 31 9 3 2 3" xfId="25036" xr:uid="{00000000-0005-0000-0000-0000F8610000}"/>
    <cellStyle name="Header2 31 9 3 2 4" xfId="25037" xr:uid="{00000000-0005-0000-0000-0000F9610000}"/>
    <cellStyle name="Header2 31 9 3 3" xfId="25038" xr:uid="{00000000-0005-0000-0000-0000FA610000}"/>
    <cellStyle name="Header2 31 9 3 3 2" xfId="25039" xr:uid="{00000000-0005-0000-0000-0000FB610000}"/>
    <cellStyle name="Header2 31 9 3 3 3" xfId="25040" xr:uid="{00000000-0005-0000-0000-0000FC610000}"/>
    <cellStyle name="Header2 31 9 3 3 4" xfId="25041" xr:uid="{00000000-0005-0000-0000-0000FD610000}"/>
    <cellStyle name="Header2 31 9 3 4" xfId="25042" xr:uid="{00000000-0005-0000-0000-0000FE610000}"/>
    <cellStyle name="Header2 31 9 3 5" xfId="25043" xr:uid="{00000000-0005-0000-0000-0000FF610000}"/>
    <cellStyle name="Header2 31 9 3 6" xfId="25044" xr:uid="{00000000-0005-0000-0000-000000620000}"/>
    <cellStyle name="Header2 31 9 4" xfId="25045" xr:uid="{00000000-0005-0000-0000-000001620000}"/>
    <cellStyle name="Header2 31 9 5" xfId="25046" xr:uid="{00000000-0005-0000-0000-000002620000}"/>
    <cellStyle name="Header2 4" xfId="25047" xr:uid="{00000000-0005-0000-0000-000003620000}"/>
    <cellStyle name="Header2 4 2" xfId="25048" xr:uid="{00000000-0005-0000-0000-000004620000}"/>
    <cellStyle name="Header2 4 2 10" xfId="25049" xr:uid="{00000000-0005-0000-0000-000005620000}"/>
    <cellStyle name="Header2 4 2 10 2" xfId="25050" xr:uid="{00000000-0005-0000-0000-000006620000}"/>
    <cellStyle name="Header2 4 2 10 2 2" xfId="25051" xr:uid="{00000000-0005-0000-0000-000007620000}"/>
    <cellStyle name="Header2 4 2 10 2 2 2" xfId="25052" xr:uid="{00000000-0005-0000-0000-000008620000}"/>
    <cellStyle name="Header2 4 2 10 2 2 3" xfId="25053" xr:uid="{00000000-0005-0000-0000-000009620000}"/>
    <cellStyle name="Header2 4 2 10 2 2 4" xfId="25054" xr:uid="{00000000-0005-0000-0000-00000A620000}"/>
    <cellStyle name="Header2 4 2 10 2 2 5" xfId="25055" xr:uid="{00000000-0005-0000-0000-00000B620000}"/>
    <cellStyle name="Header2 4 2 10 2 3" xfId="25056" xr:uid="{00000000-0005-0000-0000-00000C620000}"/>
    <cellStyle name="Header2 4 2 10 2 3 2" xfId="25057" xr:uid="{00000000-0005-0000-0000-00000D620000}"/>
    <cellStyle name="Header2 4 2 10 2 3 3" xfId="25058" xr:uid="{00000000-0005-0000-0000-00000E620000}"/>
    <cellStyle name="Header2 4 2 10 2 3 4" xfId="25059" xr:uid="{00000000-0005-0000-0000-00000F620000}"/>
    <cellStyle name="Header2 4 2 10 2 4" xfId="25060" xr:uid="{00000000-0005-0000-0000-000010620000}"/>
    <cellStyle name="Header2 4 2 10 2 5" xfId="25061" xr:uid="{00000000-0005-0000-0000-000011620000}"/>
    <cellStyle name="Header2 4 2 10 2 6" xfId="25062" xr:uid="{00000000-0005-0000-0000-000012620000}"/>
    <cellStyle name="Header2 4 2 10 3" xfId="25063" xr:uid="{00000000-0005-0000-0000-000013620000}"/>
    <cellStyle name="Header2 4 2 10 3 2" xfId="25064" xr:uid="{00000000-0005-0000-0000-000014620000}"/>
    <cellStyle name="Header2 4 2 10 3 2 2" xfId="25065" xr:uid="{00000000-0005-0000-0000-000015620000}"/>
    <cellStyle name="Header2 4 2 10 3 2 3" xfId="25066" xr:uid="{00000000-0005-0000-0000-000016620000}"/>
    <cellStyle name="Header2 4 2 10 3 2 4" xfId="25067" xr:uid="{00000000-0005-0000-0000-000017620000}"/>
    <cellStyle name="Header2 4 2 10 3 3" xfId="25068" xr:uid="{00000000-0005-0000-0000-000018620000}"/>
    <cellStyle name="Header2 4 2 10 3 3 2" xfId="25069" xr:uid="{00000000-0005-0000-0000-000019620000}"/>
    <cellStyle name="Header2 4 2 10 3 3 3" xfId="25070" xr:uid="{00000000-0005-0000-0000-00001A620000}"/>
    <cellStyle name="Header2 4 2 10 3 3 4" xfId="25071" xr:uid="{00000000-0005-0000-0000-00001B620000}"/>
    <cellStyle name="Header2 4 2 10 3 4" xfId="25072" xr:uid="{00000000-0005-0000-0000-00001C620000}"/>
    <cellStyle name="Header2 4 2 10 3 5" xfId="25073" xr:uid="{00000000-0005-0000-0000-00001D620000}"/>
    <cellStyle name="Header2 4 2 10 3 6" xfId="25074" xr:uid="{00000000-0005-0000-0000-00001E620000}"/>
    <cellStyle name="Header2 4 2 10 4" xfId="25075" xr:uid="{00000000-0005-0000-0000-00001F620000}"/>
    <cellStyle name="Header2 4 2 10 5" xfId="25076" xr:uid="{00000000-0005-0000-0000-000020620000}"/>
    <cellStyle name="Header2 4 2 11" xfId="25077" xr:uid="{00000000-0005-0000-0000-000021620000}"/>
    <cellStyle name="Header2 4 2 11 2" xfId="25078" xr:uid="{00000000-0005-0000-0000-000022620000}"/>
    <cellStyle name="Header2 4 2 11 2 2" xfId="25079" xr:uid="{00000000-0005-0000-0000-000023620000}"/>
    <cellStyle name="Header2 4 2 11 2 2 2" xfId="25080" xr:uid="{00000000-0005-0000-0000-000024620000}"/>
    <cellStyle name="Header2 4 2 11 2 2 3" xfId="25081" xr:uid="{00000000-0005-0000-0000-000025620000}"/>
    <cellStyle name="Header2 4 2 11 2 2 4" xfId="25082" xr:uid="{00000000-0005-0000-0000-000026620000}"/>
    <cellStyle name="Header2 4 2 11 2 2 5" xfId="25083" xr:uid="{00000000-0005-0000-0000-000027620000}"/>
    <cellStyle name="Header2 4 2 11 2 3" xfId="25084" xr:uid="{00000000-0005-0000-0000-000028620000}"/>
    <cellStyle name="Header2 4 2 11 2 3 2" xfId="25085" xr:uid="{00000000-0005-0000-0000-000029620000}"/>
    <cellStyle name="Header2 4 2 11 2 3 3" xfId="25086" xr:uid="{00000000-0005-0000-0000-00002A620000}"/>
    <cellStyle name="Header2 4 2 11 2 3 4" xfId="25087" xr:uid="{00000000-0005-0000-0000-00002B620000}"/>
    <cellStyle name="Header2 4 2 11 2 4" xfId="25088" xr:uid="{00000000-0005-0000-0000-00002C620000}"/>
    <cellStyle name="Header2 4 2 11 2 5" xfId="25089" xr:uid="{00000000-0005-0000-0000-00002D620000}"/>
    <cellStyle name="Header2 4 2 11 2 6" xfId="25090" xr:uid="{00000000-0005-0000-0000-00002E620000}"/>
    <cellStyle name="Header2 4 2 11 3" xfId="25091" xr:uid="{00000000-0005-0000-0000-00002F620000}"/>
    <cellStyle name="Header2 4 2 11 3 2" xfId="25092" xr:uid="{00000000-0005-0000-0000-000030620000}"/>
    <cellStyle name="Header2 4 2 11 3 2 2" xfId="25093" xr:uid="{00000000-0005-0000-0000-000031620000}"/>
    <cellStyle name="Header2 4 2 11 3 2 3" xfId="25094" xr:uid="{00000000-0005-0000-0000-000032620000}"/>
    <cellStyle name="Header2 4 2 11 3 2 4" xfId="25095" xr:uid="{00000000-0005-0000-0000-000033620000}"/>
    <cellStyle name="Header2 4 2 11 3 3" xfId="25096" xr:uid="{00000000-0005-0000-0000-000034620000}"/>
    <cellStyle name="Header2 4 2 11 3 3 2" xfId="25097" xr:uid="{00000000-0005-0000-0000-000035620000}"/>
    <cellStyle name="Header2 4 2 11 3 3 3" xfId="25098" xr:uid="{00000000-0005-0000-0000-000036620000}"/>
    <cellStyle name="Header2 4 2 11 3 3 4" xfId="25099" xr:uid="{00000000-0005-0000-0000-000037620000}"/>
    <cellStyle name="Header2 4 2 11 3 4" xfId="25100" xr:uid="{00000000-0005-0000-0000-000038620000}"/>
    <cellStyle name="Header2 4 2 11 3 5" xfId="25101" xr:uid="{00000000-0005-0000-0000-000039620000}"/>
    <cellStyle name="Header2 4 2 11 3 6" xfId="25102" xr:uid="{00000000-0005-0000-0000-00003A620000}"/>
    <cellStyle name="Header2 4 2 11 4" xfId="25103" xr:uid="{00000000-0005-0000-0000-00003B620000}"/>
    <cellStyle name="Header2 4 2 11 5" xfId="25104" xr:uid="{00000000-0005-0000-0000-00003C620000}"/>
    <cellStyle name="Header2 4 2 12" xfId="25105" xr:uid="{00000000-0005-0000-0000-00003D620000}"/>
    <cellStyle name="Header2 4 2 12 2" xfId="25106" xr:uid="{00000000-0005-0000-0000-00003E620000}"/>
    <cellStyle name="Header2 4 2 12 2 2" xfId="25107" xr:uid="{00000000-0005-0000-0000-00003F620000}"/>
    <cellStyle name="Header2 4 2 12 2 2 2" xfId="25108" xr:uid="{00000000-0005-0000-0000-000040620000}"/>
    <cellStyle name="Header2 4 2 12 2 2 3" xfId="25109" xr:uid="{00000000-0005-0000-0000-000041620000}"/>
    <cellStyle name="Header2 4 2 12 2 2 4" xfId="25110" xr:uid="{00000000-0005-0000-0000-000042620000}"/>
    <cellStyle name="Header2 4 2 12 2 2 5" xfId="25111" xr:uid="{00000000-0005-0000-0000-000043620000}"/>
    <cellStyle name="Header2 4 2 12 2 3" xfId="25112" xr:uid="{00000000-0005-0000-0000-000044620000}"/>
    <cellStyle name="Header2 4 2 12 2 3 2" xfId="25113" xr:uid="{00000000-0005-0000-0000-000045620000}"/>
    <cellStyle name="Header2 4 2 12 2 3 3" xfId="25114" xr:uid="{00000000-0005-0000-0000-000046620000}"/>
    <cellStyle name="Header2 4 2 12 2 3 4" xfId="25115" xr:uid="{00000000-0005-0000-0000-000047620000}"/>
    <cellStyle name="Header2 4 2 12 2 4" xfId="25116" xr:uid="{00000000-0005-0000-0000-000048620000}"/>
    <cellStyle name="Header2 4 2 12 2 5" xfId="25117" xr:uid="{00000000-0005-0000-0000-000049620000}"/>
    <cellStyle name="Header2 4 2 12 2 6" xfId="25118" xr:uid="{00000000-0005-0000-0000-00004A620000}"/>
    <cellStyle name="Header2 4 2 12 3" xfId="25119" xr:uid="{00000000-0005-0000-0000-00004B620000}"/>
    <cellStyle name="Header2 4 2 12 3 2" xfId="25120" xr:uid="{00000000-0005-0000-0000-00004C620000}"/>
    <cellStyle name="Header2 4 2 12 3 2 2" xfId="25121" xr:uid="{00000000-0005-0000-0000-00004D620000}"/>
    <cellStyle name="Header2 4 2 12 3 2 3" xfId="25122" xr:uid="{00000000-0005-0000-0000-00004E620000}"/>
    <cellStyle name="Header2 4 2 12 3 2 4" xfId="25123" xr:uid="{00000000-0005-0000-0000-00004F620000}"/>
    <cellStyle name="Header2 4 2 12 3 3" xfId="25124" xr:uid="{00000000-0005-0000-0000-000050620000}"/>
    <cellStyle name="Header2 4 2 12 3 3 2" xfId="25125" xr:uid="{00000000-0005-0000-0000-000051620000}"/>
    <cellStyle name="Header2 4 2 12 3 3 3" xfId="25126" xr:uid="{00000000-0005-0000-0000-000052620000}"/>
    <cellStyle name="Header2 4 2 12 3 3 4" xfId="25127" xr:uid="{00000000-0005-0000-0000-000053620000}"/>
    <cellStyle name="Header2 4 2 12 3 4" xfId="25128" xr:uid="{00000000-0005-0000-0000-000054620000}"/>
    <cellStyle name="Header2 4 2 12 3 5" xfId="25129" xr:uid="{00000000-0005-0000-0000-000055620000}"/>
    <cellStyle name="Header2 4 2 12 3 6" xfId="25130" xr:uid="{00000000-0005-0000-0000-000056620000}"/>
    <cellStyle name="Header2 4 2 12 4" xfId="25131" xr:uid="{00000000-0005-0000-0000-000057620000}"/>
    <cellStyle name="Header2 4 2 12 5" xfId="25132" xr:uid="{00000000-0005-0000-0000-000058620000}"/>
    <cellStyle name="Header2 4 2 13" xfId="25133" xr:uid="{00000000-0005-0000-0000-000059620000}"/>
    <cellStyle name="Header2 4 2 13 2" xfId="25134" xr:uid="{00000000-0005-0000-0000-00005A620000}"/>
    <cellStyle name="Header2 4 2 13 2 2" xfId="25135" xr:uid="{00000000-0005-0000-0000-00005B620000}"/>
    <cellStyle name="Header2 4 2 13 2 2 2" xfId="25136" xr:uid="{00000000-0005-0000-0000-00005C620000}"/>
    <cellStyle name="Header2 4 2 13 2 2 3" xfId="25137" xr:uid="{00000000-0005-0000-0000-00005D620000}"/>
    <cellStyle name="Header2 4 2 13 2 2 4" xfId="25138" xr:uid="{00000000-0005-0000-0000-00005E620000}"/>
    <cellStyle name="Header2 4 2 13 2 2 5" xfId="25139" xr:uid="{00000000-0005-0000-0000-00005F620000}"/>
    <cellStyle name="Header2 4 2 13 2 3" xfId="25140" xr:uid="{00000000-0005-0000-0000-000060620000}"/>
    <cellStyle name="Header2 4 2 13 2 3 2" xfId="25141" xr:uid="{00000000-0005-0000-0000-000061620000}"/>
    <cellStyle name="Header2 4 2 13 2 3 3" xfId="25142" xr:uid="{00000000-0005-0000-0000-000062620000}"/>
    <cellStyle name="Header2 4 2 13 2 3 4" xfId="25143" xr:uid="{00000000-0005-0000-0000-000063620000}"/>
    <cellStyle name="Header2 4 2 13 2 4" xfId="25144" xr:uid="{00000000-0005-0000-0000-000064620000}"/>
    <cellStyle name="Header2 4 2 13 2 5" xfId="25145" xr:uid="{00000000-0005-0000-0000-000065620000}"/>
    <cellStyle name="Header2 4 2 13 2 6" xfId="25146" xr:uid="{00000000-0005-0000-0000-000066620000}"/>
    <cellStyle name="Header2 4 2 13 3" xfId="25147" xr:uid="{00000000-0005-0000-0000-000067620000}"/>
    <cellStyle name="Header2 4 2 13 3 2" xfId="25148" xr:uid="{00000000-0005-0000-0000-000068620000}"/>
    <cellStyle name="Header2 4 2 13 3 2 2" xfId="25149" xr:uid="{00000000-0005-0000-0000-000069620000}"/>
    <cellStyle name="Header2 4 2 13 3 2 3" xfId="25150" xr:uid="{00000000-0005-0000-0000-00006A620000}"/>
    <cellStyle name="Header2 4 2 13 3 2 4" xfId="25151" xr:uid="{00000000-0005-0000-0000-00006B620000}"/>
    <cellStyle name="Header2 4 2 13 3 3" xfId="25152" xr:uid="{00000000-0005-0000-0000-00006C620000}"/>
    <cellStyle name="Header2 4 2 13 3 3 2" xfId="25153" xr:uid="{00000000-0005-0000-0000-00006D620000}"/>
    <cellStyle name="Header2 4 2 13 3 3 3" xfId="25154" xr:uid="{00000000-0005-0000-0000-00006E620000}"/>
    <cellStyle name="Header2 4 2 13 3 3 4" xfId="25155" xr:uid="{00000000-0005-0000-0000-00006F620000}"/>
    <cellStyle name="Header2 4 2 13 3 4" xfId="25156" xr:uid="{00000000-0005-0000-0000-000070620000}"/>
    <cellStyle name="Header2 4 2 13 3 5" xfId="25157" xr:uid="{00000000-0005-0000-0000-000071620000}"/>
    <cellStyle name="Header2 4 2 13 3 6" xfId="25158" xr:uid="{00000000-0005-0000-0000-000072620000}"/>
    <cellStyle name="Header2 4 2 13 4" xfId="25159" xr:uid="{00000000-0005-0000-0000-000073620000}"/>
    <cellStyle name="Header2 4 2 13 5" xfId="25160" xr:uid="{00000000-0005-0000-0000-000074620000}"/>
    <cellStyle name="Header2 4 2 14" xfId="58762" xr:uid="{00000000-0005-0000-0000-000075620000}"/>
    <cellStyle name="Header2 4 2 2" xfId="25161" xr:uid="{00000000-0005-0000-0000-000076620000}"/>
    <cellStyle name="Header2 4 2 2 2" xfId="25162" xr:uid="{00000000-0005-0000-0000-000077620000}"/>
    <cellStyle name="Header2 4 2 2 2 2" xfId="25163" xr:uid="{00000000-0005-0000-0000-000078620000}"/>
    <cellStyle name="Header2 4 2 2 2 2 2" xfId="25164" xr:uid="{00000000-0005-0000-0000-000079620000}"/>
    <cellStyle name="Header2 4 2 2 2 2 2 2" xfId="25165" xr:uid="{00000000-0005-0000-0000-00007A620000}"/>
    <cellStyle name="Header2 4 2 2 2 2 2 3" xfId="25166" xr:uid="{00000000-0005-0000-0000-00007B620000}"/>
    <cellStyle name="Header2 4 2 2 2 2 2 4" xfId="25167" xr:uid="{00000000-0005-0000-0000-00007C620000}"/>
    <cellStyle name="Header2 4 2 2 2 2 2 5" xfId="25168" xr:uid="{00000000-0005-0000-0000-00007D620000}"/>
    <cellStyle name="Header2 4 2 2 2 2 3" xfId="25169" xr:uid="{00000000-0005-0000-0000-00007E620000}"/>
    <cellStyle name="Header2 4 2 2 2 2 3 2" xfId="25170" xr:uid="{00000000-0005-0000-0000-00007F620000}"/>
    <cellStyle name="Header2 4 2 2 2 2 3 3" xfId="25171" xr:uid="{00000000-0005-0000-0000-000080620000}"/>
    <cellStyle name="Header2 4 2 2 2 2 3 4" xfId="25172" xr:uid="{00000000-0005-0000-0000-000081620000}"/>
    <cellStyle name="Header2 4 2 2 2 2 4" xfId="25173" xr:uid="{00000000-0005-0000-0000-000082620000}"/>
    <cellStyle name="Header2 4 2 2 2 2 5" xfId="25174" xr:uid="{00000000-0005-0000-0000-000083620000}"/>
    <cellStyle name="Header2 4 2 2 2 2 6" xfId="25175" xr:uid="{00000000-0005-0000-0000-000084620000}"/>
    <cellStyle name="Header2 4 2 2 2 3" xfId="25176" xr:uid="{00000000-0005-0000-0000-000085620000}"/>
    <cellStyle name="Header2 4 2 2 2 3 2" xfId="25177" xr:uid="{00000000-0005-0000-0000-000086620000}"/>
    <cellStyle name="Header2 4 2 2 2 3 2 2" xfId="25178" xr:uid="{00000000-0005-0000-0000-000087620000}"/>
    <cellStyle name="Header2 4 2 2 2 3 2 3" xfId="25179" xr:uid="{00000000-0005-0000-0000-000088620000}"/>
    <cellStyle name="Header2 4 2 2 2 3 2 4" xfId="25180" xr:uid="{00000000-0005-0000-0000-000089620000}"/>
    <cellStyle name="Header2 4 2 2 2 3 3" xfId="25181" xr:uid="{00000000-0005-0000-0000-00008A620000}"/>
    <cellStyle name="Header2 4 2 2 2 3 3 2" xfId="25182" xr:uid="{00000000-0005-0000-0000-00008B620000}"/>
    <cellStyle name="Header2 4 2 2 2 3 3 3" xfId="25183" xr:uid="{00000000-0005-0000-0000-00008C620000}"/>
    <cellStyle name="Header2 4 2 2 2 3 3 4" xfId="25184" xr:uid="{00000000-0005-0000-0000-00008D620000}"/>
    <cellStyle name="Header2 4 2 2 2 3 4" xfId="25185" xr:uid="{00000000-0005-0000-0000-00008E620000}"/>
    <cellStyle name="Header2 4 2 2 2 3 5" xfId="25186" xr:uid="{00000000-0005-0000-0000-00008F620000}"/>
    <cellStyle name="Header2 4 2 2 2 3 6" xfId="25187" xr:uid="{00000000-0005-0000-0000-000090620000}"/>
    <cellStyle name="Header2 4 2 2 2 4" xfId="25188" xr:uid="{00000000-0005-0000-0000-000091620000}"/>
    <cellStyle name="Header2 4 2 2 2 5" xfId="25189" xr:uid="{00000000-0005-0000-0000-000092620000}"/>
    <cellStyle name="Header2 4 2 2 3" xfId="25190" xr:uid="{00000000-0005-0000-0000-000093620000}"/>
    <cellStyle name="Header2 4 2 2 3 2" xfId="25191" xr:uid="{00000000-0005-0000-0000-000094620000}"/>
    <cellStyle name="Header2 4 2 2 3 2 2" xfId="25192" xr:uid="{00000000-0005-0000-0000-000095620000}"/>
    <cellStyle name="Header2 4 2 2 3 2 2 2" xfId="25193" xr:uid="{00000000-0005-0000-0000-000096620000}"/>
    <cellStyle name="Header2 4 2 2 3 2 2 3" xfId="25194" xr:uid="{00000000-0005-0000-0000-000097620000}"/>
    <cellStyle name="Header2 4 2 2 3 2 2 4" xfId="25195" xr:uid="{00000000-0005-0000-0000-000098620000}"/>
    <cellStyle name="Header2 4 2 2 3 2 2 5" xfId="25196" xr:uid="{00000000-0005-0000-0000-000099620000}"/>
    <cellStyle name="Header2 4 2 2 3 2 3" xfId="25197" xr:uid="{00000000-0005-0000-0000-00009A620000}"/>
    <cellStyle name="Header2 4 2 2 3 2 3 2" xfId="25198" xr:uid="{00000000-0005-0000-0000-00009B620000}"/>
    <cellStyle name="Header2 4 2 2 3 2 3 3" xfId="25199" xr:uid="{00000000-0005-0000-0000-00009C620000}"/>
    <cellStyle name="Header2 4 2 2 3 2 3 4" xfId="25200" xr:uid="{00000000-0005-0000-0000-00009D620000}"/>
    <cellStyle name="Header2 4 2 2 3 2 4" xfId="25201" xr:uid="{00000000-0005-0000-0000-00009E620000}"/>
    <cellStyle name="Header2 4 2 2 3 2 5" xfId="25202" xr:uid="{00000000-0005-0000-0000-00009F620000}"/>
    <cellStyle name="Header2 4 2 2 3 2 6" xfId="25203" xr:uid="{00000000-0005-0000-0000-0000A0620000}"/>
    <cellStyle name="Header2 4 2 2 3 3" xfId="25204" xr:uid="{00000000-0005-0000-0000-0000A1620000}"/>
    <cellStyle name="Header2 4 2 2 3 3 2" xfId="25205" xr:uid="{00000000-0005-0000-0000-0000A2620000}"/>
    <cellStyle name="Header2 4 2 2 3 3 2 2" xfId="25206" xr:uid="{00000000-0005-0000-0000-0000A3620000}"/>
    <cellStyle name="Header2 4 2 2 3 3 2 3" xfId="25207" xr:uid="{00000000-0005-0000-0000-0000A4620000}"/>
    <cellStyle name="Header2 4 2 2 3 3 2 4" xfId="25208" xr:uid="{00000000-0005-0000-0000-0000A5620000}"/>
    <cellStyle name="Header2 4 2 2 3 3 3" xfId="25209" xr:uid="{00000000-0005-0000-0000-0000A6620000}"/>
    <cellStyle name="Header2 4 2 2 3 3 3 2" xfId="25210" xr:uid="{00000000-0005-0000-0000-0000A7620000}"/>
    <cellStyle name="Header2 4 2 2 3 3 3 3" xfId="25211" xr:uid="{00000000-0005-0000-0000-0000A8620000}"/>
    <cellStyle name="Header2 4 2 2 3 3 3 4" xfId="25212" xr:uid="{00000000-0005-0000-0000-0000A9620000}"/>
    <cellStyle name="Header2 4 2 2 3 3 4" xfId="25213" xr:uid="{00000000-0005-0000-0000-0000AA620000}"/>
    <cellStyle name="Header2 4 2 2 3 3 5" xfId="25214" xr:uid="{00000000-0005-0000-0000-0000AB620000}"/>
    <cellStyle name="Header2 4 2 2 3 3 6" xfId="25215" xr:uid="{00000000-0005-0000-0000-0000AC620000}"/>
    <cellStyle name="Header2 4 2 2 3 4" xfId="25216" xr:uid="{00000000-0005-0000-0000-0000AD620000}"/>
    <cellStyle name="Header2 4 2 2 3 5" xfId="25217" xr:uid="{00000000-0005-0000-0000-0000AE620000}"/>
    <cellStyle name="Header2 4 2 3" xfId="25218" xr:uid="{00000000-0005-0000-0000-0000AF620000}"/>
    <cellStyle name="Header2 4 2 3 2" xfId="25219" xr:uid="{00000000-0005-0000-0000-0000B0620000}"/>
    <cellStyle name="Header2 4 2 3 2 2" xfId="25220" xr:uid="{00000000-0005-0000-0000-0000B1620000}"/>
    <cellStyle name="Header2 4 2 3 2 3" xfId="25221" xr:uid="{00000000-0005-0000-0000-0000B2620000}"/>
    <cellStyle name="Header2 4 2 3 3" xfId="25222" xr:uid="{00000000-0005-0000-0000-0000B3620000}"/>
    <cellStyle name="Header2 4 2 4" xfId="25223" xr:uid="{00000000-0005-0000-0000-0000B4620000}"/>
    <cellStyle name="Header2 4 2 4 2" xfId="25224" xr:uid="{00000000-0005-0000-0000-0000B5620000}"/>
    <cellStyle name="Header2 4 2 4 2 2" xfId="25225" xr:uid="{00000000-0005-0000-0000-0000B6620000}"/>
    <cellStyle name="Header2 4 2 4 2 3" xfId="25226" xr:uid="{00000000-0005-0000-0000-0000B7620000}"/>
    <cellStyle name="Header2 4 2 4 3" xfId="25227" xr:uid="{00000000-0005-0000-0000-0000B8620000}"/>
    <cellStyle name="Header2 4 2 5" xfId="25228" xr:uid="{00000000-0005-0000-0000-0000B9620000}"/>
    <cellStyle name="Header2 4 2 5 2" xfId="25229" xr:uid="{00000000-0005-0000-0000-0000BA620000}"/>
    <cellStyle name="Header2 4 2 5 2 2" xfId="25230" xr:uid="{00000000-0005-0000-0000-0000BB620000}"/>
    <cellStyle name="Header2 4 2 5 2 3" xfId="25231" xr:uid="{00000000-0005-0000-0000-0000BC620000}"/>
    <cellStyle name="Header2 4 2 5 3" xfId="25232" xr:uid="{00000000-0005-0000-0000-0000BD620000}"/>
    <cellStyle name="Header2 4 2 6" xfId="25233" xr:uid="{00000000-0005-0000-0000-0000BE620000}"/>
    <cellStyle name="Header2 4 2 6 2" xfId="25234" xr:uid="{00000000-0005-0000-0000-0000BF620000}"/>
    <cellStyle name="Header2 4 2 6 2 2" xfId="25235" xr:uid="{00000000-0005-0000-0000-0000C0620000}"/>
    <cellStyle name="Header2 4 2 6 2 2 2" xfId="25236" xr:uid="{00000000-0005-0000-0000-0000C1620000}"/>
    <cellStyle name="Header2 4 2 6 2 2 3" xfId="25237" xr:uid="{00000000-0005-0000-0000-0000C2620000}"/>
    <cellStyle name="Header2 4 2 6 2 2 4" xfId="25238" xr:uid="{00000000-0005-0000-0000-0000C3620000}"/>
    <cellStyle name="Header2 4 2 6 2 2 5" xfId="25239" xr:uid="{00000000-0005-0000-0000-0000C4620000}"/>
    <cellStyle name="Header2 4 2 6 2 3" xfId="25240" xr:uid="{00000000-0005-0000-0000-0000C5620000}"/>
    <cellStyle name="Header2 4 2 6 2 3 2" xfId="25241" xr:uid="{00000000-0005-0000-0000-0000C6620000}"/>
    <cellStyle name="Header2 4 2 6 2 3 3" xfId="25242" xr:uid="{00000000-0005-0000-0000-0000C7620000}"/>
    <cellStyle name="Header2 4 2 6 2 3 4" xfId="25243" xr:uid="{00000000-0005-0000-0000-0000C8620000}"/>
    <cellStyle name="Header2 4 2 6 2 4" xfId="25244" xr:uid="{00000000-0005-0000-0000-0000C9620000}"/>
    <cellStyle name="Header2 4 2 6 2 5" xfId="25245" xr:uid="{00000000-0005-0000-0000-0000CA620000}"/>
    <cellStyle name="Header2 4 2 6 2 6" xfId="25246" xr:uid="{00000000-0005-0000-0000-0000CB620000}"/>
    <cellStyle name="Header2 4 2 6 3" xfId="25247" xr:uid="{00000000-0005-0000-0000-0000CC620000}"/>
    <cellStyle name="Header2 4 2 6 3 2" xfId="25248" xr:uid="{00000000-0005-0000-0000-0000CD620000}"/>
    <cellStyle name="Header2 4 2 6 3 2 2" xfId="25249" xr:uid="{00000000-0005-0000-0000-0000CE620000}"/>
    <cellStyle name="Header2 4 2 6 3 2 3" xfId="25250" xr:uid="{00000000-0005-0000-0000-0000CF620000}"/>
    <cellStyle name="Header2 4 2 6 3 2 4" xfId="25251" xr:uid="{00000000-0005-0000-0000-0000D0620000}"/>
    <cellStyle name="Header2 4 2 6 3 3" xfId="25252" xr:uid="{00000000-0005-0000-0000-0000D1620000}"/>
    <cellStyle name="Header2 4 2 6 3 3 2" xfId="25253" xr:uid="{00000000-0005-0000-0000-0000D2620000}"/>
    <cellStyle name="Header2 4 2 6 3 3 3" xfId="25254" xr:uid="{00000000-0005-0000-0000-0000D3620000}"/>
    <cellStyle name="Header2 4 2 6 3 3 4" xfId="25255" xr:uid="{00000000-0005-0000-0000-0000D4620000}"/>
    <cellStyle name="Header2 4 2 6 3 4" xfId="25256" xr:uid="{00000000-0005-0000-0000-0000D5620000}"/>
    <cellStyle name="Header2 4 2 6 3 5" xfId="25257" xr:uid="{00000000-0005-0000-0000-0000D6620000}"/>
    <cellStyle name="Header2 4 2 6 3 6" xfId="25258" xr:uid="{00000000-0005-0000-0000-0000D7620000}"/>
    <cellStyle name="Header2 4 2 6 4" xfId="25259" xr:uid="{00000000-0005-0000-0000-0000D8620000}"/>
    <cellStyle name="Header2 4 2 6 5" xfId="25260" xr:uid="{00000000-0005-0000-0000-0000D9620000}"/>
    <cellStyle name="Header2 4 2 7" xfId="25261" xr:uid="{00000000-0005-0000-0000-0000DA620000}"/>
    <cellStyle name="Header2 4 2 7 2" xfId="25262" xr:uid="{00000000-0005-0000-0000-0000DB620000}"/>
    <cellStyle name="Header2 4 2 7 2 2" xfId="25263" xr:uid="{00000000-0005-0000-0000-0000DC620000}"/>
    <cellStyle name="Header2 4 2 7 2 2 2" xfId="25264" xr:uid="{00000000-0005-0000-0000-0000DD620000}"/>
    <cellStyle name="Header2 4 2 7 2 2 3" xfId="25265" xr:uid="{00000000-0005-0000-0000-0000DE620000}"/>
    <cellStyle name="Header2 4 2 7 2 2 4" xfId="25266" xr:uid="{00000000-0005-0000-0000-0000DF620000}"/>
    <cellStyle name="Header2 4 2 7 2 2 5" xfId="25267" xr:uid="{00000000-0005-0000-0000-0000E0620000}"/>
    <cellStyle name="Header2 4 2 7 2 3" xfId="25268" xr:uid="{00000000-0005-0000-0000-0000E1620000}"/>
    <cellStyle name="Header2 4 2 7 2 3 2" xfId="25269" xr:uid="{00000000-0005-0000-0000-0000E2620000}"/>
    <cellStyle name="Header2 4 2 7 2 3 3" xfId="25270" xr:uid="{00000000-0005-0000-0000-0000E3620000}"/>
    <cellStyle name="Header2 4 2 7 2 3 4" xfId="25271" xr:uid="{00000000-0005-0000-0000-0000E4620000}"/>
    <cellStyle name="Header2 4 2 7 2 4" xfId="25272" xr:uid="{00000000-0005-0000-0000-0000E5620000}"/>
    <cellStyle name="Header2 4 2 7 2 5" xfId="25273" xr:uid="{00000000-0005-0000-0000-0000E6620000}"/>
    <cellStyle name="Header2 4 2 7 2 6" xfId="25274" xr:uid="{00000000-0005-0000-0000-0000E7620000}"/>
    <cellStyle name="Header2 4 2 7 3" xfId="25275" xr:uid="{00000000-0005-0000-0000-0000E8620000}"/>
    <cellStyle name="Header2 4 2 7 3 2" xfId="25276" xr:uid="{00000000-0005-0000-0000-0000E9620000}"/>
    <cellStyle name="Header2 4 2 7 3 2 2" xfId="25277" xr:uid="{00000000-0005-0000-0000-0000EA620000}"/>
    <cellStyle name="Header2 4 2 7 3 2 3" xfId="25278" xr:uid="{00000000-0005-0000-0000-0000EB620000}"/>
    <cellStyle name="Header2 4 2 7 3 2 4" xfId="25279" xr:uid="{00000000-0005-0000-0000-0000EC620000}"/>
    <cellStyle name="Header2 4 2 7 3 3" xfId="25280" xr:uid="{00000000-0005-0000-0000-0000ED620000}"/>
    <cellStyle name="Header2 4 2 7 3 3 2" xfId="25281" xr:uid="{00000000-0005-0000-0000-0000EE620000}"/>
    <cellStyle name="Header2 4 2 7 3 3 3" xfId="25282" xr:uid="{00000000-0005-0000-0000-0000EF620000}"/>
    <cellStyle name="Header2 4 2 7 3 3 4" xfId="25283" xr:uid="{00000000-0005-0000-0000-0000F0620000}"/>
    <cellStyle name="Header2 4 2 7 3 4" xfId="25284" xr:uid="{00000000-0005-0000-0000-0000F1620000}"/>
    <cellStyle name="Header2 4 2 7 3 5" xfId="25285" xr:uid="{00000000-0005-0000-0000-0000F2620000}"/>
    <cellStyle name="Header2 4 2 7 3 6" xfId="25286" xr:uid="{00000000-0005-0000-0000-0000F3620000}"/>
    <cellStyle name="Header2 4 2 7 4" xfId="25287" xr:uid="{00000000-0005-0000-0000-0000F4620000}"/>
    <cellStyle name="Header2 4 2 7 5" xfId="25288" xr:uid="{00000000-0005-0000-0000-0000F5620000}"/>
    <cellStyle name="Header2 4 2 8" xfId="25289" xr:uid="{00000000-0005-0000-0000-0000F6620000}"/>
    <cellStyle name="Header2 4 2 8 2" xfId="25290" xr:uid="{00000000-0005-0000-0000-0000F7620000}"/>
    <cellStyle name="Header2 4 2 8 2 2" xfId="25291" xr:uid="{00000000-0005-0000-0000-0000F8620000}"/>
    <cellStyle name="Header2 4 2 8 2 2 2" xfId="25292" xr:uid="{00000000-0005-0000-0000-0000F9620000}"/>
    <cellStyle name="Header2 4 2 8 2 2 3" xfId="25293" xr:uid="{00000000-0005-0000-0000-0000FA620000}"/>
    <cellStyle name="Header2 4 2 8 2 2 4" xfId="25294" xr:uid="{00000000-0005-0000-0000-0000FB620000}"/>
    <cellStyle name="Header2 4 2 8 2 2 5" xfId="25295" xr:uid="{00000000-0005-0000-0000-0000FC620000}"/>
    <cellStyle name="Header2 4 2 8 2 3" xfId="25296" xr:uid="{00000000-0005-0000-0000-0000FD620000}"/>
    <cellStyle name="Header2 4 2 8 2 3 2" xfId="25297" xr:uid="{00000000-0005-0000-0000-0000FE620000}"/>
    <cellStyle name="Header2 4 2 8 2 3 3" xfId="25298" xr:uid="{00000000-0005-0000-0000-0000FF620000}"/>
    <cellStyle name="Header2 4 2 8 2 3 4" xfId="25299" xr:uid="{00000000-0005-0000-0000-000000630000}"/>
    <cellStyle name="Header2 4 2 8 2 4" xfId="25300" xr:uid="{00000000-0005-0000-0000-000001630000}"/>
    <cellStyle name="Header2 4 2 8 2 5" xfId="25301" xr:uid="{00000000-0005-0000-0000-000002630000}"/>
    <cellStyle name="Header2 4 2 8 2 6" xfId="25302" xr:uid="{00000000-0005-0000-0000-000003630000}"/>
    <cellStyle name="Header2 4 2 8 3" xfId="25303" xr:uid="{00000000-0005-0000-0000-000004630000}"/>
    <cellStyle name="Header2 4 2 8 3 2" xfId="25304" xr:uid="{00000000-0005-0000-0000-000005630000}"/>
    <cellStyle name="Header2 4 2 8 3 2 2" xfId="25305" xr:uid="{00000000-0005-0000-0000-000006630000}"/>
    <cellStyle name="Header2 4 2 8 3 2 3" xfId="25306" xr:uid="{00000000-0005-0000-0000-000007630000}"/>
    <cellStyle name="Header2 4 2 8 3 2 4" xfId="25307" xr:uid="{00000000-0005-0000-0000-000008630000}"/>
    <cellStyle name="Header2 4 2 8 3 3" xfId="25308" xr:uid="{00000000-0005-0000-0000-000009630000}"/>
    <cellStyle name="Header2 4 2 8 3 3 2" xfId="25309" xr:uid="{00000000-0005-0000-0000-00000A630000}"/>
    <cellStyle name="Header2 4 2 8 3 3 3" xfId="25310" xr:uid="{00000000-0005-0000-0000-00000B630000}"/>
    <cellStyle name="Header2 4 2 8 3 3 4" xfId="25311" xr:uid="{00000000-0005-0000-0000-00000C630000}"/>
    <cellStyle name="Header2 4 2 8 3 4" xfId="25312" xr:uid="{00000000-0005-0000-0000-00000D630000}"/>
    <cellStyle name="Header2 4 2 8 3 5" xfId="25313" xr:uid="{00000000-0005-0000-0000-00000E630000}"/>
    <cellStyle name="Header2 4 2 8 3 6" xfId="25314" xr:uid="{00000000-0005-0000-0000-00000F630000}"/>
    <cellStyle name="Header2 4 2 8 4" xfId="25315" xr:uid="{00000000-0005-0000-0000-000010630000}"/>
    <cellStyle name="Header2 4 2 8 5" xfId="25316" xr:uid="{00000000-0005-0000-0000-000011630000}"/>
    <cellStyle name="Header2 4 2 9" xfId="25317" xr:uid="{00000000-0005-0000-0000-000012630000}"/>
    <cellStyle name="Header2 4 2 9 2" xfId="25318" xr:uid="{00000000-0005-0000-0000-000013630000}"/>
    <cellStyle name="Header2 4 2 9 2 2" xfId="25319" xr:uid="{00000000-0005-0000-0000-000014630000}"/>
    <cellStyle name="Header2 4 2 9 2 2 2" xfId="25320" xr:uid="{00000000-0005-0000-0000-000015630000}"/>
    <cellStyle name="Header2 4 2 9 2 2 3" xfId="25321" xr:uid="{00000000-0005-0000-0000-000016630000}"/>
    <cellStyle name="Header2 4 2 9 2 2 4" xfId="25322" xr:uid="{00000000-0005-0000-0000-000017630000}"/>
    <cellStyle name="Header2 4 2 9 2 2 5" xfId="25323" xr:uid="{00000000-0005-0000-0000-000018630000}"/>
    <cellStyle name="Header2 4 2 9 2 3" xfId="25324" xr:uid="{00000000-0005-0000-0000-000019630000}"/>
    <cellStyle name="Header2 4 2 9 2 3 2" xfId="25325" xr:uid="{00000000-0005-0000-0000-00001A630000}"/>
    <cellStyle name="Header2 4 2 9 2 3 3" xfId="25326" xr:uid="{00000000-0005-0000-0000-00001B630000}"/>
    <cellStyle name="Header2 4 2 9 2 3 4" xfId="25327" xr:uid="{00000000-0005-0000-0000-00001C630000}"/>
    <cellStyle name="Header2 4 2 9 2 4" xfId="25328" xr:uid="{00000000-0005-0000-0000-00001D630000}"/>
    <cellStyle name="Header2 4 2 9 2 5" xfId="25329" xr:uid="{00000000-0005-0000-0000-00001E630000}"/>
    <cellStyle name="Header2 4 2 9 2 6" xfId="25330" xr:uid="{00000000-0005-0000-0000-00001F630000}"/>
    <cellStyle name="Header2 4 2 9 3" xfId="25331" xr:uid="{00000000-0005-0000-0000-000020630000}"/>
    <cellStyle name="Header2 4 2 9 3 2" xfId="25332" xr:uid="{00000000-0005-0000-0000-000021630000}"/>
    <cellStyle name="Header2 4 2 9 3 2 2" xfId="25333" xr:uid="{00000000-0005-0000-0000-000022630000}"/>
    <cellStyle name="Header2 4 2 9 3 2 3" xfId="25334" xr:uid="{00000000-0005-0000-0000-000023630000}"/>
    <cellStyle name="Header2 4 2 9 3 2 4" xfId="25335" xr:uid="{00000000-0005-0000-0000-000024630000}"/>
    <cellStyle name="Header2 4 2 9 3 3" xfId="25336" xr:uid="{00000000-0005-0000-0000-000025630000}"/>
    <cellStyle name="Header2 4 2 9 3 3 2" xfId="25337" xr:uid="{00000000-0005-0000-0000-000026630000}"/>
    <cellStyle name="Header2 4 2 9 3 3 3" xfId="25338" xr:uid="{00000000-0005-0000-0000-000027630000}"/>
    <cellStyle name="Header2 4 2 9 3 3 4" xfId="25339" xr:uid="{00000000-0005-0000-0000-000028630000}"/>
    <cellStyle name="Header2 4 2 9 3 4" xfId="25340" xr:uid="{00000000-0005-0000-0000-000029630000}"/>
    <cellStyle name="Header2 4 2 9 3 5" xfId="25341" xr:uid="{00000000-0005-0000-0000-00002A630000}"/>
    <cellStyle name="Header2 4 2 9 3 6" xfId="25342" xr:uid="{00000000-0005-0000-0000-00002B630000}"/>
    <cellStyle name="Header2 4 2 9 4" xfId="25343" xr:uid="{00000000-0005-0000-0000-00002C630000}"/>
    <cellStyle name="Header2 4 2 9 5" xfId="25344" xr:uid="{00000000-0005-0000-0000-00002D630000}"/>
    <cellStyle name="Header2 4 3" xfId="25345" xr:uid="{00000000-0005-0000-0000-00002E630000}"/>
    <cellStyle name="Header2 4 3 10" xfId="25346" xr:uid="{00000000-0005-0000-0000-00002F630000}"/>
    <cellStyle name="Header2 4 3 10 2" xfId="25347" xr:uid="{00000000-0005-0000-0000-000030630000}"/>
    <cellStyle name="Header2 4 3 10 2 2" xfId="25348" xr:uid="{00000000-0005-0000-0000-000031630000}"/>
    <cellStyle name="Header2 4 3 10 2 2 2" xfId="25349" xr:uid="{00000000-0005-0000-0000-000032630000}"/>
    <cellStyle name="Header2 4 3 10 2 2 3" xfId="25350" xr:uid="{00000000-0005-0000-0000-000033630000}"/>
    <cellStyle name="Header2 4 3 10 2 2 4" xfId="25351" xr:uid="{00000000-0005-0000-0000-000034630000}"/>
    <cellStyle name="Header2 4 3 10 2 2 5" xfId="25352" xr:uid="{00000000-0005-0000-0000-000035630000}"/>
    <cellStyle name="Header2 4 3 10 2 3" xfId="25353" xr:uid="{00000000-0005-0000-0000-000036630000}"/>
    <cellStyle name="Header2 4 3 10 2 3 2" xfId="25354" xr:uid="{00000000-0005-0000-0000-000037630000}"/>
    <cellStyle name="Header2 4 3 10 2 3 3" xfId="25355" xr:uid="{00000000-0005-0000-0000-000038630000}"/>
    <cellStyle name="Header2 4 3 10 2 3 4" xfId="25356" xr:uid="{00000000-0005-0000-0000-000039630000}"/>
    <cellStyle name="Header2 4 3 10 2 4" xfId="25357" xr:uid="{00000000-0005-0000-0000-00003A630000}"/>
    <cellStyle name="Header2 4 3 10 2 5" xfId="25358" xr:uid="{00000000-0005-0000-0000-00003B630000}"/>
    <cellStyle name="Header2 4 3 10 2 6" xfId="25359" xr:uid="{00000000-0005-0000-0000-00003C630000}"/>
    <cellStyle name="Header2 4 3 10 3" xfId="25360" xr:uid="{00000000-0005-0000-0000-00003D630000}"/>
    <cellStyle name="Header2 4 3 10 3 2" xfId="25361" xr:uid="{00000000-0005-0000-0000-00003E630000}"/>
    <cellStyle name="Header2 4 3 10 3 2 2" xfId="25362" xr:uid="{00000000-0005-0000-0000-00003F630000}"/>
    <cellStyle name="Header2 4 3 10 3 2 3" xfId="25363" xr:uid="{00000000-0005-0000-0000-000040630000}"/>
    <cellStyle name="Header2 4 3 10 3 2 4" xfId="25364" xr:uid="{00000000-0005-0000-0000-000041630000}"/>
    <cellStyle name="Header2 4 3 10 3 3" xfId="25365" xr:uid="{00000000-0005-0000-0000-000042630000}"/>
    <cellStyle name="Header2 4 3 10 3 3 2" xfId="25366" xr:uid="{00000000-0005-0000-0000-000043630000}"/>
    <cellStyle name="Header2 4 3 10 3 3 3" xfId="25367" xr:uid="{00000000-0005-0000-0000-000044630000}"/>
    <cellStyle name="Header2 4 3 10 3 3 4" xfId="25368" xr:uid="{00000000-0005-0000-0000-000045630000}"/>
    <cellStyle name="Header2 4 3 10 3 4" xfId="25369" xr:uid="{00000000-0005-0000-0000-000046630000}"/>
    <cellStyle name="Header2 4 3 10 3 5" xfId="25370" xr:uid="{00000000-0005-0000-0000-000047630000}"/>
    <cellStyle name="Header2 4 3 10 3 6" xfId="25371" xr:uid="{00000000-0005-0000-0000-000048630000}"/>
    <cellStyle name="Header2 4 3 10 4" xfId="25372" xr:uid="{00000000-0005-0000-0000-000049630000}"/>
    <cellStyle name="Header2 4 3 10 5" xfId="25373" xr:uid="{00000000-0005-0000-0000-00004A630000}"/>
    <cellStyle name="Header2 4 3 11" xfId="25374" xr:uid="{00000000-0005-0000-0000-00004B630000}"/>
    <cellStyle name="Header2 4 3 11 2" xfId="25375" xr:uid="{00000000-0005-0000-0000-00004C630000}"/>
    <cellStyle name="Header2 4 3 11 2 2" xfId="25376" xr:uid="{00000000-0005-0000-0000-00004D630000}"/>
    <cellStyle name="Header2 4 3 11 2 2 2" xfId="25377" xr:uid="{00000000-0005-0000-0000-00004E630000}"/>
    <cellStyle name="Header2 4 3 11 2 2 3" xfId="25378" xr:uid="{00000000-0005-0000-0000-00004F630000}"/>
    <cellStyle name="Header2 4 3 11 2 2 4" xfId="25379" xr:uid="{00000000-0005-0000-0000-000050630000}"/>
    <cellStyle name="Header2 4 3 11 2 2 5" xfId="25380" xr:uid="{00000000-0005-0000-0000-000051630000}"/>
    <cellStyle name="Header2 4 3 11 2 3" xfId="25381" xr:uid="{00000000-0005-0000-0000-000052630000}"/>
    <cellStyle name="Header2 4 3 11 2 3 2" xfId="25382" xr:uid="{00000000-0005-0000-0000-000053630000}"/>
    <cellStyle name="Header2 4 3 11 2 3 3" xfId="25383" xr:uid="{00000000-0005-0000-0000-000054630000}"/>
    <cellStyle name="Header2 4 3 11 2 3 4" xfId="25384" xr:uid="{00000000-0005-0000-0000-000055630000}"/>
    <cellStyle name="Header2 4 3 11 2 4" xfId="25385" xr:uid="{00000000-0005-0000-0000-000056630000}"/>
    <cellStyle name="Header2 4 3 11 2 5" xfId="25386" xr:uid="{00000000-0005-0000-0000-000057630000}"/>
    <cellStyle name="Header2 4 3 11 2 6" xfId="25387" xr:uid="{00000000-0005-0000-0000-000058630000}"/>
    <cellStyle name="Header2 4 3 11 3" xfId="25388" xr:uid="{00000000-0005-0000-0000-000059630000}"/>
    <cellStyle name="Header2 4 3 11 3 2" xfId="25389" xr:uid="{00000000-0005-0000-0000-00005A630000}"/>
    <cellStyle name="Header2 4 3 11 3 2 2" xfId="25390" xr:uid="{00000000-0005-0000-0000-00005B630000}"/>
    <cellStyle name="Header2 4 3 11 3 2 3" xfId="25391" xr:uid="{00000000-0005-0000-0000-00005C630000}"/>
    <cellStyle name="Header2 4 3 11 3 2 4" xfId="25392" xr:uid="{00000000-0005-0000-0000-00005D630000}"/>
    <cellStyle name="Header2 4 3 11 3 3" xfId="25393" xr:uid="{00000000-0005-0000-0000-00005E630000}"/>
    <cellStyle name="Header2 4 3 11 3 3 2" xfId="25394" xr:uid="{00000000-0005-0000-0000-00005F630000}"/>
    <cellStyle name="Header2 4 3 11 3 3 3" xfId="25395" xr:uid="{00000000-0005-0000-0000-000060630000}"/>
    <cellStyle name="Header2 4 3 11 3 3 4" xfId="25396" xr:uid="{00000000-0005-0000-0000-000061630000}"/>
    <cellStyle name="Header2 4 3 11 3 4" xfId="25397" xr:uid="{00000000-0005-0000-0000-000062630000}"/>
    <cellStyle name="Header2 4 3 11 3 5" xfId="25398" xr:uid="{00000000-0005-0000-0000-000063630000}"/>
    <cellStyle name="Header2 4 3 11 3 6" xfId="25399" xr:uid="{00000000-0005-0000-0000-000064630000}"/>
    <cellStyle name="Header2 4 3 11 4" xfId="25400" xr:uid="{00000000-0005-0000-0000-000065630000}"/>
    <cellStyle name="Header2 4 3 11 5" xfId="25401" xr:uid="{00000000-0005-0000-0000-000066630000}"/>
    <cellStyle name="Header2 4 3 12" xfId="25402" xr:uid="{00000000-0005-0000-0000-000067630000}"/>
    <cellStyle name="Header2 4 3 12 2" xfId="25403" xr:uid="{00000000-0005-0000-0000-000068630000}"/>
    <cellStyle name="Header2 4 3 12 2 2" xfId="25404" xr:uid="{00000000-0005-0000-0000-000069630000}"/>
    <cellStyle name="Header2 4 3 12 2 2 2" xfId="25405" xr:uid="{00000000-0005-0000-0000-00006A630000}"/>
    <cellStyle name="Header2 4 3 12 2 2 3" xfId="25406" xr:uid="{00000000-0005-0000-0000-00006B630000}"/>
    <cellStyle name="Header2 4 3 12 2 2 4" xfId="25407" xr:uid="{00000000-0005-0000-0000-00006C630000}"/>
    <cellStyle name="Header2 4 3 12 2 2 5" xfId="25408" xr:uid="{00000000-0005-0000-0000-00006D630000}"/>
    <cellStyle name="Header2 4 3 12 2 3" xfId="25409" xr:uid="{00000000-0005-0000-0000-00006E630000}"/>
    <cellStyle name="Header2 4 3 12 2 3 2" xfId="25410" xr:uid="{00000000-0005-0000-0000-00006F630000}"/>
    <cellStyle name="Header2 4 3 12 2 3 3" xfId="25411" xr:uid="{00000000-0005-0000-0000-000070630000}"/>
    <cellStyle name="Header2 4 3 12 2 3 4" xfId="25412" xr:uid="{00000000-0005-0000-0000-000071630000}"/>
    <cellStyle name="Header2 4 3 12 2 4" xfId="25413" xr:uid="{00000000-0005-0000-0000-000072630000}"/>
    <cellStyle name="Header2 4 3 12 2 5" xfId="25414" xr:uid="{00000000-0005-0000-0000-000073630000}"/>
    <cellStyle name="Header2 4 3 12 2 6" xfId="25415" xr:uid="{00000000-0005-0000-0000-000074630000}"/>
    <cellStyle name="Header2 4 3 12 3" xfId="25416" xr:uid="{00000000-0005-0000-0000-000075630000}"/>
    <cellStyle name="Header2 4 3 12 3 2" xfId="25417" xr:uid="{00000000-0005-0000-0000-000076630000}"/>
    <cellStyle name="Header2 4 3 12 3 2 2" xfId="25418" xr:uid="{00000000-0005-0000-0000-000077630000}"/>
    <cellStyle name="Header2 4 3 12 3 2 3" xfId="25419" xr:uid="{00000000-0005-0000-0000-000078630000}"/>
    <cellStyle name="Header2 4 3 12 3 2 4" xfId="25420" xr:uid="{00000000-0005-0000-0000-000079630000}"/>
    <cellStyle name="Header2 4 3 12 3 3" xfId="25421" xr:uid="{00000000-0005-0000-0000-00007A630000}"/>
    <cellStyle name="Header2 4 3 12 3 3 2" xfId="25422" xr:uid="{00000000-0005-0000-0000-00007B630000}"/>
    <cellStyle name="Header2 4 3 12 3 3 3" xfId="25423" xr:uid="{00000000-0005-0000-0000-00007C630000}"/>
    <cellStyle name="Header2 4 3 12 3 3 4" xfId="25424" xr:uid="{00000000-0005-0000-0000-00007D630000}"/>
    <cellStyle name="Header2 4 3 12 3 4" xfId="25425" xr:uid="{00000000-0005-0000-0000-00007E630000}"/>
    <cellStyle name="Header2 4 3 12 3 5" xfId="25426" xr:uid="{00000000-0005-0000-0000-00007F630000}"/>
    <cellStyle name="Header2 4 3 12 3 6" xfId="25427" xr:uid="{00000000-0005-0000-0000-000080630000}"/>
    <cellStyle name="Header2 4 3 12 4" xfId="25428" xr:uid="{00000000-0005-0000-0000-000081630000}"/>
    <cellStyle name="Header2 4 3 12 5" xfId="25429" xr:uid="{00000000-0005-0000-0000-000082630000}"/>
    <cellStyle name="Header2 4 3 13" xfId="58763" xr:uid="{00000000-0005-0000-0000-000083630000}"/>
    <cellStyle name="Header2 4 3 2" xfId="25430" xr:uid="{00000000-0005-0000-0000-000084630000}"/>
    <cellStyle name="Header2 4 3 2 2" xfId="25431" xr:uid="{00000000-0005-0000-0000-000085630000}"/>
    <cellStyle name="Header2 4 3 2 2 2" xfId="25432" xr:uid="{00000000-0005-0000-0000-000086630000}"/>
    <cellStyle name="Header2 4 3 2 2 3" xfId="25433" xr:uid="{00000000-0005-0000-0000-000087630000}"/>
    <cellStyle name="Header2 4 3 2 3" xfId="25434" xr:uid="{00000000-0005-0000-0000-000088630000}"/>
    <cellStyle name="Header2 4 3 3" xfId="25435" xr:uid="{00000000-0005-0000-0000-000089630000}"/>
    <cellStyle name="Header2 4 3 3 2" xfId="25436" xr:uid="{00000000-0005-0000-0000-00008A630000}"/>
    <cellStyle name="Header2 4 3 3 2 2" xfId="25437" xr:uid="{00000000-0005-0000-0000-00008B630000}"/>
    <cellStyle name="Header2 4 3 3 2 3" xfId="25438" xr:uid="{00000000-0005-0000-0000-00008C630000}"/>
    <cellStyle name="Header2 4 3 3 3" xfId="25439" xr:uid="{00000000-0005-0000-0000-00008D630000}"/>
    <cellStyle name="Header2 4 3 4" xfId="25440" xr:uid="{00000000-0005-0000-0000-00008E630000}"/>
    <cellStyle name="Header2 4 3 4 2" xfId="25441" xr:uid="{00000000-0005-0000-0000-00008F630000}"/>
    <cellStyle name="Header2 4 3 4 2 2" xfId="25442" xr:uid="{00000000-0005-0000-0000-000090630000}"/>
    <cellStyle name="Header2 4 3 4 2 3" xfId="25443" xr:uid="{00000000-0005-0000-0000-000091630000}"/>
    <cellStyle name="Header2 4 3 4 3" xfId="25444" xr:uid="{00000000-0005-0000-0000-000092630000}"/>
    <cellStyle name="Header2 4 3 5" xfId="25445" xr:uid="{00000000-0005-0000-0000-000093630000}"/>
    <cellStyle name="Header2 4 3 5 2" xfId="25446" xr:uid="{00000000-0005-0000-0000-000094630000}"/>
    <cellStyle name="Header2 4 3 5 2 2" xfId="25447" xr:uid="{00000000-0005-0000-0000-000095630000}"/>
    <cellStyle name="Header2 4 3 5 2 2 2" xfId="25448" xr:uid="{00000000-0005-0000-0000-000096630000}"/>
    <cellStyle name="Header2 4 3 5 2 2 3" xfId="25449" xr:uid="{00000000-0005-0000-0000-000097630000}"/>
    <cellStyle name="Header2 4 3 5 2 2 4" xfId="25450" xr:uid="{00000000-0005-0000-0000-000098630000}"/>
    <cellStyle name="Header2 4 3 5 2 2 5" xfId="25451" xr:uid="{00000000-0005-0000-0000-000099630000}"/>
    <cellStyle name="Header2 4 3 5 2 3" xfId="25452" xr:uid="{00000000-0005-0000-0000-00009A630000}"/>
    <cellStyle name="Header2 4 3 5 2 3 2" xfId="25453" xr:uid="{00000000-0005-0000-0000-00009B630000}"/>
    <cellStyle name="Header2 4 3 5 2 3 3" xfId="25454" xr:uid="{00000000-0005-0000-0000-00009C630000}"/>
    <cellStyle name="Header2 4 3 5 2 3 4" xfId="25455" xr:uid="{00000000-0005-0000-0000-00009D630000}"/>
    <cellStyle name="Header2 4 3 5 2 4" xfId="25456" xr:uid="{00000000-0005-0000-0000-00009E630000}"/>
    <cellStyle name="Header2 4 3 5 2 5" xfId="25457" xr:uid="{00000000-0005-0000-0000-00009F630000}"/>
    <cellStyle name="Header2 4 3 5 2 6" xfId="25458" xr:uid="{00000000-0005-0000-0000-0000A0630000}"/>
    <cellStyle name="Header2 4 3 5 3" xfId="25459" xr:uid="{00000000-0005-0000-0000-0000A1630000}"/>
    <cellStyle name="Header2 4 3 5 3 2" xfId="25460" xr:uid="{00000000-0005-0000-0000-0000A2630000}"/>
    <cellStyle name="Header2 4 3 5 3 2 2" xfId="25461" xr:uid="{00000000-0005-0000-0000-0000A3630000}"/>
    <cellStyle name="Header2 4 3 5 3 2 3" xfId="25462" xr:uid="{00000000-0005-0000-0000-0000A4630000}"/>
    <cellStyle name="Header2 4 3 5 3 2 4" xfId="25463" xr:uid="{00000000-0005-0000-0000-0000A5630000}"/>
    <cellStyle name="Header2 4 3 5 3 3" xfId="25464" xr:uid="{00000000-0005-0000-0000-0000A6630000}"/>
    <cellStyle name="Header2 4 3 5 3 3 2" xfId="25465" xr:uid="{00000000-0005-0000-0000-0000A7630000}"/>
    <cellStyle name="Header2 4 3 5 3 3 3" xfId="25466" xr:uid="{00000000-0005-0000-0000-0000A8630000}"/>
    <cellStyle name="Header2 4 3 5 3 3 4" xfId="25467" xr:uid="{00000000-0005-0000-0000-0000A9630000}"/>
    <cellStyle name="Header2 4 3 5 3 4" xfId="25468" xr:uid="{00000000-0005-0000-0000-0000AA630000}"/>
    <cellStyle name="Header2 4 3 5 3 5" xfId="25469" xr:uid="{00000000-0005-0000-0000-0000AB630000}"/>
    <cellStyle name="Header2 4 3 5 3 6" xfId="25470" xr:uid="{00000000-0005-0000-0000-0000AC630000}"/>
    <cellStyle name="Header2 4 3 5 4" xfId="25471" xr:uid="{00000000-0005-0000-0000-0000AD630000}"/>
    <cellStyle name="Header2 4 3 5 5" xfId="25472" xr:uid="{00000000-0005-0000-0000-0000AE630000}"/>
    <cellStyle name="Header2 4 3 6" xfId="25473" xr:uid="{00000000-0005-0000-0000-0000AF630000}"/>
    <cellStyle name="Header2 4 3 6 2" xfId="25474" xr:uid="{00000000-0005-0000-0000-0000B0630000}"/>
    <cellStyle name="Header2 4 3 6 2 2" xfId="25475" xr:uid="{00000000-0005-0000-0000-0000B1630000}"/>
    <cellStyle name="Header2 4 3 6 2 2 2" xfId="25476" xr:uid="{00000000-0005-0000-0000-0000B2630000}"/>
    <cellStyle name="Header2 4 3 6 2 2 3" xfId="25477" xr:uid="{00000000-0005-0000-0000-0000B3630000}"/>
    <cellStyle name="Header2 4 3 6 2 2 4" xfId="25478" xr:uid="{00000000-0005-0000-0000-0000B4630000}"/>
    <cellStyle name="Header2 4 3 6 2 2 5" xfId="25479" xr:uid="{00000000-0005-0000-0000-0000B5630000}"/>
    <cellStyle name="Header2 4 3 6 2 3" xfId="25480" xr:uid="{00000000-0005-0000-0000-0000B6630000}"/>
    <cellStyle name="Header2 4 3 6 2 3 2" xfId="25481" xr:uid="{00000000-0005-0000-0000-0000B7630000}"/>
    <cellStyle name="Header2 4 3 6 2 3 3" xfId="25482" xr:uid="{00000000-0005-0000-0000-0000B8630000}"/>
    <cellStyle name="Header2 4 3 6 2 3 4" xfId="25483" xr:uid="{00000000-0005-0000-0000-0000B9630000}"/>
    <cellStyle name="Header2 4 3 6 2 4" xfId="25484" xr:uid="{00000000-0005-0000-0000-0000BA630000}"/>
    <cellStyle name="Header2 4 3 6 2 5" xfId="25485" xr:uid="{00000000-0005-0000-0000-0000BB630000}"/>
    <cellStyle name="Header2 4 3 6 2 6" xfId="25486" xr:uid="{00000000-0005-0000-0000-0000BC630000}"/>
    <cellStyle name="Header2 4 3 6 3" xfId="25487" xr:uid="{00000000-0005-0000-0000-0000BD630000}"/>
    <cellStyle name="Header2 4 3 6 3 2" xfId="25488" xr:uid="{00000000-0005-0000-0000-0000BE630000}"/>
    <cellStyle name="Header2 4 3 6 3 2 2" xfId="25489" xr:uid="{00000000-0005-0000-0000-0000BF630000}"/>
    <cellStyle name="Header2 4 3 6 3 2 3" xfId="25490" xr:uid="{00000000-0005-0000-0000-0000C0630000}"/>
    <cellStyle name="Header2 4 3 6 3 2 4" xfId="25491" xr:uid="{00000000-0005-0000-0000-0000C1630000}"/>
    <cellStyle name="Header2 4 3 6 3 3" xfId="25492" xr:uid="{00000000-0005-0000-0000-0000C2630000}"/>
    <cellStyle name="Header2 4 3 6 3 3 2" xfId="25493" xr:uid="{00000000-0005-0000-0000-0000C3630000}"/>
    <cellStyle name="Header2 4 3 6 3 3 3" xfId="25494" xr:uid="{00000000-0005-0000-0000-0000C4630000}"/>
    <cellStyle name="Header2 4 3 6 3 3 4" xfId="25495" xr:uid="{00000000-0005-0000-0000-0000C5630000}"/>
    <cellStyle name="Header2 4 3 6 3 4" xfId="25496" xr:uid="{00000000-0005-0000-0000-0000C6630000}"/>
    <cellStyle name="Header2 4 3 6 3 5" xfId="25497" xr:uid="{00000000-0005-0000-0000-0000C7630000}"/>
    <cellStyle name="Header2 4 3 6 3 6" xfId="25498" xr:uid="{00000000-0005-0000-0000-0000C8630000}"/>
    <cellStyle name="Header2 4 3 6 4" xfId="25499" xr:uid="{00000000-0005-0000-0000-0000C9630000}"/>
    <cellStyle name="Header2 4 3 6 5" xfId="25500" xr:uid="{00000000-0005-0000-0000-0000CA630000}"/>
    <cellStyle name="Header2 4 3 7" xfId="25501" xr:uid="{00000000-0005-0000-0000-0000CB630000}"/>
    <cellStyle name="Header2 4 3 7 2" xfId="25502" xr:uid="{00000000-0005-0000-0000-0000CC630000}"/>
    <cellStyle name="Header2 4 3 7 2 2" xfId="25503" xr:uid="{00000000-0005-0000-0000-0000CD630000}"/>
    <cellStyle name="Header2 4 3 7 2 2 2" xfId="25504" xr:uid="{00000000-0005-0000-0000-0000CE630000}"/>
    <cellStyle name="Header2 4 3 7 2 2 3" xfId="25505" xr:uid="{00000000-0005-0000-0000-0000CF630000}"/>
    <cellStyle name="Header2 4 3 7 2 2 4" xfId="25506" xr:uid="{00000000-0005-0000-0000-0000D0630000}"/>
    <cellStyle name="Header2 4 3 7 2 2 5" xfId="25507" xr:uid="{00000000-0005-0000-0000-0000D1630000}"/>
    <cellStyle name="Header2 4 3 7 2 3" xfId="25508" xr:uid="{00000000-0005-0000-0000-0000D2630000}"/>
    <cellStyle name="Header2 4 3 7 2 3 2" xfId="25509" xr:uid="{00000000-0005-0000-0000-0000D3630000}"/>
    <cellStyle name="Header2 4 3 7 2 3 3" xfId="25510" xr:uid="{00000000-0005-0000-0000-0000D4630000}"/>
    <cellStyle name="Header2 4 3 7 2 3 4" xfId="25511" xr:uid="{00000000-0005-0000-0000-0000D5630000}"/>
    <cellStyle name="Header2 4 3 7 2 4" xfId="25512" xr:uid="{00000000-0005-0000-0000-0000D6630000}"/>
    <cellStyle name="Header2 4 3 7 2 5" xfId="25513" xr:uid="{00000000-0005-0000-0000-0000D7630000}"/>
    <cellStyle name="Header2 4 3 7 2 6" xfId="25514" xr:uid="{00000000-0005-0000-0000-0000D8630000}"/>
    <cellStyle name="Header2 4 3 7 3" xfId="25515" xr:uid="{00000000-0005-0000-0000-0000D9630000}"/>
    <cellStyle name="Header2 4 3 7 3 2" xfId="25516" xr:uid="{00000000-0005-0000-0000-0000DA630000}"/>
    <cellStyle name="Header2 4 3 7 3 2 2" xfId="25517" xr:uid="{00000000-0005-0000-0000-0000DB630000}"/>
    <cellStyle name="Header2 4 3 7 3 2 3" xfId="25518" xr:uid="{00000000-0005-0000-0000-0000DC630000}"/>
    <cellStyle name="Header2 4 3 7 3 2 4" xfId="25519" xr:uid="{00000000-0005-0000-0000-0000DD630000}"/>
    <cellStyle name="Header2 4 3 7 3 3" xfId="25520" xr:uid="{00000000-0005-0000-0000-0000DE630000}"/>
    <cellStyle name="Header2 4 3 7 3 3 2" xfId="25521" xr:uid="{00000000-0005-0000-0000-0000DF630000}"/>
    <cellStyle name="Header2 4 3 7 3 3 3" xfId="25522" xr:uid="{00000000-0005-0000-0000-0000E0630000}"/>
    <cellStyle name="Header2 4 3 7 3 3 4" xfId="25523" xr:uid="{00000000-0005-0000-0000-0000E1630000}"/>
    <cellStyle name="Header2 4 3 7 3 4" xfId="25524" xr:uid="{00000000-0005-0000-0000-0000E2630000}"/>
    <cellStyle name="Header2 4 3 7 3 5" xfId="25525" xr:uid="{00000000-0005-0000-0000-0000E3630000}"/>
    <cellStyle name="Header2 4 3 7 3 6" xfId="25526" xr:uid="{00000000-0005-0000-0000-0000E4630000}"/>
    <cellStyle name="Header2 4 3 7 4" xfId="25527" xr:uid="{00000000-0005-0000-0000-0000E5630000}"/>
    <cellStyle name="Header2 4 3 7 5" xfId="25528" xr:uid="{00000000-0005-0000-0000-0000E6630000}"/>
    <cellStyle name="Header2 4 3 8" xfId="25529" xr:uid="{00000000-0005-0000-0000-0000E7630000}"/>
    <cellStyle name="Header2 4 3 8 2" xfId="25530" xr:uid="{00000000-0005-0000-0000-0000E8630000}"/>
    <cellStyle name="Header2 4 3 8 2 2" xfId="25531" xr:uid="{00000000-0005-0000-0000-0000E9630000}"/>
    <cellStyle name="Header2 4 3 8 2 2 2" xfId="25532" xr:uid="{00000000-0005-0000-0000-0000EA630000}"/>
    <cellStyle name="Header2 4 3 8 2 2 3" xfId="25533" xr:uid="{00000000-0005-0000-0000-0000EB630000}"/>
    <cellStyle name="Header2 4 3 8 2 2 4" xfId="25534" xr:uid="{00000000-0005-0000-0000-0000EC630000}"/>
    <cellStyle name="Header2 4 3 8 2 2 5" xfId="25535" xr:uid="{00000000-0005-0000-0000-0000ED630000}"/>
    <cellStyle name="Header2 4 3 8 2 3" xfId="25536" xr:uid="{00000000-0005-0000-0000-0000EE630000}"/>
    <cellStyle name="Header2 4 3 8 2 3 2" xfId="25537" xr:uid="{00000000-0005-0000-0000-0000EF630000}"/>
    <cellStyle name="Header2 4 3 8 2 3 3" xfId="25538" xr:uid="{00000000-0005-0000-0000-0000F0630000}"/>
    <cellStyle name="Header2 4 3 8 2 3 4" xfId="25539" xr:uid="{00000000-0005-0000-0000-0000F1630000}"/>
    <cellStyle name="Header2 4 3 8 2 4" xfId="25540" xr:uid="{00000000-0005-0000-0000-0000F2630000}"/>
    <cellStyle name="Header2 4 3 8 2 5" xfId="25541" xr:uid="{00000000-0005-0000-0000-0000F3630000}"/>
    <cellStyle name="Header2 4 3 8 2 6" xfId="25542" xr:uid="{00000000-0005-0000-0000-0000F4630000}"/>
    <cellStyle name="Header2 4 3 8 3" xfId="25543" xr:uid="{00000000-0005-0000-0000-0000F5630000}"/>
    <cellStyle name="Header2 4 3 8 3 2" xfId="25544" xr:uid="{00000000-0005-0000-0000-0000F6630000}"/>
    <cellStyle name="Header2 4 3 8 3 2 2" xfId="25545" xr:uid="{00000000-0005-0000-0000-0000F7630000}"/>
    <cellStyle name="Header2 4 3 8 3 2 3" xfId="25546" xr:uid="{00000000-0005-0000-0000-0000F8630000}"/>
    <cellStyle name="Header2 4 3 8 3 2 4" xfId="25547" xr:uid="{00000000-0005-0000-0000-0000F9630000}"/>
    <cellStyle name="Header2 4 3 8 3 3" xfId="25548" xr:uid="{00000000-0005-0000-0000-0000FA630000}"/>
    <cellStyle name="Header2 4 3 8 3 3 2" xfId="25549" xr:uid="{00000000-0005-0000-0000-0000FB630000}"/>
    <cellStyle name="Header2 4 3 8 3 3 3" xfId="25550" xr:uid="{00000000-0005-0000-0000-0000FC630000}"/>
    <cellStyle name="Header2 4 3 8 3 3 4" xfId="25551" xr:uid="{00000000-0005-0000-0000-0000FD630000}"/>
    <cellStyle name="Header2 4 3 8 3 4" xfId="25552" xr:uid="{00000000-0005-0000-0000-0000FE630000}"/>
    <cellStyle name="Header2 4 3 8 3 5" xfId="25553" xr:uid="{00000000-0005-0000-0000-0000FF630000}"/>
    <cellStyle name="Header2 4 3 8 3 6" xfId="25554" xr:uid="{00000000-0005-0000-0000-000000640000}"/>
    <cellStyle name="Header2 4 3 8 4" xfId="25555" xr:uid="{00000000-0005-0000-0000-000001640000}"/>
    <cellStyle name="Header2 4 3 8 5" xfId="25556" xr:uid="{00000000-0005-0000-0000-000002640000}"/>
    <cellStyle name="Header2 4 3 9" xfId="25557" xr:uid="{00000000-0005-0000-0000-000003640000}"/>
    <cellStyle name="Header2 4 3 9 2" xfId="25558" xr:uid="{00000000-0005-0000-0000-000004640000}"/>
    <cellStyle name="Header2 4 3 9 2 2" xfId="25559" xr:uid="{00000000-0005-0000-0000-000005640000}"/>
    <cellStyle name="Header2 4 3 9 2 2 2" xfId="25560" xr:uid="{00000000-0005-0000-0000-000006640000}"/>
    <cellStyle name="Header2 4 3 9 2 2 3" xfId="25561" xr:uid="{00000000-0005-0000-0000-000007640000}"/>
    <cellStyle name="Header2 4 3 9 2 2 4" xfId="25562" xr:uid="{00000000-0005-0000-0000-000008640000}"/>
    <cellStyle name="Header2 4 3 9 2 2 5" xfId="25563" xr:uid="{00000000-0005-0000-0000-000009640000}"/>
    <cellStyle name="Header2 4 3 9 2 3" xfId="25564" xr:uid="{00000000-0005-0000-0000-00000A640000}"/>
    <cellStyle name="Header2 4 3 9 2 3 2" xfId="25565" xr:uid="{00000000-0005-0000-0000-00000B640000}"/>
    <cellStyle name="Header2 4 3 9 2 3 3" xfId="25566" xr:uid="{00000000-0005-0000-0000-00000C640000}"/>
    <cellStyle name="Header2 4 3 9 2 3 4" xfId="25567" xr:uid="{00000000-0005-0000-0000-00000D640000}"/>
    <cellStyle name="Header2 4 3 9 2 4" xfId="25568" xr:uid="{00000000-0005-0000-0000-00000E640000}"/>
    <cellStyle name="Header2 4 3 9 2 5" xfId="25569" xr:uid="{00000000-0005-0000-0000-00000F640000}"/>
    <cellStyle name="Header2 4 3 9 2 6" xfId="25570" xr:uid="{00000000-0005-0000-0000-000010640000}"/>
    <cellStyle name="Header2 4 3 9 3" xfId="25571" xr:uid="{00000000-0005-0000-0000-000011640000}"/>
    <cellStyle name="Header2 4 3 9 3 2" xfId="25572" xr:uid="{00000000-0005-0000-0000-000012640000}"/>
    <cellStyle name="Header2 4 3 9 3 2 2" xfId="25573" xr:uid="{00000000-0005-0000-0000-000013640000}"/>
    <cellStyle name="Header2 4 3 9 3 2 3" xfId="25574" xr:uid="{00000000-0005-0000-0000-000014640000}"/>
    <cellStyle name="Header2 4 3 9 3 2 4" xfId="25575" xr:uid="{00000000-0005-0000-0000-000015640000}"/>
    <cellStyle name="Header2 4 3 9 3 3" xfId="25576" xr:uid="{00000000-0005-0000-0000-000016640000}"/>
    <cellStyle name="Header2 4 3 9 3 3 2" xfId="25577" xr:uid="{00000000-0005-0000-0000-000017640000}"/>
    <cellStyle name="Header2 4 3 9 3 3 3" xfId="25578" xr:uid="{00000000-0005-0000-0000-000018640000}"/>
    <cellStyle name="Header2 4 3 9 3 3 4" xfId="25579" xr:uid="{00000000-0005-0000-0000-000019640000}"/>
    <cellStyle name="Header2 4 3 9 3 4" xfId="25580" xr:uid="{00000000-0005-0000-0000-00001A640000}"/>
    <cellStyle name="Header2 4 3 9 3 5" xfId="25581" xr:uid="{00000000-0005-0000-0000-00001B640000}"/>
    <cellStyle name="Header2 4 3 9 3 6" xfId="25582" xr:uid="{00000000-0005-0000-0000-00001C640000}"/>
    <cellStyle name="Header2 4 3 9 4" xfId="25583" xr:uid="{00000000-0005-0000-0000-00001D640000}"/>
    <cellStyle name="Header2 4 3 9 5" xfId="25584" xr:uid="{00000000-0005-0000-0000-00001E640000}"/>
    <cellStyle name="Header2 5" xfId="25585" xr:uid="{00000000-0005-0000-0000-00001F640000}"/>
    <cellStyle name="Header2 5 2" xfId="25586" xr:uid="{00000000-0005-0000-0000-000020640000}"/>
    <cellStyle name="Header2 5 2 10" xfId="25587" xr:uid="{00000000-0005-0000-0000-000021640000}"/>
    <cellStyle name="Header2 5 2 10 2" xfId="25588" xr:uid="{00000000-0005-0000-0000-000022640000}"/>
    <cellStyle name="Header2 5 2 10 2 2" xfId="25589" xr:uid="{00000000-0005-0000-0000-000023640000}"/>
    <cellStyle name="Header2 5 2 10 2 2 2" xfId="25590" xr:uid="{00000000-0005-0000-0000-000024640000}"/>
    <cellStyle name="Header2 5 2 10 2 2 3" xfId="25591" xr:uid="{00000000-0005-0000-0000-000025640000}"/>
    <cellStyle name="Header2 5 2 10 2 2 4" xfId="25592" xr:uid="{00000000-0005-0000-0000-000026640000}"/>
    <cellStyle name="Header2 5 2 10 2 2 5" xfId="25593" xr:uid="{00000000-0005-0000-0000-000027640000}"/>
    <cellStyle name="Header2 5 2 10 2 3" xfId="25594" xr:uid="{00000000-0005-0000-0000-000028640000}"/>
    <cellStyle name="Header2 5 2 10 2 3 2" xfId="25595" xr:uid="{00000000-0005-0000-0000-000029640000}"/>
    <cellStyle name="Header2 5 2 10 2 3 3" xfId="25596" xr:uid="{00000000-0005-0000-0000-00002A640000}"/>
    <cellStyle name="Header2 5 2 10 2 3 4" xfId="25597" xr:uid="{00000000-0005-0000-0000-00002B640000}"/>
    <cellStyle name="Header2 5 2 10 2 4" xfId="25598" xr:uid="{00000000-0005-0000-0000-00002C640000}"/>
    <cellStyle name="Header2 5 2 10 2 5" xfId="25599" xr:uid="{00000000-0005-0000-0000-00002D640000}"/>
    <cellStyle name="Header2 5 2 10 2 6" xfId="25600" xr:uid="{00000000-0005-0000-0000-00002E640000}"/>
    <cellStyle name="Header2 5 2 10 3" xfId="25601" xr:uid="{00000000-0005-0000-0000-00002F640000}"/>
    <cellStyle name="Header2 5 2 10 3 2" xfId="25602" xr:uid="{00000000-0005-0000-0000-000030640000}"/>
    <cellStyle name="Header2 5 2 10 3 2 2" xfId="25603" xr:uid="{00000000-0005-0000-0000-000031640000}"/>
    <cellStyle name="Header2 5 2 10 3 2 3" xfId="25604" xr:uid="{00000000-0005-0000-0000-000032640000}"/>
    <cellStyle name="Header2 5 2 10 3 2 4" xfId="25605" xr:uid="{00000000-0005-0000-0000-000033640000}"/>
    <cellStyle name="Header2 5 2 10 3 3" xfId="25606" xr:uid="{00000000-0005-0000-0000-000034640000}"/>
    <cellStyle name="Header2 5 2 10 3 3 2" xfId="25607" xr:uid="{00000000-0005-0000-0000-000035640000}"/>
    <cellStyle name="Header2 5 2 10 3 3 3" xfId="25608" xr:uid="{00000000-0005-0000-0000-000036640000}"/>
    <cellStyle name="Header2 5 2 10 3 3 4" xfId="25609" xr:uid="{00000000-0005-0000-0000-000037640000}"/>
    <cellStyle name="Header2 5 2 10 3 4" xfId="25610" xr:uid="{00000000-0005-0000-0000-000038640000}"/>
    <cellStyle name="Header2 5 2 10 3 5" xfId="25611" xr:uid="{00000000-0005-0000-0000-000039640000}"/>
    <cellStyle name="Header2 5 2 10 3 6" xfId="25612" xr:uid="{00000000-0005-0000-0000-00003A640000}"/>
    <cellStyle name="Header2 5 2 10 4" xfId="25613" xr:uid="{00000000-0005-0000-0000-00003B640000}"/>
    <cellStyle name="Header2 5 2 10 5" xfId="25614" xr:uid="{00000000-0005-0000-0000-00003C640000}"/>
    <cellStyle name="Header2 5 2 11" xfId="25615" xr:uid="{00000000-0005-0000-0000-00003D640000}"/>
    <cellStyle name="Header2 5 2 11 2" xfId="25616" xr:uid="{00000000-0005-0000-0000-00003E640000}"/>
    <cellStyle name="Header2 5 2 11 2 2" xfId="25617" xr:uid="{00000000-0005-0000-0000-00003F640000}"/>
    <cellStyle name="Header2 5 2 11 2 2 2" xfId="25618" xr:uid="{00000000-0005-0000-0000-000040640000}"/>
    <cellStyle name="Header2 5 2 11 2 2 3" xfId="25619" xr:uid="{00000000-0005-0000-0000-000041640000}"/>
    <cellStyle name="Header2 5 2 11 2 2 4" xfId="25620" xr:uid="{00000000-0005-0000-0000-000042640000}"/>
    <cellStyle name="Header2 5 2 11 2 2 5" xfId="25621" xr:uid="{00000000-0005-0000-0000-000043640000}"/>
    <cellStyle name="Header2 5 2 11 2 3" xfId="25622" xr:uid="{00000000-0005-0000-0000-000044640000}"/>
    <cellStyle name="Header2 5 2 11 2 3 2" xfId="25623" xr:uid="{00000000-0005-0000-0000-000045640000}"/>
    <cellStyle name="Header2 5 2 11 2 3 3" xfId="25624" xr:uid="{00000000-0005-0000-0000-000046640000}"/>
    <cellStyle name="Header2 5 2 11 2 3 4" xfId="25625" xr:uid="{00000000-0005-0000-0000-000047640000}"/>
    <cellStyle name="Header2 5 2 11 2 4" xfId="25626" xr:uid="{00000000-0005-0000-0000-000048640000}"/>
    <cellStyle name="Header2 5 2 11 2 5" xfId="25627" xr:uid="{00000000-0005-0000-0000-000049640000}"/>
    <cellStyle name="Header2 5 2 11 2 6" xfId="25628" xr:uid="{00000000-0005-0000-0000-00004A640000}"/>
    <cellStyle name="Header2 5 2 11 3" xfId="25629" xr:uid="{00000000-0005-0000-0000-00004B640000}"/>
    <cellStyle name="Header2 5 2 11 3 2" xfId="25630" xr:uid="{00000000-0005-0000-0000-00004C640000}"/>
    <cellStyle name="Header2 5 2 11 3 2 2" xfId="25631" xr:uid="{00000000-0005-0000-0000-00004D640000}"/>
    <cellStyle name="Header2 5 2 11 3 2 3" xfId="25632" xr:uid="{00000000-0005-0000-0000-00004E640000}"/>
    <cellStyle name="Header2 5 2 11 3 2 4" xfId="25633" xr:uid="{00000000-0005-0000-0000-00004F640000}"/>
    <cellStyle name="Header2 5 2 11 3 3" xfId="25634" xr:uid="{00000000-0005-0000-0000-000050640000}"/>
    <cellStyle name="Header2 5 2 11 3 3 2" xfId="25635" xr:uid="{00000000-0005-0000-0000-000051640000}"/>
    <cellStyle name="Header2 5 2 11 3 3 3" xfId="25636" xr:uid="{00000000-0005-0000-0000-000052640000}"/>
    <cellStyle name="Header2 5 2 11 3 3 4" xfId="25637" xr:uid="{00000000-0005-0000-0000-000053640000}"/>
    <cellStyle name="Header2 5 2 11 3 4" xfId="25638" xr:uid="{00000000-0005-0000-0000-000054640000}"/>
    <cellStyle name="Header2 5 2 11 3 5" xfId="25639" xr:uid="{00000000-0005-0000-0000-000055640000}"/>
    <cellStyle name="Header2 5 2 11 3 6" xfId="25640" xr:uid="{00000000-0005-0000-0000-000056640000}"/>
    <cellStyle name="Header2 5 2 11 4" xfId="25641" xr:uid="{00000000-0005-0000-0000-000057640000}"/>
    <cellStyle name="Header2 5 2 11 5" xfId="25642" xr:uid="{00000000-0005-0000-0000-000058640000}"/>
    <cellStyle name="Header2 5 2 12" xfId="25643" xr:uid="{00000000-0005-0000-0000-000059640000}"/>
    <cellStyle name="Header2 5 2 12 2" xfId="25644" xr:uid="{00000000-0005-0000-0000-00005A640000}"/>
    <cellStyle name="Header2 5 2 12 2 2" xfId="25645" xr:uid="{00000000-0005-0000-0000-00005B640000}"/>
    <cellStyle name="Header2 5 2 12 2 2 2" xfId="25646" xr:uid="{00000000-0005-0000-0000-00005C640000}"/>
    <cellStyle name="Header2 5 2 12 2 2 3" xfId="25647" xr:uid="{00000000-0005-0000-0000-00005D640000}"/>
    <cellStyle name="Header2 5 2 12 2 2 4" xfId="25648" xr:uid="{00000000-0005-0000-0000-00005E640000}"/>
    <cellStyle name="Header2 5 2 12 2 2 5" xfId="25649" xr:uid="{00000000-0005-0000-0000-00005F640000}"/>
    <cellStyle name="Header2 5 2 12 2 3" xfId="25650" xr:uid="{00000000-0005-0000-0000-000060640000}"/>
    <cellStyle name="Header2 5 2 12 2 3 2" xfId="25651" xr:uid="{00000000-0005-0000-0000-000061640000}"/>
    <cellStyle name="Header2 5 2 12 2 3 3" xfId="25652" xr:uid="{00000000-0005-0000-0000-000062640000}"/>
    <cellStyle name="Header2 5 2 12 2 3 4" xfId="25653" xr:uid="{00000000-0005-0000-0000-000063640000}"/>
    <cellStyle name="Header2 5 2 12 2 4" xfId="25654" xr:uid="{00000000-0005-0000-0000-000064640000}"/>
    <cellStyle name="Header2 5 2 12 2 5" xfId="25655" xr:uid="{00000000-0005-0000-0000-000065640000}"/>
    <cellStyle name="Header2 5 2 12 2 6" xfId="25656" xr:uid="{00000000-0005-0000-0000-000066640000}"/>
    <cellStyle name="Header2 5 2 12 3" xfId="25657" xr:uid="{00000000-0005-0000-0000-000067640000}"/>
    <cellStyle name="Header2 5 2 12 3 2" xfId="25658" xr:uid="{00000000-0005-0000-0000-000068640000}"/>
    <cellStyle name="Header2 5 2 12 3 2 2" xfId="25659" xr:uid="{00000000-0005-0000-0000-000069640000}"/>
    <cellStyle name="Header2 5 2 12 3 2 3" xfId="25660" xr:uid="{00000000-0005-0000-0000-00006A640000}"/>
    <cellStyle name="Header2 5 2 12 3 2 4" xfId="25661" xr:uid="{00000000-0005-0000-0000-00006B640000}"/>
    <cellStyle name="Header2 5 2 12 3 3" xfId="25662" xr:uid="{00000000-0005-0000-0000-00006C640000}"/>
    <cellStyle name="Header2 5 2 12 3 3 2" xfId="25663" xr:uid="{00000000-0005-0000-0000-00006D640000}"/>
    <cellStyle name="Header2 5 2 12 3 3 3" xfId="25664" xr:uid="{00000000-0005-0000-0000-00006E640000}"/>
    <cellStyle name="Header2 5 2 12 3 3 4" xfId="25665" xr:uid="{00000000-0005-0000-0000-00006F640000}"/>
    <cellStyle name="Header2 5 2 12 3 4" xfId="25666" xr:uid="{00000000-0005-0000-0000-000070640000}"/>
    <cellStyle name="Header2 5 2 12 3 5" xfId="25667" xr:uid="{00000000-0005-0000-0000-000071640000}"/>
    <cellStyle name="Header2 5 2 12 3 6" xfId="25668" xr:uid="{00000000-0005-0000-0000-000072640000}"/>
    <cellStyle name="Header2 5 2 12 4" xfId="25669" xr:uid="{00000000-0005-0000-0000-000073640000}"/>
    <cellStyle name="Header2 5 2 12 5" xfId="25670" xr:uid="{00000000-0005-0000-0000-000074640000}"/>
    <cellStyle name="Header2 5 2 13" xfId="25671" xr:uid="{00000000-0005-0000-0000-000075640000}"/>
    <cellStyle name="Header2 5 2 13 2" xfId="25672" xr:uid="{00000000-0005-0000-0000-000076640000}"/>
    <cellStyle name="Header2 5 2 13 2 2" xfId="25673" xr:uid="{00000000-0005-0000-0000-000077640000}"/>
    <cellStyle name="Header2 5 2 13 2 2 2" xfId="25674" xr:uid="{00000000-0005-0000-0000-000078640000}"/>
    <cellStyle name="Header2 5 2 13 2 2 3" xfId="25675" xr:uid="{00000000-0005-0000-0000-000079640000}"/>
    <cellStyle name="Header2 5 2 13 2 2 4" xfId="25676" xr:uid="{00000000-0005-0000-0000-00007A640000}"/>
    <cellStyle name="Header2 5 2 13 2 2 5" xfId="25677" xr:uid="{00000000-0005-0000-0000-00007B640000}"/>
    <cellStyle name="Header2 5 2 13 2 3" xfId="25678" xr:uid="{00000000-0005-0000-0000-00007C640000}"/>
    <cellStyle name="Header2 5 2 13 2 3 2" xfId="25679" xr:uid="{00000000-0005-0000-0000-00007D640000}"/>
    <cellStyle name="Header2 5 2 13 2 3 3" xfId="25680" xr:uid="{00000000-0005-0000-0000-00007E640000}"/>
    <cellStyle name="Header2 5 2 13 2 3 4" xfId="25681" xr:uid="{00000000-0005-0000-0000-00007F640000}"/>
    <cellStyle name="Header2 5 2 13 2 4" xfId="25682" xr:uid="{00000000-0005-0000-0000-000080640000}"/>
    <cellStyle name="Header2 5 2 13 2 5" xfId="25683" xr:uid="{00000000-0005-0000-0000-000081640000}"/>
    <cellStyle name="Header2 5 2 13 2 6" xfId="25684" xr:uid="{00000000-0005-0000-0000-000082640000}"/>
    <cellStyle name="Header2 5 2 13 3" xfId="25685" xr:uid="{00000000-0005-0000-0000-000083640000}"/>
    <cellStyle name="Header2 5 2 13 3 2" xfId="25686" xr:uid="{00000000-0005-0000-0000-000084640000}"/>
    <cellStyle name="Header2 5 2 13 3 2 2" xfId="25687" xr:uid="{00000000-0005-0000-0000-000085640000}"/>
    <cellStyle name="Header2 5 2 13 3 2 3" xfId="25688" xr:uid="{00000000-0005-0000-0000-000086640000}"/>
    <cellStyle name="Header2 5 2 13 3 2 4" xfId="25689" xr:uid="{00000000-0005-0000-0000-000087640000}"/>
    <cellStyle name="Header2 5 2 13 3 3" xfId="25690" xr:uid="{00000000-0005-0000-0000-000088640000}"/>
    <cellStyle name="Header2 5 2 13 3 3 2" xfId="25691" xr:uid="{00000000-0005-0000-0000-000089640000}"/>
    <cellStyle name="Header2 5 2 13 3 3 3" xfId="25692" xr:uid="{00000000-0005-0000-0000-00008A640000}"/>
    <cellStyle name="Header2 5 2 13 3 3 4" xfId="25693" xr:uid="{00000000-0005-0000-0000-00008B640000}"/>
    <cellStyle name="Header2 5 2 13 3 4" xfId="25694" xr:uid="{00000000-0005-0000-0000-00008C640000}"/>
    <cellStyle name="Header2 5 2 13 3 5" xfId="25695" xr:uid="{00000000-0005-0000-0000-00008D640000}"/>
    <cellStyle name="Header2 5 2 13 3 6" xfId="25696" xr:uid="{00000000-0005-0000-0000-00008E640000}"/>
    <cellStyle name="Header2 5 2 13 4" xfId="25697" xr:uid="{00000000-0005-0000-0000-00008F640000}"/>
    <cellStyle name="Header2 5 2 13 5" xfId="25698" xr:uid="{00000000-0005-0000-0000-000090640000}"/>
    <cellStyle name="Header2 5 2 14" xfId="58764" xr:uid="{00000000-0005-0000-0000-000091640000}"/>
    <cellStyle name="Header2 5 2 2" xfId="25699" xr:uid="{00000000-0005-0000-0000-000092640000}"/>
    <cellStyle name="Header2 5 2 2 2" xfId="25700" xr:uid="{00000000-0005-0000-0000-000093640000}"/>
    <cellStyle name="Header2 5 2 2 2 2" xfId="25701" xr:uid="{00000000-0005-0000-0000-000094640000}"/>
    <cellStyle name="Header2 5 2 2 2 2 2" xfId="25702" xr:uid="{00000000-0005-0000-0000-000095640000}"/>
    <cellStyle name="Header2 5 2 2 2 2 2 2" xfId="25703" xr:uid="{00000000-0005-0000-0000-000096640000}"/>
    <cellStyle name="Header2 5 2 2 2 2 2 3" xfId="25704" xr:uid="{00000000-0005-0000-0000-000097640000}"/>
    <cellStyle name="Header2 5 2 2 2 2 2 4" xfId="25705" xr:uid="{00000000-0005-0000-0000-000098640000}"/>
    <cellStyle name="Header2 5 2 2 2 2 2 5" xfId="25706" xr:uid="{00000000-0005-0000-0000-000099640000}"/>
    <cellStyle name="Header2 5 2 2 2 2 3" xfId="25707" xr:uid="{00000000-0005-0000-0000-00009A640000}"/>
    <cellStyle name="Header2 5 2 2 2 2 3 2" xfId="25708" xr:uid="{00000000-0005-0000-0000-00009B640000}"/>
    <cellStyle name="Header2 5 2 2 2 2 3 3" xfId="25709" xr:uid="{00000000-0005-0000-0000-00009C640000}"/>
    <cellStyle name="Header2 5 2 2 2 2 3 4" xfId="25710" xr:uid="{00000000-0005-0000-0000-00009D640000}"/>
    <cellStyle name="Header2 5 2 2 2 2 4" xfId="25711" xr:uid="{00000000-0005-0000-0000-00009E640000}"/>
    <cellStyle name="Header2 5 2 2 2 2 5" xfId="25712" xr:uid="{00000000-0005-0000-0000-00009F640000}"/>
    <cellStyle name="Header2 5 2 2 2 2 6" xfId="25713" xr:uid="{00000000-0005-0000-0000-0000A0640000}"/>
    <cellStyle name="Header2 5 2 2 2 3" xfId="25714" xr:uid="{00000000-0005-0000-0000-0000A1640000}"/>
    <cellStyle name="Header2 5 2 2 2 3 2" xfId="25715" xr:uid="{00000000-0005-0000-0000-0000A2640000}"/>
    <cellStyle name="Header2 5 2 2 2 3 2 2" xfId="25716" xr:uid="{00000000-0005-0000-0000-0000A3640000}"/>
    <cellStyle name="Header2 5 2 2 2 3 2 3" xfId="25717" xr:uid="{00000000-0005-0000-0000-0000A4640000}"/>
    <cellStyle name="Header2 5 2 2 2 3 2 4" xfId="25718" xr:uid="{00000000-0005-0000-0000-0000A5640000}"/>
    <cellStyle name="Header2 5 2 2 2 3 3" xfId="25719" xr:uid="{00000000-0005-0000-0000-0000A6640000}"/>
    <cellStyle name="Header2 5 2 2 2 3 3 2" xfId="25720" xr:uid="{00000000-0005-0000-0000-0000A7640000}"/>
    <cellStyle name="Header2 5 2 2 2 3 3 3" xfId="25721" xr:uid="{00000000-0005-0000-0000-0000A8640000}"/>
    <cellStyle name="Header2 5 2 2 2 3 3 4" xfId="25722" xr:uid="{00000000-0005-0000-0000-0000A9640000}"/>
    <cellStyle name="Header2 5 2 2 2 3 4" xfId="25723" xr:uid="{00000000-0005-0000-0000-0000AA640000}"/>
    <cellStyle name="Header2 5 2 2 2 3 5" xfId="25724" xr:uid="{00000000-0005-0000-0000-0000AB640000}"/>
    <cellStyle name="Header2 5 2 2 2 3 6" xfId="25725" xr:uid="{00000000-0005-0000-0000-0000AC640000}"/>
    <cellStyle name="Header2 5 2 2 2 4" xfId="25726" xr:uid="{00000000-0005-0000-0000-0000AD640000}"/>
    <cellStyle name="Header2 5 2 2 2 5" xfId="25727" xr:uid="{00000000-0005-0000-0000-0000AE640000}"/>
    <cellStyle name="Header2 5 2 2 3" xfId="25728" xr:uid="{00000000-0005-0000-0000-0000AF640000}"/>
    <cellStyle name="Header2 5 2 2 3 2" xfId="25729" xr:uid="{00000000-0005-0000-0000-0000B0640000}"/>
    <cellStyle name="Header2 5 2 2 3 2 2" xfId="25730" xr:uid="{00000000-0005-0000-0000-0000B1640000}"/>
    <cellStyle name="Header2 5 2 2 3 2 2 2" xfId="25731" xr:uid="{00000000-0005-0000-0000-0000B2640000}"/>
    <cellStyle name="Header2 5 2 2 3 2 2 3" xfId="25732" xr:uid="{00000000-0005-0000-0000-0000B3640000}"/>
    <cellStyle name="Header2 5 2 2 3 2 2 4" xfId="25733" xr:uid="{00000000-0005-0000-0000-0000B4640000}"/>
    <cellStyle name="Header2 5 2 2 3 2 2 5" xfId="25734" xr:uid="{00000000-0005-0000-0000-0000B5640000}"/>
    <cellStyle name="Header2 5 2 2 3 2 3" xfId="25735" xr:uid="{00000000-0005-0000-0000-0000B6640000}"/>
    <cellStyle name="Header2 5 2 2 3 2 3 2" xfId="25736" xr:uid="{00000000-0005-0000-0000-0000B7640000}"/>
    <cellStyle name="Header2 5 2 2 3 2 3 3" xfId="25737" xr:uid="{00000000-0005-0000-0000-0000B8640000}"/>
    <cellStyle name="Header2 5 2 2 3 2 3 4" xfId="25738" xr:uid="{00000000-0005-0000-0000-0000B9640000}"/>
    <cellStyle name="Header2 5 2 2 3 2 4" xfId="25739" xr:uid="{00000000-0005-0000-0000-0000BA640000}"/>
    <cellStyle name="Header2 5 2 2 3 2 5" xfId="25740" xr:uid="{00000000-0005-0000-0000-0000BB640000}"/>
    <cellStyle name="Header2 5 2 2 3 2 6" xfId="25741" xr:uid="{00000000-0005-0000-0000-0000BC640000}"/>
    <cellStyle name="Header2 5 2 2 3 3" xfId="25742" xr:uid="{00000000-0005-0000-0000-0000BD640000}"/>
    <cellStyle name="Header2 5 2 2 3 3 2" xfId="25743" xr:uid="{00000000-0005-0000-0000-0000BE640000}"/>
    <cellStyle name="Header2 5 2 2 3 3 2 2" xfId="25744" xr:uid="{00000000-0005-0000-0000-0000BF640000}"/>
    <cellStyle name="Header2 5 2 2 3 3 2 3" xfId="25745" xr:uid="{00000000-0005-0000-0000-0000C0640000}"/>
    <cellStyle name="Header2 5 2 2 3 3 2 4" xfId="25746" xr:uid="{00000000-0005-0000-0000-0000C1640000}"/>
    <cellStyle name="Header2 5 2 2 3 3 3" xfId="25747" xr:uid="{00000000-0005-0000-0000-0000C2640000}"/>
    <cellStyle name="Header2 5 2 2 3 3 3 2" xfId="25748" xr:uid="{00000000-0005-0000-0000-0000C3640000}"/>
    <cellStyle name="Header2 5 2 2 3 3 3 3" xfId="25749" xr:uid="{00000000-0005-0000-0000-0000C4640000}"/>
    <cellStyle name="Header2 5 2 2 3 3 3 4" xfId="25750" xr:uid="{00000000-0005-0000-0000-0000C5640000}"/>
    <cellStyle name="Header2 5 2 2 3 3 4" xfId="25751" xr:uid="{00000000-0005-0000-0000-0000C6640000}"/>
    <cellStyle name="Header2 5 2 2 3 3 5" xfId="25752" xr:uid="{00000000-0005-0000-0000-0000C7640000}"/>
    <cellStyle name="Header2 5 2 2 3 3 6" xfId="25753" xr:uid="{00000000-0005-0000-0000-0000C8640000}"/>
    <cellStyle name="Header2 5 2 2 3 4" xfId="25754" xr:uid="{00000000-0005-0000-0000-0000C9640000}"/>
    <cellStyle name="Header2 5 2 2 3 5" xfId="25755" xr:uid="{00000000-0005-0000-0000-0000CA640000}"/>
    <cellStyle name="Header2 5 2 3" xfId="25756" xr:uid="{00000000-0005-0000-0000-0000CB640000}"/>
    <cellStyle name="Header2 5 2 3 2" xfId="25757" xr:uid="{00000000-0005-0000-0000-0000CC640000}"/>
    <cellStyle name="Header2 5 2 3 2 2" xfId="25758" xr:uid="{00000000-0005-0000-0000-0000CD640000}"/>
    <cellStyle name="Header2 5 2 3 2 3" xfId="25759" xr:uid="{00000000-0005-0000-0000-0000CE640000}"/>
    <cellStyle name="Header2 5 2 3 3" xfId="25760" xr:uid="{00000000-0005-0000-0000-0000CF640000}"/>
    <cellStyle name="Header2 5 2 4" xfId="25761" xr:uid="{00000000-0005-0000-0000-0000D0640000}"/>
    <cellStyle name="Header2 5 2 4 2" xfId="25762" xr:uid="{00000000-0005-0000-0000-0000D1640000}"/>
    <cellStyle name="Header2 5 2 4 2 2" xfId="25763" xr:uid="{00000000-0005-0000-0000-0000D2640000}"/>
    <cellStyle name="Header2 5 2 4 2 3" xfId="25764" xr:uid="{00000000-0005-0000-0000-0000D3640000}"/>
    <cellStyle name="Header2 5 2 4 3" xfId="25765" xr:uid="{00000000-0005-0000-0000-0000D4640000}"/>
    <cellStyle name="Header2 5 2 5" xfId="25766" xr:uid="{00000000-0005-0000-0000-0000D5640000}"/>
    <cellStyle name="Header2 5 2 5 2" xfId="25767" xr:uid="{00000000-0005-0000-0000-0000D6640000}"/>
    <cellStyle name="Header2 5 2 5 2 2" xfId="25768" xr:uid="{00000000-0005-0000-0000-0000D7640000}"/>
    <cellStyle name="Header2 5 2 5 2 3" xfId="25769" xr:uid="{00000000-0005-0000-0000-0000D8640000}"/>
    <cellStyle name="Header2 5 2 5 3" xfId="25770" xr:uid="{00000000-0005-0000-0000-0000D9640000}"/>
    <cellStyle name="Header2 5 2 6" xfId="25771" xr:uid="{00000000-0005-0000-0000-0000DA640000}"/>
    <cellStyle name="Header2 5 2 6 2" xfId="25772" xr:uid="{00000000-0005-0000-0000-0000DB640000}"/>
    <cellStyle name="Header2 5 2 6 2 2" xfId="25773" xr:uid="{00000000-0005-0000-0000-0000DC640000}"/>
    <cellStyle name="Header2 5 2 6 2 2 2" xfId="25774" xr:uid="{00000000-0005-0000-0000-0000DD640000}"/>
    <cellStyle name="Header2 5 2 6 2 2 3" xfId="25775" xr:uid="{00000000-0005-0000-0000-0000DE640000}"/>
    <cellStyle name="Header2 5 2 6 2 2 4" xfId="25776" xr:uid="{00000000-0005-0000-0000-0000DF640000}"/>
    <cellStyle name="Header2 5 2 6 2 2 5" xfId="25777" xr:uid="{00000000-0005-0000-0000-0000E0640000}"/>
    <cellStyle name="Header2 5 2 6 2 3" xfId="25778" xr:uid="{00000000-0005-0000-0000-0000E1640000}"/>
    <cellStyle name="Header2 5 2 6 2 3 2" xfId="25779" xr:uid="{00000000-0005-0000-0000-0000E2640000}"/>
    <cellStyle name="Header2 5 2 6 2 3 3" xfId="25780" xr:uid="{00000000-0005-0000-0000-0000E3640000}"/>
    <cellStyle name="Header2 5 2 6 2 3 4" xfId="25781" xr:uid="{00000000-0005-0000-0000-0000E4640000}"/>
    <cellStyle name="Header2 5 2 6 2 4" xfId="25782" xr:uid="{00000000-0005-0000-0000-0000E5640000}"/>
    <cellStyle name="Header2 5 2 6 2 5" xfId="25783" xr:uid="{00000000-0005-0000-0000-0000E6640000}"/>
    <cellStyle name="Header2 5 2 6 2 6" xfId="25784" xr:uid="{00000000-0005-0000-0000-0000E7640000}"/>
    <cellStyle name="Header2 5 2 6 3" xfId="25785" xr:uid="{00000000-0005-0000-0000-0000E8640000}"/>
    <cellStyle name="Header2 5 2 6 3 2" xfId="25786" xr:uid="{00000000-0005-0000-0000-0000E9640000}"/>
    <cellStyle name="Header2 5 2 6 3 2 2" xfId="25787" xr:uid="{00000000-0005-0000-0000-0000EA640000}"/>
    <cellStyle name="Header2 5 2 6 3 2 3" xfId="25788" xr:uid="{00000000-0005-0000-0000-0000EB640000}"/>
    <cellStyle name="Header2 5 2 6 3 2 4" xfId="25789" xr:uid="{00000000-0005-0000-0000-0000EC640000}"/>
    <cellStyle name="Header2 5 2 6 3 3" xfId="25790" xr:uid="{00000000-0005-0000-0000-0000ED640000}"/>
    <cellStyle name="Header2 5 2 6 3 3 2" xfId="25791" xr:uid="{00000000-0005-0000-0000-0000EE640000}"/>
    <cellStyle name="Header2 5 2 6 3 3 3" xfId="25792" xr:uid="{00000000-0005-0000-0000-0000EF640000}"/>
    <cellStyle name="Header2 5 2 6 3 3 4" xfId="25793" xr:uid="{00000000-0005-0000-0000-0000F0640000}"/>
    <cellStyle name="Header2 5 2 6 3 4" xfId="25794" xr:uid="{00000000-0005-0000-0000-0000F1640000}"/>
    <cellStyle name="Header2 5 2 6 3 5" xfId="25795" xr:uid="{00000000-0005-0000-0000-0000F2640000}"/>
    <cellStyle name="Header2 5 2 6 3 6" xfId="25796" xr:uid="{00000000-0005-0000-0000-0000F3640000}"/>
    <cellStyle name="Header2 5 2 6 4" xfId="25797" xr:uid="{00000000-0005-0000-0000-0000F4640000}"/>
    <cellStyle name="Header2 5 2 6 5" xfId="25798" xr:uid="{00000000-0005-0000-0000-0000F5640000}"/>
    <cellStyle name="Header2 5 2 7" xfId="25799" xr:uid="{00000000-0005-0000-0000-0000F6640000}"/>
    <cellStyle name="Header2 5 2 7 2" xfId="25800" xr:uid="{00000000-0005-0000-0000-0000F7640000}"/>
    <cellStyle name="Header2 5 2 7 2 2" xfId="25801" xr:uid="{00000000-0005-0000-0000-0000F8640000}"/>
    <cellStyle name="Header2 5 2 7 2 2 2" xfId="25802" xr:uid="{00000000-0005-0000-0000-0000F9640000}"/>
    <cellStyle name="Header2 5 2 7 2 2 3" xfId="25803" xr:uid="{00000000-0005-0000-0000-0000FA640000}"/>
    <cellStyle name="Header2 5 2 7 2 2 4" xfId="25804" xr:uid="{00000000-0005-0000-0000-0000FB640000}"/>
    <cellStyle name="Header2 5 2 7 2 2 5" xfId="25805" xr:uid="{00000000-0005-0000-0000-0000FC640000}"/>
    <cellStyle name="Header2 5 2 7 2 3" xfId="25806" xr:uid="{00000000-0005-0000-0000-0000FD640000}"/>
    <cellStyle name="Header2 5 2 7 2 3 2" xfId="25807" xr:uid="{00000000-0005-0000-0000-0000FE640000}"/>
    <cellStyle name="Header2 5 2 7 2 3 3" xfId="25808" xr:uid="{00000000-0005-0000-0000-0000FF640000}"/>
    <cellStyle name="Header2 5 2 7 2 3 4" xfId="25809" xr:uid="{00000000-0005-0000-0000-000000650000}"/>
    <cellStyle name="Header2 5 2 7 2 4" xfId="25810" xr:uid="{00000000-0005-0000-0000-000001650000}"/>
    <cellStyle name="Header2 5 2 7 2 5" xfId="25811" xr:uid="{00000000-0005-0000-0000-000002650000}"/>
    <cellStyle name="Header2 5 2 7 2 6" xfId="25812" xr:uid="{00000000-0005-0000-0000-000003650000}"/>
    <cellStyle name="Header2 5 2 7 3" xfId="25813" xr:uid="{00000000-0005-0000-0000-000004650000}"/>
    <cellStyle name="Header2 5 2 7 3 2" xfId="25814" xr:uid="{00000000-0005-0000-0000-000005650000}"/>
    <cellStyle name="Header2 5 2 7 3 2 2" xfId="25815" xr:uid="{00000000-0005-0000-0000-000006650000}"/>
    <cellStyle name="Header2 5 2 7 3 2 3" xfId="25816" xr:uid="{00000000-0005-0000-0000-000007650000}"/>
    <cellStyle name="Header2 5 2 7 3 2 4" xfId="25817" xr:uid="{00000000-0005-0000-0000-000008650000}"/>
    <cellStyle name="Header2 5 2 7 3 3" xfId="25818" xr:uid="{00000000-0005-0000-0000-000009650000}"/>
    <cellStyle name="Header2 5 2 7 3 3 2" xfId="25819" xr:uid="{00000000-0005-0000-0000-00000A650000}"/>
    <cellStyle name="Header2 5 2 7 3 3 3" xfId="25820" xr:uid="{00000000-0005-0000-0000-00000B650000}"/>
    <cellStyle name="Header2 5 2 7 3 3 4" xfId="25821" xr:uid="{00000000-0005-0000-0000-00000C650000}"/>
    <cellStyle name="Header2 5 2 7 3 4" xfId="25822" xr:uid="{00000000-0005-0000-0000-00000D650000}"/>
    <cellStyle name="Header2 5 2 7 3 5" xfId="25823" xr:uid="{00000000-0005-0000-0000-00000E650000}"/>
    <cellStyle name="Header2 5 2 7 3 6" xfId="25824" xr:uid="{00000000-0005-0000-0000-00000F650000}"/>
    <cellStyle name="Header2 5 2 7 4" xfId="25825" xr:uid="{00000000-0005-0000-0000-000010650000}"/>
    <cellStyle name="Header2 5 2 7 5" xfId="25826" xr:uid="{00000000-0005-0000-0000-000011650000}"/>
    <cellStyle name="Header2 5 2 8" xfId="25827" xr:uid="{00000000-0005-0000-0000-000012650000}"/>
    <cellStyle name="Header2 5 2 8 2" xfId="25828" xr:uid="{00000000-0005-0000-0000-000013650000}"/>
    <cellStyle name="Header2 5 2 8 2 2" xfId="25829" xr:uid="{00000000-0005-0000-0000-000014650000}"/>
    <cellStyle name="Header2 5 2 8 2 2 2" xfId="25830" xr:uid="{00000000-0005-0000-0000-000015650000}"/>
    <cellStyle name="Header2 5 2 8 2 2 3" xfId="25831" xr:uid="{00000000-0005-0000-0000-000016650000}"/>
    <cellStyle name="Header2 5 2 8 2 2 4" xfId="25832" xr:uid="{00000000-0005-0000-0000-000017650000}"/>
    <cellStyle name="Header2 5 2 8 2 2 5" xfId="25833" xr:uid="{00000000-0005-0000-0000-000018650000}"/>
    <cellStyle name="Header2 5 2 8 2 3" xfId="25834" xr:uid="{00000000-0005-0000-0000-000019650000}"/>
    <cellStyle name="Header2 5 2 8 2 3 2" xfId="25835" xr:uid="{00000000-0005-0000-0000-00001A650000}"/>
    <cellStyle name="Header2 5 2 8 2 3 3" xfId="25836" xr:uid="{00000000-0005-0000-0000-00001B650000}"/>
    <cellStyle name="Header2 5 2 8 2 3 4" xfId="25837" xr:uid="{00000000-0005-0000-0000-00001C650000}"/>
    <cellStyle name="Header2 5 2 8 2 4" xfId="25838" xr:uid="{00000000-0005-0000-0000-00001D650000}"/>
    <cellStyle name="Header2 5 2 8 2 5" xfId="25839" xr:uid="{00000000-0005-0000-0000-00001E650000}"/>
    <cellStyle name="Header2 5 2 8 2 6" xfId="25840" xr:uid="{00000000-0005-0000-0000-00001F650000}"/>
    <cellStyle name="Header2 5 2 8 3" xfId="25841" xr:uid="{00000000-0005-0000-0000-000020650000}"/>
    <cellStyle name="Header2 5 2 8 3 2" xfId="25842" xr:uid="{00000000-0005-0000-0000-000021650000}"/>
    <cellStyle name="Header2 5 2 8 3 2 2" xfId="25843" xr:uid="{00000000-0005-0000-0000-000022650000}"/>
    <cellStyle name="Header2 5 2 8 3 2 3" xfId="25844" xr:uid="{00000000-0005-0000-0000-000023650000}"/>
    <cellStyle name="Header2 5 2 8 3 2 4" xfId="25845" xr:uid="{00000000-0005-0000-0000-000024650000}"/>
    <cellStyle name="Header2 5 2 8 3 3" xfId="25846" xr:uid="{00000000-0005-0000-0000-000025650000}"/>
    <cellStyle name="Header2 5 2 8 3 3 2" xfId="25847" xr:uid="{00000000-0005-0000-0000-000026650000}"/>
    <cellStyle name="Header2 5 2 8 3 3 3" xfId="25848" xr:uid="{00000000-0005-0000-0000-000027650000}"/>
    <cellStyle name="Header2 5 2 8 3 3 4" xfId="25849" xr:uid="{00000000-0005-0000-0000-000028650000}"/>
    <cellStyle name="Header2 5 2 8 3 4" xfId="25850" xr:uid="{00000000-0005-0000-0000-000029650000}"/>
    <cellStyle name="Header2 5 2 8 3 5" xfId="25851" xr:uid="{00000000-0005-0000-0000-00002A650000}"/>
    <cellStyle name="Header2 5 2 8 3 6" xfId="25852" xr:uid="{00000000-0005-0000-0000-00002B650000}"/>
    <cellStyle name="Header2 5 2 8 4" xfId="25853" xr:uid="{00000000-0005-0000-0000-00002C650000}"/>
    <cellStyle name="Header2 5 2 8 5" xfId="25854" xr:uid="{00000000-0005-0000-0000-00002D650000}"/>
    <cellStyle name="Header2 5 2 9" xfId="25855" xr:uid="{00000000-0005-0000-0000-00002E650000}"/>
    <cellStyle name="Header2 5 2 9 2" xfId="25856" xr:uid="{00000000-0005-0000-0000-00002F650000}"/>
    <cellStyle name="Header2 5 2 9 2 2" xfId="25857" xr:uid="{00000000-0005-0000-0000-000030650000}"/>
    <cellStyle name="Header2 5 2 9 2 2 2" xfId="25858" xr:uid="{00000000-0005-0000-0000-000031650000}"/>
    <cellStyle name="Header2 5 2 9 2 2 3" xfId="25859" xr:uid="{00000000-0005-0000-0000-000032650000}"/>
    <cellStyle name="Header2 5 2 9 2 2 4" xfId="25860" xr:uid="{00000000-0005-0000-0000-000033650000}"/>
    <cellStyle name="Header2 5 2 9 2 2 5" xfId="25861" xr:uid="{00000000-0005-0000-0000-000034650000}"/>
    <cellStyle name="Header2 5 2 9 2 3" xfId="25862" xr:uid="{00000000-0005-0000-0000-000035650000}"/>
    <cellStyle name="Header2 5 2 9 2 3 2" xfId="25863" xr:uid="{00000000-0005-0000-0000-000036650000}"/>
    <cellStyle name="Header2 5 2 9 2 3 3" xfId="25864" xr:uid="{00000000-0005-0000-0000-000037650000}"/>
    <cellStyle name="Header2 5 2 9 2 3 4" xfId="25865" xr:uid="{00000000-0005-0000-0000-000038650000}"/>
    <cellStyle name="Header2 5 2 9 2 4" xfId="25866" xr:uid="{00000000-0005-0000-0000-000039650000}"/>
    <cellStyle name="Header2 5 2 9 2 5" xfId="25867" xr:uid="{00000000-0005-0000-0000-00003A650000}"/>
    <cellStyle name="Header2 5 2 9 2 6" xfId="25868" xr:uid="{00000000-0005-0000-0000-00003B650000}"/>
    <cellStyle name="Header2 5 2 9 3" xfId="25869" xr:uid="{00000000-0005-0000-0000-00003C650000}"/>
    <cellStyle name="Header2 5 2 9 3 2" xfId="25870" xr:uid="{00000000-0005-0000-0000-00003D650000}"/>
    <cellStyle name="Header2 5 2 9 3 2 2" xfId="25871" xr:uid="{00000000-0005-0000-0000-00003E650000}"/>
    <cellStyle name="Header2 5 2 9 3 2 3" xfId="25872" xr:uid="{00000000-0005-0000-0000-00003F650000}"/>
    <cellStyle name="Header2 5 2 9 3 2 4" xfId="25873" xr:uid="{00000000-0005-0000-0000-000040650000}"/>
    <cellStyle name="Header2 5 2 9 3 3" xfId="25874" xr:uid="{00000000-0005-0000-0000-000041650000}"/>
    <cellStyle name="Header2 5 2 9 3 3 2" xfId="25875" xr:uid="{00000000-0005-0000-0000-000042650000}"/>
    <cellStyle name="Header2 5 2 9 3 3 3" xfId="25876" xr:uid="{00000000-0005-0000-0000-000043650000}"/>
    <cellStyle name="Header2 5 2 9 3 3 4" xfId="25877" xr:uid="{00000000-0005-0000-0000-000044650000}"/>
    <cellStyle name="Header2 5 2 9 3 4" xfId="25878" xr:uid="{00000000-0005-0000-0000-000045650000}"/>
    <cellStyle name="Header2 5 2 9 3 5" xfId="25879" xr:uid="{00000000-0005-0000-0000-000046650000}"/>
    <cellStyle name="Header2 5 2 9 3 6" xfId="25880" xr:uid="{00000000-0005-0000-0000-000047650000}"/>
    <cellStyle name="Header2 5 2 9 4" xfId="25881" xr:uid="{00000000-0005-0000-0000-000048650000}"/>
    <cellStyle name="Header2 5 2 9 5" xfId="25882" xr:uid="{00000000-0005-0000-0000-000049650000}"/>
    <cellStyle name="Header2 5 3" xfId="25883" xr:uid="{00000000-0005-0000-0000-00004A650000}"/>
    <cellStyle name="Header2 5 3 10" xfId="25884" xr:uid="{00000000-0005-0000-0000-00004B650000}"/>
    <cellStyle name="Header2 5 3 10 2" xfId="25885" xr:uid="{00000000-0005-0000-0000-00004C650000}"/>
    <cellStyle name="Header2 5 3 10 2 2" xfId="25886" xr:uid="{00000000-0005-0000-0000-00004D650000}"/>
    <cellStyle name="Header2 5 3 10 2 2 2" xfId="25887" xr:uid="{00000000-0005-0000-0000-00004E650000}"/>
    <cellStyle name="Header2 5 3 10 2 2 3" xfId="25888" xr:uid="{00000000-0005-0000-0000-00004F650000}"/>
    <cellStyle name="Header2 5 3 10 2 2 4" xfId="25889" xr:uid="{00000000-0005-0000-0000-000050650000}"/>
    <cellStyle name="Header2 5 3 10 2 2 5" xfId="25890" xr:uid="{00000000-0005-0000-0000-000051650000}"/>
    <cellStyle name="Header2 5 3 10 2 3" xfId="25891" xr:uid="{00000000-0005-0000-0000-000052650000}"/>
    <cellStyle name="Header2 5 3 10 2 3 2" xfId="25892" xr:uid="{00000000-0005-0000-0000-000053650000}"/>
    <cellStyle name="Header2 5 3 10 2 3 3" xfId="25893" xr:uid="{00000000-0005-0000-0000-000054650000}"/>
    <cellStyle name="Header2 5 3 10 2 3 4" xfId="25894" xr:uid="{00000000-0005-0000-0000-000055650000}"/>
    <cellStyle name="Header2 5 3 10 2 4" xfId="25895" xr:uid="{00000000-0005-0000-0000-000056650000}"/>
    <cellStyle name="Header2 5 3 10 2 5" xfId="25896" xr:uid="{00000000-0005-0000-0000-000057650000}"/>
    <cellStyle name="Header2 5 3 10 2 6" xfId="25897" xr:uid="{00000000-0005-0000-0000-000058650000}"/>
    <cellStyle name="Header2 5 3 10 3" xfId="25898" xr:uid="{00000000-0005-0000-0000-000059650000}"/>
    <cellStyle name="Header2 5 3 10 3 2" xfId="25899" xr:uid="{00000000-0005-0000-0000-00005A650000}"/>
    <cellStyle name="Header2 5 3 10 3 2 2" xfId="25900" xr:uid="{00000000-0005-0000-0000-00005B650000}"/>
    <cellStyle name="Header2 5 3 10 3 2 3" xfId="25901" xr:uid="{00000000-0005-0000-0000-00005C650000}"/>
    <cellStyle name="Header2 5 3 10 3 2 4" xfId="25902" xr:uid="{00000000-0005-0000-0000-00005D650000}"/>
    <cellStyle name="Header2 5 3 10 3 3" xfId="25903" xr:uid="{00000000-0005-0000-0000-00005E650000}"/>
    <cellStyle name="Header2 5 3 10 3 3 2" xfId="25904" xr:uid="{00000000-0005-0000-0000-00005F650000}"/>
    <cellStyle name="Header2 5 3 10 3 3 3" xfId="25905" xr:uid="{00000000-0005-0000-0000-000060650000}"/>
    <cellStyle name="Header2 5 3 10 3 3 4" xfId="25906" xr:uid="{00000000-0005-0000-0000-000061650000}"/>
    <cellStyle name="Header2 5 3 10 3 4" xfId="25907" xr:uid="{00000000-0005-0000-0000-000062650000}"/>
    <cellStyle name="Header2 5 3 10 3 5" xfId="25908" xr:uid="{00000000-0005-0000-0000-000063650000}"/>
    <cellStyle name="Header2 5 3 10 3 6" xfId="25909" xr:uid="{00000000-0005-0000-0000-000064650000}"/>
    <cellStyle name="Header2 5 3 10 4" xfId="25910" xr:uid="{00000000-0005-0000-0000-000065650000}"/>
    <cellStyle name="Header2 5 3 10 5" xfId="25911" xr:uid="{00000000-0005-0000-0000-000066650000}"/>
    <cellStyle name="Header2 5 3 11" xfId="25912" xr:uid="{00000000-0005-0000-0000-000067650000}"/>
    <cellStyle name="Header2 5 3 11 2" xfId="25913" xr:uid="{00000000-0005-0000-0000-000068650000}"/>
    <cellStyle name="Header2 5 3 11 2 2" xfId="25914" xr:uid="{00000000-0005-0000-0000-000069650000}"/>
    <cellStyle name="Header2 5 3 11 2 2 2" xfId="25915" xr:uid="{00000000-0005-0000-0000-00006A650000}"/>
    <cellStyle name="Header2 5 3 11 2 2 3" xfId="25916" xr:uid="{00000000-0005-0000-0000-00006B650000}"/>
    <cellStyle name="Header2 5 3 11 2 2 4" xfId="25917" xr:uid="{00000000-0005-0000-0000-00006C650000}"/>
    <cellStyle name="Header2 5 3 11 2 2 5" xfId="25918" xr:uid="{00000000-0005-0000-0000-00006D650000}"/>
    <cellStyle name="Header2 5 3 11 2 3" xfId="25919" xr:uid="{00000000-0005-0000-0000-00006E650000}"/>
    <cellStyle name="Header2 5 3 11 2 3 2" xfId="25920" xr:uid="{00000000-0005-0000-0000-00006F650000}"/>
    <cellStyle name="Header2 5 3 11 2 3 3" xfId="25921" xr:uid="{00000000-0005-0000-0000-000070650000}"/>
    <cellStyle name="Header2 5 3 11 2 3 4" xfId="25922" xr:uid="{00000000-0005-0000-0000-000071650000}"/>
    <cellStyle name="Header2 5 3 11 2 4" xfId="25923" xr:uid="{00000000-0005-0000-0000-000072650000}"/>
    <cellStyle name="Header2 5 3 11 2 5" xfId="25924" xr:uid="{00000000-0005-0000-0000-000073650000}"/>
    <cellStyle name="Header2 5 3 11 2 6" xfId="25925" xr:uid="{00000000-0005-0000-0000-000074650000}"/>
    <cellStyle name="Header2 5 3 11 3" xfId="25926" xr:uid="{00000000-0005-0000-0000-000075650000}"/>
    <cellStyle name="Header2 5 3 11 3 2" xfId="25927" xr:uid="{00000000-0005-0000-0000-000076650000}"/>
    <cellStyle name="Header2 5 3 11 3 2 2" xfId="25928" xr:uid="{00000000-0005-0000-0000-000077650000}"/>
    <cellStyle name="Header2 5 3 11 3 2 3" xfId="25929" xr:uid="{00000000-0005-0000-0000-000078650000}"/>
    <cellStyle name="Header2 5 3 11 3 2 4" xfId="25930" xr:uid="{00000000-0005-0000-0000-000079650000}"/>
    <cellStyle name="Header2 5 3 11 3 3" xfId="25931" xr:uid="{00000000-0005-0000-0000-00007A650000}"/>
    <cellStyle name="Header2 5 3 11 3 3 2" xfId="25932" xr:uid="{00000000-0005-0000-0000-00007B650000}"/>
    <cellStyle name="Header2 5 3 11 3 3 3" xfId="25933" xr:uid="{00000000-0005-0000-0000-00007C650000}"/>
    <cellStyle name="Header2 5 3 11 3 3 4" xfId="25934" xr:uid="{00000000-0005-0000-0000-00007D650000}"/>
    <cellStyle name="Header2 5 3 11 3 4" xfId="25935" xr:uid="{00000000-0005-0000-0000-00007E650000}"/>
    <cellStyle name="Header2 5 3 11 3 5" xfId="25936" xr:uid="{00000000-0005-0000-0000-00007F650000}"/>
    <cellStyle name="Header2 5 3 11 3 6" xfId="25937" xr:uid="{00000000-0005-0000-0000-000080650000}"/>
    <cellStyle name="Header2 5 3 11 4" xfId="25938" xr:uid="{00000000-0005-0000-0000-000081650000}"/>
    <cellStyle name="Header2 5 3 11 5" xfId="25939" xr:uid="{00000000-0005-0000-0000-000082650000}"/>
    <cellStyle name="Header2 5 3 12" xfId="25940" xr:uid="{00000000-0005-0000-0000-000083650000}"/>
    <cellStyle name="Header2 5 3 12 2" xfId="25941" xr:uid="{00000000-0005-0000-0000-000084650000}"/>
    <cellStyle name="Header2 5 3 12 2 2" xfId="25942" xr:uid="{00000000-0005-0000-0000-000085650000}"/>
    <cellStyle name="Header2 5 3 12 2 2 2" xfId="25943" xr:uid="{00000000-0005-0000-0000-000086650000}"/>
    <cellStyle name="Header2 5 3 12 2 2 3" xfId="25944" xr:uid="{00000000-0005-0000-0000-000087650000}"/>
    <cellStyle name="Header2 5 3 12 2 2 4" xfId="25945" xr:uid="{00000000-0005-0000-0000-000088650000}"/>
    <cellStyle name="Header2 5 3 12 2 2 5" xfId="25946" xr:uid="{00000000-0005-0000-0000-000089650000}"/>
    <cellStyle name="Header2 5 3 12 2 3" xfId="25947" xr:uid="{00000000-0005-0000-0000-00008A650000}"/>
    <cellStyle name="Header2 5 3 12 2 3 2" xfId="25948" xr:uid="{00000000-0005-0000-0000-00008B650000}"/>
    <cellStyle name="Header2 5 3 12 2 3 3" xfId="25949" xr:uid="{00000000-0005-0000-0000-00008C650000}"/>
    <cellStyle name="Header2 5 3 12 2 3 4" xfId="25950" xr:uid="{00000000-0005-0000-0000-00008D650000}"/>
    <cellStyle name="Header2 5 3 12 2 4" xfId="25951" xr:uid="{00000000-0005-0000-0000-00008E650000}"/>
    <cellStyle name="Header2 5 3 12 2 5" xfId="25952" xr:uid="{00000000-0005-0000-0000-00008F650000}"/>
    <cellStyle name="Header2 5 3 12 2 6" xfId="25953" xr:uid="{00000000-0005-0000-0000-000090650000}"/>
    <cellStyle name="Header2 5 3 12 3" xfId="25954" xr:uid="{00000000-0005-0000-0000-000091650000}"/>
    <cellStyle name="Header2 5 3 12 3 2" xfId="25955" xr:uid="{00000000-0005-0000-0000-000092650000}"/>
    <cellStyle name="Header2 5 3 12 3 2 2" xfId="25956" xr:uid="{00000000-0005-0000-0000-000093650000}"/>
    <cellStyle name="Header2 5 3 12 3 2 3" xfId="25957" xr:uid="{00000000-0005-0000-0000-000094650000}"/>
    <cellStyle name="Header2 5 3 12 3 2 4" xfId="25958" xr:uid="{00000000-0005-0000-0000-000095650000}"/>
    <cellStyle name="Header2 5 3 12 3 3" xfId="25959" xr:uid="{00000000-0005-0000-0000-000096650000}"/>
    <cellStyle name="Header2 5 3 12 3 3 2" xfId="25960" xr:uid="{00000000-0005-0000-0000-000097650000}"/>
    <cellStyle name="Header2 5 3 12 3 3 3" xfId="25961" xr:uid="{00000000-0005-0000-0000-000098650000}"/>
    <cellStyle name="Header2 5 3 12 3 3 4" xfId="25962" xr:uid="{00000000-0005-0000-0000-000099650000}"/>
    <cellStyle name="Header2 5 3 12 3 4" xfId="25963" xr:uid="{00000000-0005-0000-0000-00009A650000}"/>
    <cellStyle name="Header2 5 3 12 3 5" xfId="25964" xr:uid="{00000000-0005-0000-0000-00009B650000}"/>
    <cellStyle name="Header2 5 3 12 3 6" xfId="25965" xr:uid="{00000000-0005-0000-0000-00009C650000}"/>
    <cellStyle name="Header2 5 3 12 4" xfId="25966" xr:uid="{00000000-0005-0000-0000-00009D650000}"/>
    <cellStyle name="Header2 5 3 12 5" xfId="25967" xr:uid="{00000000-0005-0000-0000-00009E650000}"/>
    <cellStyle name="Header2 5 3 13" xfId="58765" xr:uid="{00000000-0005-0000-0000-00009F650000}"/>
    <cellStyle name="Header2 5 3 2" xfId="25968" xr:uid="{00000000-0005-0000-0000-0000A0650000}"/>
    <cellStyle name="Header2 5 3 2 2" xfId="25969" xr:uid="{00000000-0005-0000-0000-0000A1650000}"/>
    <cellStyle name="Header2 5 3 2 2 2" xfId="25970" xr:uid="{00000000-0005-0000-0000-0000A2650000}"/>
    <cellStyle name="Header2 5 3 2 2 3" xfId="25971" xr:uid="{00000000-0005-0000-0000-0000A3650000}"/>
    <cellStyle name="Header2 5 3 2 3" xfId="25972" xr:uid="{00000000-0005-0000-0000-0000A4650000}"/>
    <cellStyle name="Header2 5 3 3" xfId="25973" xr:uid="{00000000-0005-0000-0000-0000A5650000}"/>
    <cellStyle name="Header2 5 3 3 2" xfId="25974" xr:uid="{00000000-0005-0000-0000-0000A6650000}"/>
    <cellStyle name="Header2 5 3 3 2 2" xfId="25975" xr:uid="{00000000-0005-0000-0000-0000A7650000}"/>
    <cellStyle name="Header2 5 3 3 2 3" xfId="25976" xr:uid="{00000000-0005-0000-0000-0000A8650000}"/>
    <cellStyle name="Header2 5 3 3 3" xfId="25977" xr:uid="{00000000-0005-0000-0000-0000A9650000}"/>
    <cellStyle name="Header2 5 3 4" xfId="25978" xr:uid="{00000000-0005-0000-0000-0000AA650000}"/>
    <cellStyle name="Header2 5 3 4 2" xfId="25979" xr:uid="{00000000-0005-0000-0000-0000AB650000}"/>
    <cellStyle name="Header2 5 3 4 2 2" xfId="25980" xr:uid="{00000000-0005-0000-0000-0000AC650000}"/>
    <cellStyle name="Header2 5 3 4 2 3" xfId="25981" xr:uid="{00000000-0005-0000-0000-0000AD650000}"/>
    <cellStyle name="Header2 5 3 4 3" xfId="25982" xr:uid="{00000000-0005-0000-0000-0000AE650000}"/>
    <cellStyle name="Header2 5 3 5" xfId="25983" xr:uid="{00000000-0005-0000-0000-0000AF650000}"/>
    <cellStyle name="Header2 5 3 5 2" xfId="25984" xr:uid="{00000000-0005-0000-0000-0000B0650000}"/>
    <cellStyle name="Header2 5 3 5 2 2" xfId="25985" xr:uid="{00000000-0005-0000-0000-0000B1650000}"/>
    <cellStyle name="Header2 5 3 5 2 2 2" xfId="25986" xr:uid="{00000000-0005-0000-0000-0000B2650000}"/>
    <cellStyle name="Header2 5 3 5 2 2 3" xfId="25987" xr:uid="{00000000-0005-0000-0000-0000B3650000}"/>
    <cellStyle name="Header2 5 3 5 2 2 4" xfId="25988" xr:uid="{00000000-0005-0000-0000-0000B4650000}"/>
    <cellStyle name="Header2 5 3 5 2 2 5" xfId="25989" xr:uid="{00000000-0005-0000-0000-0000B5650000}"/>
    <cellStyle name="Header2 5 3 5 2 3" xfId="25990" xr:uid="{00000000-0005-0000-0000-0000B6650000}"/>
    <cellStyle name="Header2 5 3 5 2 3 2" xfId="25991" xr:uid="{00000000-0005-0000-0000-0000B7650000}"/>
    <cellStyle name="Header2 5 3 5 2 3 3" xfId="25992" xr:uid="{00000000-0005-0000-0000-0000B8650000}"/>
    <cellStyle name="Header2 5 3 5 2 3 4" xfId="25993" xr:uid="{00000000-0005-0000-0000-0000B9650000}"/>
    <cellStyle name="Header2 5 3 5 2 4" xfId="25994" xr:uid="{00000000-0005-0000-0000-0000BA650000}"/>
    <cellStyle name="Header2 5 3 5 2 5" xfId="25995" xr:uid="{00000000-0005-0000-0000-0000BB650000}"/>
    <cellStyle name="Header2 5 3 5 2 6" xfId="25996" xr:uid="{00000000-0005-0000-0000-0000BC650000}"/>
    <cellStyle name="Header2 5 3 5 3" xfId="25997" xr:uid="{00000000-0005-0000-0000-0000BD650000}"/>
    <cellStyle name="Header2 5 3 5 3 2" xfId="25998" xr:uid="{00000000-0005-0000-0000-0000BE650000}"/>
    <cellStyle name="Header2 5 3 5 3 2 2" xfId="25999" xr:uid="{00000000-0005-0000-0000-0000BF650000}"/>
    <cellStyle name="Header2 5 3 5 3 2 3" xfId="26000" xr:uid="{00000000-0005-0000-0000-0000C0650000}"/>
    <cellStyle name="Header2 5 3 5 3 2 4" xfId="26001" xr:uid="{00000000-0005-0000-0000-0000C1650000}"/>
    <cellStyle name="Header2 5 3 5 3 3" xfId="26002" xr:uid="{00000000-0005-0000-0000-0000C2650000}"/>
    <cellStyle name="Header2 5 3 5 3 3 2" xfId="26003" xr:uid="{00000000-0005-0000-0000-0000C3650000}"/>
    <cellStyle name="Header2 5 3 5 3 3 3" xfId="26004" xr:uid="{00000000-0005-0000-0000-0000C4650000}"/>
    <cellStyle name="Header2 5 3 5 3 3 4" xfId="26005" xr:uid="{00000000-0005-0000-0000-0000C5650000}"/>
    <cellStyle name="Header2 5 3 5 3 4" xfId="26006" xr:uid="{00000000-0005-0000-0000-0000C6650000}"/>
    <cellStyle name="Header2 5 3 5 3 5" xfId="26007" xr:uid="{00000000-0005-0000-0000-0000C7650000}"/>
    <cellStyle name="Header2 5 3 5 3 6" xfId="26008" xr:uid="{00000000-0005-0000-0000-0000C8650000}"/>
    <cellStyle name="Header2 5 3 5 4" xfId="26009" xr:uid="{00000000-0005-0000-0000-0000C9650000}"/>
    <cellStyle name="Header2 5 3 5 5" xfId="26010" xr:uid="{00000000-0005-0000-0000-0000CA650000}"/>
    <cellStyle name="Header2 5 3 6" xfId="26011" xr:uid="{00000000-0005-0000-0000-0000CB650000}"/>
    <cellStyle name="Header2 5 3 6 2" xfId="26012" xr:uid="{00000000-0005-0000-0000-0000CC650000}"/>
    <cellStyle name="Header2 5 3 6 2 2" xfId="26013" xr:uid="{00000000-0005-0000-0000-0000CD650000}"/>
    <cellStyle name="Header2 5 3 6 2 2 2" xfId="26014" xr:uid="{00000000-0005-0000-0000-0000CE650000}"/>
    <cellStyle name="Header2 5 3 6 2 2 3" xfId="26015" xr:uid="{00000000-0005-0000-0000-0000CF650000}"/>
    <cellStyle name="Header2 5 3 6 2 2 4" xfId="26016" xr:uid="{00000000-0005-0000-0000-0000D0650000}"/>
    <cellStyle name="Header2 5 3 6 2 2 5" xfId="26017" xr:uid="{00000000-0005-0000-0000-0000D1650000}"/>
    <cellStyle name="Header2 5 3 6 2 3" xfId="26018" xr:uid="{00000000-0005-0000-0000-0000D2650000}"/>
    <cellStyle name="Header2 5 3 6 2 3 2" xfId="26019" xr:uid="{00000000-0005-0000-0000-0000D3650000}"/>
    <cellStyle name="Header2 5 3 6 2 3 3" xfId="26020" xr:uid="{00000000-0005-0000-0000-0000D4650000}"/>
    <cellStyle name="Header2 5 3 6 2 3 4" xfId="26021" xr:uid="{00000000-0005-0000-0000-0000D5650000}"/>
    <cellStyle name="Header2 5 3 6 2 4" xfId="26022" xr:uid="{00000000-0005-0000-0000-0000D6650000}"/>
    <cellStyle name="Header2 5 3 6 2 5" xfId="26023" xr:uid="{00000000-0005-0000-0000-0000D7650000}"/>
    <cellStyle name="Header2 5 3 6 2 6" xfId="26024" xr:uid="{00000000-0005-0000-0000-0000D8650000}"/>
    <cellStyle name="Header2 5 3 6 3" xfId="26025" xr:uid="{00000000-0005-0000-0000-0000D9650000}"/>
    <cellStyle name="Header2 5 3 6 3 2" xfId="26026" xr:uid="{00000000-0005-0000-0000-0000DA650000}"/>
    <cellStyle name="Header2 5 3 6 3 2 2" xfId="26027" xr:uid="{00000000-0005-0000-0000-0000DB650000}"/>
    <cellStyle name="Header2 5 3 6 3 2 3" xfId="26028" xr:uid="{00000000-0005-0000-0000-0000DC650000}"/>
    <cellStyle name="Header2 5 3 6 3 2 4" xfId="26029" xr:uid="{00000000-0005-0000-0000-0000DD650000}"/>
    <cellStyle name="Header2 5 3 6 3 3" xfId="26030" xr:uid="{00000000-0005-0000-0000-0000DE650000}"/>
    <cellStyle name="Header2 5 3 6 3 3 2" xfId="26031" xr:uid="{00000000-0005-0000-0000-0000DF650000}"/>
    <cellStyle name="Header2 5 3 6 3 3 3" xfId="26032" xr:uid="{00000000-0005-0000-0000-0000E0650000}"/>
    <cellStyle name="Header2 5 3 6 3 3 4" xfId="26033" xr:uid="{00000000-0005-0000-0000-0000E1650000}"/>
    <cellStyle name="Header2 5 3 6 3 4" xfId="26034" xr:uid="{00000000-0005-0000-0000-0000E2650000}"/>
    <cellStyle name="Header2 5 3 6 3 5" xfId="26035" xr:uid="{00000000-0005-0000-0000-0000E3650000}"/>
    <cellStyle name="Header2 5 3 6 3 6" xfId="26036" xr:uid="{00000000-0005-0000-0000-0000E4650000}"/>
    <cellStyle name="Header2 5 3 6 4" xfId="26037" xr:uid="{00000000-0005-0000-0000-0000E5650000}"/>
    <cellStyle name="Header2 5 3 6 5" xfId="26038" xr:uid="{00000000-0005-0000-0000-0000E6650000}"/>
    <cellStyle name="Header2 5 3 7" xfId="26039" xr:uid="{00000000-0005-0000-0000-0000E7650000}"/>
    <cellStyle name="Header2 5 3 7 2" xfId="26040" xr:uid="{00000000-0005-0000-0000-0000E8650000}"/>
    <cellStyle name="Header2 5 3 7 2 2" xfId="26041" xr:uid="{00000000-0005-0000-0000-0000E9650000}"/>
    <cellStyle name="Header2 5 3 7 2 2 2" xfId="26042" xr:uid="{00000000-0005-0000-0000-0000EA650000}"/>
    <cellStyle name="Header2 5 3 7 2 2 3" xfId="26043" xr:uid="{00000000-0005-0000-0000-0000EB650000}"/>
    <cellStyle name="Header2 5 3 7 2 2 4" xfId="26044" xr:uid="{00000000-0005-0000-0000-0000EC650000}"/>
    <cellStyle name="Header2 5 3 7 2 2 5" xfId="26045" xr:uid="{00000000-0005-0000-0000-0000ED650000}"/>
    <cellStyle name="Header2 5 3 7 2 3" xfId="26046" xr:uid="{00000000-0005-0000-0000-0000EE650000}"/>
    <cellStyle name="Header2 5 3 7 2 3 2" xfId="26047" xr:uid="{00000000-0005-0000-0000-0000EF650000}"/>
    <cellStyle name="Header2 5 3 7 2 3 3" xfId="26048" xr:uid="{00000000-0005-0000-0000-0000F0650000}"/>
    <cellStyle name="Header2 5 3 7 2 3 4" xfId="26049" xr:uid="{00000000-0005-0000-0000-0000F1650000}"/>
    <cellStyle name="Header2 5 3 7 2 4" xfId="26050" xr:uid="{00000000-0005-0000-0000-0000F2650000}"/>
    <cellStyle name="Header2 5 3 7 2 5" xfId="26051" xr:uid="{00000000-0005-0000-0000-0000F3650000}"/>
    <cellStyle name="Header2 5 3 7 2 6" xfId="26052" xr:uid="{00000000-0005-0000-0000-0000F4650000}"/>
    <cellStyle name="Header2 5 3 7 3" xfId="26053" xr:uid="{00000000-0005-0000-0000-0000F5650000}"/>
    <cellStyle name="Header2 5 3 7 3 2" xfId="26054" xr:uid="{00000000-0005-0000-0000-0000F6650000}"/>
    <cellStyle name="Header2 5 3 7 3 2 2" xfId="26055" xr:uid="{00000000-0005-0000-0000-0000F7650000}"/>
    <cellStyle name="Header2 5 3 7 3 2 3" xfId="26056" xr:uid="{00000000-0005-0000-0000-0000F8650000}"/>
    <cellStyle name="Header2 5 3 7 3 2 4" xfId="26057" xr:uid="{00000000-0005-0000-0000-0000F9650000}"/>
    <cellStyle name="Header2 5 3 7 3 3" xfId="26058" xr:uid="{00000000-0005-0000-0000-0000FA650000}"/>
    <cellStyle name="Header2 5 3 7 3 3 2" xfId="26059" xr:uid="{00000000-0005-0000-0000-0000FB650000}"/>
    <cellStyle name="Header2 5 3 7 3 3 3" xfId="26060" xr:uid="{00000000-0005-0000-0000-0000FC650000}"/>
    <cellStyle name="Header2 5 3 7 3 3 4" xfId="26061" xr:uid="{00000000-0005-0000-0000-0000FD650000}"/>
    <cellStyle name="Header2 5 3 7 3 4" xfId="26062" xr:uid="{00000000-0005-0000-0000-0000FE650000}"/>
    <cellStyle name="Header2 5 3 7 3 5" xfId="26063" xr:uid="{00000000-0005-0000-0000-0000FF650000}"/>
    <cellStyle name="Header2 5 3 7 3 6" xfId="26064" xr:uid="{00000000-0005-0000-0000-000000660000}"/>
    <cellStyle name="Header2 5 3 7 4" xfId="26065" xr:uid="{00000000-0005-0000-0000-000001660000}"/>
    <cellStyle name="Header2 5 3 7 5" xfId="26066" xr:uid="{00000000-0005-0000-0000-000002660000}"/>
    <cellStyle name="Header2 5 3 8" xfId="26067" xr:uid="{00000000-0005-0000-0000-000003660000}"/>
    <cellStyle name="Header2 5 3 8 2" xfId="26068" xr:uid="{00000000-0005-0000-0000-000004660000}"/>
    <cellStyle name="Header2 5 3 8 2 2" xfId="26069" xr:uid="{00000000-0005-0000-0000-000005660000}"/>
    <cellStyle name="Header2 5 3 8 2 2 2" xfId="26070" xr:uid="{00000000-0005-0000-0000-000006660000}"/>
    <cellStyle name="Header2 5 3 8 2 2 3" xfId="26071" xr:uid="{00000000-0005-0000-0000-000007660000}"/>
    <cellStyle name="Header2 5 3 8 2 2 4" xfId="26072" xr:uid="{00000000-0005-0000-0000-000008660000}"/>
    <cellStyle name="Header2 5 3 8 2 2 5" xfId="26073" xr:uid="{00000000-0005-0000-0000-000009660000}"/>
    <cellStyle name="Header2 5 3 8 2 3" xfId="26074" xr:uid="{00000000-0005-0000-0000-00000A660000}"/>
    <cellStyle name="Header2 5 3 8 2 3 2" xfId="26075" xr:uid="{00000000-0005-0000-0000-00000B660000}"/>
    <cellStyle name="Header2 5 3 8 2 3 3" xfId="26076" xr:uid="{00000000-0005-0000-0000-00000C660000}"/>
    <cellStyle name="Header2 5 3 8 2 3 4" xfId="26077" xr:uid="{00000000-0005-0000-0000-00000D660000}"/>
    <cellStyle name="Header2 5 3 8 2 4" xfId="26078" xr:uid="{00000000-0005-0000-0000-00000E660000}"/>
    <cellStyle name="Header2 5 3 8 2 5" xfId="26079" xr:uid="{00000000-0005-0000-0000-00000F660000}"/>
    <cellStyle name="Header2 5 3 8 2 6" xfId="26080" xr:uid="{00000000-0005-0000-0000-000010660000}"/>
    <cellStyle name="Header2 5 3 8 3" xfId="26081" xr:uid="{00000000-0005-0000-0000-000011660000}"/>
    <cellStyle name="Header2 5 3 8 3 2" xfId="26082" xr:uid="{00000000-0005-0000-0000-000012660000}"/>
    <cellStyle name="Header2 5 3 8 3 2 2" xfId="26083" xr:uid="{00000000-0005-0000-0000-000013660000}"/>
    <cellStyle name="Header2 5 3 8 3 2 3" xfId="26084" xr:uid="{00000000-0005-0000-0000-000014660000}"/>
    <cellStyle name="Header2 5 3 8 3 2 4" xfId="26085" xr:uid="{00000000-0005-0000-0000-000015660000}"/>
    <cellStyle name="Header2 5 3 8 3 3" xfId="26086" xr:uid="{00000000-0005-0000-0000-000016660000}"/>
    <cellStyle name="Header2 5 3 8 3 3 2" xfId="26087" xr:uid="{00000000-0005-0000-0000-000017660000}"/>
    <cellStyle name="Header2 5 3 8 3 3 3" xfId="26088" xr:uid="{00000000-0005-0000-0000-000018660000}"/>
    <cellStyle name="Header2 5 3 8 3 3 4" xfId="26089" xr:uid="{00000000-0005-0000-0000-000019660000}"/>
    <cellStyle name="Header2 5 3 8 3 4" xfId="26090" xr:uid="{00000000-0005-0000-0000-00001A660000}"/>
    <cellStyle name="Header2 5 3 8 3 5" xfId="26091" xr:uid="{00000000-0005-0000-0000-00001B660000}"/>
    <cellStyle name="Header2 5 3 8 3 6" xfId="26092" xr:uid="{00000000-0005-0000-0000-00001C660000}"/>
    <cellStyle name="Header2 5 3 8 4" xfId="26093" xr:uid="{00000000-0005-0000-0000-00001D660000}"/>
    <cellStyle name="Header2 5 3 8 5" xfId="26094" xr:uid="{00000000-0005-0000-0000-00001E660000}"/>
    <cellStyle name="Header2 5 3 9" xfId="26095" xr:uid="{00000000-0005-0000-0000-00001F660000}"/>
    <cellStyle name="Header2 5 3 9 2" xfId="26096" xr:uid="{00000000-0005-0000-0000-000020660000}"/>
    <cellStyle name="Header2 5 3 9 2 2" xfId="26097" xr:uid="{00000000-0005-0000-0000-000021660000}"/>
    <cellStyle name="Header2 5 3 9 2 2 2" xfId="26098" xr:uid="{00000000-0005-0000-0000-000022660000}"/>
    <cellStyle name="Header2 5 3 9 2 2 3" xfId="26099" xr:uid="{00000000-0005-0000-0000-000023660000}"/>
    <cellStyle name="Header2 5 3 9 2 2 4" xfId="26100" xr:uid="{00000000-0005-0000-0000-000024660000}"/>
    <cellStyle name="Header2 5 3 9 2 2 5" xfId="26101" xr:uid="{00000000-0005-0000-0000-000025660000}"/>
    <cellStyle name="Header2 5 3 9 2 3" xfId="26102" xr:uid="{00000000-0005-0000-0000-000026660000}"/>
    <cellStyle name="Header2 5 3 9 2 3 2" xfId="26103" xr:uid="{00000000-0005-0000-0000-000027660000}"/>
    <cellStyle name="Header2 5 3 9 2 3 3" xfId="26104" xr:uid="{00000000-0005-0000-0000-000028660000}"/>
    <cellStyle name="Header2 5 3 9 2 3 4" xfId="26105" xr:uid="{00000000-0005-0000-0000-000029660000}"/>
    <cellStyle name="Header2 5 3 9 2 4" xfId="26106" xr:uid="{00000000-0005-0000-0000-00002A660000}"/>
    <cellStyle name="Header2 5 3 9 2 5" xfId="26107" xr:uid="{00000000-0005-0000-0000-00002B660000}"/>
    <cellStyle name="Header2 5 3 9 2 6" xfId="26108" xr:uid="{00000000-0005-0000-0000-00002C660000}"/>
    <cellStyle name="Header2 5 3 9 3" xfId="26109" xr:uid="{00000000-0005-0000-0000-00002D660000}"/>
    <cellStyle name="Header2 5 3 9 3 2" xfId="26110" xr:uid="{00000000-0005-0000-0000-00002E660000}"/>
    <cellStyle name="Header2 5 3 9 3 2 2" xfId="26111" xr:uid="{00000000-0005-0000-0000-00002F660000}"/>
    <cellStyle name="Header2 5 3 9 3 2 3" xfId="26112" xr:uid="{00000000-0005-0000-0000-000030660000}"/>
    <cellStyle name="Header2 5 3 9 3 2 4" xfId="26113" xr:uid="{00000000-0005-0000-0000-000031660000}"/>
    <cellStyle name="Header2 5 3 9 3 3" xfId="26114" xr:uid="{00000000-0005-0000-0000-000032660000}"/>
    <cellStyle name="Header2 5 3 9 3 3 2" xfId="26115" xr:uid="{00000000-0005-0000-0000-000033660000}"/>
    <cellStyle name="Header2 5 3 9 3 3 3" xfId="26116" xr:uid="{00000000-0005-0000-0000-000034660000}"/>
    <cellStyle name="Header2 5 3 9 3 3 4" xfId="26117" xr:uid="{00000000-0005-0000-0000-000035660000}"/>
    <cellStyle name="Header2 5 3 9 3 4" xfId="26118" xr:uid="{00000000-0005-0000-0000-000036660000}"/>
    <cellStyle name="Header2 5 3 9 3 5" xfId="26119" xr:uid="{00000000-0005-0000-0000-000037660000}"/>
    <cellStyle name="Header2 5 3 9 3 6" xfId="26120" xr:uid="{00000000-0005-0000-0000-000038660000}"/>
    <cellStyle name="Header2 5 3 9 4" xfId="26121" xr:uid="{00000000-0005-0000-0000-000039660000}"/>
    <cellStyle name="Header2 5 3 9 5" xfId="26122" xr:uid="{00000000-0005-0000-0000-00003A660000}"/>
    <cellStyle name="Header2 6" xfId="26123" xr:uid="{00000000-0005-0000-0000-00003B660000}"/>
    <cellStyle name="Header2 6 2" xfId="26124" xr:uid="{00000000-0005-0000-0000-00003C660000}"/>
    <cellStyle name="Header2 6 2 10" xfId="26125" xr:uid="{00000000-0005-0000-0000-00003D660000}"/>
    <cellStyle name="Header2 6 2 10 2" xfId="26126" xr:uid="{00000000-0005-0000-0000-00003E660000}"/>
    <cellStyle name="Header2 6 2 10 2 2" xfId="26127" xr:uid="{00000000-0005-0000-0000-00003F660000}"/>
    <cellStyle name="Header2 6 2 10 2 2 2" xfId="26128" xr:uid="{00000000-0005-0000-0000-000040660000}"/>
    <cellStyle name="Header2 6 2 10 2 2 3" xfId="26129" xr:uid="{00000000-0005-0000-0000-000041660000}"/>
    <cellStyle name="Header2 6 2 10 2 2 4" xfId="26130" xr:uid="{00000000-0005-0000-0000-000042660000}"/>
    <cellStyle name="Header2 6 2 10 2 2 5" xfId="26131" xr:uid="{00000000-0005-0000-0000-000043660000}"/>
    <cellStyle name="Header2 6 2 10 2 3" xfId="26132" xr:uid="{00000000-0005-0000-0000-000044660000}"/>
    <cellStyle name="Header2 6 2 10 2 3 2" xfId="26133" xr:uid="{00000000-0005-0000-0000-000045660000}"/>
    <cellStyle name="Header2 6 2 10 2 3 3" xfId="26134" xr:uid="{00000000-0005-0000-0000-000046660000}"/>
    <cellStyle name="Header2 6 2 10 2 3 4" xfId="26135" xr:uid="{00000000-0005-0000-0000-000047660000}"/>
    <cellStyle name="Header2 6 2 10 2 4" xfId="26136" xr:uid="{00000000-0005-0000-0000-000048660000}"/>
    <cellStyle name="Header2 6 2 10 2 5" xfId="26137" xr:uid="{00000000-0005-0000-0000-000049660000}"/>
    <cellStyle name="Header2 6 2 10 2 6" xfId="26138" xr:uid="{00000000-0005-0000-0000-00004A660000}"/>
    <cellStyle name="Header2 6 2 10 3" xfId="26139" xr:uid="{00000000-0005-0000-0000-00004B660000}"/>
    <cellStyle name="Header2 6 2 10 3 2" xfId="26140" xr:uid="{00000000-0005-0000-0000-00004C660000}"/>
    <cellStyle name="Header2 6 2 10 3 2 2" xfId="26141" xr:uid="{00000000-0005-0000-0000-00004D660000}"/>
    <cellStyle name="Header2 6 2 10 3 2 3" xfId="26142" xr:uid="{00000000-0005-0000-0000-00004E660000}"/>
    <cellStyle name="Header2 6 2 10 3 2 4" xfId="26143" xr:uid="{00000000-0005-0000-0000-00004F660000}"/>
    <cellStyle name="Header2 6 2 10 3 3" xfId="26144" xr:uid="{00000000-0005-0000-0000-000050660000}"/>
    <cellStyle name="Header2 6 2 10 3 3 2" xfId="26145" xr:uid="{00000000-0005-0000-0000-000051660000}"/>
    <cellStyle name="Header2 6 2 10 3 3 3" xfId="26146" xr:uid="{00000000-0005-0000-0000-000052660000}"/>
    <cellStyle name="Header2 6 2 10 3 3 4" xfId="26147" xr:uid="{00000000-0005-0000-0000-000053660000}"/>
    <cellStyle name="Header2 6 2 10 3 4" xfId="26148" xr:uid="{00000000-0005-0000-0000-000054660000}"/>
    <cellStyle name="Header2 6 2 10 3 5" xfId="26149" xr:uid="{00000000-0005-0000-0000-000055660000}"/>
    <cellStyle name="Header2 6 2 10 3 6" xfId="26150" xr:uid="{00000000-0005-0000-0000-000056660000}"/>
    <cellStyle name="Header2 6 2 10 4" xfId="26151" xr:uid="{00000000-0005-0000-0000-000057660000}"/>
    <cellStyle name="Header2 6 2 10 5" xfId="26152" xr:uid="{00000000-0005-0000-0000-000058660000}"/>
    <cellStyle name="Header2 6 2 11" xfId="26153" xr:uid="{00000000-0005-0000-0000-000059660000}"/>
    <cellStyle name="Header2 6 2 11 2" xfId="26154" xr:uid="{00000000-0005-0000-0000-00005A660000}"/>
    <cellStyle name="Header2 6 2 11 2 2" xfId="26155" xr:uid="{00000000-0005-0000-0000-00005B660000}"/>
    <cellStyle name="Header2 6 2 11 2 2 2" xfId="26156" xr:uid="{00000000-0005-0000-0000-00005C660000}"/>
    <cellStyle name="Header2 6 2 11 2 2 3" xfId="26157" xr:uid="{00000000-0005-0000-0000-00005D660000}"/>
    <cellStyle name="Header2 6 2 11 2 2 4" xfId="26158" xr:uid="{00000000-0005-0000-0000-00005E660000}"/>
    <cellStyle name="Header2 6 2 11 2 2 5" xfId="26159" xr:uid="{00000000-0005-0000-0000-00005F660000}"/>
    <cellStyle name="Header2 6 2 11 2 3" xfId="26160" xr:uid="{00000000-0005-0000-0000-000060660000}"/>
    <cellStyle name="Header2 6 2 11 2 3 2" xfId="26161" xr:uid="{00000000-0005-0000-0000-000061660000}"/>
    <cellStyle name="Header2 6 2 11 2 3 3" xfId="26162" xr:uid="{00000000-0005-0000-0000-000062660000}"/>
    <cellStyle name="Header2 6 2 11 2 3 4" xfId="26163" xr:uid="{00000000-0005-0000-0000-000063660000}"/>
    <cellStyle name="Header2 6 2 11 2 4" xfId="26164" xr:uid="{00000000-0005-0000-0000-000064660000}"/>
    <cellStyle name="Header2 6 2 11 2 5" xfId="26165" xr:uid="{00000000-0005-0000-0000-000065660000}"/>
    <cellStyle name="Header2 6 2 11 2 6" xfId="26166" xr:uid="{00000000-0005-0000-0000-000066660000}"/>
    <cellStyle name="Header2 6 2 11 3" xfId="26167" xr:uid="{00000000-0005-0000-0000-000067660000}"/>
    <cellStyle name="Header2 6 2 11 3 2" xfId="26168" xr:uid="{00000000-0005-0000-0000-000068660000}"/>
    <cellStyle name="Header2 6 2 11 3 2 2" xfId="26169" xr:uid="{00000000-0005-0000-0000-000069660000}"/>
    <cellStyle name="Header2 6 2 11 3 2 3" xfId="26170" xr:uid="{00000000-0005-0000-0000-00006A660000}"/>
    <cellStyle name="Header2 6 2 11 3 2 4" xfId="26171" xr:uid="{00000000-0005-0000-0000-00006B660000}"/>
    <cellStyle name="Header2 6 2 11 3 3" xfId="26172" xr:uid="{00000000-0005-0000-0000-00006C660000}"/>
    <cellStyle name="Header2 6 2 11 3 3 2" xfId="26173" xr:uid="{00000000-0005-0000-0000-00006D660000}"/>
    <cellStyle name="Header2 6 2 11 3 3 3" xfId="26174" xr:uid="{00000000-0005-0000-0000-00006E660000}"/>
    <cellStyle name="Header2 6 2 11 3 3 4" xfId="26175" xr:uid="{00000000-0005-0000-0000-00006F660000}"/>
    <cellStyle name="Header2 6 2 11 3 4" xfId="26176" xr:uid="{00000000-0005-0000-0000-000070660000}"/>
    <cellStyle name="Header2 6 2 11 3 5" xfId="26177" xr:uid="{00000000-0005-0000-0000-000071660000}"/>
    <cellStyle name="Header2 6 2 11 3 6" xfId="26178" xr:uid="{00000000-0005-0000-0000-000072660000}"/>
    <cellStyle name="Header2 6 2 11 4" xfId="26179" xr:uid="{00000000-0005-0000-0000-000073660000}"/>
    <cellStyle name="Header2 6 2 11 5" xfId="26180" xr:uid="{00000000-0005-0000-0000-000074660000}"/>
    <cellStyle name="Header2 6 2 12" xfId="26181" xr:uid="{00000000-0005-0000-0000-000075660000}"/>
    <cellStyle name="Header2 6 2 12 2" xfId="26182" xr:uid="{00000000-0005-0000-0000-000076660000}"/>
    <cellStyle name="Header2 6 2 12 2 2" xfId="26183" xr:uid="{00000000-0005-0000-0000-000077660000}"/>
    <cellStyle name="Header2 6 2 12 2 2 2" xfId="26184" xr:uid="{00000000-0005-0000-0000-000078660000}"/>
    <cellStyle name="Header2 6 2 12 2 2 3" xfId="26185" xr:uid="{00000000-0005-0000-0000-000079660000}"/>
    <cellStyle name="Header2 6 2 12 2 2 4" xfId="26186" xr:uid="{00000000-0005-0000-0000-00007A660000}"/>
    <cellStyle name="Header2 6 2 12 2 2 5" xfId="26187" xr:uid="{00000000-0005-0000-0000-00007B660000}"/>
    <cellStyle name="Header2 6 2 12 2 3" xfId="26188" xr:uid="{00000000-0005-0000-0000-00007C660000}"/>
    <cellStyle name="Header2 6 2 12 2 3 2" xfId="26189" xr:uid="{00000000-0005-0000-0000-00007D660000}"/>
    <cellStyle name="Header2 6 2 12 2 3 3" xfId="26190" xr:uid="{00000000-0005-0000-0000-00007E660000}"/>
    <cellStyle name="Header2 6 2 12 2 3 4" xfId="26191" xr:uid="{00000000-0005-0000-0000-00007F660000}"/>
    <cellStyle name="Header2 6 2 12 2 4" xfId="26192" xr:uid="{00000000-0005-0000-0000-000080660000}"/>
    <cellStyle name="Header2 6 2 12 2 5" xfId="26193" xr:uid="{00000000-0005-0000-0000-000081660000}"/>
    <cellStyle name="Header2 6 2 12 2 6" xfId="26194" xr:uid="{00000000-0005-0000-0000-000082660000}"/>
    <cellStyle name="Header2 6 2 12 3" xfId="26195" xr:uid="{00000000-0005-0000-0000-000083660000}"/>
    <cellStyle name="Header2 6 2 12 3 2" xfId="26196" xr:uid="{00000000-0005-0000-0000-000084660000}"/>
    <cellStyle name="Header2 6 2 12 3 2 2" xfId="26197" xr:uid="{00000000-0005-0000-0000-000085660000}"/>
    <cellStyle name="Header2 6 2 12 3 2 3" xfId="26198" xr:uid="{00000000-0005-0000-0000-000086660000}"/>
    <cellStyle name="Header2 6 2 12 3 2 4" xfId="26199" xr:uid="{00000000-0005-0000-0000-000087660000}"/>
    <cellStyle name="Header2 6 2 12 3 3" xfId="26200" xr:uid="{00000000-0005-0000-0000-000088660000}"/>
    <cellStyle name="Header2 6 2 12 3 3 2" xfId="26201" xr:uid="{00000000-0005-0000-0000-000089660000}"/>
    <cellStyle name="Header2 6 2 12 3 3 3" xfId="26202" xr:uid="{00000000-0005-0000-0000-00008A660000}"/>
    <cellStyle name="Header2 6 2 12 3 3 4" xfId="26203" xr:uid="{00000000-0005-0000-0000-00008B660000}"/>
    <cellStyle name="Header2 6 2 12 3 4" xfId="26204" xr:uid="{00000000-0005-0000-0000-00008C660000}"/>
    <cellStyle name="Header2 6 2 12 3 5" xfId="26205" xr:uid="{00000000-0005-0000-0000-00008D660000}"/>
    <cellStyle name="Header2 6 2 12 3 6" xfId="26206" xr:uid="{00000000-0005-0000-0000-00008E660000}"/>
    <cellStyle name="Header2 6 2 12 4" xfId="26207" xr:uid="{00000000-0005-0000-0000-00008F660000}"/>
    <cellStyle name="Header2 6 2 12 5" xfId="26208" xr:uid="{00000000-0005-0000-0000-000090660000}"/>
    <cellStyle name="Header2 6 2 13" xfId="26209" xr:uid="{00000000-0005-0000-0000-000091660000}"/>
    <cellStyle name="Header2 6 2 13 2" xfId="26210" xr:uid="{00000000-0005-0000-0000-000092660000}"/>
    <cellStyle name="Header2 6 2 13 2 2" xfId="26211" xr:uid="{00000000-0005-0000-0000-000093660000}"/>
    <cellStyle name="Header2 6 2 13 2 2 2" xfId="26212" xr:uid="{00000000-0005-0000-0000-000094660000}"/>
    <cellStyle name="Header2 6 2 13 2 2 3" xfId="26213" xr:uid="{00000000-0005-0000-0000-000095660000}"/>
    <cellStyle name="Header2 6 2 13 2 2 4" xfId="26214" xr:uid="{00000000-0005-0000-0000-000096660000}"/>
    <cellStyle name="Header2 6 2 13 2 2 5" xfId="26215" xr:uid="{00000000-0005-0000-0000-000097660000}"/>
    <cellStyle name="Header2 6 2 13 2 3" xfId="26216" xr:uid="{00000000-0005-0000-0000-000098660000}"/>
    <cellStyle name="Header2 6 2 13 2 3 2" xfId="26217" xr:uid="{00000000-0005-0000-0000-000099660000}"/>
    <cellStyle name="Header2 6 2 13 2 3 3" xfId="26218" xr:uid="{00000000-0005-0000-0000-00009A660000}"/>
    <cellStyle name="Header2 6 2 13 2 3 4" xfId="26219" xr:uid="{00000000-0005-0000-0000-00009B660000}"/>
    <cellStyle name="Header2 6 2 13 2 4" xfId="26220" xr:uid="{00000000-0005-0000-0000-00009C660000}"/>
    <cellStyle name="Header2 6 2 13 2 5" xfId="26221" xr:uid="{00000000-0005-0000-0000-00009D660000}"/>
    <cellStyle name="Header2 6 2 13 2 6" xfId="26222" xr:uid="{00000000-0005-0000-0000-00009E660000}"/>
    <cellStyle name="Header2 6 2 13 3" xfId="26223" xr:uid="{00000000-0005-0000-0000-00009F660000}"/>
    <cellStyle name="Header2 6 2 13 3 2" xfId="26224" xr:uid="{00000000-0005-0000-0000-0000A0660000}"/>
    <cellStyle name="Header2 6 2 13 3 2 2" xfId="26225" xr:uid="{00000000-0005-0000-0000-0000A1660000}"/>
    <cellStyle name="Header2 6 2 13 3 2 3" xfId="26226" xr:uid="{00000000-0005-0000-0000-0000A2660000}"/>
    <cellStyle name="Header2 6 2 13 3 2 4" xfId="26227" xr:uid="{00000000-0005-0000-0000-0000A3660000}"/>
    <cellStyle name="Header2 6 2 13 3 3" xfId="26228" xr:uid="{00000000-0005-0000-0000-0000A4660000}"/>
    <cellStyle name="Header2 6 2 13 3 3 2" xfId="26229" xr:uid="{00000000-0005-0000-0000-0000A5660000}"/>
    <cellStyle name="Header2 6 2 13 3 3 3" xfId="26230" xr:uid="{00000000-0005-0000-0000-0000A6660000}"/>
    <cellStyle name="Header2 6 2 13 3 3 4" xfId="26231" xr:uid="{00000000-0005-0000-0000-0000A7660000}"/>
    <cellStyle name="Header2 6 2 13 3 4" xfId="26232" xr:uid="{00000000-0005-0000-0000-0000A8660000}"/>
    <cellStyle name="Header2 6 2 13 3 5" xfId="26233" xr:uid="{00000000-0005-0000-0000-0000A9660000}"/>
    <cellStyle name="Header2 6 2 13 3 6" xfId="26234" xr:uid="{00000000-0005-0000-0000-0000AA660000}"/>
    <cellStyle name="Header2 6 2 13 4" xfId="26235" xr:uid="{00000000-0005-0000-0000-0000AB660000}"/>
    <cellStyle name="Header2 6 2 13 5" xfId="26236" xr:uid="{00000000-0005-0000-0000-0000AC660000}"/>
    <cellStyle name="Header2 6 2 14" xfId="58766" xr:uid="{00000000-0005-0000-0000-0000AD660000}"/>
    <cellStyle name="Header2 6 2 2" xfId="26237" xr:uid="{00000000-0005-0000-0000-0000AE660000}"/>
    <cellStyle name="Header2 6 2 2 2" xfId="26238" xr:uid="{00000000-0005-0000-0000-0000AF660000}"/>
    <cellStyle name="Header2 6 2 2 2 2" xfId="26239" xr:uid="{00000000-0005-0000-0000-0000B0660000}"/>
    <cellStyle name="Header2 6 2 2 2 2 2" xfId="26240" xr:uid="{00000000-0005-0000-0000-0000B1660000}"/>
    <cellStyle name="Header2 6 2 2 2 2 2 2" xfId="26241" xr:uid="{00000000-0005-0000-0000-0000B2660000}"/>
    <cellStyle name="Header2 6 2 2 2 2 2 3" xfId="26242" xr:uid="{00000000-0005-0000-0000-0000B3660000}"/>
    <cellStyle name="Header2 6 2 2 2 2 2 4" xfId="26243" xr:uid="{00000000-0005-0000-0000-0000B4660000}"/>
    <cellStyle name="Header2 6 2 2 2 2 2 5" xfId="26244" xr:uid="{00000000-0005-0000-0000-0000B5660000}"/>
    <cellStyle name="Header2 6 2 2 2 2 3" xfId="26245" xr:uid="{00000000-0005-0000-0000-0000B6660000}"/>
    <cellStyle name="Header2 6 2 2 2 2 3 2" xfId="26246" xr:uid="{00000000-0005-0000-0000-0000B7660000}"/>
    <cellStyle name="Header2 6 2 2 2 2 3 3" xfId="26247" xr:uid="{00000000-0005-0000-0000-0000B8660000}"/>
    <cellStyle name="Header2 6 2 2 2 2 3 4" xfId="26248" xr:uid="{00000000-0005-0000-0000-0000B9660000}"/>
    <cellStyle name="Header2 6 2 2 2 2 4" xfId="26249" xr:uid="{00000000-0005-0000-0000-0000BA660000}"/>
    <cellStyle name="Header2 6 2 2 2 2 5" xfId="26250" xr:uid="{00000000-0005-0000-0000-0000BB660000}"/>
    <cellStyle name="Header2 6 2 2 2 2 6" xfId="26251" xr:uid="{00000000-0005-0000-0000-0000BC660000}"/>
    <cellStyle name="Header2 6 2 2 2 3" xfId="26252" xr:uid="{00000000-0005-0000-0000-0000BD660000}"/>
    <cellStyle name="Header2 6 2 2 2 3 2" xfId="26253" xr:uid="{00000000-0005-0000-0000-0000BE660000}"/>
    <cellStyle name="Header2 6 2 2 2 3 2 2" xfId="26254" xr:uid="{00000000-0005-0000-0000-0000BF660000}"/>
    <cellStyle name="Header2 6 2 2 2 3 2 3" xfId="26255" xr:uid="{00000000-0005-0000-0000-0000C0660000}"/>
    <cellStyle name="Header2 6 2 2 2 3 2 4" xfId="26256" xr:uid="{00000000-0005-0000-0000-0000C1660000}"/>
    <cellStyle name="Header2 6 2 2 2 3 3" xfId="26257" xr:uid="{00000000-0005-0000-0000-0000C2660000}"/>
    <cellStyle name="Header2 6 2 2 2 3 3 2" xfId="26258" xr:uid="{00000000-0005-0000-0000-0000C3660000}"/>
    <cellStyle name="Header2 6 2 2 2 3 3 3" xfId="26259" xr:uid="{00000000-0005-0000-0000-0000C4660000}"/>
    <cellStyle name="Header2 6 2 2 2 3 3 4" xfId="26260" xr:uid="{00000000-0005-0000-0000-0000C5660000}"/>
    <cellStyle name="Header2 6 2 2 2 3 4" xfId="26261" xr:uid="{00000000-0005-0000-0000-0000C6660000}"/>
    <cellStyle name="Header2 6 2 2 2 3 5" xfId="26262" xr:uid="{00000000-0005-0000-0000-0000C7660000}"/>
    <cellStyle name="Header2 6 2 2 2 3 6" xfId="26263" xr:uid="{00000000-0005-0000-0000-0000C8660000}"/>
    <cellStyle name="Header2 6 2 2 2 4" xfId="26264" xr:uid="{00000000-0005-0000-0000-0000C9660000}"/>
    <cellStyle name="Header2 6 2 2 2 5" xfId="26265" xr:uid="{00000000-0005-0000-0000-0000CA660000}"/>
    <cellStyle name="Header2 6 2 2 3" xfId="26266" xr:uid="{00000000-0005-0000-0000-0000CB660000}"/>
    <cellStyle name="Header2 6 2 2 3 2" xfId="26267" xr:uid="{00000000-0005-0000-0000-0000CC660000}"/>
    <cellStyle name="Header2 6 2 2 3 2 2" xfId="26268" xr:uid="{00000000-0005-0000-0000-0000CD660000}"/>
    <cellStyle name="Header2 6 2 2 3 2 2 2" xfId="26269" xr:uid="{00000000-0005-0000-0000-0000CE660000}"/>
    <cellStyle name="Header2 6 2 2 3 2 2 3" xfId="26270" xr:uid="{00000000-0005-0000-0000-0000CF660000}"/>
    <cellStyle name="Header2 6 2 2 3 2 2 4" xfId="26271" xr:uid="{00000000-0005-0000-0000-0000D0660000}"/>
    <cellStyle name="Header2 6 2 2 3 2 2 5" xfId="26272" xr:uid="{00000000-0005-0000-0000-0000D1660000}"/>
    <cellStyle name="Header2 6 2 2 3 2 3" xfId="26273" xr:uid="{00000000-0005-0000-0000-0000D2660000}"/>
    <cellStyle name="Header2 6 2 2 3 2 3 2" xfId="26274" xr:uid="{00000000-0005-0000-0000-0000D3660000}"/>
    <cellStyle name="Header2 6 2 2 3 2 3 3" xfId="26275" xr:uid="{00000000-0005-0000-0000-0000D4660000}"/>
    <cellStyle name="Header2 6 2 2 3 2 3 4" xfId="26276" xr:uid="{00000000-0005-0000-0000-0000D5660000}"/>
    <cellStyle name="Header2 6 2 2 3 2 4" xfId="26277" xr:uid="{00000000-0005-0000-0000-0000D6660000}"/>
    <cellStyle name="Header2 6 2 2 3 2 5" xfId="26278" xr:uid="{00000000-0005-0000-0000-0000D7660000}"/>
    <cellStyle name="Header2 6 2 2 3 2 6" xfId="26279" xr:uid="{00000000-0005-0000-0000-0000D8660000}"/>
    <cellStyle name="Header2 6 2 2 3 3" xfId="26280" xr:uid="{00000000-0005-0000-0000-0000D9660000}"/>
    <cellStyle name="Header2 6 2 2 3 3 2" xfId="26281" xr:uid="{00000000-0005-0000-0000-0000DA660000}"/>
    <cellStyle name="Header2 6 2 2 3 3 2 2" xfId="26282" xr:uid="{00000000-0005-0000-0000-0000DB660000}"/>
    <cellStyle name="Header2 6 2 2 3 3 2 3" xfId="26283" xr:uid="{00000000-0005-0000-0000-0000DC660000}"/>
    <cellStyle name="Header2 6 2 2 3 3 2 4" xfId="26284" xr:uid="{00000000-0005-0000-0000-0000DD660000}"/>
    <cellStyle name="Header2 6 2 2 3 3 3" xfId="26285" xr:uid="{00000000-0005-0000-0000-0000DE660000}"/>
    <cellStyle name="Header2 6 2 2 3 3 3 2" xfId="26286" xr:uid="{00000000-0005-0000-0000-0000DF660000}"/>
    <cellStyle name="Header2 6 2 2 3 3 3 3" xfId="26287" xr:uid="{00000000-0005-0000-0000-0000E0660000}"/>
    <cellStyle name="Header2 6 2 2 3 3 3 4" xfId="26288" xr:uid="{00000000-0005-0000-0000-0000E1660000}"/>
    <cellStyle name="Header2 6 2 2 3 3 4" xfId="26289" xr:uid="{00000000-0005-0000-0000-0000E2660000}"/>
    <cellStyle name="Header2 6 2 2 3 3 5" xfId="26290" xr:uid="{00000000-0005-0000-0000-0000E3660000}"/>
    <cellStyle name="Header2 6 2 2 3 3 6" xfId="26291" xr:uid="{00000000-0005-0000-0000-0000E4660000}"/>
    <cellStyle name="Header2 6 2 2 3 4" xfId="26292" xr:uid="{00000000-0005-0000-0000-0000E5660000}"/>
    <cellStyle name="Header2 6 2 2 3 5" xfId="26293" xr:uid="{00000000-0005-0000-0000-0000E6660000}"/>
    <cellStyle name="Header2 6 2 3" xfId="26294" xr:uid="{00000000-0005-0000-0000-0000E7660000}"/>
    <cellStyle name="Header2 6 2 3 2" xfId="26295" xr:uid="{00000000-0005-0000-0000-0000E8660000}"/>
    <cellStyle name="Header2 6 2 3 2 2" xfId="26296" xr:uid="{00000000-0005-0000-0000-0000E9660000}"/>
    <cellStyle name="Header2 6 2 3 2 3" xfId="26297" xr:uid="{00000000-0005-0000-0000-0000EA660000}"/>
    <cellStyle name="Header2 6 2 3 3" xfId="26298" xr:uid="{00000000-0005-0000-0000-0000EB660000}"/>
    <cellStyle name="Header2 6 2 4" xfId="26299" xr:uid="{00000000-0005-0000-0000-0000EC660000}"/>
    <cellStyle name="Header2 6 2 4 2" xfId="26300" xr:uid="{00000000-0005-0000-0000-0000ED660000}"/>
    <cellStyle name="Header2 6 2 4 2 2" xfId="26301" xr:uid="{00000000-0005-0000-0000-0000EE660000}"/>
    <cellStyle name="Header2 6 2 4 2 3" xfId="26302" xr:uid="{00000000-0005-0000-0000-0000EF660000}"/>
    <cellStyle name="Header2 6 2 4 3" xfId="26303" xr:uid="{00000000-0005-0000-0000-0000F0660000}"/>
    <cellStyle name="Header2 6 2 5" xfId="26304" xr:uid="{00000000-0005-0000-0000-0000F1660000}"/>
    <cellStyle name="Header2 6 2 5 2" xfId="26305" xr:uid="{00000000-0005-0000-0000-0000F2660000}"/>
    <cellStyle name="Header2 6 2 5 2 2" xfId="26306" xr:uid="{00000000-0005-0000-0000-0000F3660000}"/>
    <cellStyle name="Header2 6 2 5 2 3" xfId="26307" xr:uid="{00000000-0005-0000-0000-0000F4660000}"/>
    <cellStyle name="Header2 6 2 5 3" xfId="26308" xr:uid="{00000000-0005-0000-0000-0000F5660000}"/>
    <cellStyle name="Header2 6 2 6" xfId="26309" xr:uid="{00000000-0005-0000-0000-0000F6660000}"/>
    <cellStyle name="Header2 6 2 6 2" xfId="26310" xr:uid="{00000000-0005-0000-0000-0000F7660000}"/>
    <cellStyle name="Header2 6 2 6 2 2" xfId="26311" xr:uid="{00000000-0005-0000-0000-0000F8660000}"/>
    <cellStyle name="Header2 6 2 6 2 2 2" xfId="26312" xr:uid="{00000000-0005-0000-0000-0000F9660000}"/>
    <cellStyle name="Header2 6 2 6 2 2 3" xfId="26313" xr:uid="{00000000-0005-0000-0000-0000FA660000}"/>
    <cellStyle name="Header2 6 2 6 2 2 4" xfId="26314" xr:uid="{00000000-0005-0000-0000-0000FB660000}"/>
    <cellStyle name="Header2 6 2 6 2 2 5" xfId="26315" xr:uid="{00000000-0005-0000-0000-0000FC660000}"/>
    <cellStyle name="Header2 6 2 6 2 3" xfId="26316" xr:uid="{00000000-0005-0000-0000-0000FD660000}"/>
    <cellStyle name="Header2 6 2 6 2 3 2" xfId="26317" xr:uid="{00000000-0005-0000-0000-0000FE660000}"/>
    <cellStyle name="Header2 6 2 6 2 3 3" xfId="26318" xr:uid="{00000000-0005-0000-0000-0000FF660000}"/>
    <cellStyle name="Header2 6 2 6 2 3 4" xfId="26319" xr:uid="{00000000-0005-0000-0000-000000670000}"/>
    <cellStyle name="Header2 6 2 6 2 4" xfId="26320" xr:uid="{00000000-0005-0000-0000-000001670000}"/>
    <cellStyle name="Header2 6 2 6 2 5" xfId="26321" xr:uid="{00000000-0005-0000-0000-000002670000}"/>
    <cellStyle name="Header2 6 2 6 2 6" xfId="26322" xr:uid="{00000000-0005-0000-0000-000003670000}"/>
    <cellStyle name="Header2 6 2 6 3" xfId="26323" xr:uid="{00000000-0005-0000-0000-000004670000}"/>
    <cellStyle name="Header2 6 2 6 3 2" xfId="26324" xr:uid="{00000000-0005-0000-0000-000005670000}"/>
    <cellStyle name="Header2 6 2 6 3 2 2" xfId="26325" xr:uid="{00000000-0005-0000-0000-000006670000}"/>
    <cellStyle name="Header2 6 2 6 3 2 3" xfId="26326" xr:uid="{00000000-0005-0000-0000-000007670000}"/>
    <cellStyle name="Header2 6 2 6 3 2 4" xfId="26327" xr:uid="{00000000-0005-0000-0000-000008670000}"/>
    <cellStyle name="Header2 6 2 6 3 3" xfId="26328" xr:uid="{00000000-0005-0000-0000-000009670000}"/>
    <cellStyle name="Header2 6 2 6 3 3 2" xfId="26329" xr:uid="{00000000-0005-0000-0000-00000A670000}"/>
    <cellStyle name="Header2 6 2 6 3 3 3" xfId="26330" xr:uid="{00000000-0005-0000-0000-00000B670000}"/>
    <cellStyle name="Header2 6 2 6 3 3 4" xfId="26331" xr:uid="{00000000-0005-0000-0000-00000C670000}"/>
    <cellStyle name="Header2 6 2 6 3 4" xfId="26332" xr:uid="{00000000-0005-0000-0000-00000D670000}"/>
    <cellStyle name="Header2 6 2 6 3 5" xfId="26333" xr:uid="{00000000-0005-0000-0000-00000E670000}"/>
    <cellStyle name="Header2 6 2 6 3 6" xfId="26334" xr:uid="{00000000-0005-0000-0000-00000F670000}"/>
    <cellStyle name="Header2 6 2 6 4" xfId="26335" xr:uid="{00000000-0005-0000-0000-000010670000}"/>
    <cellStyle name="Header2 6 2 6 5" xfId="26336" xr:uid="{00000000-0005-0000-0000-000011670000}"/>
    <cellStyle name="Header2 6 2 7" xfId="26337" xr:uid="{00000000-0005-0000-0000-000012670000}"/>
    <cellStyle name="Header2 6 2 7 2" xfId="26338" xr:uid="{00000000-0005-0000-0000-000013670000}"/>
    <cellStyle name="Header2 6 2 7 2 2" xfId="26339" xr:uid="{00000000-0005-0000-0000-000014670000}"/>
    <cellStyle name="Header2 6 2 7 2 2 2" xfId="26340" xr:uid="{00000000-0005-0000-0000-000015670000}"/>
    <cellStyle name="Header2 6 2 7 2 2 3" xfId="26341" xr:uid="{00000000-0005-0000-0000-000016670000}"/>
    <cellStyle name="Header2 6 2 7 2 2 4" xfId="26342" xr:uid="{00000000-0005-0000-0000-000017670000}"/>
    <cellStyle name="Header2 6 2 7 2 2 5" xfId="26343" xr:uid="{00000000-0005-0000-0000-000018670000}"/>
    <cellStyle name="Header2 6 2 7 2 3" xfId="26344" xr:uid="{00000000-0005-0000-0000-000019670000}"/>
    <cellStyle name="Header2 6 2 7 2 3 2" xfId="26345" xr:uid="{00000000-0005-0000-0000-00001A670000}"/>
    <cellStyle name="Header2 6 2 7 2 3 3" xfId="26346" xr:uid="{00000000-0005-0000-0000-00001B670000}"/>
    <cellStyle name="Header2 6 2 7 2 3 4" xfId="26347" xr:uid="{00000000-0005-0000-0000-00001C670000}"/>
    <cellStyle name="Header2 6 2 7 2 4" xfId="26348" xr:uid="{00000000-0005-0000-0000-00001D670000}"/>
    <cellStyle name="Header2 6 2 7 2 5" xfId="26349" xr:uid="{00000000-0005-0000-0000-00001E670000}"/>
    <cellStyle name="Header2 6 2 7 2 6" xfId="26350" xr:uid="{00000000-0005-0000-0000-00001F670000}"/>
    <cellStyle name="Header2 6 2 7 3" xfId="26351" xr:uid="{00000000-0005-0000-0000-000020670000}"/>
    <cellStyle name="Header2 6 2 7 3 2" xfId="26352" xr:uid="{00000000-0005-0000-0000-000021670000}"/>
    <cellStyle name="Header2 6 2 7 3 2 2" xfId="26353" xr:uid="{00000000-0005-0000-0000-000022670000}"/>
    <cellStyle name="Header2 6 2 7 3 2 3" xfId="26354" xr:uid="{00000000-0005-0000-0000-000023670000}"/>
    <cellStyle name="Header2 6 2 7 3 2 4" xfId="26355" xr:uid="{00000000-0005-0000-0000-000024670000}"/>
    <cellStyle name="Header2 6 2 7 3 3" xfId="26356" xr:uid="{00000000-0005-0000-0000-000025670000}"/>
    <cellStyle name="Header2 6 2 7 3 3 2" xfId="26357" xr:uid="{00000000-0005-0000-0000-000026670000}"/>
    <cellStyle name="Header2 6 2 7 3 3 3" xfId="26358" xr:uid="{00000000-0005-0000-0000-000027670000}"/>
    <cellStyle name="Header2 6 2 7 3 3 4" xfId="26359" xr:uid="{00000000-0005-0000-0000-000028670000}"/>
    <cellStyle name="Header2 6 2 7 3 4" xfId="26360" xr:uid="{00000000-0005-0000-0000-000029670000}"/>
    <cellStyle name="Header2 6 2 7 3 5" xfId="26361" xr:uid="{00000000-0005-0000-0000-00002A670000}"/>
    <cellStyle name="Header2 6 2 7 3 6" xfId="26362" xr:uid="{00000000-0005-0000-0000-00002B670000}"/>
    <cellStyle name="Header2 6 2 7 4" xfId="26363" xr:uid="{00000000-0005-0000-0000-00002C670000}"/>
    <cellStyle name="Header2 6 2 7 5" xfId="26364" xr:uid="{00000000-0005-0000-0000-00002D670000}"/>
    <cellStyle name="Header2 6 2 8" xfId="26365" xr:uid="{00000000-0005-0000-0000-00002E670000}"/>
    <cellStyle name="Header2 6 2 8 2" xfId="26366" xr:uid="{00000000-0005-0000-0000-00002F670000}"/>
    <cellStyle name="Header2 6 2 8 2 2" xfId="26367" xr:uid="{00000000-0005-0000-0000-000030670000}"/>
    <cellStyle name="Header2 6 2 8 2 2 2" xfId="26368" xr:uid="{00000000-0005-0000-0000-000031670000}"/>
    <cellStyle name="Header2 6 2 8 2 2 3" xfId="26369" xr:uid="{00000000-0005-0000-0000-000032670000}"/>
    <cellStyle name="Header2 6 2 8 2 2 4" xfId="26370" xr:uid="{00000000-0005-0000-0000-000033670000}"/>
    <cellStyle name="Header2 6 2 8 2 2 5" xfId="26371" xr:uid="{00000000-0005-0000-0000-000034670000}"/>
    <cellStyle name="Header2 6 2 8 2 3" xfId="26372" xr:uid="{00000000-0005-0000-0000-000035670000}"/>
    <cellStyle name="Header2 6 2 8 2 3 2" xfId="26373" xr:uid="{00000000-0005-0000-0000-000036670000}"/>
    <cellStyle name="Header2 6 2 8 2 3 3" xfId="26374" xr:uid="{00000000-0005-0000-0000-000037670000}"/>
    <cellStyle name="Header2 6 2 8 2 3 4" xfId="26375" xr:uid="{00000000-0005-0000-0000-000038670000}"/>
    <cellStyle name="Header2 6 2 8 2 4" xfId="26376" xr:uid="{00000000-0005-0000-0000-000039670000}"/>
    <cellStyle name="Header2 6 2 8 2 5" xfId="26377" xr:uid="{00000000-0005-0000-0000-00003A670000}"/>
    <cellStyle name="Header2 6 2 8 2 6" xfId="26378" xr:uid="{00000000-0005-0000-0000-00003B670000}"/>
    <cellStyle name="Header2 6 2 8 3" xfId="26379" xr:uid="{00000000-0005-0000-0000-00003C670000}"/>
    <cellStyle name="Header2 6 2 8 3 2" xfId="26380" xr:uid="{00000000-0005-0000-0000-00003D670000}"/>
    <cellStyle name="Header2 6 2 8 3 2 2" xfId="26381" xr:uid="{00000000-0005-0000-0000-00003E670000}"/>
    <cellStyle name="Header2 6 2 8 3 2 3" xfId="26382" xr:uid="{00000000-0005-0000-0000-00003F670000}"/>
    <cellStyle name="Header2 6 2 8 3 2 4" xfId="26383" xr:uid="{00000000-0005-0000-0000-000040670000}"/>
    <cellStyle name="Header2 6 2 8 3 3" xfId="26384" xr:uid="{00000000-0005-0000-0000-000041670000}"/>
    <cellStyle name="Header2 6 2 8 3 3 2" xfId="26385" xr:uid="{00000000-0005-0000-0000-000042670000}"/>
    <cellStyle name="Header2 6 2 8 3 3 3" xfId="26386" xr:uid="{00000000-0005-0000-0000-000043670000}"/>
    <cellStyle name="Header2 6 2 8 3 3 4" xfId="26387" xr:uid="{00000000-0005-0000-0000-000044670000}"/>
    <cellStyle name="Header2 6 2 8 3 4" xfId="26388" xr:uid="{00000000-0005-0000-0000-000045670000}"/>
    <cellStyle name="Header2 6 2 8 3 5" xfId="26389" xr:uid="{00000000-0005-0000-0000-000046670000}"/>
    <cellStyle name="Header2 6 2 8 3 6" xfId="26390" xr:uid="{00000000-0005-0000-0000-000047670000}"/>
    <cellStyle name="Header2 6 2 8 4" xfId="26391" xr:uid="{00000000-0005-0000-0000-000048670000}"/>
    <cellStyle name="Header2 6 2 8 5" xfId="26392" xr:uid="{00000000-0005-0000-0000-000049670000}"/>
    <cellStyle name="Header2 6 2 9" xfId="26393" xr:uid="{00000000-0005-0000-0000-00004A670000}"/>
    <cellStyle name="Header2 6 2 9 2" xfId="26394" xr:uid="{00000000-0005-0000-0000-00004B670000}"/>
    <cellStyle name="Header2 6 2 9 2 2" xfId="26395" xr:uid="{00000000-0005-0000-0000-00004C670000}"/>
    <cellStyle name="Header2 6 2 9 2 2 2" xfId="26396" xr:uid="{00000000-0005-0000-0000-00004D670000}"/>
    <cellStyle name="Header2 6 2 9 2 2 3" xfId="26397" xr:uid="{00000000-0005-0000-0000-00004E670000}"/>
    <cellStyle name="Header2 6 2 9 2 2 4" xfId="26398" xr:uid="{00000000-0005-0000-0000-00004F670000}"/>
    <cellStyle name="Header2 6 2 9 2 2 5" xfId="26399" xr:uid="{00000000-0005-0000-0000-000050670000}"/>
    <cellStyle name="Header2 6 2 9 2 3" xfId="26400" xr:uid="{00000000-0005-0000-0000-000051670000}"/>
    <cellStyle name="Header2 6 2 9 2 3 2" xfId="26401" xr:uid="{00000000-0005-0000-0000-000052670000}"/>
    <cellStyle name="Header2 6 2 9 2 3 3" xfId="26402" xr:uid="{00000000-0005-0000-0000-000053670000}"/>
    <cellStyle name="Header2 6 2 9 2 3 4" xfId="26403" xr:uid="{00000000-0005-0000-0000-000054670000}"/>
    <cellStyle name="Header2 6 2 9 2 4" xfId="26404" xr:uid="{00000000-0005-0000-0000-000055670000}"/>
    <cellStyle name="Header2 6 2 9 2 5" xfId="26405" xr:uid="{00000000-0005-0000-0000-000056670000}"/>
    <cellStyle name="Header2 6 2 9 2 6" xfId="26406" xr:uid="{00000000-0005-0000-0000-000057670000}"/>
    <cellStyle name="Header2 6 2 9 3" xfId="26407" xr:uid="{00000000-0005-0000-0000-000058670000}"/>
    <cellStyle name="Header2 6 2 9 3 2" xfId="26408" xr:uid="{00000000-0005-0000-0000-000059670000}"/>
    <cellStyle name="Header2 6 2 9 3 2 2" xfId="26409" xr:uid="{00000000-0005-0000-0000-00005A670000}"/>
    <cellStyle name="Header2 6 2 9 3 2 3" xfId="26410" xr:uid="{00000000-0005-0000-0000-00005B670000}"/>
    <cellStyle name="Header2 6 2 9 3 2 4" xfId="26411" xr:uid="{00000000-0005-0000-0000-00005C670000}"/>
    <cellStyle name="Header2 6 2 9 3 3" xfId="26412" xr:uid="{00000000-0005-0000-0000-00005D670000}"/>
    <cellStyle name="Header2 6 2 9 3 3 2" xfId="26413" xr:uid="{00000000-0005-0000-0000-00005E670000}"/>
    <cellStyle name="Header2 6 2 9 3 3 3" xfId="26414" xr:uid="{00000000-0005-0000-0000-00005F670000}"/>
    <cellStyle name="Header2 6 2 9 3 3 4" xfId="26415" xr:uid="{00000000-0005-0000-0000-000060670000}"/>
    <cellStyle name="Header2 6 2 9 3 4" xfId="26416" xr:uid="{00000000-0005-0000-0000-000061670000}"/>
    <cellStyle name="Header2 6 2 9 3 5" xfId="26417" xr:uid="{00000000-0005-0000-0000-000062670000}"/>
    <cellStyle name="Header2 6 2 9 3 6" xfId="26418" xr:uid="{00000000-0005-0000-0000-000063670000}"/>
    <cellStyle name="Header2 6 2 9 4" xfId="26419" xr:uid="{00000000-0005-0000-0000-000064670000}"/>
    <cellStyle name="Header2 6 2 9 5" xfId="26420" xr:uid="{00000000-0005-0000-0000-000065670000}"/>
    <cellStyle name="Header2 6 3" xfId="26421" xr:uid="{00000000-0005-0000-0000-000066670000}"/>
    <cellStyle name="Header2 6 3 10" xfId="26422" xr:uid="{00000000-0005-0000-0000-000067670000}"/>
    <cellStyle name="Header2 6 3 10 2" xfId="26423" xr:uid="{00000000-0005-0000-0000-000068670000}"/>
    <cellStyle name="Header2 6 3 10 2 2" xfId="26424" xr:uid="{00000000-0005-0000-0000-000069670000}"/>
    <cellStyle name="Header2 6 3 10 2 2 2" xfId="26425" xr:uid="{00000000-0005-0000-0000-00006A670000}"/>
    <cellStyle name="Header2 6 3 10 2 2 3" xfId="26426" xr:uid="{00000000-0005-0000-0000-00006B670000}"/>
    <cellStyle name="Header2 6 3 10 2 2 4" xfId="26427" xr:uid="{00000000-0005-0000-0000-00006C670000}"/>
    <cellStyle name="Header2 6 3 10 2 2 5" xfId="26428" xr:uid="{00000000-0005-0000-0000-00006D670000}"/>
    <cellStyle name="Header2 6 3 10 2 3" xfId="26429" xr:uid="{00000000-0005-0000-0000-00006E670000}"/>
    <cellStyle name="Header2 6 3 10 2 3 2" xfId="26430" xr:uid="{00000000-0005-0000-0000-00006F670000}"/>
    <cellStyle name="Header2 6 3 10 2 3 3" xfId="26431" xr:uid="{00000000-0005-0000-0000-000070670000}"/>
    <cellStyle name="Header2 6 3 10 2 3 4" xfId="26432" xr:uid="{00000000-0005-0000-0000-000071670000}"/>
    <cellStyle name="Header2 6 3 10 2 4" xfId="26433" xr:uid="{00000000-0005-0000-0000-000072670000}"/>
    <cellStyle name="Header2 6 3 10 2 5" xfId="26434" xr:uid="{00000000-0005-0000-0000-000073670000}"/>
    <cellStyle name="Header2 6 3 10 2 6" xfId="26435" xr:uid="{00000000-0005-0000-0000-000074670000}"/>
    <cellStyle name="Header2 6 3 10 3" xfId="26436" xr:uid="{00000000-0005-0000-0000-000075670000}"/>
    <cellStyle name="Header2 6 3 10 3 2" xfId="26437" xr:uid="{00000000-0005-0000-0000-000076670000}"/>
    <cellStyle name="Header2 6 3 10 3 2 2" xfId="26438" xr:uid="{00000000-0005-0000-0000-000077670000}"/>
    <cellStyle name="Header2 6 3 10 3 2 3" xfId="26439" xr:uid="{00000000-0005-0000-0000-000078670000}"/>
    <cellStyle name="Header2 6 3 10 3 2 4" xfId="26440" xr:uid="{00000000-0005-0000-0000-000079670000}"/>
    <cellStyle name="Header2 6 3 10 3 3" xfId="26441" xr:uid="{00000000-0005-0000-0000-00007A670000}"/>
    <cellStyle name="Header2 6 3 10 3 3 2" xfId="26442" xr:uid="{00000000-0005-0000-0000-00007B670000}"/>
    <cellStyle name="Header2 6 3 10 3 3 3" xfId="26443" xr:uid="{00000000-0005-0000-0000-00007C670000}"/>
    <cellStyle name="Header2 6 3 10 3 3 4" xfId="26444" xr:uid="{00000000-0005-0000-0000-00007D670000}"/>
    <cellStyle name="Header2 6 3 10 3 4" xfId="26445" xr:uid="{00000000-0005-0000-0000-00007E670000}"/>
    <cellStyle name="Header2 6 3 10 3 5" xfId="26446" xr:uid="{00000000-0005-0000-0000-00007F670000}"/>
    <cellStyle name="Header2 6 3 10 3 6" xfId="26447" xr:uid="{00000000-0005-0000-0000-000080670000}"/>
    <cellStyle name="Header2 6 3 10 4" xfId="26448" xr:uid="{00000000-0005-0000-0000-000081670000}"/>
    <cellStyle name="Header2 6 3 10 5" xfId="26449" xr:uid="{00000000-0005-0000-0000-000082670000}"/>
    <cellStyle name="Header2 6 3 11" xfId="26450" xr:uid="{00000000-0005-0000-0000-000083670000}"/>
    <cellStyle name="Header2 6 3 11 2" xfId="26451" xr:uid="{00000000-0005-0000-0000-000084670000}"/>
    <cellStyle name="Header2 6 3 11 2 2" xfId="26452" xr:uid="{00000000-0005-0000-0000-000085670000}"/>
    <cellStyle name="Header2 6 3 11 2 2 2" xfId="26453" xr:uid="{00000000-0005-0000-0000-000086670000}"/>
    <cellStyle name="Header2 6 3 11 2 2 3" xfId="26454" xr:uid="{00000000-0005-0000-0000-000087670000}"/>
    <cellStyle name="Header2 6 3 11 2 2 4" xfId="26455" xr:uid="{00000000-0005-0000-0000-000088670000}"/>
    <cellStyle name="Header2 6 3 11 2 2 5" xfId="26456" xr:uid="{00000000-0005-0000-0000-000089670000}"/>
    <cellStyle name="Header2 6 3 11 2 3" xfId="26457" xr:uid="{00000000-0005-0000-0000-00008A670000}"/>
    <cellStyle name="Header2 6 3 11 2 3 2" xfId="26458" xr:uid="{00000000-0005-0000-0000-00008B670000}"/>
    <cellStyle name="Header2 6 3 11 2 3 3" xfId="26459" xr:uid="{00000000-0005-0000-0000-00008C670000}"/>
    <cellStyle name="Header2 6 3 11 2 3 4" xfId="26460" xr:uid="{00000000-0005-0000-0000-00008D670000}"/>
    <cellStyle name="Header2 6 3 11 2 4" xfId="26461" xr:uid="{00000000-0005-0000-0000-00008E670000}"/>
    <cellStyle name="Header2 6 3 11 2 5" xfId="26462" xr:uid="{00000000-0005-0000-0000-00008F670000}"/>
    <cellStyle name="Header2 6 3 11 2 6" xfId="26463" xr:uid="{00000000-0005-0000-0000-000090670000}"/>
    <cellStyle name="Header2 6 3 11 3" xfId="26464" xr:uid="{00000000-0005-0000-0000-000091670000}"/>
    <cellStyle name="Header2 6 3 11 3 2" xfId="26465" xr:uid="{00000000-0005-0000-0000-000092670000}"/>
    <cellStyle name="Header2 6 3 11 3 2 2" xfId="26466" xr:uid="{00000000-0005-0000-0000-000093670000}"/>
    <cellStyle name="Header2 6 3 11 3 2 3" xfId="26467" xr:uid="{00000000-0005-0000-0000-000094670000}"/>
    <cellStyle name="Header2 6 3 11 3 2 4" xfId="26468" xr:uid="{00000000-0005-0000-0000-000095670000}"/>
    <cellStyle name="Header2 6 3 11 3 3" xfId="26469" xr:uid="{00000000-0005-0000-0000-000096670000}"/>
    <cellStyle name="Header2 6 3 11 3 3 2" xfId="26470" xr:uid="{00000000-0005-0000-0000-000097670000}"/>
    <cellStyle name="Header2 6 3 11 3 3 3" xfId="26471" xr:uid="{00000000-0005-0000-0000-000098670000}"/>
    <cellStyle name="Header2 6 3 11 3 3 4" xfId="26472" xr:uid="{00000000-0005-0000-0000-000099670000}"/>
    <cellStyle name="Header2 6 3 11 3 4" xfId="26473" xr:uid="{00000000-0005-0000-0000-00009A670000}"/>
    <cellStyle name="Header2 6 3 11 3 5" xfId="26474" xr:uid="{00000000-0005-0000-0000-00009B670000}"/>
    <cellStyle name="Header2 6 3 11 3 6" xfId="26475" xr:uid="{00000000-0005-0000-0000-00009C670000}"/>
    <cellStyle name="Header2 6 3 11 4" xfId="26476" xr:uid="{00000000-0005-0000-0000-00009D670000}"/>
    <cellStyle name="Header2 6 3 11 5" xfId="26477" xr:uid="{00000000-0005-0000-0000-00009E670000}"/>
    <cellStyle name="Header2 6 3 12" xfId="26478" xr:uid="{00000000-0005-0000-0000-00009F670000}"/>
    <cellStyle name="Header2 6 3 12 2" xfId="26479" xr:uid="{00000000-0005-0000-0000-0000A0670000}"/>
    <cellStyle name="Header2 6 3 12 2 2" xfId="26480" xr:uid="{00000000-0005-0000-0000-0000A1670000}"/>
    <cellStyle name="Header2 6 3 12 2 2 2" xfId="26481" xr:uid="{00000000-0005-0000-0000-0000A2670000}"/>
    <cellStyle name="Header2 6 3 12 2 2 3" xfId="26482" xr:uid="{00000000-0005-0000-0000-0000A3670000}"/>
    <cellStyle name="Header2 6 3 12 2 2 4" xfId="26483" xr:uid="{00000000-0005-0000-0000-0000A4670000}"/>
    <cellStyle name="Header2 6 3 12 2 2 5" xfId="26484" xr:uid="{00000000-0005-0000-0000-0000A5670000}"/>
    <cellStyle name="Header2 6 3 12 2 3" xfId="26485" xr:uid="{00000000-0005-0000-0000-0000A6670000}"/>
    <cellStyle name="Header2 6 3 12 2 3 2" xfId="26486" xr:uid="{00000000-0005-0000-0000-0000A7670000}"/>
    <cellStyle name="Header2 6 3 12 2 3 3" xfId="26487" xr:uid="{00000000-0005-0000-0000-0000A8670000}"/>
    <cellStyle name="Header2 6 3 12 2 3 4" xfId="26488" xr:uid="{00000000-0005-0000-0000-0000A9670000}"/>
    <cellStyle name="Header2 6 3 12 2 4" xfId="26489" xr:uid="{00000000-0005-0000-0000-0000AA670000}"/>
    <cellStyle name="Header2 6 3 12 2 5" xfId="26490" xr:uid="{00000000-0005-0000-0000-0000AB670000}"/>
    <cellStyle name="Header2 6 3 12 2 6" xfId="26491" xr:uid="{00000000-0005-0000-0000-0000AC670000}"/>
    <cellStyle name="Header2 6 3 12 3" xfId="26492" xr:uid="{00000000-0005-0000-0000-0000AD670000}"/>
    <cellStyle name="Header2 6 3 12 3 2" xfId="26493" xr:uid="{00000000-0005-0000-0000-0000AE670000}"/>
    <cellStyle name="Header2 6 3 12 3 2 2" xfId="26494" xr:uid="{00000000-0005-0000-0000-0000AF670000}"/>
    <cellStyle name="Header2 6 3 12 3 2 3" xfId="26495" xr:uid="{00000000-0005-0000-0000-0000B0670000}"/>
    <cellStyle name="Header2 6 3 12 3 2 4" xfId="26496" xr:uid="{00000000-0005-0000-0000-0000B1670000}"/>
    <cellStyle name="Header2 6 3 12 3 3" xfId="26497" xr:uid="{00000000-0005-0000-0000-0000B2670000}"/>
    <cellStyle name="Header2 6 3 12 3 3 2" xfId="26498" xr:uid="{00000000-0005-0000-0000-0000B3670000}"/>
    <cellStyle name="Header2 6 3 12 3 3 3" xfId="26499" xr:uid="{00000000-0005-0000-0000-0000B4670000}"/>
    <cellStyle name="Header2 6 3 12 3 3 4" xfId="26500" xr:uid="{00000000-0005-0000-0000-0000B5670000}"/>
    <cellStyle name="Header2 6 3 12 3 4" xfId="26501" xr:uid="{00000000-0005-0000-0000-0000B6670000}"/>
    <cellStyle name="Header2 6 3 12 3 5" xfId="26502" xr:uid="{00000000-0005-0000-0000-0000B7670000}"/>
    <cellStyle name="Header2 6 3 12 3 6" xfId="26503" xr:uid="{00000000-0005-0000-0000-0000B8670000}"/>
    <cellStyle name="Header2 6 3 12 4" xfId="26504" xr:uid="{00000000-0005-0000-0000-0000B9670000}"/>
    <cellStyle name="Header2 6 3 12 5" xfId="26505" xr:uid="{00000000-0005-0000-0000-0000BA670000}"/>
    <cellStyle name="Header2 6 3 13" xfId="58767" xr:uid="{00000000-0005-0000-0000-0000BB670000}"/>
    <cellStyle name="Header2 6 3 2" xfId="26506" xr:uid="{00000000-0005-0000-0000-0000BC670000}"/>
    <cellStyle name="Header2 6 3 2 2" xfId="26507" xr:uid="{00000000-0005-0000-0000-0000BD670000}"/>
    <cellStyle name="Header2 6 3 2 2 2" xfId="26508" xr:uid="{00000000-0005-0000-0000-0000BE670000}"/>
    <cellStyle name="Header2 6 3 2 2 3" xfId="26509" xr:uid="{00000000-0005-0000-0000-0000BF670000}"/>
    <cellStyle name="Header2 6 3 2 3" xfId="26510" xr:uid="{00000000-0005-0000-0000-0000C0670000}"/>
    <cellStyle name="Header2 6 3 3" xfId="26511" xr:uid="{00000000-0005-0000-0000-0000C1670000}"/>
    <cellStyle name="Header2 6 3 3 2" xfId="26512" xr:uid="{00000000-0005-0000-0000-0000C2670000}"/>
    <cellStyle name="Header2 6 3 3 2 2" xfId="26513" xr:uid="{00000000-0005-0000-0000-0000C3670000}"/>
    <cellStyle name="Header2 6 3 3 2 3" xfId="26514" xr:uid="{00000000-0005-0000-0000-0000C4670000}"/>
    <cellStyle name="Header2 6 3 3 3" xfId="26515" xr:uid="{00000000-0005-0000-0000-0000C5670000}"/>
    <cellStyle name="Header2 6 3 4" xfId="26516" xr:uid="{00000000-0005-0000-0000-0000C6670000}"/>
    <cellStyle name="Header2 6 3 4 2" xfId="26517" xr:uid="{00000000-0005-0000-0000-0000C7670000}"/>
    <cellStyle name="Header2 6 3 4 2 2" xfId="26518" xr:uid="{00000000-0005-0000-0000-0000C8670000}"/>
    <cellStyle name="Header2 6 3 4 2 3" xfId="26519" xr:uid="{00000000-0005-0000-0000-0000C9670000}"/>
    <cellStyle name="Header2 6 3 4 3" xfId="26520" xr:uid="{00000000-0005-0000-0000-0000CA670000}"/>
    <cellStyle name="Header2 6 3 5" xfId="26521" xr:uid="{00000000-0005-0000-0000-0000CB670000}"/>
    <cellStyle name="Header2 6 3 5 2" xfId="26522" xr:uid="{00000000-0005-0000-0000-0000CC670000}"/>
    <cellStyle name="Header2 6 3 5 2 2" xfId="26523" xr:uid="{00000000-0005-0000-0000-0000CD670000}"/>
    <cellStyle name="Header2 6 3 5 2 2 2" xfId="26524" xr:uid="{00000000-0005-0000-0000-0000CE670000}"/>
    <cellStyle name="Header2 6 3 5 2 2 3" xfId="26525" xr:uid="{00000000-0005-0000-0000-0000CF670000}"/>
    <cellStyle name="Header2 6 3 5 2 2 4" xfId="26526" xr:uid="{00000000-0005-0000-0000-0000D0670000}"/>
    <cellStyle name="Header2 6 3 5 2 2 5" xfId="26527" xr:uid="{00000000-0005-0000-0000-0000D1670000}"/>
    <cellStyle name="Header2 6 3 5 2 3" xfId="26528" xr:uid="{00000000-0005-0000-0000-0000D2670000}"/>
    <cellStyle name="Header2 6 3 5 2 3 2" xfId="26529" xr:uid="{00000000-0005-0000-0000-0000D3670000}"/>
    <cellStyle name="Header2 6 3 5 2 3 3" xfId="26530" xr:uid="{00000000-0005-0000-0000-0000D4670000}"/>
    <cellStyle name="Header2 6 3 5 2 3 4" xfId="26531" xr:uid="{00000000-0005-0000-0000-0000D5670000}"/>
    <cellStyle name="Header2 6 3 5 2 4" xfId="26532" xr:uid="{00000000-0005-0000-0000-0000D6670000}"/>
    <cellStyle name="Header2 6 3 5 2 5" xfId="26533" xr:uid="{00000000-0005-0000-0000-0000D7670000}"/>
    <cellStyle name="Header2 6 3 5 2 6" xfId="26534" xr:uid="{00000000-0005-0000-0000-0000D8670000}"/>
    <cellStyle name="Header2 6 3 5 3" xfId="26535" xr:uid="{00000000-0005-0000-0000-0000D9670000}"/>
    <cellStyle name="Header2 6 3 5 3 2" xfId="26536" xr:uid="{00000000-0005-0000-0000-0000DA670000}"/>
    <cellStyle name="Header2 6 3 5 3 2 2" xfId="26537" xr:uid="{00000000-0005-0000-0000-0000DB670000}"/>
    <cellStyle name="Header2 6 3 5 3 2 3" xfId="26538" xr:uid="{00000000-0005-0000-0000-0000DC670000}"/>
    <cellStyle name="Header2 6 3 5 3 2 4" xfId="26539" xr:uid="{00000000-0005-0000-0000-0000DD670000}"/>
    <cellStyle name="Header2 6 3 5 3 3" xfId="26540" xr:uid="{00000000-0005-0000-0000-0000DE670000}"/>
    <cellStyle name="Header2 6 3 5 3 3 2" xfId="26541" xr:uid="{00000000-0005-0000-0000-0000DF670000}"/>
    <cellStyle name="Header2 6 3 5 3 3 3" xfId="26542" xr:uid="{00000000-0005-0000-0000-0000E0670000}"/>
    <cellStyle name="Header2 6 3 5 3 3 4" xfId="26543" xr:uid="{00000000-0005-0000-0000-0000E1670000}"/>
    <cellStyle name="Header2 6 3 5 3 4" xfId="26544" xr:uid="{00000000-0005-0000-0000-0000E2670000}"/>
    <cellStyle name="Header2 6 3 5 3 5" xfId="26545" xr:uid="{00000000-0005-0000-0000-0000E3670000}"/>
    <cellStyle name="Header2 6 3 5 3 6" xfId="26546" xr:uid="{00000000-0005-0000-0000-0000E4670000}"/>
    <cellStyle name="Header2 6 3 5 4" xfId="26547" xr:uid="{00000000-0005-0000-0000-0000E5670000}"/>
    <cellStyle name="Header2 6 3 5 5" xfId="26548" xr:uid="{00000000-0005-0000-0000-0000E6670000}"/>
    <cellStyle name="Header2 6 3 6" xfId="26549" xr:uid="{00000000-0005-0000-0000-0000E7670000}"/>
    <cellStyle name="Header2 6 3 6 2" xfId="26550" xr:uid="{00000000-0005-0000-0000-0000E8670000}"/>
    <cellStyle name="Header2 6 3 6 2 2" xfId="26551" xr:uid="{00000000-0005-0000-0000-0000E9670000}"/>
    <cellStyle name="Header2 6 3 6 2 2 2" xfId="26552" xr:uid="{00000000-0005-0000-0000-0000EA670000}"/>
    <cellStyle name="Header2 6 3 6 2 2 3" xfId="26553" xr:uid="{00000000-0005-0000-0000-0000EB670000}"/>
    <cellStyle name="Header2 6 3 6 2 2 4" xfId="26554" xr:uid="{00000000-0005-0000-0000-0000EC670000}"/>
    <cellStyle name="Header2 6 3 6 2 2 5" xfId="26555" xr:uid="{00000000-0005-0000-0000-0000ED670000}"/>
    <cellStyle name="Header2 6 3 6 2 3" xfId="26556" xr:uid="{00000000-0005-0000-0000-0000EE670000}"/>
    <cellStyle name="Header2 6 3 6 2 3 2" xfId="26557" xr:uid="{00000000-0005-0000-0000-0000EF670000}"/>
    <cellStyle name="Header2 6 3 6 2 3 3" xfId="26558" xr:uid="{00000000-0005-0000-0000-0000F0670000}"/>
    <cellStyle name="Header2 6 3 6 2 3 4" xfId="26559" xr:uid="{00000000-0005-0000-0000-0000F1670000}"/>
    <cellStyle name="Header2 6 3 6 2 4" xfId="26560" xr:uid="{00000000-0005-0000-0000-0000F2670000}"/>
    <cellStyle name="Header2 6 3 6 2 5" xfId="26561" xr:uid="{00000000-0005-0000-0000-0000F3670000}"/>
    <cellStyle name="Header2 6 3 6 2 6" xfId="26562" xr:uid="{00000000-0005-0000-0000-0000F4670000}"/>
    <cellStyle name="Header2 6 3 6 3" xfId="26563" xr:uid="{00000000-0005-0000-0000-0000F5670000}"/>
    <cellStyle name="Header2 6 3 6 3 2" xfId="26564" xr:uid="{00000000-0005-0000-0000-0000F6670000}"/>
    <cellStyle name="Header2 6 3 6 3 2 2" xfId="26565" xr:uid="{00000000-0005-0000-0000-0000F7670000}"/>
    <cellStyle name="Header2 6 3 6 3 2 3" xfId="26566" xr:uid="{00000000-0005-0000-0000-0000F8670000}"/>
    <cellStyle name="Header2 6 3 6 3 2 4" xfId="26567" xr:uid="{00000000-0005-0000-0000-0000F9670000}"/>
    <cellStyle name="Header2 6 3 6 3 3" xfId="26568" xr:uid="{00000000-0005-0000-0000-0000FA670000}"/>
    <cellStyle name="Header2 6 3 6 3 3 2" xfId="26569" xr:uid="{00000000-0005-0000-0000-0000FB670000}"/>
    <cellStyle name="Header2 6 3 6 3 3 3" xfId="26570" xr:uid="{00000000-0005-0000-0000-0000FC670000}"/>
    <cellStyle name="Header2 6 3 6 3 3 4" xfId="26571" xr:uid="{00000000-0005-0000-0000-0000FD670000}"/>
    <cellStyle name="Header2 6 3 6 3 4" xfId="26572" xr:uid="{00000000-0005-0000-0000-0000FE670000}"/>
    <cellStyle name="Header2 6 3 6 3 5" xfId="26573" xr:uid="{00000000-0005-0000-0000-0000FF670000}"/>
    <cellStyle name="Header2 6 3 6 3 6" xfId="26574" xr:uid="{00000000-0005-0000-0000-000000680000}"/>
    <cellStyle name="Header2 6 3 6 4" xfId="26575" xr:uid="{00000000-0005-0000-0000-000001680000}"/>
    <cellStyle name="Header2 6 3 6 5" xfId="26576" xr:uid="{00000000-0005-0000-0000-000002680000}"/>
    <cellStyle name="Header2 6 3 7" xfId="26577" xr:uid="{00000000-0005-0000-0000-000003680000}"/>
    <cellStyle name="Header2 6 3 7 2" xfId="26578" xr:uid="{00000000-0005-0000-0000-000004680000}"/>
    <cellStyle name="Header2 6 3 7 2 2" xfId="26579" xr:uid="{00000000-0005-0000-0000-000005680000}"/>
    <cellStyle name="Header2 6 3 7 2 2 2" xfId="26580" xr:uid="{00000000-0005-0000-0000-000006680000}"/>
    <cellStyle name="Header2 6 3 7 2 2 3" xfId="26581" xr:uid="{00000000-0005-0000-0000-000007680000}"/>
    <cellStyle name="Header2 6 3 7 2 2 4" xfId="26582" xr:uid="{00000000-0005-0000-0000-000008680000}"/>
    <cellStyle name="Header2 6 3 7 2 2 5" xfId="26583" xr:uid="{00000000-0005-0000-0000-000009680000}"/>
    <cellStyle name="Header2 6 3 7 2 3" xfId="26584" xr:uid="{00000000-0005-0000-0000-00000A680000}"/>
    <cellStyle name="Header2 6 3 7 2 3 2" xfId="26585" xr:uid="{00000000-0005-0000-0000-00000B680000}"/>
    <cellStyle name="Header2 6 3 7 2 3 3" xfId="26586" xr:uid="{00000000-0005-0000-0000-00000C680000}"/>
    <cellStyle name="Header2 6 3 7 2 3 4" xfId="26587" xr:uid="{00000000-0005-0000-0000-00000D680000}"/>
    <cellStyle name="Header2 6 3 7 2 4" xfId="26588" xr:uid="{00000000-0005-0000-0000-00000E680000}"/>
    <cellStyle name="Header2 6 3 7 2 5" xfId="26589" xr:uid="{00000000-0005-0000-0000-00000F680000}"/>
    <cellStyle name="Header2 6 3 7 2 6" xfId="26590" xr:uid="{00000000-0005-0000-0000-000010680000}"/>
    <cellStyle name="Header2 6 3 7 3" xfId="26591" xr:uid="{00000000-0005-0000-0000-000011680000}"/>
    <cellStyle name="Header2 6 3 7 3 2" xfId="26592" xr:uid="{00000000-0005-0000-0000-000012680000}"/>
    <cellStyle name="Header2 6 3 7 3 2 2" xfId="26593" xr:uid="{00000000-0005-0000-0000-000013680000}"/>
    <cellStyle name="Header2 6 3 7 3 2 3" xfId="26594" xr:uid="{00000000-0005-0000-0000-000014680000}"/>
    <cellStyle name="Header2 6 3 7 3 2 4" xfId="26595" xr:uid="{00000000-0005-0000-0000-000015680000}"/>
    <cellStyle name="Header2 6 3 7 3 3" xfId="26596" xr:uid="{00000000-0005-0000-0000-000016680000}"/>
    <cellStyle name="Header2 6 3 7 3 3 2" xfId="26597" xr:uid="{00000000-0005-0000-0000-000017680000}"/>
    <cellStyle name="Header2 6 3 7 3 3 3" xfId="26598" xr:uid="{00000000-0005-0000-0000-000018680000}"/>
    <cellStyle name="Header2 6 3 7 3 3 4" xfId="26599" xr:uid="{00000000-0005-0000-0000-000019680000}"/>
    <cellStyle name="Header2 6 3 7 3 4" xfId="26600" xr:uid="{00000000-0005-0000-0000-00001A680000}"/>
    <cellStyle name="Header2 6 3 7 3 5" xfId="26601" xr:uid="{00000000-0005-0000-0000-00001B680000}"/>
    <cellStyle name="Header2 6 3 7 3 6" xfId="26602" xr:uid="{00000000-0005-0000-0000-00001C680000}"/>
    <cellStyle name="Header2 6 3 7 4" xfId="26603" xr:uid="{00000000-0005-0000-0000-00001D680000}"/>
    <cellStyle name="Header2 6 3 7 5" xfId="26604" xr:uid="{00000000-0005-0000-0000-00001E680000}"/>
    <cellStyle name="Header2 6 3 8" xfId="26605" xr:uid="{00000000-0005-0000-0000-00001F680000}"/>
    <cellStyle name="Header2 6 3 8 2" xfId="26606" xr:uid="{00000000-0005-0000-0000-000020680000}"/>
    <cellStyle name="Header2 6 3 8 2 2" xfId="26607" xr:uid="{00000000-0005-0000-0000-000021680000}"/>
    <cellStyle name="Header2 6 3 8 2 2 2" xfId="26608" xr:uid="{00000000-0005-0000-0000-000022680000}"/>
    <cellStyle name="Header2 6 3 8 2 2 3" xfId="26609" xr:uid="{00000000-0005-0000-0000-000023680000}"/>
    <cellStyle name="Header2 6 3 8 2 2 4" xfId="26610" xr:uid="{00000000-0005-0000-0000-000024680000}"/>
    <cellStyle name="Header2 6 3 8 2 2 5" xfId="26611" xr:uid="{00000000-0005-0000-0000-000025680000}"/>
    <cellStyle name="Header2 6 3 8 2 3" xfId="26612" xr:uid="{00000000-0005-0000-0000-000026680000}"/>
    <cellStyle name="Header2 6 3 8 2 3 2" xfId="26613" xr:uid="{00000000-0005-0000-0000-000027680000}"/>
    <cellStyle name="Header2 6 3 8 2 3 3" xfId="26614" xr:uid="{00000000-0005-0000-0000-000028680000}"/>
    <cellStyle name="Header2 6 3 8 2 3 4" xfId="26615" xr:uid="{00000000-0005-0000-0000-000029680000}"/>
    <cellStyle name="Header2 6 3 8 2 4" xfId="26616" xr:uid="{00000000-0005-0000-0000-00002A680000}"/>
    <cellStyle name="Header2 6 3 8 2 5" xfId="26617" xr:uid="{00000000-0005-0000-0000-00002B680000}"/>
    <cellStyle name="Header2 6 3 8 2 6" xfId="26618" xr:uid="{00000000-0005-0000-0000-00002C680000}"/>
    <cellStyle name="Header2 6 3 8 3" xfId="26619" xr:uid="{00000000-0005-0000-0000-00002D680000}"/>
    <cellStyle name="Header2 6 3 8 3 2" xfId="26620" xr:uid="{00000000-0005-0000-0000-00002E680000}"/>
    <cellStyle name="Header2 6 3 8 3 2 2" xfId="26621" xr:uid="{00000000-0005-0000-0000-00002F680000}"/>
    <cellStyle name="Header2 6 3 8 3 2 3" xfId="26622" xr:uid="{00000000-0005-0000-0000-000030680000}"/>
    <cellStyle name="Header2 6 3 8 3 2 4" xfId="26623" xr:uid="{00000000-0005-0000-0000-000031680000}"/>
    <cellStyle name="Header2 6 3 8 3 3" xfId="26624" xr:uid="{00000000-0005-0000-0000-000032680000}"/>
    <cellStyle name="Header2 6 3 8 3 3 2" xfId="26625" xr:uid="{00000000-0005-0000-0000-000033680000}"/>
    <cellStyle name="Header2 6 3 8 3 3 3" xfId="26626" xr:uid="{00000000-0005-0000-0000-000034680000}"/>
    <cellStyle name="Header2 6 3 8 3 3 4" xfId="26627" xr:uid="{00000000-0005-0000-0000-000035680000}"/>
    <cellStyle name="Header2 6 3 8 3 4" xfId="26628" xr:uid="{00000000-0005-0000-0000-000036680000}"/>
    <cellStyle name="Header2 6 3 8 3 5" xfId="26629" xr:uid="{00000000-0005-0000-0000-000037680000}"/>
    <cellStyle name="Header2 6 3 8 3 6" xfId="26630" xr:uid="{00000000-0005-0000-0000-000038680000}"/>
    <cellStyle name="Header2 6 3 8 4" xfId="26631" xr:uid="{00000000-0005-0000-0000-000039680000}"/>
    <cellStyle name="Header2 6 3 8 5" xfId="26632" xr:uid="{00000000-0005-0000-0000-00003A680000}"/>
    <cellStyle name="Header2 6 3 9" xfId="26633" xr:uid="{00000000-0005-0000-0000-00003B680000}"/>
    <cellStyle name="Header2 6 3 9 2" xfId="26634" xr:uid="{00000000-0005-0000-0000-00003C680000}"/>
    <cellStyle name="Header2 6 3 9 2 2" xfId="26635" xr:uid="{00000000-0005-0000-0000-00003D680000}"/>
    <cellStyle name="Header2 6 3 9 2 2 2" xfId="26636" xr:uid="{00000000-0005-0000-0000-00003E680000}"/>
    <cellStyle name="Header2 6 3 9 2 2 3" xfId="26637" xr:uid="{00000000-0005-0000-0000-00003F680000}"/>
    <cellStyle name="Header2 6 3 9 2 2 4" xfId="26638" xr:uid="{00000000-0005-0000-0000-000040680000}"/>
    <cellStyle name="Header2 6 3 9 2 2 5" xfId="26639" xr:uid="{00000000-0005-0000-0000-000041680000}"/>
    <cellStyle name="Header2 6 3 9 2 3" xfId="26640" xr:uid="{00000000-0005-0000-0000-000042680000}"/>
    <cellStyle name="Header2 6 3 9 2 3 2" xfId="26641" xr:uid="{00000000-0005-0000-0000-000043680000}"/>
    <cellStyle name="Header2 6 3 9 2 3 3" xfId="26642" xr:uid="{00000000-0005-0000-0000-000044680000}"/>
    <cellStyle name="Header2 6 3 9 2 3 4" xfId="26643" xr:uid="{00000000-0005-0000-0000-000045680000}"/>
    <cellStyle name="Header2 6 3 9 2 4" xfId="26644" xr:uid="{00000000-0005-0000-0000-000046680000}"/>
    <cellStyle name="Header2 6 3 9 2 5" xfId="26645" xr:uid="{00000000-0005-0000-0000-000047680000}"/>
    <cellStyle name="Header2 6 3 9 2 6" xfId="26646" xr:uid="{00000000-0005-0000-0000-000048680000}"/>
    <cellStyle name="Header2 6 3 9 3" xfId="26647" xr:uid="{00000000-0005-0000-0000-000049680000}"/>
    <cellStyle name="Header2 6 3 9 3 2" xfId="26648" xr:uid="{00000000-0005-0000-0000-00004A680000}"/>
    <cellStyle name="Header2 6 3 9 3 2 2" xfId="26649" xr:uid="{00000000-0005-0000-0000-00004B680000}"/>
    <cellStyle name="Header2 6 3 9 3 2 3" xfId="26650" xr:uid="{00000000-0005-0000-0000-00004C680000}"/>
    <cellStyle name="Header2 6 3 9 3 2 4" xfId="26651" xr:uid="{00000000-0005-0000-0000-00004D680000}"/>
    <cellStyle name="Header2 6 3 9 3 3" xfId="26652" xr:uid="{00000000-0005-0000-0000-00004E680000}"/>
    <cellStyle name="Header2 6 3 9 3 3 2" xfId="26653" xr:uid="{00000000-0005-0000-0000-00004F680000}"/>
    <cellStyle name="Header2 6 3 9 3 3 3" xfId="26654" xr:uid="{00000000-0005-0000-0000-000050680000}"/>
    <cellStyle name="Header2 6 3 9 3 3 4" xfId="26655" xr:uid="{00000000-0005-0000-0000-000051680000}"/>
    <cellStyle name="Header2 6 3 9 3 4" xfId="26656" xr:uid="{00000000-0005-0000-0000-000052680000}"/>
    <cellStyle name="Header2 6 3 9 3 5" xfId="26657" xr:uid="{00000000-0005-0000-0000-000053680000}"/>
    <cellStyle name="Header2 6 3 9 3 6" xfId="26658" xr:uid="{00000000-0005-0000-0000-000054680000}"/>
    <cellStyle name="Header2 6 3 9 4" xfId="26659" xr:uid="{00000000-0005-0000-0000-000055680000}"/>
    <cellStyle name="Header2 6 3 9 5" xfId="26660" xr:uid="{00000000-0005-0000-0000-000056680000}"/>
    <cellStyle name="Header2 7" xfId="26661" xr:uid="{00000000-0005-0000-0000-000057680000}"/>
    <cellStyle name="Header2 7 2" xfId="26662" xr:uid="{00000000-0005-0000-0000-000058680000}"/>
    <cellStyle name="Header2 7 2 10" xfId="26663" xr:uid="{00000000-0005-0000-0000-000059680000}"/>
    <cellStyle name="Header2 7 2 10 2" xfId="26664" xr:uid="{00000000-0005-0000-0000-00005A680000}"/>
    <cellStyle name="Header2 7 2 10 2 2" xfId="26665" xr:uid="{00000000-0005-0000-0000-00005B680000}"/>
    <cellStyle name="Header2 7 2 10 2 2 2" xfId="26666" xr:uid="{00000000-0005-0000-0000-00005C680000}"/>
    <cellStyle name="Header2 7 2 10 2 2 3" xfId="26667" xr:uid="{00000000-0005-0000-0000-00005D680000}"/>
    <cellStyle name="Header2 7 2 10 2 2 4" xfId="26668" xr:uid="{00000000-0005-0000-0000-00005E680000}"/>
    <cellStyle name="Header2 7 2 10 2 2 5" xfId="26669" xr:uid="{00000000-0005-0000-0000-00005F680000}"/>
    <cellStyle name="Header2 7 2 10 2 3" xfId="26670" xr:uid="{00000000-0005-0000-0000-000060680000}"/>
    <cellStyle name="Header2 7 2 10 2 3 2" xfId="26671" xr:uid="{00000000-0005-0000-0000-000061680000}"/>
    <cellStyle name="Header2 7 2 10 2 3 3" xfId="26672" xr:uid="{00000000-0005-0000-0000-000062680000}"/>
    <cellStyle name="Header2 7 2 10 2 3 4" xfId="26673" xr:uid="{00000000-0005-0000-0000-000063680000}"/>
    <cellStyle name="Header2 7 2 10 2 4" xfId="26674" xr:uid="{00000000-0005-0000-0000-000064680000}"/>
    <cellStyle name="Header2 7 2 10 2 5" xfId="26675" xr:uid="{00000000-0005-0000-0000-000065680000}"/>
    <cellStyle name="Header2 7 2 10 2 6" xfId="26676" xr:uid="{00000000-0005-0000-0000-000066680000}"/>
    <cellStyle name="Header2 7 2 10 3" xfId="26677" xr:uid="{00000000-0005-0000-0000-000067680000}"/>
    <cellStyle name="Header2 7 2 10 3 2" xfId="26678" xr:uid="{00000000-0005-0000-0000-000068680000}"/>
    <cellStyle name="Header2 7 2 10 3 2 2" xfId="26679" xr:uid="{00000000-0005-0000-0000-000069680000}"/>
    <cellStyle name="Header2 7 2 10 3 2 3" xfId="26680" xr:uid="{00000000-0005-0000-0000-00006A680000}"/>
    <cellStyle name="Header2 7 2 10 3 2 4" xfId="26681" xr:uid="{00000000-0005-0000-0000-00006B680000}"/>
    <cellStyle name="Header2 7 2 10 3 3" xfId="26682" xr:uid="{00000000-0005-0000-0000-00006C680000}"/>
    <cellStyle name="Header2 7 2 10 3 3 2" xfId="26683" xr:uid="{00000000-0005-0000-0000-00006D680000}"/>
    <cellStyle name="Header2 7 2 10 3 3 3" xfId="26684" xr:uid="{00000000-0005-0000-0000-00006E680000}"/>
    <cellStyle name="Header2 7 2 10 3 3 4" xfId="26685" xr:uid="{00000000-0005-0000-0000-00006F680000}"/>
    <cellStyle name="Header2 7 2 10 3 4" xfId="26686" xr:uid="{00000000-0005-0000-0000-000070680000}"/>
    <cellStyle name="Header2 7 2 10 3 5" xfId="26687" xr:uid="{00000000-0005-0000-0000-000071680000}"/>
    <cellStyle name="Header2 7 2 10 3 6" xfId="26688" xr:uid="{00000000-0005-0000-0000-000072680000}"/>
    <cellStyle name="Header2 7 2 10 4" xfId="26689" xr:uid="{00000000-0005-0000-0000-000073680000}"/>
    <cellStyle name="Header2 7 2 10 5" xfId="26690" xr:uid="{00000000-0005-0000-0000-000074680000}"/>
    <cellStyle name="Header2 7 2 11" xfId="26691" xr:uid="{00000000-0005-0000-0000-000075680000}"/>
    <cellStyle name="Header2 7 2 11 2" xfId="26692" xr:uid="{00000000-0005-0000-0000-000076680000}"/>
    <cellStyle name="Header2 7 2 11 2 2" xfId="26693" xr:uid="{00000000-0005-0000-0000-000077680000}"/>
    <cellStyle name="Header2 7 2 11 2 2 2" xfId="26694" xr:uid="{00000000-0005-0000-0000-000078680000}"/>
    <cellStyle name="Header2 7 2 11 2 2 3" xfId="26695" xr:uid="{00000000-0005-0000-0000-000079680000}"/>
    <cellStyle name="Header2 7 2 11 2 2 4" xfId="26696" xr:uid="{00000000-0005-0000-0000-00007A680000}"/>
    <cellStyle name="Header2 7 2 11 2 2 5" xfId="26697" xr:uid="{00000000-0005-0000-0000-00007B680000}"/>
    <cellStyle name="Header2 7 2 11 2 3" xfId="26698" xr:uid="{00000000-0005-0000-0000-00007C680000}"/>
    <cellStyle name="Header2 7 2 11 2 3 2" xfId="26699" xr:uid="{00000000-0005-0000-0000-00007D680000}"/>
    <cellStyle name="Header2 7 2 11 2 3 3" xfId="26700" xr:uid="{00000000-0005-0000-0000-00007E680000}"/>
    <cellStyle name="Header2 7 2 11 2 3 4" xfId="26701" xr:uid="{00000000-0005-0000-0000-00007F680000}"/>
    <cellStyle name="Header2 7 2 11 2 4" xfId="26702" xr:uid="{00000000-0005-0000-0000-000080680000}"/>
    <cellStyle name="Header2 7 2 11 2 5" xfId="26703" xr:uid="{00000000-0005-0000-0000-000081680000}"/>
    <cellStyle name="Header2 7 2 11 2 6" xfId="26704" xr:uid="{00000000-0005-0000-0000-000082680000}"/>
    <cellStyle name="Header2 7 2 11 3" xfId="26705" xr:uid="{00000000-0005-0000-0000-000083680000}"/>
    <cellStyle name="Header2 7 2 11 3 2" xfId="26706" xr:uid="{00000000-0005-0000-0000-000084680000}"/>
    <cellStyle name="Header2 7 2 11 3 2 2" xfId="26707" xr:uid="{00000000-0005-0000-0000-000085680000}"/>
    <cellStyle name="Header2 7 2 11 3 2 3" xfId="26708" xr:uid="{00000000-0005-0000-0000-000086680000}"/>
    <cellStyle name="Header2 7 2 11 3 2 4" xfId="26709" xr:uid="{00000000-0005-0000-0000-000087680000}"/>
    <cellStyle name="Header2 7 2 11 3 3" xfId="26710" xr:uid="{00000000-0005-0000-0000-000088680000}"/>
    <cellStyle name="Header2 7 2 11 3 3 2" xfId="26711" xr:uid="{00000000-0005-0000-0000-000089680000}"/>
    <cellStyle name="Header2 7 2 11 3 3 3" xfId="26712" xr:uid="{00000000-0005-0000-0000-00008A680000}"/>
    <cellStyle name="Header2 7 2 11 3 3 4" xfId="26713" xr:uid="{00000000-0005-0000-0000-00008B680000}"/>
    <cellStyle name="Header2 7 2 11 3 4" xfId="26714" xr:uid="{00000000-0005-0000-0000-00008C680000}"/>
    <cellStyle name="Header2 7 2 11 3 5" xfId="26715" xr:uid="{00000000-0005-0000-0000-00008D680000}"/>
    <cellStyle name="Header2 7 2 11 3 6" xfId="26716" xr:uid="{00000000-0005-0000-0000-00008E680000}"/>
    <cellStyle name="Header2 7 2 11 4" xfId="26717" xr:uid="{00000000-0005-0000-0000-00008F680000}"/>
    <cellStyle name="Header2 7 2 11 5" xfId="26718" xr:uid="{00000000-0005-0000-0000-000090680000}"/>
    <cellStyle name="Header2 7 2 12" xfId="26719" xr:uid="{00000000-0005-0000-0000-000091680000}"/>
    <cellStyle name="Header2 7 2 12 2" xfId="26720" xr:uid="{00000000-0005-0000-0000-000092680000}"/>
    <cellStyle name="Header2 7 2 12 2 2" xfId="26721" xr:uid="{00000000-0005-0000-0000-000093680000}"/>
    <cellStyle name="Header2 7 2 12 2 2 2" xfId="26722" xr:uid="{00000000-0005-0000-0000-000094680000}"/>
    <cellStyle name="Header2 7 2 12 2 2 3" xfId="26723" xr:uid="{00000000-0005-0000-0000-000095680000}"/>
    <cellStyle name="Header2 7 2 12 2 2 4" xfId="26724" xr:uid="{00000000-0005-0000-0000-000096680000}"/>
    <cellStyle name="Header2 7 2 12 2 2 5" xfId="26725" xr:uid="{00000000-0005-0000-0000-000097680000}"/>
    <cellStyle name="Header2 7 2 12 2 3" xfId="26726" xr:uid="{00000000-0005-0000-0000-000098680000}"/>
    <cellStyle name="Header2 7 2 12 2 3 2" xfId="26727" xr:uid="{00000000-0005-0000-0000-000099680000}"/>
    <cellStyle name="Header2 7 2 12 2 3 3" xfId="26728" xr:uid="{00000000-0005-0000-0000-00009A680000}"/>
    <cellStyle name="Header2 7 2 12 2 3 4" xfId="26729" xr:uid="{00000000-0005-0000-0000-00009B680000}"/>
    <cellStyle name="Header2 7 2 12 2 4" xfId="26730" xr:uid="{00000000-0005-0000-0000-00009C680000}"/>
    <cellStyle name="Header2 7 2 12 2 5" xfId="26731" xr:uid="{00000000-0005-0000-0000-00009D680000}"/>
    <cellStyle name="Header2 7 2 12 2 6" xfId="26732" xr:uid="{00000000-0005-0000-0000-00009E680000}"/>
    <cellStyle name="Header2 7 2 12 3" xfId="26733" xr:uid="{00000000-0005-0000-0000-00009F680000}"/>
    <cellStyle name="Header2 7 2 12 3 2" xfId="26734" xr:uid="{00000000-0005-0000-0000-0000A0680000}"/>
    <cellStyle name="Header2 7 2 12 3 2 2" xfId="26735" xr:uid="{00000000-0005-0000-0000-0000A1680000}"/>
    <cellStyle name="Header2 7 2 12 3 2 3" xfId="26736" xr:uid="{00000000-0005-0000-0000-0000A2680000}"/>
    <cellStyle name="Header2 7 2 12 3 2 4" xfId="26737" xr:uid="{00000000-0005-0000-0000-0000A3680000}"/>
    <cellStyle name="Header2 7 2 12 3 3" xfId="26738" xr:uid="{00000000-0005-0000-0000-0000A4680000}"/>
    <cellStyle name="Header2 7 2 12 3 3 2" xfId="26739" xr:uid="{00000000-0005-0000-0000-0000A5680000}"/>
    <cellStyle name="Header2 7 2 12 3 3 3" xfId="26740" xr:uid="{00000000-0005-0000-0000-0000A6680000}"/>
    <cellStyle name="Header2 7 2 12 3 3 4" xfId="26741" xr:uid="{00000000-0005-0000-0000-0000A7680000}"/>
    <cellStyle name="Header2 7 2 12 3 4" xfId="26742" xr:uid="{00000000-0005-0000-0000-0000A8680000}"/>
    <cellStyle name="Header2 7 2 12 3 5" xfId="26743" xr:uid="{00000000-0005-0000-0000-0000A9680000}"/>
    <cellStyle name="Header2 7 2 12 3 6" xfId="26744" xr:uid="{00000000-0005-0000-0000-0000AA680000}"/>
    <cellStyle name="Header2 7 2 12 4" xfId="26745" xr:uid="{00000000-0005-0000-0000-0000AB680000}"/>
    <cellStyle name="Header2 7 2 12 5" xfId="26746" xr:uid="{00000000-0005-0000-0000-0000AC680000}"/>
    <cellStyle name="Header2 7 2 13" xfId="26747" xr:uid="{00000000-0005-0000-0000-0000AD680000}"/>
    <cellStyle name="Header2 7 2 13 2" xfId="26748" xr:uid="{00000000-0005-0000-0000-0000AE680000}"/>
    <cellStyle name="Header2 7 2 13 2 2" xfId="26749" xr:uid="{00000000-0005-0000-0000-0000AF680000}"/>
    <cellStyle name="Header2 7 2 13 2 2 2" xfId="26750" xr:uid="{00000000-0005-0000-0000-0000B0680000}"/>
    <cellStyle name="Header2 7 2 13 2 2 3" xfId="26751" xr:uid="{00000000-0005-0000-0000-0000B1680000}"/>
    <cellStyle name="Header2 7 2 13 2 2 4" xfId="26752" xr:uid="{00000000-0005-0000-0000-0000B2680000}"/>
    <cellStyle name="Header2 7 2 13 2 2 5" xfId="26753" xr:uid="{00000000-0005-0000-0000-0000B3680000}"/>
    <cellStyle name="Header2 7 2 13 2 3" xfId="26754" xr:uid="{00000000-0005-0000-0000-0000B4680000}"/>
    <cellStyle name="Header2 7 2 13 2 3 2" xfId="26755" xr:uid="{00000000-0005-0000-0000-0000B5680000}"/>
    <cellStyle name="Header2 7 2 13 2 3 3" xfId="26756" xr:uid="{00000000-0005-0000-0000-0000B6680000}"/>
    <cellStyle name="Header2 7 2 13 2 3 4" xfId="26757" xr:uid="{00000000-0005-0000-0000-0000B7680000}"/>
    <cellStyle name="Header2 7 2 13 2 4" xfId="26758" xr:uid="{00000000-0005-0000-0000-0000B8680000}"/>
    <cellStyle name="Header2 7 2 13 2 5" xfId="26759" xr:uid="{00000000-0005-0000-0000-0000B9680000}"/>
    <cellStyle name="Header2 7 2 13 2 6" xfId="26760" xr:uid="{00000000-0005-0000-0000-0000BA680000}"/>
    <cellStyle name="Header2 7 2 13 3" xfId="26761" xr:uid="{00000000-0005-0000-0000-0000BB680000}"/>
    <cellStyle name="Header2 7 2 13 3 2" xfId="26762" xr:uid="{00000000-0005-0000-0000-0000BC680000}"/>
    <cellStyle name="Header2 7 2 13 3 2 2" xfId="26763" xr:uid="{00000000-0005-0000-0000-0000BD680000}"/>
    <cellStyle name="Header2 7 2 13 3 2 3" xfId="26764" xr:uid="{00000000-0005-0000-0000-0000BE680000}"/>
    <cellStyle name="Header2 7 2 13 3 2 4" xfId="26765" xr:uid="{00000000-0005-0000-0000-0000BF680000}"/>
    <cellStyle name="Header2 7 2 13 3 3" xfId="26766" xr:uid="{00000000-0005-0000-0000-0000C0680000}"/>
    <cellStyle name="Header2 7 2 13 3 3 2" xfId="26767" xr:uid="{00000000-0005-0000-0000-0000C1680000}"/>
    <cellStyle name="Header2 7 2 13 3 3 3" xfId="26768" xr:uid="{00000000-0005-0000-0000-0000C2680000}"/>
    <cellStyle name="Header2 7 2 13 3 3 4" xfId="26769" xr:uid="{00000000-0005-0000-0000-0000C3680000}"/>
    <cellStyle name="Header2 7 2 13 3 4" xfId="26770" xr:uid="{00000000-0005-0000-0000-0000C4680000}"/>
    <cellStyle name="Header2 7 2 13 3 5" xfId="26771" xr:uid="{00000000-0005-0000-0000-0000C5680000}"/>
    <cellStyle name="Header2 7 2 13 3 6" xfId="26772" xr:uid="{00000000-0005-0000-0000-0000C6680000}"/>
    <cellStyle name="Header2 7 2 13 4" xfId="26773" xr:uid="{00000000-0005-0000-0000-0000C7680000}"/>
    <cellStyle name="Header2 7 2 13 5" xfId="26774" xr:uid="{00000000-0005-0000-0000-0000C8680000}"/>
    <cellStyle name="Header2 7 2 14" xfId="58768" xr:uid="{00000000-0005-0000-0000-0000C9680000}"/>
    <cellStyle name="Header2 7 2 2" xfId="26775" xr:uid="{00000000-0005-0000-0000-0000CA680000}"/>
    <cellStyle name="Header2 7 2 2 2" xfId="26776" xr:uid="{00000000-0005-0000-0000-0000CB680000}"/>
    <cellStyle name="Header2 7 2 2 2 2" xfId="26777" xr:uid="{00000000-0005-0000-0000-0000CC680000}"/>
    <cellStyle name="Header2 7 2 2 2 2 2" xfId="26778" xr:uid="{00000000-0005-0000-0000-0000CD680000}"/>
    <cellStyle name="Header2 7 2 2 2 2 2 2" xfId="26779" xr:uid="{00000000-0005-0000-0000-0000CE680000}"/>
    <cellStyle name="Header2 7 2 2 2 2 2 3" xfId="26780" xr:uid="{00000000-0005-0000-0000-0000CF680000}"/>
    <cellStyle name="Header2 7 2 2 2 2 2 4" xfId="26781" xr:uid="{00000000-0005-0000-0000-0000D0680000}"/>
    <cellStyle name="Header2 7 2 2 2 2 2 5" xfId="26782" xr:uid="{00000000-0005-0000-0000-0000D1680000}"/>
    <cellStyle name="Header2 7 2 2 2 2 3" xfId="26783" xr:uid="{00000000-0005-0000-0000-0000D2680000}"/>
    <cellStyle name="Header2 7 2 2 2 2 3 2" xfId="26784" xr:uid="{00000000-0005-0000-0000-0000D3680000}"/>
    <cellStyle name="Header2 7 2 2 2 2 3 3" xfId="26785" xr:uid="{00000000-0005-0000-0000-0000D4680000}"/>
    <cellStyle name="Header2 7 2 2 2 2 3 4" xfId="26786" xr:uid="{00000000-0005-0000-0000-0000D5680000}"/>
    <cellStyle name="Header2 7 2 2 2 2 4" xfId="26787" xr:uid="{00000000-0005-0000-0000-0000D6680000}"/>
    <cellStyle name="Header2 7 2 2 2 2 5" xfId="26788" xr:uid="{00000000-0005-0000-0000-0000D7680000}"/>
    <cellStyle name="Header2 7 2 2 2 2 6" xfId="26789" xr:uid="{00000000-0005-0000-0000-0000D8680000}"/>
    <cellStyle name="Header2 7 2 2 2 3" xfId="26790" xr:uid="{00000000-0005-0000-0000-0000D9680000}"/>
    <cellStyle name="Header2 7 2 2 2 3 2" xfId="26791" xr:uid="{00000000-0005-0000-0000-0000DA680000}"/>
    <cellStyle name="Header2 7 2 2 2 3 2 2" xfId="26792" xr:uid="{00000000-0005-0000-0000-0000DB680000}"/>
    <cellStyle name="Header2 7 2 2 2 3 2 3" xfId="26793" xr:uid="{00000000-0005-0000-0000-0000DC680000}"/>
    <cellStyle name="Header2 7 2 2 2 3 2 4" xfId="26794" xr:uid="{00000000-0005-0000-0000-0000DD680000}"/>
    <cellStyle name="Header2 7 2 2 2 3 3" xfId="26795" xr:uid="{00000000-0005-0000-0000-0000DE680000}"/>
    <cellStyle name="Header2 7 2 2 2 3 3 2" xfId="26796" xr:uid="{00000000-0005-0000-0000-0000DF680000}"/>
    <cellStyle name="Header2 7 2 2 2 3 3 3" xfId="26797" xr:uid="{00000000-0005-0000-0000-0000E0680000}"/>
    <cellStyle name="Header2 7 2 2 2 3 3 4" xfId="26798" xr:uid="{00000000-0005-0000-0000-0000E1680000}"/>
    <cellStyle name="Header2 7 2 2 2 3 4" xfId="26799" xr:uid="{00000000-0005-0000-0000-0000E2680000}"/>
    <cellStyle name="Header2 7 2 2 2 3 5" xfId="26800" xr:uid="{00000000-0005-0000-0000-0000E3680000}"/>
    <cellStyle name="Header2 7 2 2 2 3 6" xfId="26801" xr:uid="{00000000-0005-0000-0000-0000E4680000}"/>
    <cellStyle name="Header2 7 2 2 2 4" xfId="26802" xr:uid="{00000000-0005-0000-0000-0000E5680000}"/>
    <cellStyle name="Header2 7 2 2 2 5" xfId="26803" xr:uid="{00000000-0005-0000-0000-0000E6680000}"/>
    <cellStyle name="Header2 7 2 2 3" xfId="26804" xr:uid="{00000000-0005-0000-0000-0000E7680000}"/>
    <cellStyle name="Header2 7 2 2 3 2" xfId="26805" xr:uid="{00000000-0005-0000-0000-0000E8680000}"/>
    <cellStyle name="Header2 7 2 2 3 2 2" xfId="26806" xr:uid="{00000000-0005-0000-0000-0000E9680000}"/>
    <cellStyle name="Header2 7 2 2 3 2 2 2" xfId="26807" xr:uid="{00000000-0005-0000-0000-0000EA680000}"/>
    <cellStyle name="Header2 7 2 2 3 2 2 3" xfId="26808" xr:uid="{00000000-0005-0000-0000-0000EB680000}"/>
    <cellStyle name="Header2 7 2 2 3 2 2 4" xfId="26809" xr:uid="{00000000-0005-0000-0000-0000EC680000}"/>
    <cellStyle name="Header2 7 2 2 3 2 2 5" xfId="26810" xr:uid="{00000000-0005-0000-0000-0000ED680000}"/>
    <cellStyle name="Header2 7 2 2 3 2 3" xfId="26811" xr:uid="{00000000-0005-0000-0000-0000EE680000}"/>
    <cellStyle name="Header2 7 2 2 3 2 3 2" xfId="26812" xr:uid="{00000000-0005-0000-0000-0000EF680000}"/>
    <cellStyle name="Header2 7 2 2 3 2 3 3" xfId="26813" xr:uid="{00000000-0005-0000-0000-0000F0680000}"/>
    <cellStyle name="Header2 7 2 2 3 2 3 4" xfId="26814" xr:uid="{00000000-0005-0000-0000-0000F1680000}"/>
    <cellStyle name="Header2 7 2 2 3 2 4" xfId="26815" xr:uid="{00000000-0005-0000-0000-0000F2680000}"/>
    <cellStyle name="Header2 7 2 2 3 2 5" xfId="26816" xr:uid="{00000000-0005-0000-0000-0000F3680000}"/>
    <cellStyle name="Header2 7 2 2 3 2 6" xfId="26817" xr:uid="{00000000-0005-0000-0000-0000F4680000}"/>
    <cellStyle name="Header2 7 2 2 3 3" xfId="26818" xr:uid="{00000000-0005-0000-0000-0000F5680000}"/>
    <cellStyle name="Header2 7 2 2 3 3 2" xfId="26819" xr:uid="{00000000-0005-0000-0000-0000F6680000}"/>
    <cellStyle name="Header2 7 2 2 3 3 2 2" xfId="26820" xr:uid="{00000000-0005-0000-0000-0000F7680000}"/>
    <cellStyle name="Header2 7 2 2 3 3 2 3" xfId="26821" xr:uid="{00000000-0005-0000-0000-0000F8680000}"/>
    <cellStyle name="Header2 7 2 2 3 3 2 4" xfId="26822" xr:uid="{00000000-0005-0000-0000-0000F9680000}"/>
    <cellStyle name="Header2 7 2 2 3 3 3" xfId="26823" xr:uid="{00000000-0005-0000-0000-0000FA680000}"/>
    <cellStyle name="Header2 7 2 2 3 3 3 2" xfId="26824" xr:uid="{00000000-0005-0000-0000-0000FB680000}"/>
    <cellStyle name="Header2 7 2 2 3 3 3 3" xfId="26825" xr:uid="{00000000-0005-0000-0000-0000FC680000}"/>
    <cellStyle name="Header2 7 2 2 3 3 3 4" xfId="26826" xr:uid="{00000000-0005-0000-0000-0000FD680000}"/>
    <cellStyle name="Header2 7 2 2 3 3 4" xfId="26827" xr:uid="{00000000-0005-0000-0000-0000FE680000}"/>
    <cellStyle name="Header2 7 2 2 3 3 5" xfId="26828" xr:uid="{00000000-0005-0000-0000-0000FF680000}"/>
    <cellStyle name="Header2 7 2 2 3 3 6" xfId="26829" xr:uid="{00000000-0005-0000-0000-000000690000}"/>
    <cellStyle name="Header2 7 2 2 3 4" xfId="26830" xr:uid="{00000000-0005-0000-0000-000001690000}"/>
    <cellStyle name="Header2 7 2 2 3 5" xfId="26831" xr:uid="{00000000-0005-0000-0000-000002690000}"/>
    <cellStyle name="Header2 7 2 3" xfId="26832" xr:uid="{00000000-0005-0000-0000-000003690000}"/>
    <cellStyle name="Header2 7 2 3 2" xfId="26833" xr:uid="{00000000-0005-0000-0000-000004690000}"/>
    <cellStyle name="Header2 7 2 3 2 2" xfId="26834" xr:uid="{00000000-0005-0000-0000-000005690000}"/>
    <cellStyle name="Header2 7 2 3 2 3" xfId="26835" xr:uid="{00000000-0005-0000-0000-000006690000}"/>
    <cellStyle name="Header2 7 2 3 3" xfId="26836" xr:uid="{00000000-0005-0000-0000-000007690000}"/>
    <cellStyle name="Header2 7 2 4" xfId="26837" xr:uid="{00000000-0005-0000-0000-000008690000}"/>
    <cellStyle name="Header2 7 2 4 2" xfId="26838" xr:uid="{00000000-0005-0000-0000-000009690000}"/>
    <cellStyle name="Header2 7 2 4 2 2" xfId="26839" xr:uid="{00000000-0005-0000-0000-00000A690000}"/>
    <cellStyle name="Header2 7 2 4 2 3" xfId="26840" xr:uid="{00000000-0005-0000-0000-00000B690000}"/>
    <cellStyle name="Header2 7 2 4 3" xfId="26841" xr:uid="{00000000-0005-0000-0000-00000C690000}"/>
    <cellStyle name="Header2 7 2 5" xfId="26842" xr:uid="{00000000-0005-0000-0000-00000D690000}"/>
    <cellStyle name="Header2 7 2 5 2" xfId="26843" xr:uid="{00000000-0005-0000-0000-00000E690000}"/>
    <cellStyle name="Header2 7 2 5 2 2" xfId="26844" xr:uid="{00000000-0005-0000-0000-00000F690000}"/>
    <cellStyle name="Header2 7 2 5 2 3" xfId="26845" xr:uid="{00000000-0005-0000-0000-000010690000}"/>
    <cellStyle name="Header2 7 2 5 3" xfId="26846" xr:uid="{00000000-0005-0000-0000-000011690000}"/>
    <cellStyle name="Header2 7 2 6" xfId="26847" xr:uid="{00000000-0005-0000-0000-000012690000}"/>
    <cellStyle name="Header2 7 2 6 2" xfId="26848" xr:uid="{00000000-0005-0000-0000-000013690000}"/>
    <cellStyle name="Header2 7 2 6 2 2" xfId="26849" xr:uid="{00000000-0005-0000-0000-000014690000}"/>
    <cellStyle name="Header2 7 2 6 2 2 2" xfId="26850" xr:uid="{00000000-0005-0000-0000-000015690000}"/>
    <cellStyle name="Header2 7 2 6 2 2 3" xfId="26851" xr:uid="{00000000-0005-0000-0000-000016690000}"/>
    <cellStyle name="Header2 7 2 6 2 2 4" xfId="26852" xr:uid="{00000000-0005-0000-0000-000017690000}"/>
    <cellStyle name="Header2 7 2 6 2 2 5" xfId="26853" xr:uid="{00000000-0005-0000-0000-000018690000}"/>
    <cellStyle name="Header2 7 2 6 2 3" xfId="26854" xr:uid="{00000000-0005-0000-0000-000019690000}"/>
    <cellStyle name="Header2 7 2 6 2 3 2" xfId="26855" xr:uid="{00000000-0005-0000-0000-00001A690000}"/>
    <cellStyle name="Header2 7 2 6 2 3 3" xfId="26856" xr:uid="{00000000-0005-0000-0000-00001B690000}"/>
    <cellStyle name="Header2 7 2 6 2 3 4" xfId="26857" xr:uid="{00000000-0005-0000-0000-00001C690000}"/>
    <cellStyle name="Header2 7 2 6 2 4" xfId="26858" xr:uid="{00000000-0005-0000-0000-00001D690000}"/>
    <cellStyle name="Header2 7 2 6 2 5" xfId="26859" xr:uid="{00000000-0005-0000-0000-00001E690000}"/>
    <cellStyle name="Header2 7 2 6 2 6" xfId="26860" xr:uid="{00000000-0005-0000-0000-00001F690000}"/>
    <cellStyle name="Header2 7 2 6 3" xfId="26861" xr:uid="{00000000-0005-0000-0000-000020690000}"/>
    <cellStyle name="Header2 7 2 6 3 2" xfId="26862" xr:uid="{00000000-0005-0000-0000-000021690000}"/>
    <cellStyle name="Header2 7 2 6 3 2 2" xfId="26863" xr:uid="{00000000-0005-0000-0000-000022690000}"/>
    <cellStyle name="Header2 7 2 6 3 2 3" xfId="26864" xr:uid="{00000000-0005-0000-0000-000023690000}"/>
    <cellStyle name="Header2 7 2 6 3 2 4" xfId="26865" xr:uid="{00000000-0005-0000-0000-000024690000}"/>
    <cellStyle name="Header2 7 2 6 3 3" xfId="26866" xr:uid="{00000000-0005-0000-0000-000025690000}"/>
    <cellStyle name="Header2 7 2 6 3 3 2" xfId="26867" xr:uid="{00000000-0005-0000-0000-000026690000}"/>
    <cellStyle name="Header2 7 2 6 3 3 3" xfId="26868" xr:uid="{00000000-0005-0000-0000-000027690000}"/>
    <cellStyle name="Header2 7 2 6 3 3 4" xfId="26869" xr:uid="{00000000-0005-0000-0000-000028690000}"/>
    <cellStyle name="Header2 7 2 6 3 4" xfId="26870" xr:uid="{00000000-0005-0000-0000-000029690000}"/>
    <cellStyle name="Header2 7 2 6 3 5" xfId="26871" xr:uid="{00000000-0005-0000-0000-00002A690000}"/>
    <cellStyle name="Header2 7 2 6 3 6" xfId="26872" xr:uid="{00000000-0005-0000-0000-00002B690000}"/>
    <cellStyle name="Header2 7 2 6 4" xfId="26873" xr:uid="{00000000-0005-0000-0000-00002C690000}"/>
    <cellStyle name="Header2 7 2 6 5" xfId="26874" xr:uid="{00000000-0005-0000-0000-00002D690000}"/>
    <cellStyle name="Header2 7 2 7" xfId="26875" xr:uid="{00000000-0005-0000-0000-00002E690000}"/>
    <cellStyle name="Header2 7 2 7 2" xfId="26876" xr:uid="{00000000-0005-0000-0000-00002F690000}"/>
    <cellStyle name="Header2 7 2 7 2 2" xfId="26877" xr:uid="{00000000-0005-0000-0000-000030690000}"/>
    <cellStyle name="Header2 7 2 7 2 2 2" xfId="26878" xr:uid="{00000000-0005-0000-0000-000031690000}"/>
    <cellStyle name="Header2 7 2 7 2 2 3" xfId="26879" xr:uid="{00000000-0005-0000-0000-000032690000}"/>
    <cellStyle name="Header2 7 2 7 2 2 4" xfId="26880" xr:uid="{00000000-0005-0000-0000-000033690000}"/>
    <cellStyle name="Header2 7 2 7 2 2 5" xfId="26881" xr:uid="{00000000-0005-0000-0000-000034690000}"/>
    <cellStyle name="Header2 7 2 7 2 3" xfId="26882" xr:uid="{00000000-0005-0000-0000-000035690000}"/>
    <cellStyle name="Header2 7 2 7 2 3 2" xfId="26883" xr:uid="{00000000-0005-0000-0000-000036690000}"/>
    <cellStyle name="Header2 7 2 7 2 3 3" xfId="26884" xr:uid="{00000000-0005-0000-0000-000037690000}"/>
    <cellStyle name="Header2 7 2 7 2 3 4" xfId="26885" xr:uid="{00000000-0005-0000-0000-000038690000}"/>
    <cellStyle name="Header2 7 2 7 2 4" xfId="26886" xr:uid="{00000000-0005-0000-0000-000039690000}"/>
    <cellStyle name="Header2 7 2 7 2 5" xfId="26887" xr:uid="{00000000-0005-0000-0000-00003A690000}"/>
    <cellStyle name="Header2 7 2 7 2 6" xfId="26888" xr:uid="{00000000-0005-0000-0000-00003B690000}"/>
    <cellStyle name="Header2 7 2 7 3" xfId="26889" xr:uid="{00000000-0005-0000-0000-00003C690000}"/>
    <cellStyle name="Header2 7 2 7 3 2" xfId="26890" xr:uid="{00000000-0005-0000-0000-00003D690000}"/>
    <cellStyle name="Header2 7 2 7 3 2 2" xfId="26891" xr:uid="{00000000-0005-0000-0000-00003E690000}"/>
    <cellStyle name="Header2 7 2 7 3 2 3" xfId="26892" xr:uid="{00000000-0005-0000-0000-00003F690000}"/>
    <cellStyle name="Header2 7 2 7 3 2 4" xfId="26893" xr:uid="{00000000-0005-0000-0000-000040690000}"/>
    <cellStyle name="Header2 7 2 7 3 3" xfId="26894" xr:uid="{00000000-0005-0000-0000-000041690000}"/>
    <cellStyle name="Header2 7 2 7 3 3 2" xfId="26895" xr:uid="{00000000-0005-0000-0000-000042690000}"/>
    <cellStyle name="Header2 7 2 7 3 3 3" xfId="26896" xr:uid="{00000000-0005-0000-0000-000043690000}"/>
    <cellStyle name="Header2 7 2 7 3 3 4" xfId="26897" xr:uid="{00000000-0005-0000-0000-000044690000}"/>
    <cellStyle name="Header2 7 2 7 3 4" xfId="26898" xr:uid="{00000000-0005-0000-0000-000045690000}"/>
    <cellStyle name="Header2 7 2 7 3 5" xfId="26899" xr:uid="{00000000-0005-0000-0000-000046690000}"/>
    <cellStyle name="Header2 7 2 7 3 6" xfId="26900" xr:uid="{00000000-0005-0000-0000-000047690000}"/>
    <cellStyle name="Header2 7 2 7 4" xfId="26901" xr:uid="{00000000-0005-0000-0000-000048690000}"/>
    <cellStyle name="Header2 7 2 7 5" xfId="26902" xr:uid="{00000000-0005-0000-0000-000049690000}"/>
    <cellStyle name="Header2 7 2 8" xfId="26903" xr:uid="{00000000-0005-0000-0000-00004A690000}"/>
    <cellStyle name="Header2 7 2 8 2" xfId="26904" xr:uid="{00000000-0005-0000-0000-00004B690000}"/>
    <cellStyle name="Header2 7 2 8 2 2" xfId="26905" xr:uid="{00000000-0005-0000-0000-00004C690000}"/>
    <cellStyle name="Header2 7 2 8 2 2 2" xfId="26906" xr:uid="{00000000-0005-0000-0000-00004D690000}"/>
    <cellStyle name="Header2 7 2 8 2 2 3" xfId="26907" xr:uid="{00000000-0005-0000-0000-00004E690000}"/>
    <cellStyle name="Header2 7 2 8 2 2 4" xfId="26908" xr:uid="{00000000-0005-0000-0000-00004F690000}"/>
    <cellStyle name="Header2 7 2 8 2 2 5" xfId="26909" xr:uid="{00000000-0005-0000-0000-000050690000}"/>
    <cellStyle name="Header2 7 2 8 2 3" xfId="26910" xr:uid="{00000000-0005-0000-0000-000051690000}"/>
    <cellStyle name="Header2 7 2 8 2 3 2" xfId="26911" xr:uid="{00000000-0005-0000-0000-000052690000}"/>
    <cellStyle name="Header2 7 2 8 2 3 3" xfId="26912" xr:uid="{00000000-0005-0000-0000-000053690000}"/>
    <cellStyle name="Header2 7 2 8 2 3 4" xfId="26913" xr:uid="{00000000-0005-0000-0000-000054690000}"/>
    <cellStyle name="Header2 7 2 8 2 4" xfId="26914" xr:uid="{00000000-0005-0000-0000-000055690000}"/>
    <cellStyle name="Header2 7 2 8 2 5" xfId="26915" xr:uid="{00000000-0005-0000-0000-000056690000}"/>
    <cellStyle name="Header2 7 2 8 2 6" xfId="26916" xr:uid="{00000000-0005-0000-0000-000057690000}"/>
    <cellStyle name="Header2 7 2 8 3" xfId="26917" xr:uid="{00000000-0005-0000-0000-000058690000}"/>
    <cellStyle name="Header2 7 2 8 3 2" xfId="26918" xr:uid="{00000000-0005-0000-0000-000059690000}"/>
    <cellStyle name="Header2 7 2 8 3 2 2" xfId="26919" xr:uid="{00000000-0005-0000-0000-00005A690000}"/>
    <cellStyle name="Header2 7 2 8 3 2 3" xfId="26920" xr:uid="{00000000-0005-0000-0000-00005B690000}"/>
    <cellStyle name="Header2 7 2 8 3 2 4" xfId="26921" xr:uid="{00000000-0005-0000-0000-00005C690000}"/>
    <cellStyle name="Header2 7 2 8 3 3" xfId="26922" xr:uid="{00000000-0005-0000-0000-00005D690000}"/>
    <cellStyle name="Header2 7 2 8 3 3 2" xfId="26923" xr:uid="{00000000-0005-0000-0000-00005E690000}"/>
    <cellStyle name="Header2 7 2 8 3 3 3" xfId="26924" xr:uid="{00000000-0005-0000-0000-00005F690000}"/>
    <cellStyle name="Header2 7 2 8 3 3 4" xfId="26925" xr:uid="{00000000-0005-0000-0000-000060690000}"/>
    <cellStyle name="Header2 7 2 8 3 4" xfId="26926" xr:uid="{00000000-0005-0000-0000-000061690000}"/>
    <cellStyle name="Header2 7 2 8 3 5" xfId="26927" xr:uid="{00000000-0005-0000-0000-000062690000}"/>
    <cellStyle name="Header2 7 2 8 3 6" xfId="26928" xr:uid="{00000000-0005-0000-0000-000063690000}"/>
    <cellStyle name="Header2 7 2 8 4" xfId="26929" xr:uid="{00000000-0005-0000-0000-000064690000}"/>
    <cellStyle name="Header2 7 2 8 5" xfId="26930" xr:uid="{00000000-0005-0000-0000-000065690000}"/>
    <cellStyle name="Header2 7 2 9" xfId="26931" xr:uid="{00000000-0005-0000-0000-000066690000}"/>
    <cellStyle name="Header2 7 2 9 2" xfId="26932" xr:uid="{00000000-0005-0000-0000-000067690000}"/>
    <cellStyle name="Header2 7 2 9 2 2" xfId="26933" xr:uid="{00000000-0005-0000-0000-000068690000}"/>
    <cellStyle name="Header2 7 2 9 2 2 2" xfId="26934" xr:uid="{00000000-0005-0000-0000-000069690000}"/>
    <cellStyle name="Header2 7 2 9 2 2 3" xfId="26935" xr:uid="{00000000-0005-0000-0000-00006A690000}"/>
    <cellStyle name="Header2 7 2 9 2 2 4" xfId="26936" xr:uid="{00000000-0005-0000-0000-00006B690000}"/>
    <cellStyle name="Header2 7 2 9 2 2 5" xfId="26937" xr:uid="{00000000-0005-0000-0000-00006C690000}"/>
    <cellStyle name="Header2 7 2 9 2 3" xfId="26938" xr:uid="{00000000-0005-0000-0000-00006D690000}"/>
    <cellStyle name="Header2 7 2 9 2 3 2" xfId="26939" xr:uid="{00000000-0005-0000-0000-00006E690000}"/>
    <cellStyle name="Header2 7 2 9 2 3 3" xfId="26940" xr:uid="{00000000-0005-0000-0000-00006F690000}"/>
    <cellStyle name="Header2 7 2 9 2 3 4" xfId="26941" xr:uid="{00000000-0005-0000-0000-000070690000}"/>
    <cellStyle name="Header2 7 2 9 2 4" xfId="26942" xr:uid="{00000000-0005-0000-0000-000071690000}"/>
    <cellStyle name="Header2 7 2 9 2 5" xfId="26943" xr:uid="{00000000-0005-0000-0000-000072690000}"/>
    <cellStyle name="Header2 7 2 9 2 6" xfId="26944" xr:uid="{00000000-0005-0000-0000-000073690000}"/>
    <cellStyle name="Header2 7 2 9 3" xfId="26945" xr:uid="{00000000-0005-0000-0000-000074690000}"/>
    <cellStyle name="Header2 7 2 9 3 2" xfId="26946" xr:uid="{00000000-0005-0000-0000-000075690000}"/>
    <cellStyle name="Header2 7 2 9 3 2 2" xfId="26947" xr:uid="{00000000-0005-0000-0000-000076690000}"/>
    <cellStyle name="Header2 7 2 9 3 2 3" xfId="26948" xr:uid="{00000000-0005-0000-0000-000077690000}"/>
    <cellStyle name="Header2 7 2 9 3 2 4" xfId="26949" xr:uid="{00000000-0005-0000-0000-000078690000}"/>
    <cellStyle name="Header2 7 2 9 3 3" xfId="26950" xr:uid="{00000000-0005-0000-0000-000079690000}"/>
    <cellStyle name="Header2 7 2 9 3 3 2" xfId="26951" xr:uid="{00000000-0005-0000-0000-00007A690000}"/>
    <cellStyle name="Header2 7 2 9 3 3 3" xfId="26952" xr:uid="{00000000-0005-0000-0000-00007B690000}"/>
    <cellStyle name="Header2 7 2 9 3 3 4" xfId="26953" xr:uid="{00000000-0005-0000-0000-00007C690000}"/>
    <cellStyle name="Header2 7 2 9 3 4" xfId="26954" xr:uid="{00000000-0005-0000-0000-00007D690000}"/>
    <cellStyle name="Header2 7 2 9 3 5" xfId="26955" xr:uid="{00000000-0005-0000-0000-00007E690000}"/>
    <cellStyle name="Header2 7 2 9 3 6" xfId="26956" xr:uid="{00000000-0005-0000-0000-00007F690000}"/>
    <cellStyle name="Header2 7 2 9 4" xfId="26957" xr:uid="{00000000-0005-0000-0000-000080690000}"/>
    <cellStyle name="Header2 7 2 9 5" xfId="26958" xr:uid="{00000000-0005-0000-0000-000081690000}"/>
    <cellStyle name="Header2 7 3" xfId="26959" xr:uid="{00000000-0005-0000-0000-000082690000}"/>
    <cellStyle name="Header2 7 3 10" xfId="26960" xr:uid="{00000000-0005-0000-0000-000083690000}"/>
    <cellStyle name="Header2 7 3 10 2" xfId="26961" xr:uid="{00000000-0005-0000-0000-000084690000}"/>
    <cellStyle name="Header2 7 3 10 2 2" xfId="26962" xr:uid="{00000000-0005-0000-0000-000085690000}"/>
    <cellStyle name="Header2 7 3 10 2 2 2" xfId="26963" xr:uid="{00000000-0005-0000-0000-000086690000}"/>
    <cellStyle name="Header2 7 3 10 2 2 3" xfId="26964" xr:uid="{00000000-0005-0000-0000-000087690000}"/>
    <cellStyle name="Header2 7 3 10 2 2 4" xfId="26965" xr:uid="{00000000-0005-0000-0000-000088690000}"/>
    <cellStyle name="Header2 7 3 10 2 2 5" xfId="26966" xr:uid="{00000000-0005-0000-0000-000089690000}"/>
    <cellStyle name="Header2 7 3 10 2 3" xfId="26967" xr:uid="{00000000-0005-0000-0000-00008A690000}"/>
    <cellStyle name="Header2 7 3 10 2 3 2" xfId="26968" xr:uid="{00000000-0005-0000-0000-00008B690000}"/>
    <cellStyle name="Header2 7 3 10 2 3 3" xfId="26969" xr:uid="{00000000-0005-0000-0000-00008C690000}"/>
    <cellStyle name="Header2 7 3 10 2 3 4" xfId="26970" xr:uid="{00000000-0005-0000-0000-00008D690000}"/>
    <cellStyle name="Header2 7 3 10 2 4" xfId="26971" xr:uid="{00000000-0005-0000-0000-00008E690000}"/>
    <cellStyle name="Header2 7 3 10 2 5" xfId="26972" xr:uid="{00000000-0005-0000-0000-00008F690000}"/>
    <cellStyle name="Header2 7 3 10 2 6" xfId="26973" xr:uid="{00000000-0005-0000-0000-000090690000}"/>
    <cellStyle name="Header2 7 3 10 3" xfId="26974" xr:uid="{00000000-0005-0000-0000-000091690000}"/>
    <cellStyle name="Header2 7 3 10 3 2" xfId="26975" xr:uid="{00000000-0005-0000-0000-000092690000}"/>
    <cellStyle name="Header2 7 3 10 3 2 2" xfId="26976" xr:uid="{00000000-0005-0000-0000-000093690000}"/>
    <cellStyle name="Header2 7 3 10 3 2 3" xfId="26977" xr:uid="{00000000-0005-0000-0000-000094690000}"/>
    <cellStyle name="Header2 7 3 10 3 2 4" xfId="26978" xr:uid="{00000000-0005-0000-0000-000095690000}"/>
    <cellStyle name="Header2 7 3 10 3 3" xfId="26979" xr:uid="{00000000-0005-0000-0000-000096690000}"/>
    <cellStyle name="Header2 7 3 10 3 3 2" xfId="26980" xr:uid="{00000000-0005-0000-0000-000097690000}"/>
    <cellStyle name="Header2 7 3 10 3 3 3" xfId="26981" xr:uid="{00000000-0005-0000-0000-000098690000}"/>
    <cellStyle name="Header2 7 3 10 3 3 4" xfId="26982" xr:uid="{00000000-0005-0000-0000-000099690000}"/>
    <cellStyle name="Header2 7 3 10 3 4" xfId="26983" xr:uid="{00000000-0005-0000-0000-00009A690000}"/>
    <cellStyle name="Header2 7 3 10 3 5" xfId="26984" xr:uid="{00000000-0005-0000-0000-00009B690000}"/>
    <cellStyle name="Header2 7 3 10 3 6" xfId="26985" xr:uid="{00000000-0005-0000-0000-00009C690000}"/>
    <cellStyle name="Header2 7 3 10 4" xfId="26986" xr:uid="{00000000-0005-0000-0000-00009D690000}"/>
    <cellStyle name="Header2 7 3 10 5" xfId="26987" xr:uid="{00000000-0005-0000-0000-00009E690000}"/>
    <cellStyle name="Header2 7 3 11" xfId="26988" xr:uid="{00000000-0005-0000-0000-00009F690000}"/>
    <cellStyle name="Header2 7 3 11 2" xfId="26989" xr:uid="{00000000-0005-0000-0000-0000A0690000}"/>
    <cellStyle name="Header2 7 3 11 2 2" xfId="26990" xr:uid="{00000000-0005-0000-0000-0000A1690000}"/>
    <cellStyle name="Header2 7 3 11 2 2 2" xfId="26991" xr:uid="{00000000-0005-0000-0000-0000A2690000}"/>
    <cellStyle name="Header2 7 3 11 2 2 3" xfId="26992" xr:uid="{00000000-0005-0000-0000-0000A3690000}"/>
    <cellStyle name="Header2 7 3 11 2 2 4" xfId="26993" xr:uid="{00000000-0005-0000-0000-0000A4690000}"/>
    <cellStyle name="Header2 7 3 11 2 2 5" xfId="26994" xr:uid="{00000000-0005-0000-0000-0000A5690000}"/>
    <cellStyle name="Header2 7 3 11 2 3" xfId="26995" xr:uid="{00000000-0005-0000-0000-0000A6690000}"/>
    <cellStyle name="Header2 7 3 11 2 3 2" xfId="26996" xr:uid="{00000000-0005-0000-0000-0000A7690000}"/>
    <cellStyle name="Header2 7 3 11 2 3 3" xfId="26997" xr:uid="{00000000-0005-0000-0000-0000A8690000}"/>
    <cellStyle name="Header2 7 3 11 2 3 4" xfId="26998" xr:uid="{00000000-0005-0000-0000-0000A9690000}"/>
    <cellStyle name="Header2 7 3 11 2 4" xfId="26999" xr:uid="{00000000-0005-0000-0000-0000AA690000}"/>
    <cellStyle name="Header2 7 3 11 2 5" xfId="27000" xr:uid="{00000000-0005-0000-0000-0000AB690000}"/>
    <cellStyle name="Header2 7 3 11 2 6" xfId="27001" xr:uid="{00000000-0005-0000-0000-0000AC690000}"/>
    <cellStyle name="Header2 7 3 11 3" xfId="27002" xr:uid="{00000000-0005-0000-0000-0000AD690000}"/>
    <cellStyle name="Header2 7 3 11 3 2" xfId="27003" xr:uid="{00000000-0005-0000-0000-0000AE690000}"/>
    <cellStyle name="Header2 7 3 11 3 2 2" xfId="27004" xr:uid="{00000000-0005-0000-0000-0000AF690000}"/>
    <cellStyle name="Header2 7 3 11 3 2 3" xfId="27005" xr:uid="{00000000-0005-0000-0000-0000B0690000}"/>
    <cellStyle name="Header2 7 3 11 3 2 4" xfId="27006" xr:uid="{00000000-0005-0000-0000-0000B1690000}"/>
    <cellStyle name="Header2 7 3 11 3 3" xfId="27007" xr:uid="{00000000-0005-0000-0000-0000B2690000}"/>
    <cellStyle name="Header2 7 3 11 3 3 2" xfId="27008" xr:uid="{00000000-0005-0000-0000-0000B3690000}"/>
    <cellStyle name="Header2 7 3 11 3 3 3" xfId="27009" xr:uid="{00000000-0005-0000-0000-0000B4690000}"/>
    <cellStyle name="Header2 7 3 11 3 3 4" xfId="27010" xr:uid="{00000000-0005-0000-0000-0000B5690000}"/>
    <cellStyle name="Header2 7 3 11 3 4" xfId="27011" xr:uid="{00000000-0005-0000-0000-0000B6690000}"/>
    <cellStyle name="Header2 7 3 11 3 5" xfId="27012" xr:uid="{00000000-0005-0000-0000-0000B7690000}"/>
    <cellStyle name="Header2 7 3 11 3 6" xfId="27013" xr:uid="{00000000-0005-0000-0000-0000B8690000}"/>
    <cellStyle name="Header2 7 3 11 4" xfId="27014" xr:uid="{00000000-0005-0000-0000-0000B9690000}"/>
    <cellStyle name="Header2 7 3 11 5" xfId="27015" xr:uid="{00000000-0005-0000-0000-0000BA690000}"/>
    <cellStyle name="Header2 7 3 12" xfId="27016" xr:uid="{00000000-0005-0000-0000-0000BB690000}"/>
    <cellStyle name="Header2 7 3 12 2" xfId="27017" xr:uid="{00000000-0005-0000-0000-0000BC690000}"/>
    <cellStyle name="Header2 7 3 12 2 2" xfId="27018" xr:uid="{00000000-0005-0000-0000-0000BD690000}"/>
    <cellStyle name="Header2 7 3 12 2 2 2" xfId="27019" xr:uid="{00000000-0005-0000-0000-0000BE690000}"/>
    <cellStyle name="Header2 7 3 12 2 2 3" xfId="27020" xr:uid="{00000000-0005-0000-0000-0000BF690000}"/>
    <cellStyle name="Header2 7 3 12 2 2 4" xfId="27021" xr:uid="{00000000-0005-0000-0000-0000C0690000}"/>
    <cellStyle name="Header2 7 3 12 2 2 5" xfId="27022" xr:uid="{00000000-0005-0000-0000-0000C1690000}"/>
    <cellStyle name="Header2 7 3 12 2 3" xfId="27023" xr:uid="{00000000-0005-0000-0000-0000C2690000}"/>
    <cellStyle name="Header2 7 3 12 2 3 2" xfId="27024" xr:uid="{00000000-0005-0000-0000-0000C3690000}"/>
    <cellStyle name="Header2 7 3 12 2 3 3" xfId="27025" xr:uid="{00000000-0005-0000-0000-0000C4690000}"/>
    <cellStyle name="Header2 7 3 12 2 3 4" xfId="27026" xr:uid="{00000000-0005-0000-0000-0000C5690000}"/>
    <cellStyle name="Header2 7 3 12 2 4" xfId="27027" xr:uid="{00000000-0005-0000-0000-0000C6690000}"/>
    <cellStyle name="Header2 7 3 12 2 5" xfId="27028" xr:uid="{00000000-0005-0000-0000-0000C7690000}"/>
    <cellStyle name="Header2 7 3 12 2 6" xfId="27029" xr:uid="{00000000-0005-0000-0000-0000C8690000}"/>
    <cellStyle name="Header2 7 3 12 3" xfId="27030" xr:uid="{00000000-0005-0000-0000-0000C9690000}"/>
    <cellStyle name="Header2 7 3 12 3 2" xfId="27031" xr:uid="{00000000-0005-0000-0000-0000CA690000}"/>
    <cellStyle name="Header2 7 3 12 3 2 2" xfId="27032" xr:uid="{00000000-0005-0000-0000-0000CB690000}"/>
    <cellStyle name="Header2 7 3 12 3 2 3" xfId="27033" xr:uid="{00000000-0005-0000-0000-0000CC690000}"/>
    <cellStyle name="Header2 7 3 12 3 2 4" xfId="27034" xr:uid="{00000000-0005-0000-0000-0000CD690000}"/>
    <cellStyle name="Header2 7 3 12 3 3" xfId="27035" xr:uid="{00000000-0005-0000-0000-0000CE690000}"/>
    <cellStyle name="Header2 7 3 12 3 3 2" xfId="27036" xr:uid="{00000000-0005-0000-0000-0000CF690000}"/>
    <cellStyle name="Header2 7 3 12 3 3 3" xfId="27037" xr:uid="{00000000-0005-0000-0000-0000D0690000}"/>
    <cellStyle name="Header2 7 3 12 3 3 4" xfId="27038" xr:uid="{00000000-0005-0000-0000-0000D1690000}"/>
    <cellStyle name="Header2 7 3 12 3 4" xfId="27039" xr:uid="{00000000-0005-0000-0000-0000D2690000}"/>
    <cellStyle name="Header2 7 3 12 3 5" xfId="27040" xr:uid="{00000000-0005-0000-0000-0000D3690000}"/>
    <cellStyle name="Header2 7 3 12 3 6" xfId="27041" xr:uid="{00000000-0005-0000-0000-0000D4690000}"/>
    <cellStyle name="Header2 7 3 12 4" xfId="27042" xr:uid="{00000000-0005-0000-0000-0000D5690000}"/>
    <cellStyle name="Header2 7 3 12 5" xfId="27043" xr:uid="{00000000-0005-0000-0000-0000D6690000}"/>
    <cellStyle name="Header2 7 3 13" xfId="58769" xr:uid="{00000000-0005-0000-0000-0000D7690000}"/>
    <cellStyle name="Header2 7 3 2" xfId="27044" xr:uid="{00000000-0005-0000-0000-0000D8690000}"/>
    <cellStyle name="Header2 7 3 2 2" xfId="27045" xr:uid="{00000000-0005-0000-0000-0000D9690000}"/>
    <cellStyle name="Header2 7 3 2 2 2" xfId="27046" xr:uid="{00000000-0005-0000-0000-0000DA690000}"/>
    <cellStyle name="Header2 7 3 2 2 3" xfId="27047" xr:uid="{00000000-0005-0000-0000-0000DB690000}"/>
    <cellStyle name="Header2 7 3 2 3" xfId="27048" xr:uid="{00000000-0005-0000-0000-0000DC690000}"/>
    <cellStyle name="Header2 7 3 3" xfId="27049" xr:uid="{00000000-0005-0000-0000-0000DD690000}"/>
    <cellStyle name="Header2 7 3 3 2" xfId="27050" xr:uid="{00000000-0005-0000-0000-0000DE690000}"/>
    <cellStyle name="Header2 7 3 3 2 2" xfId="27051" xr:uid="{00000000-0005-0000-0000-0000DF690000}"/>
    <cellStyle name="Header2 7 3 3 2 3" xfId="27052" xr:uid="{00000000-0005-0000-0000-0000E0690000}"/>
    <cellStyle name="Header2 7 3 3 3" xfId="27053" xr:uid="{00000000-0005-0000-0000-0000E1690000}"/>
    <cellStyle name="Header2 7 3 4" xfId="27054" xr:uid="{00000000-0005-0000-0000-0000E2690000}"/>
    <cellStyle name="Header2 7 3 4 2" xfId="27055" xr:uid="{00000000-0005-0000-0000-0000E3690000}"/>
    <cellStyle name="Header2 7 3 4 2 2" xfId="27056" xr:uid="{00000000-0005-0000-0000-0000E4690000}"/>
    <cellStyle name="Header2 7 3 4 2 3" xfId="27057" xr:uid="{00000000-0005-0000-0000-0000E5690000}"/>
    <cellStyle name="Header2 7 3 4 3" xfId="27058" xr:uid="{00000000-0005-0000-0000-0000E6690000}"/>
    <cellStyle name="Header2 7 3 5" xfId="27059" xr:uid="{00000000-0005-0000-0000-0000E7690000}"/>
    <cellStyle name="Header2 7 3 5 2" xfId="27060" xr:uid="{00000000-0005-0000-0000-0000E8690000}"/>
    <cellStyle name="Header2 7 3 5 2 2" xfId="27061" xr:uid="{00000000-0005-0000-0000-0000E9690000}"/>
    <cellStyle name="Header2 7 3 5 2 2 2" xfId="27062" xr:uid="{00000000-0005-0000-0000-0000EA690000}"/>
    <cellStyle name="Header2 7 3 5 2 2 3" xfId="27063" xr:uid="{00000000-0005-0000-0000-0000EB690000}"/>
    <cellStyle name="Header2 7 3 5 2 2 4" xfId="27064" xr:uid="{00000000-0005-0000-0000-0000EC690000}"/>
    <cellStyle name="Header2 7 3 5 2 2 5" xfId="27065" xr:uid="{00000000-0005-0000-0000-0000ED690000}"/>
    <cellStyle name="Header2 7 3 5 2 3" xfId="27066" xr:uid="{00000000-0005-0000-0000-0000EE690000}"/>
    <cellStyle name="Header2 7 3 5 2 3 2" xfId="27067" xr:uid="{00000000-0005-0000-0000-0000EF690000}"/>
    <cellStyle name="Header2 7 3 5 2 3 3" xfId="27068" xr:uid="{00000000-0005-0000-0000-0000F0690000}"/>
    <cellStyle name="Header2 7 3 5 2 3 4" xfId="27069" xr:uid="{00000000-0005-0000-0000-0000F1690000}"/>
    <cellStyle name="Header2 7 3 5 2 4" xfId="27070" xr:uid="{00000000-0005-0000-0000-0000F2690000}"/>
    <cellStyle name="Header2 7 3 5 2 5" xfId="27071" xr:uid="{00000000-0005-0000-0000-0000F3690000}"/>
    <cellStyle name="Header2 7 3 5 2 6" xfId="27072" xr:uid="{00000000-0005-0000-0000-0000F4690000}"/>
    <cellStyle name="Header2 7 3 5 3" xfId="27073" xr:uid="{00000000-0005-0000-0000-0000F5690000}"/>
    <cellStyle name="Header2 7 3 5 3 2" xfId="27074" xr:uid="{00000000-0005-0000-0000-0000F6690000}"/>
    <cellStyle name="Header2 7 3 5 3 2 2" xfId="27075" xr:uid="{00000000-0005-0000-0000-0000F7690000}"/>
    <cellStyle name="Header2 7 3 5 3 2 3" xfId="27076" xr:uid="{00000000-0005-0000-0000-0000F8690000}"/>
    <cellStyle name="Header2 7 3 5 3 2 4" xfId="27077" xr:uid="{00000000-0005-0000-0000-0000F9690000}"/>
    <cellStyle name="Header2 7 3 5 3 3" xfId="27078" xr:uid="{00000000-0005-0000-0000-0000FA690000}"/>
    <cellStyle name="Header2 7 3 5 3 3 2" xfId="27079" xr:uid="{00000000-0005-0000-0000-0000FB690000}"/>
    <cellStyle name="Header2 7 3 5 3 3 3" xfId="27080" xr:uid="{00000000-0005-0000-0000-0000FC690000}"/>
    <cellStyle name="Header2 7 3 5 3 3 4" xfId="27081" xr:uid="{00000000-0005-0000-0000-0000FD690000}"/>
    <cellStyle name="Header2 7 3 5 3 4" xfId="27082" xr:uid="{00000000-0005-0000-0000-0000FE690000}"/>
    <cellStyle name="Header2 7 3 5 3 5" xfId="27083" xr:uid="{00000000-0005-0000-0000-0000FF690000}"/>
    <cellStyle name="Header2 7 3 5 3 6" xfId="27084" xr:uid="{00000000-0005-0000-0000-0000006A0000}"/>
    <cellStyle name="Header2 7 3 5 4" xfId="27085" xr:uid="{00000000-0005-0000-0000-0000016A0000}"/>
    <cellStyle name="Header2 7 3 5 5" xfId="27086" xr:uid="{00000000-0005-0000-0000-0000026A0000}"/>
    <cellStyle name="Header2 7 3 6" xfId="27087" xr:uid="{00000000-0005-0000-0000-0000036A0000}"/>
    <cellStyle name="Header2 7 3 6 2" xfId="27088" xr:uid="{00000000-0005-0000-0000-0000046A0000}"/>
    <cellStyle name="Header2 7 3 6 2 2" xfId="27089" xr:uid="{00000000-0005-0000-0000-0000056A0000}"/>
    <cellStyle name="Header2 7 3 6 2 2 2" xfId="27090" xr:uid="{00000000-0005-0000-0000-0000066A0000}"/>
    <cellStyle name="Header2 7 3 6 2 2 3" xfId="27091" xr:uid="{00000000-0005-0000-0000-0000076A0000}"/>
    <cellStyle name="Header2 7 3 6 2 2 4" xfId="27092" xr:uid="{00000000-0005-0000-0000-0000086A0000}"/>
    <cellStyle name="Header2 7 3 6 2 2 5" xfId="27093" xr:uid="{00000000-0005-0000-0000-0000096A0000}"/>
    <cellStyle name="Header2 7 3 6 2 3" xfId="27094" xr:uid="{00000000-0005-0000-0000-00000A6A0000}"/>
    <cellStyle name="Header2 7 3 6 2 3 2" xfId="27095" xr:uid="{00000000-0005-0000-0000-00000B6A0000}"/>
    <cellStyle name="Header2 7 3 6 2 3 3" xfId="27096" xr:uid="{00000000-0005-0000-0000-00000C6A0000}"/>
    <cellStyle name="Header2 7 3 6 2 3 4" xfId="27097" xr:uid="{00000000-0005-0000-0000-00000D6A0000}"/>
    <cellStyle name="Header2 7 3 6 2 4" xfId="27098" xr:uid="{00000000-0005-0000-0000-00000E6A0000}"/>
    <cellStyle name="Header2 7 3 6 2 5" xfId="27099" xr:uid="{00000000-0005-0000-0000-00000F6A0000}"/>
    <cellStyle name="Header2 7 3 6 2 6" xfId="27100" xr:uid="{00000000-0005-0000-0000-0000106A0000}"/>
    <cellStyle name="Header2 7 3 6 3" xfId="27101" xr:uid="{00000000-0005-0000-0000-0000116A0000}"/>
    <cellStyle name="Header2 7 3 6 3 2" xfId="27102" xr:uid="{00000000-0005-0000-0000-0000126A0000}"/>
    <cellStyle name="Header2 7 3 6 3 2 2" xfId="27103" xr:uid="{00000000-0005-0000-0000-0000136A0000}"/>
    <cellStyle name="Header2 7 3 6 3 2 3" xfId="27104" xr:uid="{00000000-0005-0000-0000-0000146A0000}"/>
    <cellStyle name="Header2 7 3 6 3 2 4" xfId="27105" xr:uid="{00000000-0005-0000-0000-0000156A0000}"/>
    <cellStyle name="Header2 7 3 6 3 3" xfId="27106" xr:uid="{00000000-0005-0000-0000-0000166A0000}"/>
    <cellStyle name="Header2 7 3 6 3 3 2" xfId="27107" xr:uid="{00000000-0005-0000-0000-0000176A0000}"/>
    <cellStyle name="Header2 7 3 6 3 3 3" xfId="27108" xr:uid="{00000000-0005-0000-0000-0000186A0000}"/>
    <cellStyle name="Header2 7 3 6 3 3 4" xfId="27109" xr:uid="{00000000-0005-0000-0000-0000196A0000}"/>
    <cellStyle name="Header2 7 3 6 3 4" xfId="27110" xr:uid="{00000000-0005-0000-0000-00001A6A0000}"/>
    <cellStyle name="Header2 7 3 6 3 5" xfId="27111" xr:uid="{00000000-0005-0000-0000-00001B6A0000}"/>
    <cellStyle name="Header2 7 3 6 3 6" xfId="27112" xr:uid="{00000000-0005-0000-0000-00001C6A0000}"/>
    <cellStyle name="Header2 7 3 6 4" xfId="27113" xr:uid="{00000000-0005-0000-0000-00001D6A0000}"/>
    <cellStyle name="Header2 7 3 6 5" xfId="27114" xr:uid="{00000000-0005-0000-0000-00001E6A0000}"/>
    <cellStyle name="Header2 7 3 7" xfId="27115" xr:uid="{00000000-0005-0000-0000-00001F6A0000}"/>
    <cellStyle name="Header2 7 3 7 2" xfId="27116" xr:uid="{00000000-0005-0000-0000-0000206A0000}"/>
    <cellStyle name="Header2 7 3 7 2 2" xfId="27117" xr:uid="{00000000-0005-0000-0000-0000216A0000}"/>
    <cellStyle name="Header2 7 3 7 2 2 2" xfId="27118" xr:uid="{00000000-0005-0000-0000-0000226A0000}"/>
    <cellStyle name="Header2 7 3 7 2 2 3" xfId="27119" xr:uid="{00000000-0005-0000-0000-0000236A0000}"/>
    <cellStyle name="Header2 7 3 7 2 2 4" xfId="27120" xr:uid="{00000000-0005-0000-0000-0000246A0000}"/>
    <cellStyle name="Header2 7 3 7 2 2 5" xfId="27121" xr:uid="{00000000-0005-0000-0000-0000256A0000}"/>
    <cellStyle name="Header2 7 3 7 2 3" xfId="27122" xr:uid="{00000000-0005-0000-0000-0000266A0000}"/>
    <cellStyle name="Header2 7 3 7 2 3 2" xfId="27123" xr:uid="{00000000-0005-0000-0000-0000276A0000}"/>
    <cellStyle name="Header2 7 3 7 2 3 3" xfId="27124" xr:uid="{00000000-0005-0000-0000-0000286A0000}"/>
    <cellStyle name="Header2 7 3 7 2 3 4" xfId="27125" xr:uid="{00000000-0005-0000-0000-0000296A0000}"/>
    <cellStyle name="Header2 7 3 7 2 4" xfId="27126" xr:uid="{00000000-0005-0000-0000-00002A6A0000}"/>
    <cellStyle name="Header2 7 3 7 2 5" xfId="27127" xr:uid="{00000000-0005-0000-0000-00002B6A0000}"/>
    <cellStyle name="Header2 7 3 7 2 6" xfId="27128" xr:uid="{00000000-0005-0000-0000-00002C6A0000}"/>
    <cellStyle name="Header2 7 3 7 3" xfId="27129" xr:uid="{00000000-0005-0000-0000-00002D6A0000}"/>
    <cellStyle name="Header2 7 3 7 3 2" xfId="27130" xr:uid="{00000000-0005-0000-0000-00002E6A0000}"/>
    <cellStyle name="Header2 7 3 7 3 2 2" xfId="27131" xr:uid="{00000000-0005-0000-0000-00002F6A0000}"/>
    <cellStyle name="Header2 7 3 7 3 2 3" xfId="27132" xr:uid="{00000000-0005-0000-0000-0000306A0000}"/>
    <cellStyle name="Header2 7 3 7 3 2 4" xfId="27133" xr:uid="{00000000-0005-0000-0000-0000316A0000}"/>
    <cellStyle name="Header2 7 3 7 3 3" xfId="27134" xr:uid="{00000000-0005-0000-0000-0000326A0000}"/>
    <cellStyle name="Header2 7 3 7 3 3 2" xfId="27135" xr:uid="{00000000-0005-0000-0000-0000336A0000}"/>
    <cellStyle name="Header2 7 3 7 3 3 3" xfId="27136" xr:uid="{00000000-0005-0000-0000-0000346A0000}"/>
    <cellStyle name="Header2 7 3 7 3 3 4" xfId="27137" xr:uid="{00000000-0005-0000-0000-0000356A0000}"/>
    <cellStyle name="Header2 7 3 7 3 4" xfId="27138" xr:uid="{00000000-0005-0000-0000-0000366A0000}"/>
    <cellStyle name="Header2 7 3 7 3 5" xfId="27139" xr:uid="{00000000-0005-0000-0000-0000376A0000}"/>
    <cellStyle name="Header2 7 3 7 3 6" xfId="27140" xr:uid="{00000000-0005-0000-0000-0000386A0000}"/>
    <cellStyle name="Header2 7 3 7 4" xfId="27141" xr:uid="{00000000-0005-0000-0000-0000396A0000}"/>
    <cellStyle name="Header2 7 3 7 5" xfId="27142" xr:uid="{00000000-0005-0000-0000-00003A6A0000}"/>
    <cellStyle name="Header2 7 3 8" xfId="27143" xr:uid="{00000000-0005-0000-0000-00003B6A0000}"/>
    <cellStyle name="Header2 7 3 8 2" xfId="27144" xr:uid="{00000000-0005-0000-0000-00003C6A0000}"/>
    <cellStyle name="Header2 7 3 8 2 2" xfId="27145" xr:uid="{00000000-0005-0000-0000-00003D6A0000}"/>
    <cellStyle name="Header2 7 3 8 2 2 2" xfId="27146" xr:uid="{00000000-0005-0000-0000-00003E6A0000}"/>
    <cellStyle name="Header2 7 3 8 2 2 3" xfId="27147" xr:uid="{00000000-0005-0000-0000-00003F6A0000}"/>
    <cellStyle name="Header2 7 3 8 2 2 4" xfId="27148" xr:uid="{00000000-0005-0000-0000-0000406A0000}"/>
    <cellStyle name="Header2 7 3 8 2 2 5" xfId="27149" xr:uid="{00000000-0005-0000-0000-0000416A0000}"/>
    <cellStyle name="Header2 7 3 8 2 3" xfId="27150" xr:uid="{00000000-0005-0000-0000-0000426A0000}"/>
    <cellStyle name="Header2 7 3 8 2 3 2" xfId="27151" xr:uid="{00000000-0005-0000-0000-0000436A0000}"/>
    <cellStyle name="Header2 7 3 8 2 3 3" xfId="27152" xr:uid="{00000000-0005-0000-0000-0000446A0000}"/>
    <cellStyle name="Header2 7 3 8 2 3 4" xfId="27153" xr:uid="{00000000-0005-0000-0000-0000456A0000}"/>
    <cellStyle name="Header2 7 3 8 2 4" xfId="27154" xr:uid="{00000000-0005-0000-0000-0000466A0000}"/>
    <cellStyle name="Header2 7 3 8 2 5" xfId="27155" xr:uid="{00000000-0005-0000-0000-0000476A0000}"/>
    <cellStyle name="Header2 7 3 8 2 6" xfId="27156" xr:uid="{00000000-0005-0000-0000-0000486A0000}"/>
    <cellStyle name="Header2 7 3 8 3" xfId="27157" xr:uid="{00000000-0005-0000-0000-0000496A0000}"/>
    <cellStyle name="Header2 7 3 8 3 2" xfId="27158" xr:uid="{00000000-0005-0000-0000-00004A6A0000}"/>
    <cellStyle name="Header2 7 3 8 3 2 2" xfId="27159" xr:uid="{00000000-0005-0000-0000-00004B6A0000}"/>
    <cellStyle name="Header2 7 3 8 3 2 3" xfId="27160" xr:uid="{00000000-0005-0000-0000-00004C6A0000}"/>
    <cellStyle name="Header2 7 3 8 3 2 4" xfId="27161" xr:uid="{00000000-0005-0000-0000-00004D6A0000}"/>
    <cellStyle name="Header2 7 3 8 3 3" xfId="27162" xr:uid="{00000000-0005-0000-0000-00004E6A0000}"/>
    <cellStyle name="Header2 7 3 8 3 3 2" xfId="27163" xr:uid="{00000000-0005-0000-0000-00004F6A0000}"/>
    <cellStyle name="Header2 7 3 8 3 3 3" xfId="27164" xr:uid="{00000000-0005-0000-0000-0000506A0000}"/>
    <cellStyle name="Header2 7 3 8 3 3 4" xfId="27165" xr:uid="{00000000-0005-0000-0000-0000516A0000}"/>
    <cellStyle name="Header2 7 3 8 3 4" xfId="27166" xr:uid="{00000000-0005-0000-0000-0000526A0000}"/>
    <cellStyle name="Header2 7 3 8 3 5" xfId="27167" xr:uid="{00000000-0005-0000-0000-0000536A0000}"/>
    <cellStyle name="Header2 7 3 8 3 6" xfId="27168" xr:uid="{00000000-0005-0000-0000-0000546A0000}"/>
    <cellStyle name="Header2 7 3 8 4" xfId="27169" xr:uid="{00000000-0005-0000-0000-0000556A0000}"/>
    <cellStyle name="Header2 7 3 8 5" xfId="27170" xr:uid="{00000000-0005-0000-0000-0000566A0000}"/>
    <cellStyle name="Header2 7 3 9" xfId="27171" xr:uid="{00000000-0005-0000-0000-0000576A0000}"/>
    <cellStyle name="Header2 7 3 9 2" xfId="27172" xr:uid="{00000000-0005-0000-0000-0000586A0000}"/>
    <cellStyle name="Header2 7 3 9 2 2" xfId="27173" xr:uid="{00000000-0005-0000-0000-0000596A0000}"/>
    <cellStyle name="Header2 7 3 9 2 2 2" xfId="27174" xr:uid="{00000000-0005-0000-0000-00005A6A0000}"/>
    <cellStyle name="Header2 7 3 9 2 2 3" xfId="27175" xr:uid="{00000000-0005-0000-0000-00005B6A0000}"/>
    <cellStyle name="Header2 7 3 9 2 2 4" xfId="27176" xr:uid="{00000000-0005-0000-0000-00005C6A0000}"/>
    <cellStyle name="Header2 7 3 9 2 2 5" xfId="27177" xr:uid="{00000000-0005-0000-0000-00005D6A0000}"/>
    <cellStyle name="Header2 7 3 9 2 3" xfId="27178" xr:uid="{00000000-0005-0000-0000-00005E6A0000}"/>
    <cellStyle name="Header2 7 3 9 2 3 2" xfId="27179" xr:uid="{00000000-0005-0000-0000-00005F6A0000}"/>
    <cellStyle name="Header2 7 3 9 2 3 3" xfId="27180" xr:uid="{00000000-0005-0000-0000-0000606A0000}"/>
    <cellStyle name="Header2 7 3 9 2 3 4" xfId="27181" xr:uid="{00000000-0005-0000-0000-0000616A0000}"/>
    <cellStyle name="Header2 7 3 9 2 4" xfId="27182" xr:uid="{00000000-0005-0000-0000-0000626A0000}"/>
    <cellStyle name="Header2 7 3 9 2 5" xfId="27183" xr:uid="{00000000-0005-0000-0000-0000636A0000}"/>
    <cellStyle name="Header2 7 3 9 2 6" xfId="27184" xr:uid="{00000000-0005-0000-0000-0000646A0000}"/>
    <cellStyle name="Header2 7 3 9 3" xfId="27185" xr:uid="{00000000-0005-0000-0000-0000656A0000}"/>
    <cellStyle name="Header2 7 3 9 3 2" xfId="27186" xr:uid="{00000000-0005-0000-0000-0000666A0000}"/>
    <cellStyle name="Header2 7 3 9 3 2 2" xfId="27187" xr:uid="{00000000-0005-0000-0000-0000676A0000}"/>
    <cellStyle name="Header2 7 3 9 3 2 3" xfId="27188" xr:uid="{00000000-0005-0000-0000-0000686A0000}"/>
    <cellStyle name="Header2 7 3 9 3 2 4" xfId="27189" xr:uid="{00000000-0005-0000-0000-0000696A0000}"/>
    <cellStyle name="Header2 7 3 9 3 3" xfId="27190" xr:uid="{00000000-0005-0000-0000-00006A6A0000}"/>
    <cellStyle name="Header2 7 3 9 3 3 2" xfId="27191" xr:uid="{00000000-0005-0000-0000-00006B6A0000}"/>
    <cellStyle name="Header2 7 3 9 3 3 3" xfId="27192" xr:uid="{00000000-0005-0000-0000-00006C6A0000}"/>
    <cellStyle name="Header2 7 3 9 3 3 4" xfId="27193" xr:uid="{00000000-0005-0000-0000-00006D6A0000}"/>
    <cellStyle name="Header2 7 3 9 3 4" xfId="27194" xr:uid="{00000000-0005-0000-0000-00006E6A0000}"/>
    <cellStyle name="Header2 7 3 9 3 5" xfId="27195" xr:uid="{00000000-0005-0000-0000-00006F6A0000}"/>
    <cellStyle name="Header2 7 3 9 3 6" xfId="27196" xr:uid="{00000000-0005-0000-0000-0000706A0000}"/>
    <cellStyle name="Header2 7 3 9 4" xfId="27197" xr:uid="{00000000-0005-0000-0000-0000716A0000}"/>
    <cellStyle name="Header2 7 3 9 5" xfId="27198" xr:uid="{00000000-0005-0000-0000-0000726A0000}"/>
    <cellStyle name="Header2 8" xfId="27199" xr:uid="{00000000-0005-0000-0000-0000736A0000}"/>
    <cellStyle name="Header2 8 2" xfId="27200" xr:uid="{00000000-0005-0000-0000-0000746A0000}"/>
    <cellStyle name="Header2 8 2 10" xfId="27201" xr:uid="{00000000-0005-0000-0000-0000756A0000}"/>
    <cellStyle name="Header2 8 2 10 2" xfId="27202" xr:uid="{00000000-0005-0000-0000-0000766A0000}"/>
    <cellStyle name="Header2 8 2 10 2 2" xfId="27203" xr:uid="{00000000-0005-0000-0000-0000776A0000}"/>
    <cellStyle name="Header2 8 2 10 2 2 2" xfId="27204" xr:uid="{00000000-0005-0000-0000-0000786A0000}"/>
    <cellStyle name="Header2 8 2 10 2 2 3" xfId="27205" xr:uid="{00000000-0005-0000-0000-0000796A0000}"/>
    <cellStyle name="Header2 8 2 10 2 2 4" xfId="27206" xr:uid="{00000000-0005-0000-0000-00007A6A0000}"/>
    <cellStyle name="Header2 8 2 10 2 2 5" xfId="27207" xr:uid="{00000000-0005-0000-0000-00007B6A0000}"/>
    <cellStyle name="Header2 8 2 10 2 3" xfId="27208" xr:uid="{00000000-0005-0000-0000-00007C6A0000}"/>
    <cellStyle name="Header2 8 2 10 2 3 2" xfId="27209" xr:uid="{00000000-0005-0000-0000-00007D6A0000}"/>
    <cellStyle name="Header2 8 2 10 2 3 3" xfId="27210" xr:uid="{00000000-0005-0000-0000-00007E6A0000}"/>
    <cellStyle name="Header2 8 2 10 2 3 4" xfId="27211" xr:uid="{00000000-0005-0000-0000-00007F6A0000}"/>
    <cellStyle name="Header2 8 2 10 2 4" xfId="27212" xr:uid="{00000000-0005-0000-0000-0000806A0000}"/>
    <cellStyle name="Header2 8 2 10 2 5" xfId="27213" xr:uid="{00000000-0005-0000-0000-0000816A0000}"/>
    <cellStyle name="Header2 8 2 10 2 6" xfId="27214" xr:uid="{00000000-0005-0000-0000-0000826A0000}"/>
    <cellStyle name="Header2 8 2 10 3" xfId="27215" xr:uid="{00000000-0005-0000-0000-0000836A0000}"/>
    <cellStyle name="Header2 8 2 10 3 2" xfId="27216" xr:uid="{00000000-0005-0000-0000-0000846A0000}"/>
    <cellStyle name="Header2 8 2 10 3 2 2" xfId="27217" xr:uid="{00000000-0005-0000-0000-0000856A0000}"/>
    <cellStyle name="Header2 8 2 10 3 2 3" xfId="27218" xr:uid="{00000000-0005-0000-0000-0000866A0000}"/>
    <cellStyle name="Header2 8 2 10 3 2 4" xfId="27219" xr:uid="{00000000-0005-0000-0000-0000876A0000}"/>
    <cellStyle name="Header2 8 2 10 3 3" xfId="27220" xr:uid="{00000000-0005-0000-0000-0000886A0000}"/>
    <cellStyle name="Header2 8 2 10 3 3 2" xfId="27221" xr:uid="{00000000-0005-0000-0000-0000896A0000}"/>
    <cellStyle name="Header2 8 2 10 3 3 3" xfId="27222" xr:uid="{00000000-0005-0000-0000-00008A6A0000}"/>
    <cellStyle name="Header2 8 2 10 3 3 4" xfId="27223" xr:uid="{00000000-0005-0000-0000-00008B6A0000}"/>
    <cellStyle name="Header2 8 2 10 3 4" xfId="27224" xr:uid="{00000000-0005-0000-0000-00008C6A0000}"/>
    <cellStyle name="Header2 8 2 10 3 5" xfId="27225" xr:uid="{00000000-0005-0000-0000-00008D6A0000}"/>
    <cellStyle name="Header2 8 2 10 3 6" xfId="27226" xr:uid="{00000000-0005-0000-0000-00008E6A0000}"/>
    <cellStyle name="Header2 8 2 10 4" xfId="27227" xr:uid="{00000000-0005-0000-0000-00008F6A0000}"/>
    <cellStyle name="Header2 8 2 10 5" xfId="27228" xr:uid="{00000000-0005-0000-0000-0000906A0000}"/>
    <cellStyle name="Header2 8 2 11" xfId="27229" xr:uid="{00000000-0005-0000-0000-0000916A0000}"/>
    <cellStyle name="Header2 8 2 11 2" xfId="27230" xr:uid="{00000000-0005-0000-0000-0000926A0000}"/>
    <cellStyle name="Header2 8 2 11 2 2" xfId="27231" xr:uid="{00000000-0005-0000-0000-0000936A0000}"/>
    <cellStyle name="Header2 8 2 11 2 2 2" xfId="27232" xr:uid="{00000000-0005-0000-0000-0000946A0000}"/>
    <cellStyle name="Header2 8 2 11 2 2 3" xfId="27233" xr:uid="{00000000-0005-0000-0000-0000956A0000}"/>
    <cellStyle name="Header2 8 2 11 2 2 4" xfId="27234" xr:uid="{00000000-0005-0000-0000-0000966A0000}"/>
    <cellStyle name="Header2 8 2 11 2 2 5" xfId="27235" xr:uid="{00000000-0005-0000-0000-0000976A0000}"/>
    <cellStyle name="Header2 8 2 11 2 3" xfId="27236" xr:uid="{00000000-0005-0000-0000-0000986A0000}"/>
    <cellStyle name="Header2 8 2 11 2 3 2" xfId="27237" xr:uid="{00000000-0005-0000-0000-0000996A0000}"/>
    <cellStyle name="Header2 8 2 11 2 3 3" xfId="27238" xr:uid="{00000000-0005-0000-0000-00009A6A0000}"/>
    <cellStyle name="Header2 8 2 11 2 3 4" xfId="27239" xr:uid="{00000000-0005-0000-0000-00009B6A0000}"/>
    <cellStyle name="Header2 8 2 11 2 4" xfId="27240" xr:uid="{00000000-0005-0000-0000-00009C6A0000}"/>
    <cellStyle name="Header2 8 2 11 2 5" xfId="27241" xr:uid="{00000000-0005-0000-0000-00009D6A0000}"/>
    <cellStyle name="Header2 8 2 11 2 6" xfId="27242" xr:uid="{00000000-0005-0000-0000-00009E6A0000}"/>
    <cellStyle name="Header2 8 2 11 3" xfId="27243" xr:uid="{00000000-0005-0000-0000-00009F6A0000}"/>
    <cellStyle name="Header2 8 2 11 3 2" xfId="27244" xr:uid="{00000000-0005-0000-0000-0000A06A0000}"/>
    <cellStyle name="Header2 8 2 11 3 2 2" xfId="27245" xr:uid="{00000000-0005-0000-0000-0000A16A0000}"/>
    <cellStyle name="Header2 8 2 11 3 2 3" xfId="27246" xr:uid="{00000000-0005-0000-0000-0000A26A0000}"/>
    <cellStyle name="Header2 8 2 11 3 2 4" xfId="27247" xr:uid="{00000000-0005-0000-0000-0000A36A0000}"/>
    <cellStyle name="Header2 8 2 11 3 3" xfId="27248" xr:uid="{00000000-0005-0000-0000-0000A46A0000}"/>
    <cellStyle name="Header2 8 2 11 3 3 2" xfId="27249" xr:uid="{00000000-0005-0000-0000-0000A56A0000}"/>
    <cellStyle name="Header2 8 2 11 3 3 3" xfId="27250" xr:uid="{00000000-0005-0000-0000-0000A66A0000}"/>
    <cellStyle name="Header2 8 2 11 3 3 4" xfId="27251" xr:uid="{00000000-0005-0000-0000-0000A76A0000}"/>
    <cellStyle name="Header2 8 2 11 3 4" xfId="27252" xr:uid="{00000000-0005-0000-0000-0000A86A0000}"/>
    <cellStyle name="Header2 8 2 11 3 5" xfId="27253" xr:uid="{00000000-0005-0000-0000-0000A96A0000}"/>
    <cellStyle name="Header2 8 2 11 3 6" xfId="27254" xr:uid="{00000000-0005-0000-0000-0000AA6A0000}"/>
    <cellStyle name="Header2 8 2 11 4" xfId="27255" xr:uid="{00000000-0005-0000-0000-0000AB6A0000}"/>
    <cellStyle name="Header2 8 2 11 5" xfId="27256" xr:uid="{00000000-0005-0000-0000-0000AC6A0000}"/>
    <cellStyle name="Header2 8 2 12" xfId="27257" xr:uid="{00000000-0005-0000-0000-0000AD6A0000}"/>
    <cellStyle name="Header2 8 2 12 2" xfId="27258" xr:uid="{00000000-0005-0000-0000-0000AE6A0000}"/>
    <cellStyle name="Header2 8 2 12 2 2" xfId="27259" xr:uid="{00000000-0005-0000-0000-0000AF6A0000}"/>
    <cellStyle name="Header2 8 2 12 2 2 2" xfId="27260" xr:uid="{00000000-0005-0000-0000-0000B06A0000}"/>
    <cellStyle name="Header2 8 2 12 2 2 3" xfId="27261" xr:uid="{00000000-0005-0000-0000-0000B16A0000}"/>
    <cellStyle name="Header2 8 2 12 2 2 4" xfId="27262" xr:uid="{00000000-0005-0000-0000-0000B26A0000}"/>
    <cellStyle name="Header2 8 2 12 2 2 5" xfId="27263" xr:uid="{00000000-0005-0000-0000-0000B36A0000}"/>
    <cellStyle name="Header2 8 2 12 2 3" xfId="27264" xr:uid="{00000000-0005-0000-0000-0000B46A0000}"/>
    <cellStyle name="Header2 8 2 12 2 3 2" xfId="27265" xr:uid="{00000000-0005-0000-0000-0000B56A0000}"/>
    <cellStyle name="Header2 8 2 12 2 3 3" xfId="27266" xr:uid="{00000000-0005-0000-0000-0000B66A0000}"/>
    <cellStyle name="Header2 8 2 12 2 3 4" xfId="27267" xr:uid="{00000000-0005-0000-0000-0000B76A0000}"/>
    <cellStyle name="Header2 8 2 12 2 4" xfId="27268" xr:uid="{00000000-0005-0000-0000-0000B86A0000}"/>
    <cellStyle name="Header2 8 2 12 2 5" xfId="27269" xr:uid="{00000000-0005-0000-0000-0000B96A0000}"/>
    <cellStyle name="Header2 8 2 12 2 6" xfId="27270" xr:uid="{00000000-0005-0000-0000-0000BA6A0000}"/>
    <cellStyle name="Header2 8 2 12 3" xfId="27271" xr:uid="{00000000-0005-0000-0000-0000BB6A0000}"/>
    <cellStyle name="Header2 8 2 12 3 2" xfId="27272" xr:uid="{00000000-0005-0000-0000-0000BC6A0000}"/>
    <cellStyle name="Header2 8 2 12 3 2 2" xfId="27273" xr:uid="{00000000-0005-0000-0000-0000BD6A0000}"/>
    <cellStyle name="Header2 8 2 12 3 2 3" xfId="27274" xr:uid="{00000000-0005-0000-0000-0000BE6A0000}"/>
    <cellStyle name="Header2 8 2 12 3 2 4" xfId="27275" xr:uid="{00000000-0005-0000-0000-0000BF6A0000}"/>
    <cellStyle name="Header2 8 2 12 3 3" xfId="27276" xr:uid="{00000000-0005-0000-0000-0000C06A0000}"/>
    <cellStyle name="Header2 8 2 12 3 3 2" xfId="27277" xr:uid="{00000000-0005-0000-0000-0000C16A0000}"/>
    <cellStyle name="Header2 8 2 12 3 3 3" xfId="27278" xr:uid="{00000000-0005-0000-0000-0000C26A0000}"/>
    <cellStyle name="Header2 8 2 12 3 3 4" xfId="27279" xr:uid="{00000000-0005-0000-0000-0000C36A0000}"/>
    <cellStyle name="Header2 8 2 12 3 4" xfId="27280" xr:uid="{00000000-0005-0000-0000-0000C46A0000}"/>
    <cellStyle name="Header2 8 2 12 3 5" xfId="27281" xr:uid="{00000000-0005-0000-0000-0000C56A0000}"/>
    <cellStyle name="Header2 8 2 12 3 6" xfId="27282" xr:uid="{00000000-0005-0000-0000-0000C66A0000}"/>
    <cellStyle name="Header2 8 2 12 4" xfId="27283" xr:uid="{00000000-0005-0000-0000-0000C76A0000}"/>
    <cellStyle name="Header2 8 2 12 5" xfId="27284" xr:uid="{00000000-0005-0000-0000-0000C86A0000}"/>
    <cellStyle name="Header2 8 2 13" xfId="27285" xr:uid="{00000000-0005-0000-0000-0000C96A0000}"/>
    <cellStyle name="Header2 8 2 13 2" xfId="27286" xr:uid="{00000000-0005-0000-0000-0000CA6A0000}"/>
    <cellStyle name="Header2 8 2 13 2 2" xfId="27287" xr:uid="{00000000-0005-0000-0000-0000CB6A0000}"/>
    <cellStyle name="Header2 8 2 13 2 2 2" xfId="27288" xr:uid="{00000000-0005-0000-0000-0000CC6A0000}"/>
    <cellStyle name="Header2 8 2 13 2 2 3" xfId="27289" xr:uid="{00000000-0005-0000-0000-0000CD6A0000}"/>
    <cellStyle name="Header2 8 2 13 2 2 4" xfId="27290" xr:uid="{00000000-0005-0000-0000-0000CE6A0000}"/>
    <cellStyle name="Header2 8 2 13 2 2 5" xfId="27291" xr:uid="{00000000-0005-0000-0000-0000CF6A0000}"/>
    <cellStyle name="Header2 8 2 13 2 3" xfId="27292" xr:uid="{00000000-0005-0000-0000-0000D06A0000}"/>
    <cellStyle name="Header2 8 2 13 2 3 2" xfId="27293" xr:uid="{00000000-0005-0000-0000-0000D16A0000}"/>
    <cellStyle name="Header2 8 2 13 2 3 3" xfId="27294" xr:uid="{00000000-0005-0000-0000-0000D26A0000}"/>
    <cellStyle name="Header2 8 2 13 2 3 4" xfId="27295" xr:uid="{00000000-0005-0000-0000-0000D36A0000}"/>
    <cellStyle name="Header2 8 2 13 2 4" xfId="27296" xr:uid="{00000000-0005-0000-0000-0000D46A0000}"/>
    <cellStyle name="Header2 8 2 13 2 5" xfId="27297" xr:uid="{00000000-0005-0000-0000-0000D56A0000}"/>
    <cellStyle name="Header2 8 2 13 2 6" xfId="27298" xr:uid="{00000000-0005-0000-0000-0000D66A0000}"/>
    <cellStyle name="Header2 8 2 13 3" xfId="27299" xr:uid="{00000000-0005-0000-0000-0000D76A0000}"/>
    <cellStyle name="Header2 8 2 13 3 2" xfId="27300" xr:uid="{00000000-0005-0000-0000-0000D86A0000}"/>
    <cellStyle name="Header2 8 2 13 3 2 2" xfId="27301" xr:uid="{00000000-0005-0000-0000-0000D96A0000}"/>
    <cellStyle name="Header2 8 2 13 3 2 3" xfId="27302" xr:uid="{00000000-0005-0000-0000-0000DA6A0000}"/>
    <cellStyle name="Header2 8 2 13 3 2 4" xfId="27303" xr:uid="{00000000-0005-0000-0000-0000DB6A0000}"/>
    <cellStyle name="Header2 8 2 13 3 3" xfId="27304" xr:uid="{00000000-0005-0000-0000-0000DC6A0000}"/>
    <cellStyle name="Header2 8 2 13 3 3 2" xfId="27305" xr:uid="{00000000-0005-0000-0000-0000DD6A0000}"/>
    <cellStyle name="Header2 8 2 13 3 3 3" xfId="27306" xr:uid="{00000000-0005-0000-0000-0000DE6A0000}"/>
    <cellStyle name="Header2 8 2 13 3 3 4" xfId="27307" xr:uid="{00000000-0005-0000-0000-0000DF6A0000}"/>
    <cellStyle name="Header2 8 2 13 3 4" xfId="27308" xr:uid="{00000000-0005-0000-0000-0000E06A0000}"/>
    <cellStyle name="Header2 8 2 13 3 5" xfId="27309" xr:uid="{00000000-0005-0000-0000-0000E16A0000}"/>
    <cellStyle name="Header2 8 2 13 3 6" xfId="27310" xr:uid="{00000000-0005-0000-0000-0000E26A0000}"/>
    <cellStyle name="Header2 8 2 13 4" xfId="27311" xr:uid="{00000000-0005-0000-0000-0000E36A0000}"/>
    <cellStyle name="Header2 8 2 13 5" xfId="27312" xr:uid="{00000000-0005-0000-0000-0000E46A0000}"/>
    <cellStyle name="Header2 8 2 14" xfId="58770" xr:uid="{00000000-0005-0000-0000-0000E56A0000}"/>
    <cellStyle name="Header2 8 2 2" xfId="27313" xr:uid="{00000000-0005-0000-0000-0000E66A0000}"/>
    <cellStyle name="Header2 8 2 2 2" xfId="27314" xr:uid="{00000000-0005-0000-0000-0000E76A0000}"/>
    <cellStyle name="Header2 8 2 2 2 2" xfId="27315" xr:uid="{00000000-0005-0000-0000-0000E86A0000}"/>
    <cellStyle name="Header2 8 2 2 2 2 2" xfId="27316" xr:uid="{00000000-0005-0000-0000-0000E96A0000}"/>
    <cellStyle name="Header2 8 2 2 2 2 2 2" xfId="27317" xr:uid="{00000000-0005-0000-0000-0000EA6A0000}"/>
    <cellStyle name="Header2 8 2 2 2 2 2 3" xfId="27318" xr:uid="{00000000-0005-0000-0000-0000EB6A0000}"/>
    <cellStyle name="Header2 8 2 2 2 2 2 4" xfId="27319" xr:uid="{00000000-0005-0000-0000-0000EC6A0000}"/>
    <cellStyle name="Header2 8 2 2 2 2 2 5" xfId="27320" xr:uid="{00000000-0005-0000-0000-0000ED6A0000}"/>
    <cellStyle name="Header2 8 2 2 2 2 3" xfId="27321" xr:uid="{00000000-0005-0000-0000-0000EE6A0000}"/>
    <cellStyle name="Header2 8 2 2 2 2 3 2" xfId="27322" xr:uid="{00000000-0005-0000-0000-0000EF6A0000}"/>
    <cellStyle name="Header2 8 2 2 2 2 3 3" xfId="27323" xr:uid="{00000000-0005-0000-0000-0000F06A0000}"/>
    <cellStyle name="Header2 8 2 2 2 2 3 4" xfId="27324" xr:uid="{00000000-0005-0000-0000-0000F16A0000}"/>
    <cellStyle name="Header2 8 2 2 2 2 4" xfId="27325" xr:uid="{00000000-0005-0000-0000-0000F26A0000}"/>
    <cellStyle name="Header2 8 2 2 2 2 5" xfId="27326" xr:uid="{00000000-0005-0000-0000-0000F36A0000}"/>
    <cellStyle name="Header2 8 2 2 2 2 6" xfId="27327" xr:uid="{00000000-0005-0000-0000-0000F46A0000}"/>
    <cellStyle name="Header2 8 2 2 2 3" xfId="27328" xr:uid="{00000000-0005-0000-0000-0000F56A0000}"/>
    <cellStyle name="Header2 8 2 2 2 3 2" xfId="27329" xr:uid="{00000000-0005-0000-0000-0000F66A0000}"/>
    <cellStyle name="Header2 8 2 2 2 3 2 2" xfId="27330" xr:uid="{00000000-0005-0000-0000-0000F76A0000}"/>
    <cellStyle name="Header2 8 2 2 2 3 2 3" xfId="27331" xr:uid="{00000000-0005-0000-0000-0000F86A0000}"/>
    <cellStyle name="Header2 8 2 2 2 3 2 4" xfId="27332" xr:uid="{00000000-0005-0000-0000-0000F96A0000}"/>
    <cellStyle name="Header2 8 2 2 2 3 3" xfId="27333" xr:uid="{00000000-0005-0000-0000-0000FA6A0000}"/>
    <cellStyle name="Header2 8 2 2 2 3 3 2" xfId="27334" xr:uid="{00000000-0005-0000-0000-0000FB6A0000}"/>
    <cellStyle name="Header2 8 2 2 2 3 3 3" xfId="27335" xr:uid="{00000000-0005-0000-0000-0000FC6A0000}"/>
    <cellStyle name="Header2 8 2 2 2 3 3 4" xfId="27336" xr:uid="{00000000-0005-0000-0000-0000FD6A0000}"/>
    <cellStyle name="Header2 8 2 2 2 3 4" xfId="27337" xr:uid="{00000000-0005-0000-0000-0000FE6A0000}"/>
    <cellStyle name="Header2 8 2 2 2 3 5" xfId="27338" xr:uid="{00000000-0005-0000-0000-0000FF6A0000}"/>
    <cellStyle name="Header2 8 2 2 2 3 6" xfId="27339" xr:uid="{00000000-0005-0000-0000-0000006B0000}"/>
    <cellStyle name="Header2 8 2 2 2 4" xfId="27340" xr:uid="{00000000-0005-0000-0000-0000016B0000}"/>
    <cellStyle name="Header2 8 2 2 2 5" xfId="27341" xr:uid="{00000000-0005-0000-0000-0000026B0000}"/>
    <cellStyle name="Header2 8 2 2 3" xfId="27342" xr:uid="{00000000-0005-0000-0000-0000036B0000}"/>
    <cellStyle name="Header2 8 2 2 3 2" xfId="27343" xr:uid="{00000000-0005-0000-0000-0000046B0000}"/>
    <cellStyle name="Header2 8 2 2 3 2 2" xfId="27344" xr:uid="{00000000-0005-0000-0000-0000056B0000}"/>
    <cellStyle name="Header2 8 2 2 3 2 2 2" xfId="27345" xr:uid="{00000000-0005-0000-0000-0000066B0000}"/>
    <cellStyle name="Header2 8 2 2 3 2 2 3" xfId="27346" xr:uid="{00000000-0005-0000-0000-0000076B0000}"/>
    <cellStyle name="Header2 8 2 2 3 2 2 4" xfId="27347" xr:uid="{00000000-0005-0000-0000-0000086B0000}"/>
    <cellStyle name="Header2 8 2 2 3 2 2 5" xfId="27348" xr:uid="{00000000-0005-0000-0000-0000096B0000}"/>
    <cellStyle name="Header2 8 2 2 3 2 3" xfId="27349" xr:uid="{00000000-0005-0000-0000-00000A6B0000}"/>
    <cellStyle name="Header2 8 2 2 3 2 3 2" xfId="27350" xr:uid="{00000000-0005-0000-0000-00000B6B0000}"/>
    <cellStyle name="Header2 8 2 2 3 2 3 3" xfId="27351" xr:uid="{00000000-0005-0000-0000-00000C6B0000}"/>
    <cellStyle name="Header2 8 2 2 3 2 3 4" xfId="27352" xr:uid="{00000000-0005-0000-0000-00000D6B0000}"/>
    <cellStyle name="Header2 8 2 2 3 2 4" xfId="27353" xr:uid="{00000000-0005-0000-0000-00000E6B0000}"/>
    <cellStyle name="Header2 8 2 2 3 2 5" xfId="27354" xr:uid="{00000000-0005-0000-0000-00000F6B0000}"/>
    <cellStyle name="Header2 8 2 2 3 2 6" xfId="27355" xr:uid="{00000000-0005-0000-0000-0000106B0000}"/>
    <cellStyle name="Header2 8 2 2 3 3" xfId="27356" xr:uid="{00000000-0005-0000-0000-0000116B0000}"/>
    <cellStyle name="Header2 8 2 2 3 3 2" xfId="27357" xr:uid="{00000000-0005-0000-0000-0000126B0000}"/>
    <cellStyle name="Header2 8 2 2 3 3 2 2" xfId="27358" xr:uid="{00000000-0005-0000-0000-0000136B0000}"/>
    <cellStyle name="Header2 8 2 2 3 3 2 3" xfId="27359" xr:uid="{00000000-0005-0000-0000-0000146B0000}"/>
    <cellStyle name="Header2 8 2 2 3 3 2 4" xfId="27360" xr:uid="{00000000-0005-0000-0000-0000156B0000}"/>
    <cellStyle name="Header2 8 2 2 3 3 3" xfId="27361" xr:uid="{00000000-0005-0000-0000-0000166B0000}"/>
    <cellStyle name="Header2 8 2 2 3 3 3 2" xfId="27362" xr:uid="{00000000-0005-0000-0000-0000176B0000}"/>
    <cellStyle name="Header2 8 2 2 3 3 3 3" xfId="27363" xr:uid="{00000000-0005-0000-0000-0000186B0000}"/>
    <cellStyle name="Header2 8 2 2 3 3 3 4" xfId="27364" xr:uid="{00000000-0005-0000-0000-0000196B0000}"/>
    <cellStyle name="Header2 8 2 2 3 3 4" xfId="27365" xr:uid="{00000000-0005-0000-0000-00001A6B0000}"/>
    <cellStyle name="Header2 8 2 2 3 3 5" xfId="27366" xr:uid="{00000000-0005-0000-0000-00001B6B0000}"/>
    <cellStyle name="Header2 8 2 2 3 3 6" xfId="27367" xr:uid="{00000000-0005-0000-0000-00001C6B0000}"/>
    <cellStyle name="Header2 8 2 2 3 4" xfId="27368" xr:uid="{00000000-0005-0000-0000-00001D6B0000}"/>
    <cellStyle name="Header2 8 2 2 3 5" xfId="27369" xr:uid="{00000000-0005-0000-0000-00001E6B0000}"/>
    <cellStyle name="Header2 8 2 3" xfId="27370" xr:uid="{00000000-0005-0000-0000-00001F6B0000}"/>
    <cellStyle name="Header2 8 2 3 2" xfId="27371" xr:uid="{00000000-0005-0000-0000-0000206B0000}"/>
    <cellStyle name="Header2 8 2 3 2 2" xfId="27372" xr:uid="{00000000-0005-0000-0000-0000216B0000}"/>
    <cellStyle name="Header2 8 2 3 2 3" xfId="27373" xr:uid="{00000000-0005-0000-0000-0000226B0000}"/>
    <cellStyle name="Header2 8 2 3 3" xfId="27374" xr:uid="{00000000-0005-0000-0000-0000236B0000}"/>
    <cellStyle name="Header2 8 2 4" xfId="27375" xr:uid="{00000000-0005-0000-0000-0000246B0000}"/>
    <cellStyle name="Header2 8 2 4 2" xfId="27376" xr:uid="{00000000-0005-0000-0000-0000256B0000}"/>
    <cellStyle name="Header2 8 2 4 2 2" xfId="27377" xr:uid="{00000000-0005-0000-0000-0000266B0000}"/>
    <cellStyle name="Header2 8 2 4 2 3" xfId="27378" xr:uid="{00000000-0005-0000-0000-0000276B0000}"/>
    <cellStyle name="Header2 8 2 4 3" xfId="27379" xr:uid="{00000000-0005-0000-0000-0000286B0000}"/>
    <cellStyle name="Header2 8 2 5" xfId="27380" xr:uid="{00000000-0005-0000-0000-0000296B0000}"/>
    <cellStyle name="Header2 8 2 5 2" xfId="27381" xr:uid="{00000000-0005-0000-0000-00002A6B0000}"/>
    <cellStyle name="Header2 8 2 5 2 2" xfId="27382" xr:uid="{00000000-0005-0000-0000-00002B6B0000}"/>
    <cellStyle name="Header2 8 2 5 2 3" xfId="27383" xr:uid="{00000000-0005-0000-0000-00002C6B0000}"/>
    <cellStyle name="Header2 8 2 5 3" xfId="27384" xr:uid="{00000000-0005-0000-0000-00002D6B0000}"/>
    <cellStyle name="Header2 8 2 6" xfId="27385" xr:uid="{00000000-0005-0000-0000-00002E6B0000}"/>
    <cellStyle name="Header2 8 2 6 2" xfId="27386" xr:uid="{00000000-0005-0000-0000-00002F6B0000}"/>
    <cellStyle name="Header2 8 2 6 2 2" xfId="27387" xr:uid="{00000000-0005-0000-0000-0000306B0000}"/>
    <cellStyle name="Header2 8 2 6 2 2 2" xfId="27388" xr:uid="{00000000-0005-0000-0000-0000316B0000}"/>
    <cellStyle name="Header2 8 2 6 2 2 3" xfId="27389" xr:uid="{00000000-0005-0000-0000-0000326B0000}"/>
    <cellStyle name="Header2 8 2 6 2 2 4" xfId="27390" xr:uid="{00000000-0005-0000-0000-0000336B0000}"/>
    <cellStyle name="Header2 8 2 6 2 2 5" xfId="27391" xr:uid="{00000000-0005-0000-0000-0000346B0000}"/>
    <cellStyle name="Header2 8 2 6 2 3" xfId="27392" xr:uid="{00000000-0005-0000-0000-0000356B0000}"/>
    <cellStyle name="Header2 8 2 6 2 3 2" xfId="27393" xr:uid="{00000000-0005-0000-0000-0000366B0000}"/>
    <cellStyle name="Header2 8 2 6 2 3 3" xfId="27394" xr:uid="{00000000-0005-0000-0000-0000376B0000}"/>
    <cellStyle name="Header2 8 2 6 2 3 4" xfId="27395" xr:uid="{00000000-0005-0000-0000-0000386B0000}"/>
    <cellStyle name="Header2 8 2 6 2 4" xfId="27396" xr:uid="{00000000-0005-0000-0000-0000396B0000}"/>
    <cellStyle name="Header2 8 2 6 2 5" xfId="27397" xr:uid="{00000000-0005-0000-0000-00003A6B0000}"/>
    <cellStyle name="Header2 8 2 6 2 6" xfId="27398" xr:uid="{00000000-0005-0000-0000-00003B6B0000}"/>
    <cellStyle name="Header2 8 2 6 3" xfId="27399" xr:uid="{00000000-0005-0000-0000-00003C6B0000}"/>
    <cellStyle name="Header2 8 2 6 3 2" xfId="27400" xr:uid="{00000000-0005-0000-0000-00003D6B0000}"/>
    <cellStyle name="Header2 8 2 6 3 2 2" xfId="27401" xr:uid="{00000000-0005-0000-0000-00003E6B0000}"/>
    <cellStyle name="Header2 8 2 6 3 2 3" xfId="27402" xr:uid="{00000000-0005-0000-0000-00003F6B0000}"/>
    <cellStyle name="Header2 8 2 6 3 2 4" xfId="27403" xr:uid="{00000000-0005-0000-0000-0000406B0000}"/>
    <cellStyle name="Header2 8 2 6 3 3" xfId="27404" xr:uid="{00000000-0005-0000-0000-0000416B0000}"/>
    <cellStyle name="Header2 8 2 6 3 3 2" xfId="27405" xr:uid="{00000000-0005-0000-0000-0000426B0000}"/>
    <cellStyle name="Header2 8 2 6 3 3 3" xfId="27406" xr:uid="{00000000-0005-0000-0000-0000436B0000}"/>
    <cellStyle name="Header2 8 2 6 3 3 4" xfId="27407" xr:uid="{00000000-0005-0000-0000-0000446B0000}"/>
    <cellStyle name="Header2 8 2 6 3 4" xfId="27408" xr:uid="{00000000-0005-0000-0000-0000456B0000}"/>
    <cellStyle name="Header2 8 2 6 3 5" xfId="27409" xr:uid="{00000000-0005-0000-0000-0000466B0000}"/>
    <cellStyle name="Header2 8 2 6 3 6" xfId="27410" xr:uid="{00000000-0005-0000-0000-0000476B0000}"/>
    <cellStyle name="Header2 8 2 6 4" xfId="27411" xr:uid="{00000000-0005-0000-0000-0000486B0000}"/>
    <cellStyle name="Header2 8 2 6 5" xfId="27412" xr:uid="{00000000-0005-0000-0000-0000496B0000}"/>
    <cellStyle name="Header2 8 2 7" xfId="27413" xr:uid="{00000000-0005-0000-0000-00004A6B0000}"/>
    <cellStyle name="Header2 8 2 7 2" xfId="27414" xr:uid="{00000000-0005-0000-0000-00004B6B0000}"/>
    <cellStyle name="Header2 8 2 7 2 2" xfId="27415" xr:uid="{00000000-0005-0000-0000-00004C6B0000}"/>
    <cellStyle name="Header2 8 2 7 2 2 2" xfId="27416" xr:uid="{00000000-0005-0000-0000-00004D6B0000}"/>
    <cellStyle name="Header2 8 2 7 2 2 3" xfId="27417" xr:uid="{00000000-0005-0000-0000-00004E6B0000}"/>
    <cellStyle name="Header2 8 2 7 2 2 4" xfId="27418" xr:uid="{00000000-0005-0000-0000-00004F6B0000}"/>
    <cellStyle name="Header2 8 2 7 2 2 5" xfId="27419" xr:uid="{00000000-0005-0000-0000-0000506B0000}"/>
    <cellStyle name="Header2 8 2 7 2 3" xfId="27420" xr:uid="{00000000-0005-0000-0000-0000516B0000}"/>
    <cellStyle name="Header2 8 2 7 2 3 2" xfId="27421" xr:uid="{00000000-0005-0000-0000-0000526B0000}"/>
    <cellStyle name="Header2 8 2 7 2 3 3" xfId="27422" xr:uid="{00000000-0005-0000-0000-0000536B0000}"/>
    <cellStyle name="Header2 8 2 7 2 3 4" xfId="27423" xr:uid="{00000000-0005-0000-0000-0000546B0000}"/>
    <cellStyle name="Header2 8 2 7 2 4" xfId="27424" xr:uid="{00000000-0005-0000-0000-0000556B0000}"/>
    <cellStyle name="Header2 8 2 7 2 5" xfId="27425" xr:uid="{00000000-0005-0000-0000-0000566B0000}"/>
    <cellStyle name="Header2 8 2 7 2 6" xfId="27426" xr:uid="{00000000-0005-0000-0000-0000576B0000}"/>
    <cellStyle name="Header2 8 2 7 3" xfId="27427" xr:uid="{00000000-0005-0000-0000-0000586B0000}"/>
    <cellStyle name="Header2 8 2 7 3 2" xfId="27428" xr:uid="{00000000-0005-0000-0000-0000596B0000}"/>
    <cellStyle name="Header2 8 2 7 3 2 2" xfId="27429" xr:uid="{00000000-0005-0000-0000-00005A6B0000}"/>
    <cellStyle name="Header2 8 2 7 3 2 3" xfId="27430" xr:uid="{00000000-0005-0000-0000-00005B6B0000}"/>
    <cellStyle name="Header2 8 2 7 3 2 4" xfId="27431" xr:uid="{00000000-0005-0000-0000-00005C6B0000}"/>
    <cellStyle name="Header2 8 2 7 3 3" xfId="27432" xr:uid="{00000000-0005-0000-0000-00005D6B0000}"/>
    <cellStyle name="Header2 8 2 7 3 3 2" xfId="27433" xr:uid="{00000000-0005-0000-0000-00005E6B0000}"/>
    <cellStyle name="Header2 8 2 7 3 3 3" xfId="27434" xr:uid="{00000000-0005-0000-0000-00005F6B0000}"/>
    <cellStyle name="Header2 8 2 7 3 3 4" xfId="27435" xr:uid="{00000000-0005-0000-0000-0000606B0000}"/>
    <cellStyle name="Header2 8 2 7 3 4" xfId="27436" xr:uid="{00000000-0005-0000-0000-0000616B0000}"/>
    <cellStyle name="Header2 8 2 7 3 5" xfId="27437" xr:uid="{00000000-0005-0000-0000-0000626B0000}"/>
    <cellStyle name="Header2 8 2 7 3 6" xfId="27438" xr:uid="{00000000-0005-0000-0000-0000636B0000}"/>
    <cellStyle name="Header2 8 2 7 4" xfId="27439" xr:uid="{00000000-0005-0000-0000-0000646B0000}"/>
    <cellStyle name="Header2 8 2 7 5" xfId="27440" xr:uid="{00000000-0005-0000-0000-0000656B0000}"/>
    <cellStyle name="Header2 8 2 8" xfId="27441" xr:uid="{00000000-0005-0000-0000-0000666B0000}"/>
    <cellStyle name="Header2 8 2 8 2" xfId="27442" xr:uid="{00000000-0005-0000-0000-0000676B0000}"/>
    <cellStyle name="Header2 8 2 8 2 2" xfId="27443" xr:uid="{00000000-0005-0000-0000-0000686B0000}"/>
    <cellStyle name="Header2 8 2 8 2 2 2" xfId="27444" xr:uid="{00000000-0005-0000-0000-0000696B0000}"/>
    <cellStyle name="Header2 8 2 8 2 2 3" xfId="27445" xr:uid="{00000000-0005-0000-0000-00006A6B0000}"/>
    <cellStyle name="Header2 8 2 8 2 2 4" xfId="27446" xr:uid="{00000000-0005-0000-0000-00006B6B0000}"/>
    <cellStyle name="Header2 8 2 8 2 2 5" xfId="27447" xr:uid="{00000000-0005-0000-0000-00006C6B0000}"/>
    <cellStyle name="Header2 8 2 8 2 3" xfId="27448" xr:uid="{00000000-0005-0000-0000-00006D6B0000}"/>
    <cellStyle name="Header2 8 2 8 2 3 2" xfId="27449" xr:uid="{00000000-0005-0000-0000-00006E6B0000}"/>
    <cellStyle name="Header2 8 2 8 2 3 3" xfId="27450" xr:uid="{00000000-0005-0000-0000-00006F6B0000}"/>
    <cellStyle name="Header2 8 2 8 2 3 4" xfId="27451" xr:uid="{00000000-0005-0000-0000-0000706B0000}"/>
    <cellStyle name="Header2 8 2 8 2 4" xfId="27452" xr:uid="{00000000-0005-0000-0000-0000716B0000}"/>
    <cellStyle name="Header2 8 2 8 2 5" xfId="27453" xr:uid="{00000000-0005-0000-0000-0000726B0000}"/>
    <cellStyle name="Header2 8 2 8 2 6" xfId="27454" xr:uid="{00000000-0005-0000-0000-0000736B0000}"/>
    <cellStyle name="Header2 8 2 8 3" xfId="27455" xr:uid="{00000000-0005-0000-0000-0000746B0000}"/>
    <cellStyle name="Header2 8 2 8 3 2" xfId="27456" xr:uid="{00000000-0005-0000-0000-0000756B0000}"/>
    <cellStyle name="Header2 8 2 8 3 2 2" xfId="27457" xr:uid="{00000000-0005-0000-0000-0000766B0000}"/>
    <cellStyle name="Header2 8 2 8 3 2 3" xfId="27458" xr:uid="{00000000-0005-0000-0000-0000776B0000}"/>
    <cellStyle name="Header2 8 2 8 3 2 4" xfId="27459" xr:uid="{00000000-0005-0000-0000-0000786B0000}"/>
    <cellStyle name="Header2 8 2 8 3 3" xfId="27460" xr:uid="{00000000-0005-0000-0000-0000796B0000}"/>
    <cellStyle name="Header2 8 2 8 3 3 2" xfId="27461" xr:uid="{00000000-0005-0000-0000-00007A6B0000}"/>
    <cellStyle name="Header2 8 2 8 3 3 3" xfId="27462" xr:uid="{00000000-0005-0000-0000-00007B6B0000}"/>
    <cellStyle name="Header2 8 2 8 3 3 4" xfId="27463" xr:uid="{00000000-0005-0000-0000-00007C6B0000}"/>
    <cellStyle name="Header2 8 2 8 3 4" xfId="27464" xr:uid="{00000000-0005-0000-0000-00007D6B0000}"/>
    <cellStyle name="Header2 8 2 8 3 5" xfId="27465" xr:uid="{00000000-0005-0000-0000-00007E6B0000}"/>
    <cellStyle name="Header2 8 2 8 3 6" xfId="27466" xr:uid="{00000000-0005-0000-0000-00007F6B0000}"/>
    <cellStyle name="Header2 8 2 8 4" xfId="27467" xr:uid="{00000000-0005-0000-0000-0000806B0000}"/>
    <cellStyle name="Header2 8 2 8 5" xfId="27468" xr:uid="{00000000-0005-0000-0000-0000816B0000}"/>
    <cellStyle name="Header2 8 2 9" xfId="27469" xr:uid="{00000000-0005-0000-0000-0000826B0000}"/>
    <cellStyle name="Header2 8 2 9 2" xfId="27470" xr:uid="{00000000-0005-0000-0000-0000836B0000}"/>
    <cellStyle name="Header2 8 2 9 2 2" xfId="27471" xr:uid="{00000000-0005-0000-0000-0000846B0000}"/>
    <cellStyle name="Header2 8 2 9 2 2 2" xfId="27472" xr:uid="{00000000-0005-0000-0000-0000856B0000}"/>
    <cellStyle name="Header2 8 2 9 2 2 3" xfId="27473" xr:uid="{00000000-0005-0000-0000-0000866B0000}"/>
    <cellStyle name="Header2 8 2 9 2 2 4" xfId="27474" xr:uid="{00000000-0005-0000-0000-0000876B0000}"/>
    <cellStyle name="Header2 8 2 9 2 2 5" xfId="27475" xr:uid="{00000000-0005-0000-0000-0000886B0000}"/>
    <cellStyle name="Header2 8 2 9 2 3" xfId="27476" xr:uid="{00000000-0005-0000-0000-0000896B0000}"/>
    <cellStyle name="Header2 8 2 9 2 3 2" xfId="27477" xr:uid="{00000000-0005-0000-0000-00008A6B0000}"/>
    <cellStyle name="Header2 8 2 9 2 3 3" xfId="27478" xr:uid="{00000000-0005-0000-0000-00008B6B0000}"/>
    <cellStyle name="Header2 8 2 9 2 3 4" xfId="27479" xr:uid="{00000000-0005-0000-0000-00008C6B0000}"/>
    <cellStyle name="Header2 8 2 9 2 4" xfId="27480" xr:uid="{00000000-0005-0000-0000-00008D6B0000}"/>
    <cellStyle name="Header2 8 2 9 2 5" xfId="27481" xr:uid="{00000000-0005-0000-0000-00008E6B0000}"/>
    <cellStyle name="Header2 8 2 9 2 6" xfId="27482" xr:uid="{00000000-0005-0000-0000-00008F6B0000}"/>
    <cellStyle name="Header2 8 2 9 3" xfId="27483" xr:uid="{00000000-0005-0000-0000-0000906B0000}"/>
    <cellStyle name="Header2 8 2 9 3 2" xfId="27484" xr:uid="{00000000-0005-0000-0000-0000916B0000}"/>
    <cellStyle name="Header2 8 2 9 3 2 2" xfId="27485" xr:uid="{00000000-0005-0000-0000-0000926B0000}"/>
    <cellStyle name="Header2 8 2 9 3 2 3" xfId="27486" xr:uid="{00000000-0005-0000-0000-0000936B0000}"/>
    <cellStyle name="Header2 8 2 9 3 2 4" xfId="27487" xr:uid="{00000000-0005-0000-0000-0000946B0000}"/>
    <cellStyle name="Header2 8 2 9 3 3" xfId="27488" xr:uid="{00000000-0005-0000-0000-0000956B0000}"/>
    <cellStyle name="Header2 8 2 9 3 3 2" xfId="27489" xr:uid="{00000000-0005-0000-0000-0000966B0000}"/>
    <cellStyle name="Header2 8 2 9 3 3 3" xfId="27490" xr:uid="{00000000-0005-0000-0000-0000976B0000}"/>
    <cellStyle name="Header2 8 2 9 3 3 4" xfId="27491" xr:uid="{00000000-0005-0000-0000-0000986B0000}"/>
    <cellStyle name="Header2 8 2 9 3 4" xfId="27492" xr:uid="{00000000-0005-0000-0000-0000996B0000}"/>
    <cellStyle name="Header2 8 2 9 3 5" xfId="27493" xr:uid="{00000000-0005-0000-0000-00009A6B0000}"/>
    <cellStyle name="Header2 8 2 9 3 6" xfId="27494" xr:uid="{00000000-0005-0000-0000-00009B6B0000}"/>
    <cellStyle name="Header2 8 2 9 4" xfId="27495" xr:uid="{00000000-0005-0000-0000-00009C6B0000}"/>
    <cellStyle name="Header2 8 2 9 5" xfId="27496" xr:uid="{00000000-0005-0000-0000-00009D6B0000}"/>
    <cellStyle name="Header2 8 3" xfId="27497" xr:uid="{00000000-0005-0000-0000-00009E6B0000}"/>
    <cellStyle name="Header2 8 3 10" xfId="27498" xr:uid="{00000000-0005-0000-0000-00009F6B0000}"/>
    <cellStyle name="Header2 8 3 10 2" xfId="27499" xr:uid="{00000000-0005-0000-0000-0000A06B0000}"/>
    <cellStyle name="Header2 8 3 10 2 2" xfId="27500" xr:uid="{00000000-0005-0000-0000-0000A16B0000}"/>
    <cellStyle name="Header2 8 3 10 2 2 2" xfId="27501" xr:uid="{00000000-0005-0000-0000-0000A26B0000}"/>
    <cellStyle name="Header2 8 3 10 2 2 3" xfId="27502" xr:uid="{00000000-0005-0000-0000-0000A36B0000}"/>
    <cellStyle name="Header2 8 3 10 2 2 4" xfId="27503" xr:uid="{00000000-0005-0000-0000-0000A46B0000}"/>
    <cellStyle name="Header2 8 3 10 2 2 5" xfId="27504" xr:uid="{00000000-0005-0000-0000-0000A56B0000}"/>
    <cellStyle name="Header2 8 3 10 2 3" xfId="27505" xr:uid="{00000000-0005-0000-0000-0000A66B0000}"/>
    <cellStyle name="Header2 8 3 10 2 3 2" xfId="27506" xr:uid="{00000000-0005-0000-0000-0000A76B0000}"/>
    <cellStyle name="Header2 8 3 10 2 3 3" xfId="27507" xr:uid="{00000000-0005-0000-0000-0000A86B0000}"/>
    <cellStyle name="Header2 8 3 10 2 3 4" xfId="27508" xr:uid="{00000000-0005-0000-0000-0000A96B0000}"/>
    <cellStyle name="Header2 8 3 10 2 4" xfId="27509" xr:uid="{00000000-0005-0000-0000-0000AA6B0000}"/>
    <cellStyle name="Header2 8 3 10 2 5" xfId="27510" xr:uid="{00000000-0005-0000-0000-0000AB6B0000}"/>
    <cellStyle name="Header2 8 3 10 2 6" xfId="27511" xr:uid="{00000000-0005-0000-0000-0000AC6B0000}"/>
    <cellStyle name="Header2 8 3 10 3" xfId="27512" xr:uid="{00000000-0005-0000-0000-0000AD6B0000}"/>
    <cellStyle name="Header2 8 3 10 3 2" xfId="27513" xr:uid="{00000000-0005-0000-0000-0000AE6B0000}"/>
    <cellStyle name="Header2 8 3 10 3 2 2" xfId="27514" xr:uid="{00000000-0005-0000-0000-0000AF6B0000}"/>
    <cellStyle name="Header2 8 3 10 3 2 3" xfId="27515" xr:uid="{00000000-0005-0000-0000-0000B06B0000}"/>
    <cellStyle name="Header2 8 3 10 3 2 4" xfId="27516" xr:uid="{00000000-0005-0000-0000-0000B16B0000}"/>
    <cellStyle name="Header2 8 3 10 3 3" xfId="27517" xr:uid="{00000000-0005-0000-0000-0000B26B0000}"/>
    <cellStyle name="Header2 8 3 10 3 3 2" xfId="27518" xr:uid="{00000000-0005-0000-0000-0000B36B0000}"/>
    <cellStyle name="Header2 8 3 10 3 3 3" xfId="27519" xr:uid="{00000000-0005-0000-0000-0000B46B0000}"/>
    <cellStyle name="Header2 8 3 10 3 3 4" xfId="27520" xr:uid="{00000000-0005-0000-0000-0000B56B0000}"/>
    <cellStyle name="Header2 8 3 10 3 4" xfId="27521" xr:uid="{00000000-0005-0000-0000-0000B66B0000}"/>
    <cellStyle name="Header2 8 3 10 3 5" xfId="27522" xr:uid="{00000000-0005-0000-0000-0000B76B0000}"/>
    <cellStyle name="Header2 8 3 10 3 6" xfId="27523" xr:uid="{00000000-0005-0000-0000-0000B86B0000}"/>
    <cellStyle name="Header2 8 3 10 4" xfId="27524" xr:uid="{00000000-0005-0000-0000-0000B96B0000}"/>
    <cellStyle name="Header2 8 3 10 5" xfId="27525" xr:uid="{00000000-0005-0000-0000-0000BA6B0000}"/>
    <cellStyle name="Header2 8 3 11" xfId="27526" xr:uid="{00000000-0005-0000-0000-0000BB6B0000}"/>
    <cellStyle name="Header2 8 3 11 2" xfId="27527" xr:uid="{00000000-0005-0000-0000-0000BC6B0000}"/>
    <cellStyle name="Header2 8 3 11 2 2" xfId="27528" xr:uid="{00000000-0005-0000-0000-0000BD6B0000}"/>
    <cellStyle name="Header2 8 3 11 2 2 2" xfId="27529" xr:uid="{00000000-0005-0000-0000-0000BE6B0000}"/>
    <cellStyle name="Header2 8 3 11 2 2 3" xfId="27530" xr:uid="{00000000-0005-0000-0000-0000BF6B0000}"/>
    <cellStyle name="Header2 8 3 11 2 2 4" xfId="27531" xr:uid="{00000000-0005-0000-0000-0000C06B0000}"/>
    <cellStyle name="Header2 8 3 11 2 2 5" xfId="27532" xr:uid="{00000000-0005-0000-0000-0000C16B0000}"/>
    <cellStyle name="Header2 8 3 11 2 3" xfId="27533" xr:uid="{00000000-0005-0000-0000-0000C26B0000}"/>
    <cellStyle name="Header2 8 3 11 2 3 2" xfId="27534" xr:uid="{00000000-0005-0000-0000-0000C36B0000}"/>
    <cellStyle name="Header2 8 3 11 2 3 3" xfId="27535" xr:uid="{00000000-0005-0000-0000-0000C46B0000}"/>
    <cellStyle name="Header2 8 3 11 2 3 4" xfId="27536" xr:uid="{00000000-0005-0000-0000-0000C56B0000}"/>
    <cellStyle name="Header2 8 3 11 2 4" xfId="27537" xr:uid="{00000000-0005-0000-0000-0000C66B0000}"/>
    <cellStyle name="Header2 8 3 11 2 5" xfId="27538" xr:uid="{00000000-0005-0000-0000-0000C76B0000}"/>
    <cellStyle name="Header2 8 3 11 2 6" xfId="27539" xr:uid="{00000000-0005-0000-0000-0000C86B0000}"/>
    <cellStyle name="Header2 8 3 11 3" xfId="27540" xr:uid="{00000000-0005-0000-0000-0000C96B0000}"/>
    <cellStyle name="Header2 8 3 11 3 2" xfId="27541" xr:uid="{00000000-0005-0000-0000-0000CA6B0000}"/>
    <cellStyle name="Header2 8 3 11 3 2 2" xfId="27542" xr:uid="{00000000-0005-0000-0000-0000CB6B0000}"/>
    <cellStyle name="Header2 8 3 11 3 2 3" xfId="27543" xr:uid="{00000000-0005-0000-0000-0000CC6B0000}"/>
    <cellStyle name="Header2 8 3 11 3 2 4" xfId="27544" xr:uid="{00000000-0005-0000-0000-0000CD6B0000}"/>
    <cellStyle name="Header2 8 3 11 3 3" xfId="27545" xr:uid="{00000000-0005-0000-0000-0000CE6B0000}"/>
    <cellStyle name="Header2 8 3 11 3 3 2" xfId="27546" xr:uid="{00000000-0005-0000-0000-0000CF6B0000}"/>
    <cellStyle name="Header2 8 3 11 3 3 3" xfId="27547" xr:uid="{00000000-0005-0000-0000-0000D06B0000}"/>
    <cellStyle name="Header2 8 3 11 3 3 4" xfId="27548" xr:uid="{00000000-0005-0000-0000-0000D16B0000}"/>
    <cellStyle name="Header2 8 3 11 3 4" xfId="27549" xr:uid="{00000000-0005-0000-0000-0000D26B0000}"/>
    <cellStyle name="Header2 8 3 11 3 5" xfId="27550" xr:uid="{00000000-0005-0000-0000-0000D36B0000}"/>
    <cellStyle name="Header2 8 3 11 3 6" xfId="27551" xr:uid="{00000000-0005-0000-0000-0000D46B0000}"/>
    <cellStyle name="Header2 8 3 11 4" xfId="27552" xr:uid="{00000000-0005-0000-0000-0000D56B0000}"/>
    <cellStyle name="Header2 8 3 11 5" xfId="27553" xr:uid="{00000000-0005-0000-0000-0000D66B0000}"/>
    <cellStyle name="Header2 8 3 12" xfId="27554" xr:uid="{00000000-0005-0000-0000-0000D76B0000}"/>
    <cellStyle name="Header2 8 3 12 2" xfId="27555" xr:uid="{00000000-0005-0000-0000-0000D86B0000}"/>
    <cellStyle name="Header2 8 3 12 2 2" xfId="27556" xr:uid="{00000000-0005-0000-0000-0000D96B0000}"/>
    <cellStyle name="Header2 8 3 12 2 2 2" xfId="27557" xr:uid="{00000000-0005-0000-0000-0000DA6B0000}"/>
    <cellStyle name="Header2 8 3 12 2 2 3" xfId="27558" xr:uid="{00000000-0005-0000-0000-0000DB6B0000}"/>
    <cellStyle name="Header2 8 3 12 2 2 4" xfId="27559" xr:uid="{00000000-0005-0000-0000-0000DC6B0000}"/>
    <cellStyle name="Header2 8 3 12 2 2 5" xfId="27560" xr:uid="{00000000-0005-0000-0000-0000DD6B0000}"/>
    <cellStyle name="Header2 8 3 12 2 3" xfId="27561" xr:uid="{00000000-0005-0000-0000-0000DE6B0000}"/>
    <cellStyle name="Header2 8 3 12 2 3 2" xfId="27562" xr:uid="{00000000-0005-0000-0000-0000DF6B0000}"/>
    <cellStyle name="Header2 8 3 12 2 3 3" xfId="27563" xr:uid="{00000000-0005-0000-0000-0000E06B0000}"/>
    <cellStyle name="Header2 8 3 12 2 3 4" xfId="27564" xr:uid="{00000000-0005-0000-0000-0000E16B0000}"/>
    <cellStyle name="Header2 8 3 12 2 4" xfId="27565" xr:uid="{00000000-0005-0000-0000-0000E26B0000}"/>
    <cellStyle name="Header2 8 3 12 2 5" xfId="27566" xr:uid="{00000000-0005-0000-0000-0000E36B0000}"/>
    <cellStyle name="Header2 8 3 12 2 6" xfId="27567" xr:uid="{00000000-0005-0000-0000-0000E46B0000}"/>
    <cellStyle name="Header2 8 3 12 3" xfId="27568" xr:uid="{00000000-0005-0000-0000-0000E56B0000}"/>
    <cellStyle name="Header2 8 3 12 3 2" xfId="27569" xr:uid="{00000000-0005-0000-0000-0000E66B0000}"/>
    <cellStyle name="Header2 8 3 12 3 2 2" xfId="27570" xr:uid="{00000000-0005-0000-0000-0000E76B0000}"/>
    <cellStyle name="Header2 8 3 12 3 2 3" xfId="27571" xr:uid="{00000000-0005-0000-0000-0000E86B0000}"/>
    <cellStyle name="Header2 8 3 12 3 2 4" xfId="27572" xr:uid="{00000000-0005-0000-0000-0000E96B0000}"/>
    <cellStyle name="Header2 8 3 12 3 3" xfId="27573" xr:uid="{00000000-0005-0000-0000-0000EA6B0000}"/>
    <cellStyle name="Header2 8 3 12 3 3 2" xfId="27574" xr:uid="{00000000-0005-0000-0000-0000EB6B0000}"/>
    <cellStyle name="Header2 8 3 12 3 3 3" xfId="27575" xr:uid="{00000000-0005-0000-0000-0000EC6B0000}"/>
    <cellStyle name="Header2 8 3 12 3 3 4" xfId="27576" xr:uid="{00000000-0005-0000-0000-0000ED6B0000}"/>
    <cellStyle name="Header2 8 3 12 3 4" xfId="27577" xr:uid="{00000000-0005-0000-0000-0000EE6B0000}"/>
    <cellStyle name="Header2 8 3 12 3 5" xfId="27578" xr:uid="{00000000-0005-0000-0000-0000EF6B0000}"/>
    <cellStyle name="Header2 8 3 12 3 6" xfId="27579" xr:uid="{00000000-0005-0000-0000-0000F06B0000}"/>
    <cellStyle name="Header2 8 3 12 4" xfId="27580" xr:uid="{00000000-0005-0000-0000-0000F16B0000}"/>
    <cellStyle name="Header2 8 3 12 5" xfId="27581" xr:uid="{00000000-0005-0000-0000-0000F26B0000}"/>
    <cellStyle name="Header2 8 3 13" xfId="58771" xr:uid="{00000000-0005-0000-0000-0000F36B0000}"/>
    <cellStyle name="Header2 8 3 2" xfId="27582" xr:uid="{00000000-0005-0000-0000-0000F46B0000}"/>
    <cellStyle name="Header2 8 3 2 2" xfId="27583" xr:uid="{00000000-0005-0000-0000-0000F56B0000}"/>
    <cellStyle name="Header2 8 3 2 2 2" xfId="27584" xr:uid="{00000000-0005-0000-0000-0000F66B0000}"/>
    <cellStyle name="Header2 8 3 2 2 3" xfId="27585" xr:uid="{00000000-0005-0000-0000-0000F76B0000}"/>
    <cellStyle name="Header2 8 3 2 3" xfId="27586" xr:uid="{00000000-0005-0000-0000-0000F86B0000}"/>
    <cellStyle name="Header2 8 3 3" xfId="27587" xr:uid="{00000000-0005-0000-0000-0000F96B0000}"/>
    <cellStyle name="Header2 8 3 3 2" xfId="27588" xr:uid="{00000000-0005-0000-0000-0000FA6B0000}"/>
    <cellStyle name="Header2 8 3 3 2 2" xfId="27589" xr:uid="{00000000-0005-0000-0000-0000FB6B0000}"/>
    <cellStyle name="Header2 8 3 3 2 3" xfId="27590" xr:uid="{00000000-0005-0000-0000-0000FC6B0000}"/>
    <cellStyle name="Header2 8 3 3 3" xfId="27591" xr:uid="{00000000-0005-0000-0000-0000FD6B0000}"/>
    <cellStyle name="Header2 8 3 4" xfId="27592" xr:uid="{00000000-0005-0000-0000-0000FE6B0000}"/>
    <cellStyle name="Header2 8 3 4 2" xfId="27593" xr:uid="{00000000-0005-0000-0000-0000FF6B0000}"/>
    <cellStyle name="Header2 8 3 4 2 2" xfId="27594" xr:uid="{00000000-0005-0000-0000-0000006C0000}"/>
    <cellStyle name="Header2 8 3 4 2 3" xfId="27595" xr:uid="{00000000-0005-0000-0000-0000016C0000}"/>
    <cellStyle name="Header2 8 3 4 3" xfId="27596" xr:uid="{00000000-0005-0000-0000-0000026C0000}"/>
    <cellStyle name="Header2 8 3 5" xfId="27597" xr:uid="{00000000-0005-0000-0000-0000036C0000}"/>
    <cellStyle name="Header2 8 3 5 2" xfId="27598" xr:uid="{00000000-0005-0000-0000-0000046C0000}"/>
    <cellStyle name="Header2 8 3 5 2 2" xfId="27599" xr:uid="{00000000-0005-0000-0000-0000056C0000}"/>
    <cellStyle name="Header2 8 3 5 2 2 2" xfId="27600" xr:uid="{00000000-0005-0000-0000-0000066C0000}"/>
    <cellStyle name="Header2 8 3 5 2 2 3" xfId="27601" xr:uid="{00000000-0005-0000-0000-0000076C0000}"/>
    <cellStyle name="Header2 8 3 5 2 2 4" xfId="27602" xr:uid="{00000000-0005-0000-0000-0000086C0000}"/>
    <cellStyle name="Header2 8 3 5 2 2 5" xfId="27603" xr:uid="{00000000-0005-0000-0000-0000096C0000}"/>
    <cellStyle name="Header2 8 3 5 2 3" xfId="27604" xr:uid="{00000000-0005-0000-0000-00000A6C0000}"/>
    <cellStyle name="Header2 8 3 5 2 3 2" xfId="27605" xr:uid="{00000000-0005-0000-0000-00000B6C0000}"/>
    <cellStyle name="Header2 8 3 5 2 3 3" xfId="27606" xr:uid="{00000000-0005-0000-0000-00000C6C0000}"/>
    <cellStyle name="Header2 8 3 5 2 3 4" xfId="27607" xr:uid="{00000000-0005-0000-0000-00000D6C0000}"/>
    <cellStyle name="Header2 8 3 5 2 4" xfId="27608" xr:uid="{00000000-0005-0000-0000-00000E6C0000}"/>
    <cellStyle name="Header2 8 3 5 2 5" xfId="27609" xr:uid="{00000000-0005-0000-0000-00000F6C0000}"/>
    <cellStyle name="Header2 8 3 5 2 6" xfId="27610" xr:uid="{00000000-0005-0000-0000-0000106C0000}"/>
    <cellStyle name="Header2 8 3 5 3" xfId="27611" xr:uid="{00000000-0005-0000-0000-0000116C0000}"/>
    <cellStyle name="Header2 8 3 5 3 2" xfId="27612" xr:uid="{00000000-0005-0000-0000-0000126C0000}"/>
    <cellStyle name="Header2 8 3 5 3 2 2" xfId="27613" xr:uid="{00000000-0005-0000-0000-0000136C0000}"/>
    <cellStyle name="Header2 8 3 5 3 2 3" xfId="27614" xr:uid="{00000000-0005-0000-0000-0000146C0000}"/>
    <cellStyle name="Header2 8 3 5 3 2 4" xfId="27615" xr:uid="{00000000-0005-0000-0000-0000156C0000}"/>
    <cellStyle name="Header2 8 3 5 3 3" xfId="27616" xr:uid="{00000000-0005-0000-0000-0000166C0000}"/>
    <cellStyle name="Header2 8 3 5 3 3 2" xfId="27617" xr:uid="{00000000-0005-0000-0000-0000176C0000}"/>
    <cellStyle name="Header2 8 3 5 3 3 3" xfId="27618" xr:uid="{00000000-0005-0000-0000-0000186C0000}"/>
    <cellStyle name="Header2 8 3 5 3 3 4" xfId="27619" xr:uid="{00000000-0005-0000-0000-0000196C0000}"/>
    <cellStyle name="Header2 8 3 5 3 4" xfId="27620" xr:uid="{00000000-0005-0000-0000-00001A6C0000}"/>
    <cellStyle name="Header2 8 3 5 3 5" xfId="27621" xr:uid="{00000000-0005-0000-0000-00001B6C0000}"/>
    <cellStyle name="Header2 8 3 5 3 6" xfId="27622" xr:uid="{00000000-0005-0000-0000-00001C6C0000}"/>
    <cellStyle name="Header2 8 3 5 4" xfId="27623" xr:uid="{00000000-0005-0000-0000-00001D6C0000}"/>
    <cellStyle name="Header2 8 3 5 5" xfId="27624" xr:uid="{00000000-0005-0000-0000-00001E6C0000}"/>
    <cellStyle name="Header2 8 3 6" xfId="27625" xr:uid="{00000000-0005-0000-0000-00001F6C0000}"/>
    <cellStyle name="Header2 8 3 6 2" xfId="27626" xr:uid="{00000000-0005-0000-0000-0000206C0000}"/>
    <cellStyle name="Header2 8 3 6 2 2" xfId="27627" xr:uid="{00000000-0005-0000-0000-0000216C0000}"/>
    <cellStyle name="Header2 8 3 6 2 2 2" xfId="27628" xr:uid="{00000000-0005-0000-0000-0000226C0000}"/>
    <cellStyle name="Header2 8 3 6 2 2 3" xfId="27629" xr:uid="{00000000-0005-0000-0000-0000236C0000}"/>
    <cellStyle name="Header2 8 3 6 2 2 4" xfId="27630" xr:uid="{00000000-0005-0000-0000-0000246C0000}"/>
    <cellStyle name="Header2 8 3 6 2 2 5" xfId="27631" xr:uid="{00000000-0005-0000-0000-0000256C0000}"/>
    <cellStyle name="Header2 8 3 6 2 3" xfId="27632" xr:uid="{00000000-0005-0000-0000-0000266C0000}"/>
    <cellStyle name="Header2 8 3 6 2 3 2" xfId="27633" xr:uid="{00000000-0005-0000-0000-0000276C0000}"/>
    <cellStyle name="Header2 8 3 6 2 3 3" xfId="27634" xr:uid="{00000000-0005-0000-0000-0000286C0000}"/>
    <cellStyle name="Header2 8 3 6 2 3 4" xfId="27635" xr:uid="{00000000-0005-0000-0000-0000296C0000}"/>
    <cellStyle name="Header2 8 3 6 2 4" xfId="27636" xr:uid="{00000000-0005-0000-0000-00002A6C0000}"/>
    <cellStyle name="Header2 8 3 6 2 5" xfId="27637" xr:uid="{00000000-0005-0000-0000-00002B6C0000}"/>
    <cellStyle name="Header2 8 3 6 2 6" xfId="27638" xr:uid="{00000000-0005-0000-0000-00002C6C0000}"/>
    <cellStyle name="Header2 8 3 6 3" xfId="27639" xr:uid="{00000000-0005-0000-0000-00002D6C0000}"/>
    <cellStyle name="Header2 8 3 6 3 2" xfId="27640" xr:uid="{00000000-0005-0000-0000-00002E6C0000}"/>
    <cellStyle name="Header2 8 3 6 3 2 2" xfId="27641" xr:uid="{00000000-0005-0000-0000-00002F6C0000}"/>
    <cellStyle name="Header2 8 3 6 3 2 3" xfId="27642" xr:uid="{00000000-0005-0000-0000-0000306C0000}"/>
    <cellStyle name="Header2 8 3 6 3 2 4" xfId="27643" xr:uid="{00000000-0005-0000-0000-0000316C0000}"/>
    <cellStyle name="Header2 8 3 6 3 3" xfId="27644" xr:uid="{00000000-0005-0000-0000-0000326C0000}"/>
    <cellStyle name="Header2 8 3 6 3 3 2" xfId="27645" xr:uid="{00000000-0005-0000-0000-0000336C0000}"/>
    <cellStyle name="Header2 8 3 6 3 3 3" xfId="27646" xr:uid="{00000000-0005-0000-0000-0000346C0000}"/>
    <cellStyle name="Header2 8 3 6 3 3 4" xfId="27647" xr:uid="{00000000-0005-0000-0000-0000356C0000}"/>
    <cellStyle name="Header2 8 3 6 3 4" xfId="27648" xr:uid="{00000000-0005-0000-0000-0000366C0000}"/>
    <cellStyle name="Header2 8 3 6 3 5" xfId="27649" xr:uid="{00000000-0005-0000-0000-0000376C0000}"/>
    <cellStyle name="Header2 8 3 6 3 6" xfId="27650" xr:uid="{00000000-0005-0000-0000-0000386C0000}"/>
    <cellStyle name="Header2 8 3 6 4" xfId="27651" xr:uid="{00000000-0005-0000-0000-0000396C0000}"/>
    <cellStyle name="Header2 8 3 6 5" xfId="27652" xr:uid="{00000000-0005-0000-0000-00003A6C0000}"/>
    <cellStyle name="Header2 8 3 7" xfId="27653" xr:uid="{00000000-0005-0000-0000-00003B6C0000}"/>
    <cellStyle name="Header2 8 3 7 2" xfId="27654" xr:uid="{00000000-0005-0000-0000-00003C6C0000}"/>
    <cellStyle name="Header2 8 3 7 2 2" xfId="27655" xr:uid="{00000000-0005-0000-0000-00003D6C0000}"/>
    <cellStyle name="Header2 8 3 7 2 2 2" xfId="27656" xr:uid="{00000000-0005-0000-0000-00003E6C0000}"/>
    <cellStyle name="Header2 8 3 7 2 2 3" xfId="27657" xr:uid="{00000000-0005-0000-0000-00003F6C0000}"/>
    <cellStyle name="Header2 8 3 7 2 2 4" xfId="27658" xr:uid="{00000000-0005-0000-0000-0000406C0000}"/>
    <cellStyle name="Header2 8 3 7 2 2 5" xfId="27659" xr:uid="{00000000-0005-0000-0000-0000416C0000}"/>
    <cellStyle name="Header2 8 3 7 2 3" xfId="27660" xr:uid="{00000000-0005-0000-0000-0000426C0000}"/>
    <cellStyle name="Header2 8 3 7 2 3 2" xfId="27661" xr:uid="{00000000-0005-0000-0000-0000436C0000}"/>
    <cellStyle name="Header2 8 3 7 2 3 3" xfId="27662" xr:uid="{00000000-0005-0000-0000-0000446C0000}"/>
    <cellStyle name="Header2 8 3 7 2 3 4" xfId="27663" xr:uid="{00000000-0005-0000-0000-0000456C0000}"/>
    <cellStyle name="Header2 8 3 7 2 4" xfId="27664" xr:uid="{00000000-0005-0000-0000-0000466C0000}"/>
    <cellStyle name="Header2 8 3 7 2 5" xfId="27665" xr:uid="{00000000-0005-0000-0000-0000476C0000}"/>
    <cellStyle name="Header2 8 3 7 2 6" xfId="27666" xr:uid="{00000000-0005-0000-0000-0000486C0000}"/>
    <cellStyle name="Header2 8 3 7 3" xfId="27667" xr:uid="{00000000-0005-0000-0000-0000496C0000}"/>
    <cellStyle name="Header2 8 3 7 3 2" xfId="27668" xr:uid="{00000000-0005-0000-0000-00004A6C0000}"/>
    <cellStyle name="Header2 8 3 7 3 2 2" xfId="27669" xr:uid="{00000000-0005-0000-0000-00004B6C0000}"/>
    <cellStyle name="Header2 8 3 7 3 2 3" xfId="27670" xr:uid="{00000000-0005-0000-0000-00004C6C0000}"/>
    <cellStyle name="Header2 8 3 7 3 2 4" xfId="27671" xr:uid="{00000000-0005-0000-0000-00004D6C0000}"/>
    <cellStyle name="Header2 8 3 7 3 3" xfId="27672" xr:uid="{00000000-0005-0000-0000-00004E6C0000}"/>
    <cellStyle name="Header2 8 3 7 3 3 2" xfId="27673" xr:uid="{00000000-0005-0000-0000-00004F6C0000}"/>
    <cellStyle name="Header2 8 3 7 3 3 3" xfId="27674" xr:uid="{00000000-0005-0000-0000-0000506C0000}"/>
    <cellStyle name="Header2 8 3 7 3 3 4" xfId="27675" xr:uid="{00000000-0005-0000-0000-0000516C0000}"/>
    <cellStyle name="Header2 8 3 7 3 4" xfId="27676" xr:uid="{00000000-0005-0000-0000-0000526C0000}"/>
    <cellStyle name="Header2 8 3 7 3 5" xfId="27677" xr:uid="{00000000-0005-0000-0000-0000536C0000}"/>
    <cellStyle name="Header2 8 3 7 3 6" xfId="27678" xr:uid="{00000000-0005-0000-0000-0000546C0000}"/>
    <cellStyle name="Header2 8 3 7 4" xfId="27679" xr:uid="{00000000-0005-0000-0000-0000556C0000}"/>
    <cellStyle name="Header2 8 3 7 5" xfId="27680" xr:uid="{00000000-0005-0000-0000-0000566C0000}"/>
    <cellStyle name="Header2 8 3 8" xfId="27681" xr:uid="{00000000-0005-0000-0000-0000576C0000}"/>
    <cellStyle name="Header2 8 3 8 2" xfId="27682" xr:uid="{00000000-0005-0000-0000-0000586C0000}"/>
    <cellStyle name="Header2 8 3 8 2 2" xfId="27683" xr:uid="{00000000-0005-0000-0000-0000596C0000}"/>
    <cellStyle name="Header2 8 3 8 2 2 2" xfId="27684" xr:uid="{00000000-0005-0000-0000-00005A6C0000}"/>
    <cellStyle name="Header2 8 3 8 2 2 3" xfId="27685" xr:uid="{00000000-0005-0000-0000-00005B6C0000}"/>
    <cellStyle name="Header2 8 3 8 2 2 4" xfId="27686" xr:uid="{00000000-0005-0000-0000-00005C6C0000}"/>
    <cellStyle name="Header2 8 3 8 2 2 5" xfId="27687" xr:uid="{00000000-0005-0000-0000-00005D6C0000}"/>
    <cellStyle name="Header2 8 3 8 2 3" xfId="27688" xr:uid="{00000000-0005-0000-0000-00005E6C0000}"/>
    <cellStyle name="Header2 8 3 8 2 3 2" xfId="27689" xr:uid="{00000000-0005-0000-0000-00005F6C0000}"/>
    <cellStyle name="Header2 8 3 8 2 3 3" xfId="27690" xr:uid="{00000000-0005-0000-0000-0000606C0000}"/>
    <cellStyle name="Header2 8 3 8 2 3 4" xfId="27691" xr:uid="{00000000-0005-0000-0000-0000616C0000}"/>
    <cellStyle name="Header2 8 3 8 2 4" xfId="27692" xr:uid="{00000000-0005-0000-0000-0000626C0000}"/>
    <cellStyle name="Header2 8 3 8 2 5" xfId="27693" xr:uid="{00000000-0005-0000-0000-0000636C0000}"/>
    <cellStyle name="Header2 8 3 8 2 6" xfId="27694" xr:uid="{00000000-0005-0000-0000-0000646C0000}"/>
    <cellStyle name="Header2 8 3 8 3" xfId="27695" xr:uid="{00000000-0005-0000-0000-0000656C0000}"/>
    <cellStyle name="Header2 8 3 8 3 2" xfId="27696" xr:uid="{00000000-0005-0000-0000-0000666C0000}"/>
    <cellStyle name="Header2 8 3 8 3 2 2" xfId="27697" xr:uid="{00000000-0005-0000-0000-0000676C0000}"/>
    <cellStyle name="Header2 8 3 8 3 2 3" xfId="27698" xr:uid="{00000000-0005-0000-0000-0000686C0000}"/>
    <cellStyle name="Header2 8 3 8 3 2 4" xfId="27699" xr:uid="{00000000-0005-0000-0000-0000696C0000}"/>
    <cellStyle name="Header2 8 3 8 3 3" xfId="27700" xr:uid="{00000000-0005-0000-0000-00006A6C0000}"/>
    <cellStyle name="Header2 8 3 8 3 3 2" xfId="27701" xr:uid="{00000000-0005-0000-0000-00006B6C0000}"/>
    <cellStyle name="Header2 8 3 8 3 3 3" xfId="27702" xr:uid="{00000000-0005-0000-0000-00006C6C0000}"/>
    <cellStyle name="Header2 8 3 8 3 3 4" xfId="27703" xr:uid="{00000000-0005-0000-0000-00006D6C0000}"/>
    <cellStyle name="Header2 8 3 8 3 4" xfId="27704" xr:uid="{00000000-0005-0000-0000-00006E6C0000}"/>
    <cellStyle name="Header2 8 3 8 3 5" xfId="27705" xr:uid="{00000000-0005-0000-0000-00006F6C0000}"/>
    <cellStyle name="Header2 8 3 8 3 6" xfId="27706" xr:uid="{00000000-0005-0000-0000-0000706C0000}"/>
    <cellStyle name="Header2 8 3 8 4" xfId="27707" xr:uid="{00000000-0005-0000-0000-0000716C0000}"/>
    <cellStyle name="Header2 8 3 8 5" xfId="27708" xr:uid="{00000000-0005-0000-0000-0000726C0000}"/>
    <cellStyle name="Header2 8 3 9" xfId="27709" xr:uid="{00000000-0005-0000-0000-0000736C0000}"/>
    <cellStyle name="Header2 8 3 9 2" xfId="27710" xr:uid="{00000000-0005-0000-0000-0000746C0000}"/>
    <cellStyle name="Header2 8 3 9 2 2" xfId="27711" xr:uid="{00000000-0005-0000-0000-0000756C0000}"/>
    <cellStyle name="Header2 8 3 9 2 2 2" xfId="27712" xr:uid="{00000000-0005-0000-0000-0000766C0000}"/>
    <cellStyle name="Header2 8 3 9 2 2 3" xfId="27713" xr:uid="{00000000-0005-0000-0000-0000776C0000}"/>
    <cellStyle name="Header2 8 3 9 2 2 4" xfId="27714" xr:uid="{00000000-0005-0000-0000-0000786C0000}"/>
    <cellStyle name="Header2 8 3 9 2 2 5" xfId="27715" xr:uid="{00000000-0005-0000-0000-0000796C0000}"/>
    <cellStyle name="Header2 8 3 9 2 3" xfId="27716" xr:uid="{00000000-0005-0000-0000-00007A6C0000}"/>
    <cellStyle name="Header2 8 3 9 2 3 2" xfId="27717" xr:uid="{00000000-0005-0000-0000-00007B6C0000}"/>
    <cellStyle name="Header2 8 3 9 2 3 3" xfId="27718" xr:uid="{00000000-0005-0000-0000-00007C6C0000}"/>
    <cellStyle name="Header2 8 3 9 2 3 4" xfId="27719" xr:uid="{00000000-0005-0000-0000-00007D6C0000}"/>
    <cellStyle name="Header2 8 3 9 2 4" xfId="27720" xr:uid="{00000000-0005-0000-0000-00007E6C0000}"/>
    <cellStyle name="Header2 8 3 9 2 5" xfId="27721" xr:uid="{00000000-0005-0000-0000-00007F6C0000}"/>
    <cellStyle name="Header2 8 3 9 2 6" xfId="27722" xr:uid="{00000000-0005-0000-0000-0000806C0000}"/>
    <cellStyle name="Header2 8 3 9 3" xfId="27723" xr:uid="{00000000-0005-0000-0000-0000816C0000}"/>
    <cellStyle name="Header2 8 3 9 3 2" xfId="27724" xr:uid="{00000000-0005-0000-0000-0000826C0000}"/>
    <cellStyle name="Header2 8 3 9 3 2 2" xfId="27725" xr:uid="{00000000-0005-0000-0000-0000836C0000}"/>
    <cellStyle name="Header2 8 3 9 3 2 3" xfId="27726" xr:uid="{00000000-0005-0000-0000-0000846C0000}"/>
    <cellStyle name="Header2 8 3 9 3 2 4" xfId="27727" xr:uid="{00000000-0005-0000-0000-0000856C0000}"/>
    <cellStyle name="Header2 8 3 9 3 3" xfId="27728" xr:uid="{00000000-0005-0000-0000-0000866C0000}"/>
    <cellStyle name="Header2 8 3 9 3 3 2" xfId="27729" xr:uid="{00000000-0005-0000-0000-0000876C0000}"/>
    <cellStyle name="Header2 8 3 9 3 3 3" xfId="27730" xr:uid="{00000000-0005-0000-0000-0000886C0000}"/>
    <cellStyle name="Header2 8 3 9 3 3 4" xfId="27731" xr:uid="{00000000-0005-0000-0000-0000896C0000}"/>
    <cellStyle name="Header2 8 3 9 3 4" xfId="27732" xr:uid="{00000000-0005-0000-0000-00008A6C0000}"/>
    <cellStyle name="Header2 8 3 9 3 5" xfId="27733" xr:uid="{00000000-0005-0000-0000-00008B6C0000}"/>
    <cellStyle name="Header2 8 3 9 3 6" xfId="27734" xr:uid="{00000000-0005-0000-0000-00008C6C0000}"/>
    <cellStyle name="Header2 8 3 9 4" xfId="27735" xr:uid="{00000000-0005-0000-0000-00008D6C0000}"/>
    <cellStyle name="Header2 8 3 9 5" xfId="27736" xr:uid="{00000000-0005-0000-0000-00008E6C0000}"/>
    <cellStyle name="Header2 9" xfId="27737" xr:uid="{00000000-0005-0000-0000-00008F6C0000}"/>
    <cellStyle name="Header2 9 2" xfId="27738" xr:uid="{00000000-0005-0000-0000-0000906C0000}"/>
    <cellStyle name="Header2 9 2 10" xfId="27739" xr:uid="{00000000-0005-0000-0000-0000916C0000}"/>
    <cellStyle name="Header2 9 2 10 2" xfId="27740" xr:uid="{00000000-0005-0000-0000-0000926C0000}"/>
    <cellStyle name="Header2 9 2 10 2 2" xfId="27741" xr:uid="{00000000-0005-0000-0000-0000936C0000}"/>
    <cellStyle name="Header2 9 2 10 2 2 2" xfId="27742" xr:uid="{00000000-0005-0000-0000-0000946C0000}"/>
    <cellStyle name="Header2 9 2 10 2 2 3" xfId="27743" xr:uid="{00000000-0005-0000-0000-0000956C0000}"/>
    <cellStyle name="Header2 9 2 10 2 2 4" xfId="27744" xr:uid="{00000000-0005-0000-0000-0000966C0000}"/>
    <cellStyle name="Header2 9 2 10 2 2 5" xfId="27745" xr:uid="{00000000-0005-0000-0000-0000976C0000}"/>
    <cellStyle name="Header2 9 2 10 2 3" xfId="27746" xr:uid="{00000000-0005-0000-0000-0000986C0000}"/>
    <cellStyle name="Header2 9 2 10 2 3 2" xfId="27747" xr:uid="{00000000-0005-0000-0000-0000996C0000}"/>
    <cellStyle name="Header2 9 2 10 2 3 3" xfId="27748" xr:uid="{00000000-0005-0000-0000-00009A6C0000}"/>
    <cellStyle name="Header2 9 2 10 2 3 4" xfId="27749" xr:uid="{00000000-0005-0000-0000-00009B6C0000}"/>
    <cellStyle name="Header2 9 2 10 2 4" xfId="27750" xr:uid="{00000000-0005-0000-0000-00009C6C0000}"/>
    <cellStyle name="Header2 9 2 10 2 5" xfId="27751" xr:uid="{00000000-0005-0000-0000-00009D6C0000}"/>
    <cellStyle name="Header2 9 2 10 2 6" xfId="27752" xr:uid="{00000000-0005-0000-0000-00009E6C0000}"/>
    <cellStyle name="Header2 9 2 10 3" xfId="27753" xr:uid="{00000000-0005-0000-0000-00009F6C0000}"/>
    <cellStyle name="Header2 9 2 10 3 2" xfId="27754" xr:uid="{00000000-0005-0000-0000-0000A06C0000}"/>
    <cellStyle name="Header2 9 2 10 3 2 2" xfId="27755" xr:uid="{00000000-0005-0000-0000-0000A16C0000}"/>
    <cellStyle name="Header2 9 2 10 3 2 3" xfId="27756" xr:uid="{00000000-0005-0000-0000-0000A26C0000}"/>
    <cellStyle name="Header2 9 2 10 3 2 4" xfId="27757" xr:uid="{00000000-0005-0000-0000-0000A36C0000}"/>
    <cellStyle name="Header2 9 2 10 3 3" xfId="27758" xr:uid="{00000000-0005-0000-0000-0000A46C0000}"/>
    <cellStyle name="Header2 9 2 10 3 3 2" xfId="27759" xr:uid="{00000000-0005-0000-0000-0000A56C0000}"/>
    <cellStyle name="Header2 9 2 10 3 3 3" xfId="27760" xr:uid="{00000000-0005-0000-0000-0000A66C0000}"/>
    <cellStyle name="Header2 9 2 10 3 3 4" xfId="27761" xr:uid="{00000000-0005-0000-0000-0000A76C0000}"/>
    <cellStyle name="Header2 9 2 10 3 4" xfId="27762" xr:uid="{00000000-0005-0000-0000-0000A86C0000}"/>
    <cellStyle name="Header2 9 2 10 3 5" xfId="27763" xr:uid="{00000000-0005-0000-0000-0000A96C0000}"/>
    <cellStyle name="Header2 9 2 10 3 6" xfId="27764" xr:uid="{00000000-0005-0000-0000-0000AA6C0000}"/>
    <cellStyle name="Header2 9 2 10 4" xfId="27765" xr:uid="{00000000-0005-0000-0000-0000AB6C0000}"/>
    <cellStyle name="Header2 9 2 10 5" xfId="27766" xr:uid="{00000000-0005-0000-0000-0000AC6C0000}"/>
    <cellStyle name="Header2 9 2 11" xfId="27767" xr:uid="{00000000-0005-0000-0000-0000AD6C0000}"/>
    <cellStyle name="Header2 9 2 11 2" xfId="27768" xr:uid="{00000000-0005-0000-0000-0000AE6C0000}"/>
    <cellStyle name="Header2 9 2 11 2 2" xfId="27769" xr:uid="{00000000-0005-0000-0000-0000AF6C0000}"/>
    <cellStyle name="Header2 9 2 11 2 2 2" xfId="27770" xr:uid="{00000000-0005-0000-0000-0000B06C0000}"/>
    <cellStyle name="Header2 9 2 11 2 2 3" xfId="27771" xr:uid="{00000000-0005-0000-0000-0000B16C0000}"/>
    <cellStyle name="Header2 9 2 11 2 2 4" xfId="27772" xr:uid="{00000000-0005-0000-0000-0000B26C0000}"/>
    <cellStyle name="Header2 9 2 11 2 2 5" xfId="27773" xr:uid="{00000000-0005-0000-0000-0000B36C0000}"/>
    <cellStyle name="Header2 9 2 11 2 3" xfId="27774" xr:uid="{00000000-0005-0000-0000-0000B46C0000}"/>
    <cellStyle name="Header2 9 2 11 2 3 2" xfId="27775" xr:uid="{00000000-0005-0000-0000-0000B56C0000}"/>
    <cellStyle name="Header2 9 2 11 2 3 3" xfId="27776" xr:uid="{00000000-0005-0000-0000-0000B66C0000}"/>
    <cellStyle name="Header2 9 2 11 2 3 4" xfId="27777" xr:uid="{00000000-0005-0000-0000-0000B76C0000}"/>
    <cellStyle name="Header2 9 2 11 2 4" xfId="27778" xr:uid="{00000000-0005-0000-0000-0000B86C0000}"/>
    <cellStyle name="Header2 9 2 11 2 5" xfId="27779" xr:uid="{00000000-0005-0000-0000-0000B96C0000}"/>
    <cellStyle name="Header2 9 2 11 2 6" xfId="27780" xr:uid="{00000000-0005-0000-0000-0000BA6C0000}"/>
    <cellStyle name="Header2 9 2 11 3" xfId="27781" xr:uid="{00000000-0005-0000-0000-0000BB6C0000}"/>
    <cellStyle name="Header2 9 2 11 3 2" xfId="27782" xr:uid="{00000000-0005-0000-0000-0000BC6C0000}"/>
    <cellStyle name="Header2 9 2 11 3 2 2" xfId="27783" xr:uid="{00000000-0005-0000-0000-0000BD6C0000}"/>
    <cellStyle name="Header2 9 2 11 3 2 3" xfId="27784" xr:uid="{00000000-0005-0000-0000-0000BE6C0000}"/>
    <cellStyle name="Header2 9 2 11 3 2 4" xfId="27785" xr:uid="{00000000-0005-0000-0000-0000BF6C0000}"/>
    <cellStyle name="Header2 9 2 11 3 3" xfId="27786" xr:uid="{00000000-0005-0000-0000-0000C06C0000}"/>
    <cellStyle name="Header2 9 2 11 3 3 2" xfId="27787" xr:uid="{00000000-0005-0000-0000-0000C16C0000}"/>
    <cellStyle name="Header2 9 2 11 3 3 3" xfId="27788" xr:uid="{00000000-0005-0000-0000-0000C26C0000}"/>
    <cellStyle name="Header2 9 2 11 3 3 4" xfId="27789" xr:uid="{00000000-0005-0000-0000-0000C36C0000}"/>
    <cellStyle name="Header2 9 2 11 3 4" xfId="27790" xr:uid="{00000000-0005-0000-0000-0000C46C0000}"/>
    <cellStyle name="Header2 9 2 11 3 5" xfId="27791" xr:uid="{00000000-0005-0000-0000-0000C56C0000}"/>
    <cellStyle name="Header2 9 2 11 3 6" xfId="27792" xr:uid="{00000000-0005-0000-0000-0000C66C0000}"/>
    <cellStyle name="Header2 9 2 11 4" xfId="27793" xr:uid="{00000000-0005-0000-0000-0000C76C0000}"/>
    <cellStyle name="Header2 9 2 11 5" xfId="27794" xr:uid="{00000000-0005-0000-0000-0000C86C0000}"/>
    <cellStyle name="Header2 9 2 12" xfId="27795" xr:uid="{00000000-0005-0000-0000-0000C96C0000}"/>
    <cellStyle name="Header2 9 2 12 2" xfId="27796" xr:uid="{00000000-0005-0000-0000-0000CA6C0000}"/>
    <cellStyle name="Header2 9 2 12 2 2" xfId="27797" xr:uid="{00000000-0005-0000-0000-0000CB6C0000}"/>
    <cellStyle name="Header2 9 2 12 2 2 2" xfId="27798" xr:uid="{00000000-0005-0000-0000-0000CC6C0000}"/>
    <cellStyle name="Header2 9 2 12 2 2 3" xfId="27799" xr:uid="{00000000-0005-0000-0000-0000CD6C0000}"/>
    <cellStyle name="Header2 9 2 12 2 2 4" xfId="27800" xr:uid="{00000000-0005-0000-0000-0000CE6C0000}"/>
    <cellStyle name="Header2 9 2 12 2 2 5" xfId="27801" xr:uid="{00000000-0005-0000-0000-0000CF6C0000}"/>
    <cellStyle name="Header2 9 2 12 2 3" xfId="27802" xr:uid="{00000000-0005-0000-0000-0000D06C0000}"/>
    <cellStyle name="Header2 9 2 12 2 3 2" xfId="27803" xr:uid="{00000000-0005-0000-0000-0000D16C0000}"/>
    <cellStyle name="Header2 9 2 12 2 3 3" xfId="27804" xr:uid="{00000000-0005-0000-0000-0000D26C0000}"/>
    <cellStyle name="Header2 9 2 12 2 3 4" xfId="27805" xr:uid="{00000000-0005-0000-0000-0000D36C0000}"/>
    <cellStyle name="Header2 9 2 12 2 4" xfId="27806" xr:uid="{00000000-0005-0000-0000-0000D46C0000}"/>
    <cellStyle name="Header2 9 2 12 2 5" xfId="27807" xr:uid="{00000000-0005-0000-0000-0000D56C0000}"/>
    <cellStyle name="Header2 9 2 12 2 6" xfId="27808" xr:uid="{00000000-0005-0000-0000-0000D66C0000}"/>
    <cellStyle name="Header2 9 2 12 3" xfId="27809" xr:uid="{00000000-0005-0000-0000-0000D76C0000}"/>
    <cellStyle name="Header2 9 2 12 3 2" xfId="27810" xr:uid="{00000000-0005-0000-0000-0000D86C0000}"/>
    <cellStyle name="Header2 9 2 12 3 2 2" xfId="27811" xr:uid="{00000000-0005-0000-0000-0000D96C0000}"/>
    <cellStyle name="Header2 9 2 12 3 2 3" xfId="27812" xr:uid="{00000000-0005-0000-0000-0000DA6C0000}"/>
    <cellStyle name="Header2 9 2 12 3 2 4" xfId="27813" xr:uid="{00000000-0005-0000-0000-0000DB6C0000}"/>
    <cellStyle name="Header2 9 2 12 3 3" xfId="27814" xr:uid="{00000000-0005-0000-0000-0000DC6C0000}"/>
    <cellStyle name="Header2 9 2 12 3 3 2" xfId="27815" xr:uid="{00000000-0005-0000-0000-0000DD6C0000}"/>
    <cellStyle name="Header2 9 2 12 3 3 3" xfId="27816" xr:uid="{00000000-0005-0000-0000-0000DE6C0000}"/>
    <cellStyle name="Header2 9 2 12 3 3 4" xfId="27817" xr:uid="{00000000-0005-0000-0000-0000DF6C0000}"/>
    <cellStyle name="Header2 9 2 12 3 4" xfId="27818" xr:uid="{00000000-0005-0000-0000-0000E06C0000}"/>
    <cellStyle name="Header2 9 2 12 3 5" xfId="27819" xr:uid="{00000000-0005-0000-0000-0000E16C0000}"/>
    <cellStyle name="Header2 9 2 12 3 6" xfId="27820" xr:uid="{00000000-0005-0000-0000-0000E26C0000}"/>
    <cellStyle name="Header2 9 2 12 4" xfId="27821" xr:uid="{00000000-0005-0000-0000-0000E36C0000}"/>
    <cellStyle name="Header2 9 2 12 5" xfId="27822" xr:uid="{00000000-0005-0000-0000-0000E46C0000}"/>
    <cellStyle name="Header2 9 2 13" xfId="27823" xr:uid="{00000000-0005-0000-0000-0000E56C0000}"/>
    <cellStyle name="Header2 9 2 13 2" xfId="27824" xr:uid="{00000000-0005-0000-0000-0000E66C0000}"/>
    <cellStyle name="Header2 9 2 13 2 2" xfId="27825" xr:uid="{00000000-0005-0000-0000-0000E76C0000}"/>
    <cellStyle name="Header2 9 2 13 2 2 2" xfId="27826" xr:uid="{00000000-0005-0000-0000-0000E86C0000}"/>
    <cellStyle name="Header2 9 2 13 2 2 3" xfId="27827" xr:uid="{00000000-0005-0000-0000-0000E96C0000}"/>
    <cellStyle name="Header2 9 2 13 2 2 4" xfId="27828" xr:uid="{00000000-0005-0000-0000-0000EA6C0000}"/>
    <cellStyle name="Header2 9 2 13 2 2 5" xfId="27829" xr:uid="{00000000-0005-0000-0000-0000EB6C0000}"/>
    <cellStyle name="Header2 9 2 13 2 3" xfId="27830" xr:uid="{00000000-0005-0000-0000-0000EC6C0000}"/>
    <cellStyle name="Header2 9 2 13 2 3 2" xfId="27831" xr:uid="{00000000-0005-0000-0000-0000ED6C0000}"/>
    <cellStyle name="Header2 9 2 13 2 3 3" xfId="27832" xr:uid="{00000000-0005-0000-0000-0000EE6C0000}"/>
    <cellStyle name="Header2 9 2 13 2 3 4" xfId="27833" xr:uid="{00000000-0005-0000-0000-0000EF6C0000}"/>
    <cellStyle name="Header2 9 2 13 2 4" xfId="27834" xr:uid="{00000000-0005-0000-0000-0000F06C0000}"/>
    <cellStyle name="Header2 9 2 13 2 5" xfId="27835" xr:uid="{00000000-0005-0000-0000-0000F16C0000}"/>
    <cellStyle name="Header2 9 2 13 2 6" xfId="27836" xr:uid="{00000000-0005-0000-0000-0000F26C0000}"/>
    <cellStyle name="Header2 9 2 13 3" xfId="27837" xr:uid="{00000000-0005-0000-0000-0000F36C0000}"/>
    <cellStyle name="Header2 9 2 13 3 2" xfId="27838" xr:uid="{00000000-0005-0000-0000-0000F46C0000}"/>
    <cellStyle name="Header2 9 2 13 3 2 2" xfId="27839" xr:uid="{00000000-0005-0000-0000-0000F56C0000}"/>
    <cellStyle name="Header2 9 2 13 3 2 3" xfId="27840" xr:uid="{00000000-0005-0000-0000-0000F66C0000}"/>
    <cellStyle name="Header2 9 2 13 3 2 4" xfId="27841" xr:uid="{00000000-0005-0000-0000-0000F76C0000}"/>
    <cellStyle name="Header2 9 2 13 3 3" xfId="27842" xr:uid="{00000000-0005-0000-0000-0000F86C0000}"/>
    <cellStyle name="Header2 9 2 13 3 3 2" xfId="27843" xr:uid="{00000000-0005-0000-0000-0000F96C0000}"/>
    <cellStyle name="Header2 9 2 13 3 3 3" xfId="27844" xr:uid="{00000000-0005-0000-0000-0000FA6C0000}"/>
    <cellStyle name="Header2 9 2 13 3 3 4" xfId="27845" xr:uid="{00000000-0005-0000-0000-0000FB6C0000}"/>
    <cellStyle name="Header2 9 2 13 3 4" xfId="27846" xr:uid="{00000000-0005-0000-0000-0000FC6C0000}"/>
    <cellStyle name="Header2 9 2 13 3 5" xfId="27847" xr:uid="{00000000-0005-0000-0000-0000FD6C0000}"/>
    <cellStyle name="Header2 9 2 13 3 6" xfId="27848" xr:uid="{00000000-0005-0000-0000-0000FE6C0000}"/>
    <cellStyle name="Header2 9 2 13 4" xfId="27849" xr:uid="{00000000-0005-0000-0000-0000FF6C0000}"/>
    <cellStyle name="Header2 9 2 13 5" xfId="27850" xr:uid="{00000000-0005-0000-0000-0000006D0000}"/>
    <cellStyle name="Header2 9 2 14" xfId="58772" xr:uid="{00000000-0005-0000-0000-0000016D0000}"/>
    <cellStyle name="Header2 9 2 2" xfId="27851" xr:uid="{00000000-0005-0000-0000-0000026D0000}"/>
    <cellStyle name="Header2 9 2 2 2" xfId="27852" xr:uid="{00000000-0005-0000-0000-0000036D0000}"/>
    <cellStyle name="Header2 9 2 2 2 2" xfId="27853" xr:uid="{00000000-0005-0000-0000-0000046D0000}"/>
    <cellStyle name="Header2 9 2 2 2 2 2" xfId="27854" xr:uid="{00000000-0005-0000-0000-0000056D0000}"/>
    <cellStyle name="Header2 9 2 2 2 2 2 2" xfId="27855" xr:uid="{00000000-0005-0000-0000-0000066D0000}"/>
    <cellStyle name="Header2 9 2 2 2 2 2 3" xfId="27856" xr:uid="{00000000-0005-0000-0000-0000076D0000}"/>
    <cellStyle name="Header2 9 2 2 2 2 2 4" xfId="27857" xr:uid="{00000000-0005-0000-0000-0000086D0000}"/>
    <cellStyle name="Header2 9 2 2 2 2 2 5" xfId="27858" xr:uid="{00000000-0005-0000-0000-0000096D0000}"/>
    <cellStyle name="Header2 9 2 2 2 2 3" xfId="27859" xr:uid="{00000000-0005-0000-0000-00000A6D0000}"/>
    <cellStyle name="Header2 9 2 2 2 2 3 2" xfId="27860" xr:uid="{00000000-0005-0000-0000-00000B6D0000}"/>
    <cellStyle name="Header2 9 2 2 2 2 3 3" xfId="27861" xr:uid="{00000000-0005-0000-0000-00000C6D0000}"/>
    <cellStyle name="Header2 9 2 2 2 2 3 4" xfId="27862" xr:uid="{00000000-0005-0000-0000-00000D6D0000}"/>
    <cellStyle name="Header2 9 2 2 2 2 4" xfId="27863" xr:uid="{00000000-0005-0000-0000-00000E6D0000}"/>
    <cellStyle name="Header2 9 2 2 2 2 5" xfId="27864" xr:uid="{00000000-0005-0000-0000-00000F6D0000}"/>
    <cellStyle name="Header2 9 2 2 2 2 6" xfId="27865" xr:uid="{00000000-0005-0000-0000-0000106D0000}"/>
    <cellStyle name="Header2 9 2 2 2 3" xfId="27866" xr:uid="{00000000-0005-0000-0000-0000116D0000}"/>
    <cellStyle name="Header2 9 2 2 2 3 2" xfId="27867" xr:uid="{00000000-0005-0000-0000-0000126D0000}"/>
    <cellStyle name="Header2 9 2 2 2 3 2 2" xfId="27868" xr:uid="{00000000-0005-0000-0000-0000136D0000}"/>
    <cellStyle name="Header2 9 2 2 2 3 2 3" xfId="27869" xr:uid="{00000000-0005-0000-0000-0000146D0000}"/>
    <cellStyle name="Header2 9 2 2 2 3 2 4" xfId="27870" xr:uid="{00000000-0005-0000-0000-0000156D0000}"/>
    <cellStyle name="Header2 9 2 2 2 3 3" xfId="27871" xr:uid="{00000000-0005-0000-0000-0000166D0000}"/>
    <cellStyle name="Header2 9 2 2 2 3 3 2" xfId="27872" xr:uid="{00000000-0005-0000-0000-0000176D0000}"/>
    <cellStyle name="Header2 9 2 2 2 3 3 3" xfId="27873" xr:uid="{00000000-0005-0000-0000-0000186D0000}"/>
    <cellStyle name="Header2 9 2 2 2 3 3 4" xfId="27874" xr:uid="{00000000-0005-0000-0000-0000196D0000}"/>
    <cellStyle name="Header2 9 2 2 2 3 4" xfId="27875" xr:uid="{00000000-0005-0000-0000-00001A6D0000}"/>
    <cellStyle name="Header2 9 2 2 2 3 5" xfId="27876" xr:uid="{00000000-0005-0000-0000-00001B6D0000}"/>
    <cellStyle name="Header2 9 2 2 2 3 6" xfId="27877" xr:uid="{00000000-0005-0000-0000-00001C6D0000}"/>
    <cellStyle name="Header2 9 2 2 2 4" xfId="27878" xr:uid="{00000000-0005-0000-0000-00001D6D0000}"/>
    <cellStyle name="Header2 9 2 2 2 5" xfId="27879" xr:uid="{00000000-0005-0000-0000-00001E6D0000}"/>
    <cellStyle name="Header2 9 2 2 3" xfId="27880" xr:uid="{00000000-0005-0000-0000-00001F6D0000}"/>
    <cellStyle name="Header2 9 2 2 3 2" xfId="27881" xr:uid="{00000000-0005-0000-0000-0000206D0000}"/>
    <cellStyle name="Header2 9 2 2 3 2 2" xfId="27882" xr:uid="{00000000-0005-0000-0000-0000216D0000}"/>
    <cellStyle name="Header2 9 2 2 3 2 2 2" xfId="27883" xr:uid="{00000000-0005-0000-0000-0000226D0000}"/>
    <cellStyle name="Header2 9 2 2 3 2 2 3" xfId="27884" xr:uid="{00000000-0005-0000-0000-0000236D0000}"/>
    <cellStyle name="Header2 9 2 2 3 2 2 4" xfId="27885" xr:uid="{00000000-0005-0000-0000-0000246D0000}"/>
    <cellStyle name="Header2 9 2 2 3 2 2 5" xfId="27886" xr:uid="{00000000-0005-0000-0000-0000256D0000}"/>
    <cellStyle name="Header2 9 2 2 3 2 3" xfId="27887" xr:uid="{00000000-0005-0000-0000-0000266D0000}"/>
    <cellStyle name="Header2 9 2 2 3 2 3 2" xfId="27888" xr:uid="{00000000-0005-0000-0000-0000276D0000}"/>
    <cellStyle name="Header2 9 2 2 3 2 3 3" xfId="27889" xr:uid="{00000000-0005-0000-0000-0000286D0000}"/>
    <cellStyle name="Header2 9 2 2 3 2 3 4" xfId="27890" xr:uid="{00000000-0005-0000-0000-0000296D0000}"/>
    <cellStyle name="Header2 9 2 2 3 2 4" xfId="27891" xr:uid="{00000000-0005-0000-0000-00002A6D0000}"/>
    <cellStyle name="Header2 9 2 2 3 2 5" xfId="27892" xr:uid="{00000000-0005-0000-0000-00002B6D0000}"/>
    <cellStyle name="Header2 9 2 2 3 2 6" xfId="27893" xr:uid="{00000000-0005-0000-0000-00002C6D0000}"/>
    <cellStyle name="Header2 9 2 2 3 3" xfId="27894" xr:uid="{00000000-0005-0000-0000-00002D6D0000}"/>
    <cellStyle name="Header2 9 2 2 3 3 2" xfId="27895" xr:uid="{00000000-0005-0000-0000-00002E6D0000}"/>
    <cellStyle name="Header2 9 2 2 3 3 2 2" xfId="27896" xr:uid="{00000000-0005-0000-0000-00002F6D0000}"/>
    <cellStyle name="Header2 9 2 2 3 3 2 3" xfId="27897" xr:uid="{00000000-0005-0000-0000-0000306D0000}"/>
    <cellStyle name="Header2 9 2 2 3 3 2 4" xfId="27898" xr:uid="{00000000-0005-0000-0000-0000316D0000}"/>
    <cellStyle name="Header2 9 2 2 3 3 3" xfId="27899" xr:uid="{00000000-0005-0000-0000-0000326D0000}"/>
    <cellStyle name="Header2 9 2 2 3 3 3 2" xfId="27900" xr:uid="{00000000-0005-0000-0000-0000336D0000}"/>
    <cellStyle name="Header2 9 2 2 3 3 3 3" xfId="27901" xr:uid="{00000000-0005-0000-0000-0000346D0000}"/>
    <cellStyle name="Header2 9 2 2 3 3 3 4" xfId="27902" xr:uid="{00000000-0005-0000-0000-0000356D0000}"/>
    <cellStyle name="Header2 9 2 2 3 3 4" xfId="27903" xr:uid="{00000000-0005-0000-0000-0000366D0000}"/>
    <cellStyle name="Header2 9 2 2 3 3 5" xfId="27904" xr:uid="{00000000-0005-0000-0000-0000376D0000}"/>
    <cellStyle name="Header2 9 2 2 3 3 6" xfId="27905" xr:uid="{00000000-0005-0000-0000-0000386D0000}"/>
    <cellStyle name="Header2 9 2 2 3 4" xfId="27906" xr:uid="{00000000-0005-0000-0000-0000396D0000}"/>
    <cellStyle name="Header2 9 2 2 3 5" xfId="27907" xr:uid="{00000000-0005-0000-0000-00003A6D0000}"/>
    <cellStyle name="Header2 9 2 3" xfId="27908" xr:uid="{00000000-0005-0000-0000-00003B6D0000}"/>
    <cellStyle name="Header2 9 2 3 2" xfId="27909" xr:uid="{00000000-0005-0000-0000-00003C6D0000}"/>
    <cellStyle name="Header2 9 2 3 2 2" xfId="27910" xr:uid="{00000000-0005-0000-0000-00003D6D0000}"/>
    <cellStyle name="Header2 9 2 3 2 3" xfId="27911" xr:uid="{00000000-0005-0000-0000-00003E6D0000}"/>
    <cellStyle name="Header2 9 2 3 3" xfId="27912" xr:uid="{00000000-0005-0000-0000-00003F6D0000}"/>
    <cellStyle name="Header2 9 2 4" xfId="27913" xr:uid="{00000000-0005-0000-0000-0000406D0000}"/>
    <cellStyle name="Header2 9 2 4 2" xfId="27914" xr:uid="{00000000-0005-0000-0000-0000416D0000}"/>
    <cellStyle name="Header2 9 2 4 2 2" xfId="27915" xr:uid="{00000000-0005-0000-0000-0000426D0000}"/>
    <cellStyle name="Header2 9 2 4 2 3" xfId="27916" xr:uid="{00000000-0005-0000-0000-0000436D0000}"/>
    <cellStyle name="Header2 9 2 4 3" xfId="27917" xr:uid="{00000000-0005-0000-0000-0000446D0000}"/>
    <cellStyle name="Header2 9 2 5" xfId="27918" xr:uid="{00000000-0005-0000-0000-0000456D0000}"/>
    <cellStyle name="Header2 9 2 5 2" xfId="27919" xr:uid="{00000000-0005-0000-0000-0000466D0000}"/>
    <cellStyle name="Header2 9 2 5 2 2" xfId="27920" xr:uid="{00000000-0005-0000-0000-0000476D0000}"/>
    <cellStyle name="Header2 9 2 5 2 3" xfId="27921" xr:uid="{00000000-0005-0000-0000-0000486D0000}"/>
    <cellStyle name="Header2 9 2 5 3" xfId="27922" xr:uid="{00000000-0005-0000-0000-0000496D0000}"/>
    <cellStyle name="Header2 9 2 6" xfId="27923" xr:uid="{00000000-0005-0000-0000-00004A6D0000}"/>
    <cellStyle name="Header2 9 2 6 2" xfId="27924" xr:uid="{00000000-0005-0000-0000-00004B6D0000}"/>
    <cellStyle name="Header2 9 2 6 2 2" xfId="27925" xr:uid="{00000000-0005-0000-0000-00004C6D0000}"/>
    <cellStyle name="Header2 9 2 6 2 2 2" xfId="27926" xr:uid="{00000000-0005-0000-0000-00004D6D0000}"/>
    <cellStyle name="Header2 9 2 6 2 2 3" xfId="27927" xr:uid="{00000000-0005-0000-0000-00004E6D0000}"/>
    <cellStyle name="Header2 9 2 6 2 2 4" xfId="27928" xr:uid="{00000000-0005-0000-0000-00004F6D0000}"/>
    <cellStyle name="Header2 9 2 6 2 2 5" xfId="27929" xr:uid="{00000000-0005-0000-0000-0000506D0000}"/>
    <cellStyle name="Header2 9 2 6 2 3" xfId="27930" xr:uid="{00000000-0005-0000-0000-0000516D0000}"/>
    <cellStyle name="Header2 9 2 6 2 3 2" xfId="27931" xr:uid="{00000000-0005-0000-0000-0000526D0000}"/>
    <cellStyle name="Header2 9 2 6 2 3 3" xfId="27932" xr:uid="{00000000-0005-0000-0000-0000536D0000}"/>
    <cellStyle name="Header2 9 2 6 2 3 4" xfId="27933" xr:uid="{00000000-0005-0000-0000-0000546D0000}"/>
    <cellStyle name="Header2 9 2 6 2 4" xfId="27934" xr:uid="{00000000-0005-0000-0000-0000556D0000}"/>
    <cellStyle name="Header2 9 2 6 2 5" xfId="27935" xr:uid="{00000000-0005-0000-0000-0000566D0000}"/>
    <cellStyle name="Header2 9 2 6 2 6" xfId="27936" xr:uid="{00000000-0005-0000-0000-0000576D0000}"/>
    <cellStyle name="Header2 9 2 6 3" xfId="27937" xr:uid="{00000000-0005-0000-0000-0000586D0000}"/>
    <cellStyle name="Header2 9 2 6 3 2" xfId="27938" xr:uid="{00000000-0005-0000-0000-0000596D0000}"/>
    <cellStyle name="Header2 9 2 6 3 2 2" xfId="27939" xr:uid="{00000000-0005-0000-0000-00005A6D0000}"/>
    <cellStyle name="Header2 9 2 6 3 2 3" xfId="27940" xr:uid="{00000000-0005-0000-0000-00005B6D0000}"/>
    <cellStyle name="Header2 9 2 6 3 2 4" xfId="27941" xr:uid="{00000000-0005-0000-0000-00005C6D0000}"/>
    <cellStyle name="Header2 9 2 6 3 3" xfId="27942" xr:uid="{00000000-0005-0000-0000-00005D6D0000}"/>
    <cellStyle name="Header2 9 2 6 3 3 2" xfId="27943" xr:uid="{00000000-0005-0000-0000-00005E6D0000}"/>
    <cellStyle name="Header2 9 2 6 3 3 3" xfId="27944" xr:uid="{00000000-0005-0000-0000-00005F6D0000}"/>
    <cellStyle name="Header2 9 2 6 3 3 4" xfId="27945" xr:uid="{00000000-0005-0000-0000-0000606D0000}"/>
    <cellStyle name="Header2 9 2 6 3 4" xfId="27946" xr:uid="{00000000-0005-0000-0000-0000616D0000}"/>
    <cellStyle name="Header2 9 2 6 3 5" xfId="27947" xr:uid="{00000000-0005-0000-0000-0000626D0000}"/>
    <cellStyle name="Header2 9 2 6 3 6" xfId="27948" xr:uid="{00000000-0005-0000-0000-0000636D0000}"/>
    <cellStyle name="Header2 9 2 6 4" xfId="27949" xr:uid="{00000000-0005-0000-0000-0000646D0000}"/>
    <cellStyle name="Header2 9 2 6 5" xfId="27950" xr:uid="{00000000-0005-0000-0000-0000656D0000}"/>
    <cellStyle name="Header2 9 2 7" xfId="27951" xr:uid="{00000000-0005-0000-0000-0000666D0000}"/>
    <cellStyle name="Header2 9 2 7 2" xfId="27952" xr:uid="{00000000-0005-0000-0000-0000676D0000}"/>
    <cellStyle name="Header2 9 2 7 2 2" xfId="27953" xr:uid="{00000000-0005-0000-0000-0000686D0000}"/>
    <cellStyle name="Header2 9 2 7 2 2 2" xfId="27954" xr:uid="{00000000-0005-0000-0000-0000696D0000}"/>
    <cellStyle name="Header2 9 2 7 2 2 3" xfId="27955" xr:uid="{00000000-0005-0000-0000-00006A6D0000}"/>
    <cellStyle name="Header2 9 2 7 2 2 4" xfId="27956" xr:uid="{00000000-0005-0000-0000-00006B6D0000}"/>
    <cellStyle name="Header2 9 2 7 2 2 5" xfId="27957" xr:uid="{00000000-0005-0000-0000-00006C6D0000}"/>
    <cellStyle name="Header2 9 2 7 2 3" xfId="27958" xr:uid="{00000000-0005-0000-0000-00006D6D0000}"/>
    <cellStyle name="Header2 9 2 7 2 3 2" xfId="27959" xr:uid="{00000000-0005-0000-0000-00006E6D0000}"/>
    <cellStyle name="Header2 9 2 7 2 3 3" xfId="27960" xr:uid="{00000000-0005-0000-0000-00006F6D0000}"/>
    <cellStyle name="Header2 9 2 7 2 3 4" xfId="27961" xr:uid="{00000000-0005-0000-0000-0000706D0000}"/>
    <cellStyle name="Header2 9 2 7 2 4" xfId="27962" xr:uid="{00000000-0005-0000-0000-0000716D0000}"/>
    <cellStyle name="Header2 9 2 7 2 5" xfId="27963" xr:uid="{00000000-0005-0000-0000-0000726D0000}"/>
    <cellStyle name="Header2 9 2 7 2 6" xfId="27964" xr:uid="{00000000-0005-0000-0000-0000736D0000}"/>
    <cellStyle name="Header2 9 2 7 3" xfId="27965" xr:uid="{00000000-0005-0000-0000-0000746D0000}"/>
    <cellStyle name="Header2 9 2 7 3 2" xfId="27966" xr:uid="{00000000-0005-0000-0000-0000756D0000}"/>
    <cellStyle name="Header2 9 2 7 3 2 2" xfId="27967" xr:uid="{00000000-0005-0000-0000-0000766D0000}"/>
    <cellStyle name="Header2 9 2 7 3 2 3" xfId="27968" xr:uid="{00000000-0005-0000-0000-0000776D0000}"/>
    <cellStyle name="Header2 9 2 7 3 2 4" xfId="27969" xr:uid="{00000000-0005-0000-0000-0000786D0000}"/>
    <cellStyle name="Header2 9 2 7 3 3" xfId="27970" xr:uid="{00000000-0005-0000-0000-0000796D0000}"/>
    <cellStyle name="Header2 9 2 7 3 3 2" xfId="27971" xr:uid="{00000000-0005-0000-0000-00007A6D0000}"/>
    <cellStyle name="Header2 9 2 7 3 3 3" xfId="27972" xr:uid="{00000000-0005-0000-0000-00007B6D0000}"/>
    <cellStyle name="Header2 9 2 7 3 3 4" xfId="27973" xr:uid="{00000000-0005-0000-0000-00007C6D0000}"/>
    <cellStyle name="Header2 9 2 7 3 4" xfId="27974" xr:uid="{00000000-0005-0000-0000-00007D6D0000}"/>
    <cellStyle name="Header2 9 2 7 3 5" xfId="27975" xr:uid="{00000000-0005-0000-0000-00007E6D0000}"/>
    <cellStyle name="Header2 9 2 7 3 6" xfId="27976" xr:uid="{00000000-0005-0000-0000-00007F6D0000}"/>
    <cellStyle name="Header2 9 2 7 4" xfId="27977" xr:uid="{00000000-0005-0000-0000-0000806D0000}"/>
    <cellStyle name="Header2 9 2 7 5" xfId="27978" xr:uid="{00000000-0005-0000-0000-0000816D0000}"/>
    <cellStyle name="Header2 9 2 8" xfId="27979" xr:uid="{00000000-0005-0000-0000-0000826D0000}"/>
    <cellStyle name="Header2 9 2 8 2" xfId="27980" xr:uid="{00000000-0005-0000-0000-0000836D0000}"/>
    <cellStyle name="Header2 9 2 8 2 2" xfId="27981" xr:uid="{00000000-0005-0000-0000-0000846D0000}"/>
    <cellStyle name="Header2 9 2 8 2 2 2" xfId="27982" xr:uid="{00000000-0005-0000-0000-0000856D0000}"/>
    <cellStyle name="Header2 9 2 8 2 2 3" xfId="27983" xr:uid="{00000000-0005-0000-0000-0000866D0000}"/>
    <cellStyle name="Header2 9 2 8 2 2 4" xfId="27984" xr:uid="{00000000-0005-0000-0000-0000876D0000}"/>
    <cellStyle name="Header2 9 2 8 2 2 5" xfId="27985" xr:uid="{00000000-0005-0000-0000-0000886D0000}"/>
    <cellStyle name="Header2 9 2 8 2 3" xfId="27986" xr:uid="{00000000-0005-0000-0000-0000896D0000}"/>
    <cellStyle name="Header2 9 2 8 2 3 2" xfId="27987" xr:uid="{00000000-0005-0000-0000-00008A6D0000}"/>
    <cellStyle name="Header2 9 2 8 2 3 3" xfId="27988" xr:uid="{00000000-0005-0000-0000-00008B6D0000}"/>
    <cellStyle name="Header2 9 2 8 2 3 4" xfId="27989" xr:uid="{00000000-0005-0000-0000-00008C6D0000}"/>
    <cellStyle name="Header2 9 2 8 2 4" xfId="27990" xr:uid="{00000000-0005-0000-0000-00008D6D0000}"/>
    <cellStyle name="Header2 9 2 8 2 5" xfId="27991" xr:uid="{00000000-0005-0000-0000-00008E6D0000}"/>
    <cellStyle name="Header2 9 2 8 2 6" xfId="27992" xr:uid="{00000000-0005-0000-0000-00008F6D0000}"/>
    <cellStyle name="Header2 9 2 8 3" xfId="27993" xr:uid="{00000000-0005-0000-0000-0000906D0000}"/>
    <cellStyle name="Header2 9 2 8 3 2" xfId="27994" xr:uid="{00000000-0005-0000-0000-0000916D0000}"/>
    <cellStyle name="Header2 9 2 8 3 2 2" xfId="27995" xr:uid="{00000000-0005-0000-0000-0000926D0000}"/>
    <cellStyle name="Header2 9 2 8 3 2 3" xfId="27996" xr:uid="{00000000-0005-0000-0000-0000936D0000}"/>
    <cellStyle name="Header2 9 2 8 3 2 4" xfId="27997" xr:uid="{00000000-0005-0000-0000-0000946D0000}"/>
    <cellStyle name="Header2 9 2 8 3 3" xfId="27998" xr:uid="{00000000-0005-0000-0000-0000956D0000}"/>
    <cellStyle name="Header2 9 2 8 3 3 2" xfId="27999" xr:uid="{00000000-0005-0000-0000-0000966D0000}"/>
    <cellStyle name="Header2 9 2 8 3 3 3" xfId="28000" xr:uid="{00000000-0005-0000-0000-0000976D0000}"/>
    <cellStyle name="Header2 9 2 8 3 3 4" xfId="28001" xr:uid="{00000000-0005-0000-0000-0000986D0000}"/>
    <cellStyle name="Header2 9 2 8 3 4" xfId="28002" xr:uid="{00000000-0005-0000-0000-0000996D0000}"/>
    <cellStyle name="Header2 9 2 8 3 5" xfId="28003" xr:uid="{00000000-0005-0000-0000-00009A6D0000}"/>
    <cellStyle name="Header2 9 2 8 3 6" xfId="28004" xr:uid="{00000000-0005-0000-0000-00009B6D0000}"/>
    <cellStyle name="Header2 9 2 8 4" xfId="28005" xr:uid="{00000000-0005-0000-0000-00009C6D0000}"/>
    <cellStyle name="Header2 9 2 8 5" xfId="28006" xr:uid="{00000000-0005-0000-0000-00009D6D0000}"/>
    <cellStyle name="Header2 9 2 9" xfId="28007" xr:uid="{00000000-0005-0000-0000-00009E6D0000}"/>
    <cellStyle name="Header2 9 2 9 2" xfId="28008" xr:uid="{00000000-0005-0000-0000-00009F6D0000}"/>
    <cellStyle name="Header2 9 2 9 2 2" xfId="28009" xr:uid="{00000000-0005-0000-0000-0000A06D0000}"/>
    <cellStyle name="Header2 9 2 9 2 2 2" xfId="28010" xr:uid="{00000000-0005-0000-0000-0000A16D0000}"/>
    <cellStyle name="Header2 9 2 9 2 2 3" xfId="28011" xr:uid="{00000000-0005-0000-0000-0000A26D0000}"/>
    <cellStyle name="Header2 9 2 9 2 2 4" xfId="28012" xr:uid="{00000000-0005-0000-0000-0000A36D0000}"/>
    <cellStyle name="Header2 9 2 9 2 2 5" xfId="28013" xr:uid="{00000000-0005-0000-0000-0000A46D0000}"/>
    <cellStyle name="Header2 9 2 9 2 3" xfId="28014" xr:uid="{00000000-0005-0000-0000-0000A56D0000}"/>
    <cellStyle name="Header2 9 2 9 2 3 2" xfId="28015" xr:uid="{00000000-0005-0000-0000-0000A66D0000}"/>
    <cellStyle name="Header2 9 2 9 2 3 3" xfId="28016" xr:uid="{00000000-0005-0000-0000-0000A76D0000}"/>
    <cellStyle name="Header2 9 2 9 2 3 4" xfId="28017" xr:uid="{00000000-0005-0000-0000-0000A86D0000}"/>
    <cellStyle name="Header2 9 2 9 2 4" xfId="28018" xr:uid="{00000000-0005-0000-0000-0000A96D0000}"/>
    <cellStyle name="Header2 9 2 9 2 5" xfId="28019" xr:uid="{00000000-0005-0000-0000-0000AA6D0000}"/>
    <cellStyle name="Header2 9 2 9 2 6" xfId="28020" xr:uid="{00000000-0005-0000-0000-0000AB6D0000}"/>
    <cellStyle name="Header2 9 2 9 3" xfId="28021" xr:uid="{00000000-0005-0000-0000-0000AC6D0000}"/>
    <cellStyle name="Header2 9 2 9 3 2" xfId="28022" xr:uid="{00000000-0005-0000-0000-0000AD6D0000}"/>
    <cellStyle name="Header2 9 2 9 3 2 2" xfId="28023" xr:uid="{00000000-0005-0000-0000-0000AE6D0000}"/>
    <cellStyle name="Header2 9 2 9 3 2 3" xfId="28024" xr:uid="{00000000-0005-0000-0000-0000AF6D0000}"/>
    <cellStyle name="Header2 9 2 9 3 2 4" xfId="28025" xr:uid="{00000000-0005-0000-0000-0000B06D0000}"/>
    <cellStyle name="Header2 9 2 9 3 3" xfId="28026" xr:uid="{00000000-0005-0000-0000-0000B16D0000}"/>
    <cellStyle name="Header2 9 2 9 3 3 2" xfId="28027" xr:uid="{00000000-0005-0000-0000-0000B26D0000}"/>
    <cellStyle name="Header2 9 2 9 3 3 3" xfId="28028" xr:uid="{00000000-0005-0000-0000-0000B36D0000}"/>
    <cellStyle name="Header2 9 2 9 3 3 4" xfId="28029" xr:uid="{00000000-0005-0000-0000-0000B46D0000}"/>
    <cellStyle name="Header2 9 2 9 3 4" xfId="28030" xr:uid="{00000000-0005-0000-0000-0000B56D0000}"/>
    <cellStyle name="Header2 9 2 9 3 5" xfId="28031" xr:uid="{00000000-0005-0000-0000-0000B66D0000}"/>
    <cellStyle name="Header2 9 2 9 3 6" xfId="28032" xr:uid="{00000000-0005-0000-0000-0000B76D0000}"/>
    <cellStyle name="Header2 9 2 9 4" xfId="28033" xr:uid="{00000000-0005-0000-0000-0000B86D0000}"/>
    <cellStyle name="Header2 9 2 9 5" xfId="28034" xr:uid="{00000000-0005-0000-0000-0000B96D0000}"/>
    <cellStyle name="Header2 9 3" xfId="28035" xr:uid="{00000000-0005-0000-0000-0000BA6D0000}"/>
    <cellStyle name="Header2 9 3 10" xfId="28036" xr:uid="{00000000-0005-0000-0000-0000BB6D0000}"/>
    <cellStyle name="Header2 9 3 10 2" xfId="28037" xr:uid="{00000000-0005-0000-0000-0000BC6D0000}"/>
    <cellStyle name="Header2 9 3 10 2 2" xfId="28038" xr:uid="{00000000-0005-0000-0000-0000BD6D0000}"/>
    <cellStyle name="Header2 9 3 10 2 2 2" xfId="28039" xr:uid="{00000000-0005-0000-0000-0000BE6D0000}"/>
    <cellStyle name="Header2 9 3 10 2 2 3" xfId="28040" xr:uid="{00000000-0005-0000-0000-0000BF6D0000}"/>
    <cellStyle name="Header2 9 3 10 2 2 4" xfId="28041" xr:uid="{00000000-0005-0000-0000-0000C06D0000}"/>
    <cellStyle name="Header2 9 3 10 2 2 5" xfId="28042" xr:uid="{00000000-0005-0000-0000-0000C16D0000}"/>
    <cellStyle name="Header2 9 3 10 2 3" xfId="28043" xr:uid="{00000000-0005-0000-0000-0000C26D0000}"/>
    <cellStyle name="Header2 9 3 10 2 3 2" xfId="28044" xr:uid="{00000000-0005-0000-0000-0000C36D0000}"/>
    <cellStyle name="Header2 9 3 10 2 3 3" xfId="28045" xr:uid="{00000000-0005-0000-0000-0000C46D0000}"/>
    <cellStyle name="Header2 9 3 10 2 3 4" xfId="28046" xr:uid="{00000000-0005-0000-0000-0000C56D0000}"/>
    <cellStyle name="Header2 9 3 10 2 4" xfId="28047" xr:uid="{00000000-0005-0000-0000-0000C66D0000}"/>
    <cellStyle name="Header2 9 3 10 2 5" xfId="28048" xr:uid="{00000000-0005-0000-0000-0000C76D0000}"/>
    <cellStyle name="Header2 9 3 10 2 6" xfId="28049" xr:uid="{00000000-0005-0000-0000-0000C86D0000}"/>
    <cellStyle name="Header2 9 3 10 3" xfId="28050" xr:uid="{00000000-0005-0000-0000-0000C96D0000}"/>
    <cellStyle name="Header2 9 3 10 3 2" xfId="28051" xr:uid="{00000000-0005-0000-0000-0000CA6D0000}"/>
    <cellStyle name="Header2 9 3 10 3 2 2" xfId="28052" xr:uid="{00000000-0005-0000-0000-0000CB6D0000}"/>
    <cellStyle name="Header2 9 3 10 3 2 3" xfId="28053" xr:uid="{00000000-0005-0000-0000-0000CC6D0000}"/>
    <cellStyle name="Header2 9 3 10 3 2 4" xfId="28054" xr:uid="{00000000-0005-0000-0000-0000CD6D0000}"/>
    <cellStyle name="Header2 9 3 10 3 3" xfId="28055" xr:uid="{00000000-0005-0000-0000-0000CE6D0000}"/>
    <cellStyle name="Header2 9 3 10 3 3 2" xfId="28056" xr:uid="{00000000-0005-0000-0000-0000CF6D0000}"/>
    <cellStyle name="Header2 9 3 10 3 3 3" xfId="28057" xr:uid="{00000000-0005-0000-0000-0000D06D0000}"/>
    <cellStyle name="Header2 9 3 10 3 3 4" xfId="28058" xr:uid="{00000000-0005-0000-0000-0000D16D0000}"/>
    <cellStyle name="Header2 9 3 10 3 4" xfId="28059" xr:uid="{00000000-0005-0000-0000-0000D26D0000}"/>
    <cellStyle name="Header2 9 3 10 3 5" xfId="28060" xr:uid="{00000000-0005-0000-0000-0000D36D0000}"/>
    <cellStyle name="Header2 9 3 10 3 6" xfId="28061" xr:uid="{00000000-0005-0000-0000-0000D46D0000}"/>
    <cellStyle name="Header2 9 3 10 4" xfId="28062" xr:uid="{00000000-0005-0000-0000-0000D56D0000}"/>
    <cellStyle name="Header2 9 3 10 5" xfId="28063" xr:uid="{00000000-0005-0000-0000-0000D66D0000}"/>
    <cellStyle name="Header2 9 3 11" xfId="28064" xr:uid="{00000000-0005-0000-0000-0000D76D0000}"/>
    <cellStyle name="Header2 9 3 11 2" xfId="28065" xr:uid="{00000000-0005-0000-0000-0000D86D0000}"/>
    <cellStyle name="Header2 9 3 11 2 2" xfId="28066" xr:uid="{00000000-0005-0000-0000-0000D96D0000}"/>
    <cellStyle name="Header2 9 3 11 2 2 2" xfId="28067" xr:uid="{00000000-0005-0000-0000-0000DA6D0000}"/>
    <cellStyle name="Header2 9 3 11 2 2 3" xfId="28068" xr:uid="{00000000-0005-0000-0000-0000DB6D0000}"/>
    <cellStyle name="Header2 9 3 11 2 2 4" xfId="28069" xr:uid="{00000000-0005-0000-0000-0000DC6D0000}"/>
    <cellStyle name="Header2 9 3 11 2 2 5" xfId="28070" xr:uid="{00000000-0005-0000-0000-0000DD6D0000}"/>
    <cellStyle name="Header2 9 3 11 2 3" xfId="28071" xr:uid="{00000000-0005-0000-0000-0000DE6D0000}"/>
    <cellStyle name="Header2 9 3 11 2 3 2" xfId="28072" xr:uid="{00000000-0005-0000-0000-0000DF6D0000}"/>
    <cellStyle name="Header2 9 3 11 2 3 3" xfId="28073" xr:uid="{00000000-0005-0000-0000-0000E06D0000}"/>
    <cellStyle name="Header2 9 3 11 2 3 4" xfId="28074" xr:uid="{00000000-0005-0000-0000-0000E16D0000}"/>
    <cellStyle name="Header2 9 3 11 2 4" xfId="28075" xr:uid="{00000000-0005-0000-0000-0000E26D0000}"/>
    <cellStyle name="Header2 9 3 11 2 5" xfId="28076" xr:uid="{00000000-0005-0000-0000-0000E36D0000}"/>
    <cellStyle name="Header2 9 3 11 2 6" xfId="28077" xr:uid="{00000000-0005-0000-0000-0000E46D0000}"/>
    <cellStyle name="Header2 9 3 11 3" xfId="28078" xr:uid="{00000000-0005-0000-0000-0000E56D0000}"/>
    <cellStyle name="Header2 9 3 11 3 2" xfId="28079" xr:uid="{00000000-0005-0000-0000-0000E66D0000}"/>
    <cellStyle name="Header2 9 3 11 3 2 2" xfId="28080" xr:uid="{00000000-0005-0000-0000-0000E76D0000}"/>
    <cellStyle name="Header2 9 3 11 3 2 3" xfId="28081" xr:uid="{00000000-0005-0000-0000-0000E86D0000}"/>
    <cellStyle name="Header2 9 3 11 3 2 4" xfId="28082" xr:uid="{00000000-0005-0000-0000-0000E96D0000}"/>
    <cellStyle name="Header2 9 3 11 3 3" xfId="28083" xr:uid="{00000000-0005-0000-0000-0000EA6D0000}"/>
    <cellStyle name="Header2 9 3 11 3 3 2" xfId="28084" xr:uid="{00000000-0005-0000-0000-0000EB6D0000}"/>
    <cellStyle name="Header2 9 3 11 3 3 3" xfId="28085" xr:uid="{00000000-0005-0000-0000-0000EC6D0000}"/>
    <cellStyle name="Header2 9 3 11 3 3 4" xfId="28086" xr:uid="{00000000-0005-0000-0000-0000ED6D0000}"/>
    <cellStyle name="Header2 9 3 11 3 4" xfId="28087" xr:uid="{00000000-0005-0000-0000-0000EE6D0000}"/>
    <cellStyle name="Header2 9 3 11 3 5" xfId="28088" xr:uid="{00000000-0005-0000-0000-0000EF6D0000}"/>
    <cellStyle name="Header2 9 3 11 3 6" xfId="28089" xr:uid="{00000000-0005-0000-0000-0000F06D0000}"/>
    <cellStyle name="Header2 9 3 11 4" xfId="28090" xr:uid="{00000000-0005-0000-0000-0000F16D0000}"/>
    <cellStyle name="Header2 9 3 11 5" xfId="28091" xr:uid="{00000000-0005-0000-0000-0000F26D0000}"/>
    <cellStyle name="Header2 9 3 12" xfId="28092" xr:uid="{00000000-0005-0000-0000-0000F36D0000}"/>
    <cellStyle name="Header2 9 3 12 2" xfId="28093" xr:uid="{00000000-0005-0000-0000-0000F46D0000}"/>
    <cellStyle name="Header2 9 3 12 2 2" xfId="28094" xr:uid="{00000000-0005-0000-0000-0000F56D0000}"/>
    <cellStyle name="Header2 9 3 12 2 2 2" xfId="28095" xr:uid="{00000000-0005-0000-0000-0000F66D0000}"/>
    <cellStyle name="Header2 9 3 12 2 2 3" xfId="28096" xr:uid="{00000000-0005-0000-0000-0000F76D0000}"/>
    <cellStyle name="Header2 9 3 12 2 2 4" xfId="28097" xr:uid="{00000000-0005-0000-0000-0000F86D0000}"/>
    <cellStyle name="Header2 9 3 12 2 2 5" xfId="28098" xr:uid="{00000000-0005-0000-0000-0000F96D0000}"/>
    <cellStyle name="Header2 9 3 12 2 3" xfId="28099" xr:uid="{00000000-0005-0000-0000-0000FA6D0000}"/>
    <cellStyle name="Header2 9 3 12 2 3 2" xfId="28100" xr:uid="{00000000-0005-0000-0000-0000FB6D0000}"/>
    <cellStyle name="Header2 9 3 12 2 3 3" xfId="28101" xr:uid="{00000000-0005-0000-0000-0000FC6D0000}"/>
    <cellStyle name="Header2 9 3 12 2 3 4" xfId="28102" xr:uid="{00000000-0005-0000-0000-0000FD6D0000}"/>
    <cellStyle name="Header2 9 3 12 2 4" xfId="28103" xr:uid="{00000000-0005-0000-0000-0000FE6D0000}"/>
    <cellStyle name="Header2 9 3 12 2 5" xfId="28104" xr:uid="{00000000-0005-0000-0000-0000FF6D0000}"/>
    <cellStyle name="Header2 9 3 12 2 6" xfId="28105" xr:uid="{00000000-0005-0000-0000-0000006E0000}"/>
    <cellStyle name="Header2 9 3 12 3" xfId="28106" xr:uid="{00000000-0005-0000-0000-0000016E0000}"/>
    <cellStyle name="Header2 9 3 12 3 2" xfId="28107" xr:uid="{00000000-0005-0000-0000-0000026E0000}"/>
    <cellStyle name="Header2 9 3 12 3 2 2" xfId="28108" xr:uid="{00000000-0005-0000-0000-0000036E0000}"/>
    <cellStyle name="Header2 9 3 12 3 2 3" xfId="28109" xr:uid="{00000000-0005-0000-0000-0000046E0000}"/>
    <cellStyle name="Header2 9 3 12 3 2 4" xfId="28110" xr:uid="{00000000-0005-0000-0000-0000056E0000}"/>
    <cellStyle name="Header2 9 3 12 3 3" xfId="28111" xr:uid="{00000000-0005-0000-0000-0000066E0000}"/>
    <cellStyle name="Header2 9 3 12 3 3 2" xfId="28112" xr:uid="{00000000-0005-0000-0000-0000076E0000}"/>
    <cellStyle name="Header2 9 3 12 3 3 3" xfId="28113" xr:uid="{00000000-0005-0000-0000-0000086E0000}"/>
    <cellStyle name="Header2 9 3 12 3 3 4" xfId="28114" xr:uid="{00000000-0005-0000-0000-0000096E0000}"/>
    <cellStyle name="Header2 9 3 12 3 4" xfId="28115" xr:uid="{00000000-0005-0000-0000-00000A6E0000}"/>
    <cellStyle name="Header2 9 3 12 3 5" xfId="28116" xr:uid="{00000000-0005-0000-0000-00000B6E0000}"/>
    <cellStyle name="Header2 9 3 12 3 6" xfId="28117" xr:uid="{00000000-0005-0000-0000-00000C6E0000}"/>
    <cellStyle name="Header2 9 3 12 4" xfId="28118" xr:uid="{00000000-0005-0000-0000-00000D6E0000}"/>
    <cellStyle name="Header2 9 3 12 5" xfId="28119" xr:uid="{00000000-0005-0000-0000-00000E6E0000}"/>
    <cellStyle name="Header2 9 3 13" xfId="58773" xr:uid="{00000000-0005-0000-0000-00000F6E0000}"/>
    <cellStyle name="Header2 9 3 2" xfId="28120" xr:uid="{00000000-0005-0000-0000-0000106E0000}"/>
    <cellStyle name="Header2 9 3 2 2" xfId="28121" xr:uid="{00000000-0005-0000-0000-0000116E0000}"/>
    <cellStyle name="Header2 9 3 2 2 2" xfId="28122" xr:uid="{00000000-0005-0000-0000-0000126E0000}"/>
    <cellStyle name="Header2 9 3 2 2 3" xfId="28123" xr:uid="{00000000-0005-0000-0000-0000136E0000}"/>
    <cellStyle name="Header2 9 3 2 3" xfId="28124" xr:uid="{00000000-0005-0000-0000-0000146E0000}"/>
    <cellStyle name="Header2 9 3 3" xfId="28125" xr:uid="{00000000-0005-0000-0000-0000156E0000}"/>
    <cellStyle name="Header2 9 3 3 2" xfId="28126" xr:uid="{00000000-0005-0000-0000-0000166E0000}"/>
    <cellStyle name="Header2 9 3 3 2 2" xfId="28127" xr:uid="{00000000-0005-0000-0000-0000176E0000}"/>
    <cellStyle name="Header2 9 3 3 2 3" xfId="28128" xr:uid="{00000000-0005-0000-0000-0000186E0000}"/>
    <cellStyle name="Header2 9 3 3 3" xfId="28129" xr:uid="{00000000-0005-0000-0000-0000196E0000}"/>
    <cellStyle name="Header2 9 3 4" xfId="28130" xr:uid="{00000000-0005-0000-0000-00001A6E0000}"/>
    <cellStyle name="Header2 9 3 4 2" xfId="28131" xr:uid="{00000000-0005-0000-0000-00001B6E0000}"/>
    <cellStyle name="Header2 9 3 4 2 2" xfId="28132" xr:uid="{00000000-0005-0000-0000-00001C6E0000}"/>
    <cellStyle name="Header2 9 3 4 2 3" xfId="28133" xr:uid="{00000000-0005-0000-0000-00001D6E0000}"/>
    <cellStyle name="Header2 9 3 4 3" xfId="28134" xr:uid="{00000000-0005-0000-0000-00001E6E0000}"/>
    <cellStyle name="Header2 9 3 5" xfId="28135" xr:uid="{00000000-0005-0000-0000-00001F6E0000}"/>
    <cellStyle name="Header2 9 3 5 2" xfId="28136" xr:uid="{00000000-0005-0000-0000-0000206E0000}"/>
    <cellStyle name="Header2 9 3 5 2 2" xfId="28137" xr:uid="{00000000-0005-0000-0000-0000216E0000}"/>
    <cellStyle name="Header2 9 3 5 2 2 2" xfId="28138" xr:uid="{00000000-0005-0000-0000-0000226E0000}"/>
    <cellStyle name="Header2 9 3 5 2 2 3" xfId="28139" xr:uid="{00000000-0005-0000-0000-0000236E0000}"/>
    <cellStyle name="Header2 9 3 5 2 2 4" xfId="28140" xr:uid="{00000000-0005-0000-0000-0000246E0000}"/>
    <cellStyle name="Header2 9 3 5 2 2 5" xfId="28141" xr:uid="{00000000-0005-0000-0000-0000256E0000}"/>
    <cellStyle name="Header2 9 3 5 2 3" xfId="28142" xr:uid="{00000000-0005-0000-0000-0000266E0000}"/>
    <cellStyle name="Header2 9 3 5 2 3 2" xfId="28143" xr:uid="{00000000-0005-0000-0000-0000276E0000}"/>
    <cellStyle name="Header2 9 3 5 2 3 3" xfId="28144" xr:uid="{00000000-0005-0000-0000-0000286E0000}"/>
    <cellStyle name="Header2 9 3 5 2 3 4" xfId="28145" xr:uid="{00000000-0005-0000-0000-0000296E0000}"/>
    <cellStyle name="Header2 9 3 5 2 4" xfId="28146" xr:uid="{00000000-0005-0000-0000-00002A6E0000}"/>
    <cellStyle name="Header2 9 3 5 2 5" xfId="28147" xr:uid="{00000000-0005-0000-0000-00002B6E0000}"/>
    <cellStyle name="Header2 9 3 5 2 6" xfId="28148" xr:uid="{00000000-0005-0000-0000-00002C6E0000}"/>
    <cellStyle name="Header2 9 3 5 3" xfId="28149" xr:uid="{00000000-0005-0000-0000-00002D6E0000}"/>
    <cellStyle name="Header2 9 3 5 3 2" xfId="28150" xr:uid="{00000000-0005-0000-0000-00002E6E0000}"/>
    <cellStyle name="Header2 9 3 5 3 2 2" xfId="28151" xr:uid="{00000000-0005-0000-0000-00002F6E0000}"/>
    <cellStyle name="Header2 9 3 5 3 2 3" xfId="28152" xr:uid="{00000000-0005-0000-0000-0000306E0000}"/>
    <cellStyle name="Header2 9 3 5 3 2 4" xfId="28153" xr:uid="{00000000-0005-0000-0000-0000316E0000}"/>
    <cellStyle name="Header2 9 3 5 3 3" xfId="28154" xr:uid="{00000000-0005-0000-0000-0000326E0000}"/>
    <cellStyle name="Header2 9 3 5 3 3 2" xfId="28155" xr:uid="{00000000-0005-0000-0000-0000336E0000}"/>
    <cellStyle name="Header2 9 3 5 3 3 3" xfId="28156" xr:uid="{00000000-0005-0000-0000-0000346E0000}"/>
    <cellStyle name="Header2 9 3 5 3 3 4" xfId="28157" xr:uid="{00000000-0005-0000-0000-0000356E0000}"/>
    <cellStyle name="Header2 9 3 5 3 4" xfId="28158" xr:uid="{00000000-0005-0000-0000-0000366E0000}"/>
    <cellStyle name="Header2 9 3 5 3 5" xfId="28159" xr:uid="{00000000-0005-0000-0000-0000376E0000}"/>
    <cellStyle name="Header2 9 3 5 3 6" xfId="28160" xr:uid="{00000000-0005-0000-0000-0000386E0000}"/>
    <cellStyle name="Header2 9 3 5 4" xfId="28161" xr:uid="{00000000-0005-0000-0000-0000396E0000}"/>
    <cellStyle name="Header2 9 3 5 5" xfId="28162" xr:uid="{00000000-0005-0000-0000-00003A6E0000}"/>
    <cellStyle name="Header2 9 3 6" xfId="28163" xr:uid="{00000000-0005-0000-0000-00003B6E0000}"/>
    <cellStyle name="Header2 9 3 6 2" xfId="28164" xr:uid="{00000000-0005-0000-0000-00003C6E0000}"/>
    <cellStyle name="Header2 9 3 6 2 2" xfId="28165" xr:uid="{00000000-0005-0000-0000-00003D6E0000}"/>
    <cellStyle name="Header2 9 3 6 2 2 2" xfId="28166" xr:uid="{00000000-0005-0000-0000-00003E6E0000}"/>
    <cellStyle name="Header2 9 3 6 2 2 3" xfId="28167" xr:uid="{00000000-0005-0000-0000-00003F6E0000}"/>
    <cellStyle name="Header2 9 3 6 2 2 4" xfId="28168" xr:uid="{00000000-0005-0000-0000-0000406E0000}"/>
    <cellStyle name="Header2 9 3 6 2 2 5" xfId="28169" xr:uid="{00000000-0005-0000-0000-0000416E0000}"/>
    <cellStyle name="Header2 9 3 6 2 3" xfId="28170" xr:uid="{00000000-0005-0000-0000-0000426E0000}"/>
    <cellStyle name="Header2 9 3 6 2 3 2" xfId="28171" xr:uid="{00000000-0005-0000-0000-0000436E0000}"/>
    <cellStyle name="Header2 9 3 6 2 3 3" xfId="28172" xr:uid="{00000000-0005-0000-0000-0000446E0000}"/>
    <cellStyle name="Header2 9 3 6 2 3 4" xfId="28173" xr:uid="{00000000-0005-0000-0000-0000456E0000}"/>
    <cellStyle name="Header2 9 3 6 2 4" xfId="28174" xr:uid="{00000000-0005-0000-0000-0000466E0000}"/>
    <cellStyle name="Header2 9 3 6 2 5" xfId="28175" xr:uid="{00000000-0005-0000-0000-0000476E0000}"/>
    <cellStyle name="Header2 9 3 6 2 6" xfId="28176" xr:uid="{00000000-0005-0000-0000-0000486E0000}"/>
    <cellStyle name="Header2 9 3 6 3" xfId="28177" xr:uid="{00000000-0005-0000-0000-0000496E0000}"/>
    <cellStyle name="Header2 9 3 6 3 2" xfId="28178" xr:uid="{00000000-0005-0000-0000-00004A6E0000}"/>
    <cellStyle name="Header2 9 3 6 3 2 2" xfId="28179" xr:uid="{00000000-0005-0000-0000-00004B6E0000}"/>
    <cellStyle name="Header2 9 3 6 3 2 3" xfId="28180" xr:uid="{00000000-0005-0000-0000-00004C6E0000}"/>
    <cellStyle name="Header2 9 3 6 3 2 4" xfId="28181" xr:uid="{00000000-0005-0000-0000-00004D6E0000}"/>
    <cellStyle name="Header2 9 3 6 3 3" xfId="28182" xr:uid="{00000000-0005-0000-0000-00004E6E0000}"/>
    <cellStyle name="Header2 9 3 6 3 3 2" xfId="28183" xr:uid="{00000000-0005-0000-0000-00004F6E0000}"/>
    <cellStyle name="Header2 9 3 6 3 3 3" xfId="28184" xr:uid="{00000000-0005-0000-0000-0000506E0000}"/>
    <cellStyle name="Header2 9 3 6 3 3 4" xfId="28185" xr:uid="{00000000-0005-0000-0000-0000516E0000}"/>
    <cellStyle name="Header2 9 3 6 3 4" xfId="28186" xr:uid="{00000000-0005-0000-0000-0000526E0000}"/>
    <cellStyle name="Header2 9 3 6 3 5" xfId="28187" xr:uid="{00000000-0005-0000-0000-0000536E0000}"/>
    <cellStyle name="Header2 9 3 6 3 6" xfId="28188" xr:uid="{00000000-0005-0000-0000-0000546E0000}"/>
    <cellStyle name="Header2 9 3 6 4" xfId="28189" xr:uid="{00000000-0005-0000-0000-0000556E0000}"/>
    <cellStyle name="Header2 9 3 6 5" xfId="28190" xr:uid="{00000000-0005-0000-0000-0000566E0000}"/>
    <cellStyle name="Header2 9 3 7" xfId="28191" xr:uid="{00000000-0005-0000-0000-0000576E0000}"/>
    <cellStyle name="Header2 9 3 7 2" xfId="28192" xr:uid="{00000000-0005-0000-0000-0000586E0000}"/>
    <cellStyle name="Header2 9 3 7 2 2" xfId="28193" xr:uid="{00000000-0005-0000-0000-0000596E0000}"/>
    <cellStyle name="Header2 9 3 7 2 2 2" xfId="28194" xr:uid="{00000000-0005-0000-0000-00005A6E0000}"/>
    <cellStyle name="Header2 9 3 7 2 2 3" xfId="28195" xr:uid="{00000000-0005-0000-0000-00005B6E0000}"/>
    <cellStyle name="Header2 9 3 7 2 2 4" xfId="28196" xr:uid="{00000000-0005-0000-0000-00005C6E0000}"/>
    <cellStyle name="Header2 9 3 7 2 2 5" xfId="28197" xr:uid="{00000000-0005-0000-0000-00005D6E0000}"/>
    <cellStyle name="Header2 9 3 7 2 3" xfId="28198" xr:uid="{00000000-0005-0000-0000-00005E6E0000}"/>
    <cellStyle name="Header2 9 3 7 2 3 2" xfId="28199" xr:uid="{00000000-0005-0000-0000-00005F6E0000}"/>
    <cellStyle name="Header2 9 3 7 2 3 3" xfId="28200" xr:uid="{00000000-0005-0000-0000-0000606E0000}"/>
    <cellStyle name="Header2 9 3 7 2 3 4" xfId="28201" xr:uid="{00000000-0005-0000-0000-0000616E0000}"/>
    <cellStyle name="Header2 9 3 7 2 4" xfId="28202" xr:uid="{00000000-0005-0000-0000-0000626E0000}"/>
    <cellStyle name="Header2 9 3 7 2 5" xfId="28203" xr:uid="{00000000-0005-0000-0000-0000636E0000}"/>
    <cellStyle name="Header2 9 3 7 2 6" xfId="28204" xr:uid="{00000000-0005-0000-0000-0000646E0000}"/>
    <cellStyle name="Header2 9 3 7 3" xfId="28205" xr:uid="{00000000-0005-0000-0000-0000656E0000}"/>
    <cellStyle name="Header2 9 3 7 3 2" xfId="28206" xr:uid="{00000000-0005-0000-0000-0000666E0000}"/>
    <cellStyle name="Header2 9 3 7 3 2 2" xfId="28207" xr:uid="{00000000-0005-0000-0000-0000676E0000}"/>
    <cellStyle name="Header2 9 3 7 3 2 3" xfId="28208" xr:uid="{00000000-0005-0000-0000-0000686E0000}"/>
    <cellStyle name="Header2 9 3 7 3 2 4" xfId="28209" xr:uid="{00000000-0005-0000-0000-0000696E0000}"/>
    <cellStyle name="Header2 9 3 7 3 3" xfId="28210" xr:uid="{00000000-0005-0000-0000-00006A6E0000}"/>
    <cellStyle name="Header2 9 3 7 3 3 2" xfId="28211" xr:uid="{00000000-0005-0000-0000-00006B6E0000}"/>
    <cellStyle name="Header2 9 3 7 3 3 3" xfId="28212" xr:uid="{00000000-0005-0000-0000-00006C6E0000}"/>
    <cellStyle name="Header2 9 3 7 3 3 4" xfId="28213" xr:uid="{00000000-0005-0000-0000-00006D6E0000}"/>
    <cellStyle name="Header2 9 3 7 3 4" xfId="28214" xr:uid="{00000000-0005-0000-0000-00006E6E0000}"/>
    <cellStyle name="Header2 9 3 7 3 5" xfId="28215" xr:uid="{00000000-0005-0000-0000-00006F6E0000}"/>
    <cellStyle name="Header2 9 3 7 3 6" xfId="28216" xr:uid="{00000000-0005-0000-0000-0000706E0000}"/>
    <cellStyle name="Header2 9 3 7 4" xfId="28217" xr:uid="{00000000-0005-0000-0000-0000716E0000}"/>
    <cellStyle name="Header2 9 3 7 5" xfId="28218" xr:uid="{00000000-0005-0000-0000-0000726E0000}"/>
    <cellStyle name="Header2 9 3 8" xfId="28219" xr:uid="{00000000-0005-0000-0000-0000736E0000}"/>
    <cellStyle name="Header2 9 3 8 2" xfId="28220" xr:uid="{00000000-0005-0000-0000-0000746E0000}"/>
    <cellStyle name="Header2 9 3 8 2 2" xfId="28221" xr:uid="{00000000-0005-0000-0000-0000756E0000}"/>
    <cellStyle name="Header2 9 3 8 2 2 2" xfId="28222" xr:uid="{00000000-0005-0000-0000-0000766E0000}"/>
    <cellStyle name="Header2 9 3 8 2 2 3" xfId="28223" xr:uid="{00000000-0005-0000-0000-0000776E0000}"/>
    <cellStyle name="Header2 9 3 8 2 2 4" xfId="28224" xr:uid="{00000000-0005-0000-0000-0000786E0000}"/>
    <cellStyle name="Header2 9 3 8 2 2 5" xfId="28225" xr:uid="{00000000-0005-0000-0000-0000796E0000}"/>
    <cellStyle name="Header2 9 3 8 2 3" xfId="28226" xr:uid="{00000000-0005-0000-0000-00007A6E0000}"/>
    <cellStyle name="Header2 9 3 8 2 3 2" xfId="28227" xr:uid="{00000000-0005-0000-0000-00007B6E0000}"/>
    <cellStyle name="Header2 9 3 8 2 3 3" xfId="28228" xr:uid="{00000000-0005-0000-0000-00007C6E0000}"/>
    <cellStyle name="Header2 9 3 8 2 3 4" xfId="28229" xr:uid="{00000000-0005-0000-0000-00007D6E0000}"/>
    <cellStyle name="Header2 9 3 8 2 4" xfId="28230" xr:uid="{00000000-0005-0000-0000-00007E6E0000}"/>
    <cellStyle name="Header2 9 3 8 2 5" xfId="28231" xr:uid="{00000000-0005-0000-0000-00007F6E0000}"/>
    <cellStyle name="Header2 9 3 8 2 6" xfId="28232" xr:uid="{00000000-0005-0000-0000-0000806E0000}"/>
    <cellStyle name="Header2 9 3 8 3" xfId="28233" xr:uid="{00000000-0005-0000-0000-0000816E0000}"/>
    <cellStyle name="Header2 9 3 8 3 2" xfId="28234" xr:uid="{00000000-0005-0000-0000-0000826E0000}"/>
    <cellStyle name="Header2 9 3 8 3 2 2" xfId="28235" xr:uid="{00000000-0005-0000-0000-0000836E0000}"/>
    <cellStyle name="Header2 9 3 8 3 2 3" xfId="28236" xr:uid="{00000000-0005-0000-0000-0000846E0000}"/>
    <cellStyle name="Header2 9 3 8 3 2 4" xfId="28237" xr:uid="{00000000-0005-0000-0000-0000856E0000}"/>
    <cellStyle name="Header2 9 3 8 3 3" xfId="28238" xr:uid="{00000000-0005-0000-0000-0000866E0000}"/>
    <cellStyle name="Header2 9 3 8 3 3 2" xfId="28239" xr:uid="{00000000-0005-0000-0000-0000876E0000}"/>
    <cellStyle name="Header2 9 3 8 3 3 3" xfId="28240" xr:uid="{00000000-0005-0000-0000-0000886E0000}"/>
    <cellStyle name="Header2 9 3 8 3 3 4" xfId="28241" xr:uid="{00000000-0005-0000-0000-0000896E0000}"/>
    <cellStyle name="Header2 9 3 8 3 4" xfId="28242" xr:uid="{00000000-0005-0000-0000-00008A6E0000}"/>
    <cellStyle name="Header2 9 3 8 3 5" xfId="28243" xr:uid="{00000000-0005-0000-0000-00008B6E0000}"/>
    <cellStyle name="Header2 9 3 8 3 6" xfId="28244" xr:uid="{00000000-0005-0000-0000-00008C6E0000}"/>
    <cellStyle name="Header2 9 3 8 4" xfId="28245" xr:uid="{00000000-0005-0000-0000-00008D6E0000}"/>
    <cellStyle name="Header2 9 3 8 5" xfId="28246" xr:uid="{00000000-0005-0000-0000-00008E6E0000}"/>
    <cellStyle name="Header2 9 3 9" xfId="28247" xr:uid="{00000000-0005-0000-0000-00008F6E0000}"/>
    <cellStyle name="Header2 9 3 9 2" xfId="28248" xr:uid="{00000000-0005-0000-0000-0000906E0000}"/>
    <cellStyle name="Header2 9 3 9 2 2" xfId="28249" xr:uid="{00000000-0005-0000-0000-0000916E0000}"/>
    <cellStyle name="Header2 9 3 9 2 2 2" xfId="28250" xr:uid="{00000000-0005-0000-0000-0000926E0000}"/>
    <cellStyle name="Header2 9 3 9 2 2 3" xfId="28251" xr:uid="{00000000-0005-0000-0000-0000936E0000}"/>
    <cellStyle name="Header2 9 3 9 2 2 4" xfId="28252" xr:uid="{00000000-0005-0000-0000-0000946E0000}"/>
    <cellStyle name="Header2 9 3 9 2 2 5" xfId="28253" xr:uid="{00000000-0005-0000-0000-0000956E0000}"/>
    <cellStyle name="Header2 9 3 9 2 3" xfId="28254" xr:uid="{00000000-0005-0000-0000-0000966E0000}"/>
    <cellStyle name="Header2 9 3 9 2 3 2" xfId="28255" xr:uid="{00000000-0005-0000-0000-0000976E0000}"/>
    <cellStyle name="Header2 9 3 9 2 3 3" xfId="28256" xr:uid="{00000000-0005-0000-0000-0000986E0000}"/>
    <cellStyle name="Header2 9 3 9 2 3 4" xfId="28257" xr:uid="{00000000-0005-0000-0000-0000996E0000}"/>
    <cellStyle name="Header2 9 3 9 2 4" xfId="28258" xr:uid="{00000000-0005-0000-0000-00009A6E0000}"/>
    <cellStyle name="Header2 9 3 9 2 5" xfId="28259" xr:uid="{00000000-0005-0000-0000-00009B6E0000}"/>
    <cellStyle name="Header2 9 3 9 2 6" xfId="28260" xr:uid="{00000000-0005-0000-0000-00009C6E0000}"/>
    <cellStyle name="Header2 9 3 9 3" xfId="28261" xr:uid="{00000000-0005-0000-0000-00009D6E0000}"/>
    <cellStyle name="Header2 9 3 9 3 2" xfId="28262" xr:uid="{00000000-0005-0000-0000-00009E6E0000}"/>
    <cellStyle name="Header2 9 3 9 3 2 2" xfId="28263" xr:uid="{00000000-0005-0000-0000-00009F6E0000}"/>
    <cellStyle name="Header2 9 3 9 3 2 3" xfId="28264" xr:uid="{00000000-0005-0000-0000-0000A06E0000}"/>
    <cellStyle name="Header2 9 3 9 3 2 4" xfId="28265" xr:uid="{00000000-0005-0000-0000-0000A16E0000}"/>
    <cellStyle name="Header2 9 3 9 3 3" xfId="28266" xr:uid="{00000000-0005-0000-0000-0000A26E0000}"/>
    <cellStyle name="Header2 9 3 9 3 3 2" xfId="28267" xr:uid="{00000000-0005-0000-0000-0000A36E0000}"/>
    <cellStyle name="Header2 9 3 9 3 3 3" xfId="28268" xr:uid="{00000000-0005-0000-0000-0000A46E0000}"/>
    <cellStyle name="Header2 9 3 9 3 3 4" xfId="28269" xr:uid="{00000000-0005-0000-0000-0000A56E0000}"/>
    <cellStyle name="Header2 9 3 9 3 4" xfId="28270" xr:uid="{00000000-0005-0000-0000-0000A66E0000}"/>
    <cellStyle name="Header2 9 3 9 3 5" xfId="28271" xr:uid="{00000000-0005-0000-0000-0000A76E0000}"/>
    <cellStyle name="Header2 9 3 9 3 6" xfId="28272" xr:uid="{00000000-0005-0000-0000-0000A86E0000}"/>
    <cellStyle name="Header2 9 3 9 4" xfId="28273" xr:uid="{00000000-0005-0000-0000-0000A96E0000}"/>
    <cellStyle name="Header2 9 3 9 5" xfId="28274" xr:uid="{00000000-0005-0000-0000-0000AA6E0000}"/>
    <cellStyle name="Heading 1 2" xfId="28276" xr:uid="{00000000-0005-0000-0000-0000AB6E0000}"/>
    <cellStyle name="Heading 2" xfId="28" xr:uid="{00000000-0005-0000-0000-0000AC6E0000}"/>
    <cellStyle name="Heading 2 2" xfId="28277" xr:uid="{00000000-0005-0000-0000-0000AD6E0000}"/>
    <cellStyle name="Heading 3" xfId="29" xr:uid="{00000000-0005-0000-0000-0000AE6E0000}"/>
    <cellStyle name="Heading 3 2" xfId="28278" xr:uid="{00000000-0005-0000-0000-0000AF6E0000}"/>
    <cellStyle name="Heading 4 2" xfId="28280" xr:uid="{00000000-0005-0000-0000-0000B06E0000}"/>
    <cellStyle name="Headline" xfId="28281" xr:uid="{00000000-0005-0000-0000-0000B16E0000}"/>
    <cellStyle name="Hed Side" xfId="28282" xr:uid="{00000000-0005-0000-0000-0000B26E0000}"/>
    <cellStyle name="Hed Side bold" xfId="28283" xr:uid="{00000000-0005-0000-0000-0000B36E0000}"/>
    <cellStyle name="Hed Side Indent" xfId="28284" xr:uid="{00000000-0005-0000-0000-0000B46E0000}"/>
    <cellStyle name="Hed Side Regular" xfId="28285" xr:uid="{00000000-0005-0000-0000-0000B56E0000}"/>
    <cellStyle name="Hed Side_1-1A-Regular" xfId="28286" xr:uid="{00000000-0005-0000-0000-0000B66E0000}"/>
    <cellStyle name="Hed Top" xfId="28287" xr:uid="{00000000-0005-0000-0000-0000B76E0000}"/>
    <cellStyle name="Hed Top - SECTION" xfId="28288" xr:uid="{00000000-0005-0000-0000-0000B86E0000}"/>
    <cellStyle name="Hed Top_3-new4" xfId="28289" xr:uid="{00000000-0005-0000-0000-0000B96E0000}"/>
    <cellStyle name="Hipervínculo" xfId="3" builtinId="8"/>
    <cellStyle name="Hipervínculo 2" xfId="19" xr:uid="{00000000-0005-0000-0000-0000BB6E0000}"/>
    <cellStyle name="Hipervínculo 2 2" xfId="28291" xr:uid="{00000000-0005-0000-0000-0000BC6E0000}"/>
    <cellStyle name="Hipervínculo 2 3" xfId="28290" xr:uid="{00000000-0005-0000-0000-0000BD6E0000}"/>
    <cellStyle name="Hipervínculo 3" xfId="28292" xr:uid="{00000000-0005-0000-0000-0000BE6E0000}"/>
    <cellStyle name="Hipervínculo 4" xfId="28293" xr:uid="{00000000-0005-0000-0000-0000BF6E0000}"/>
    <cellStyle name="Hipervínculo 5" xfId="28294" xr:uid="{00000000-0005-0000-0000-0000C06E0000}"/>
    <cellStyle name="Hipervínculo 6" xfId="58862" xr:uid="{00000000-0005-0000-0000-0000C16E0000}"/>
    <cellStyle name="Incorrecto 2" xfId="28295" xr:uid="{00000000-0005-0000-0000-0000C26E0000}"/>
    <cellStyle name="Incorrecto 3" xfId="28296" xr:uid="{00000000-0005-0000-0000-0000C36E0000}"/>
    <cellStyle name="Incorrecto 4" xfId="28297" xr:uid="{00000000-0005-0000-0000-0000C46E0000}"/>
    <cellStyle name="Incorrecto 5" xfId="28298" xr:uid="{00000000-0005-0000-0000-0000C56E0000}"/>
    <cellStyle name="Incorrecto 6" xfId="28299" xr:uid="{00000000-0005-0000-0000-0000C66E0000}"/>
    <cellStyle name="Incorrecto 7" xfId="28300" xr:uid="{00000000-0005-0000-0000-0000C76E0000}"/>
    <cellStyle name="Input [yellow]" xfId="28302" xr:uid="{00000000-0005-0000-0000-0000C86E0000}"/>
    <cellStyle name="Input [yellow] 10" xfId="28303" xr:uid="{00000000-0005-0000-0000-0000C96E0000}"/>
    <cellStyle name="Input [yellow] 11" xfId="28304" xr:uid="{00000000-0005-0000-0000-0000CA6E0000}"/>
    <cellStyle name="Input [yellow] 12" xfId="28305" xr:uid="{00000000-0005-0000-0000-0000CB6E0000}"/>
    <cellStyle name="Input [yellow] 13" xfId="28306" xr:uid="{00000000-0005-0000-0000-0000CC6E0000}"/>
    <cellStyle name="Input [yellow] 14" xfId="28307" xr:uid="{00000000-0005-0000-0000-0000CD6E0000}"/>
    <cellStyle name="Input [yellow] 15" xfId="28308" xr:uid="{00000000-0005-0000-0000-0000CE6E0000}"/>
    <cellStyle name="Input [yellow] 16" xfId="28309" xr:uid="{00000000-0005-0000-0000-0000CF6E0000}"/>
    <cellStyle name="Input [yellow] 17" xfId="28310" xr:uid="{00000000-0005-0000-0000-0000D06E0000}"/>
    <cellStyle name="Input [yellow] 18" xfId="28311" xr:uid="{00000000-0005-0000-0000-0000D16E0000}"/>
    <cellStyle name="Input [yellow] 19" xfId="28312" xr:uid="{00000000-0005-0000-0000-0000D26E0000}"/>
    <cellStyle name="Input [yellow] 2" xfId="28313" xr:uid="{00000000-0005-0000-0000-0000D36E0000}"/>
    <cellStyle name="Input [yellow] 20" xfId="28314" xr:uid="{00000000-0005-0000-0000-0000D46E0000}"/>
    <cellStyle name="Input [yellow] 21" xfId="28315" xr:uid="{00000000-0005-0000-0000-0000D56E0000}"/>
    <cellStyle name="Input [yellow] 22" xfId="28316" xr:uid="{00000000-0005-0000-0000-0000D66E0000}"/>
    <cellStyle name="Input [yellow] 3" xfId="28317" xr:uid="{00000000-0005-0000-0000-0000D76E0000}"/>
    <cellStyle name="Input [yellow] 4" xfId="28318" xr:uid="{00000000-0005-0000-0000-0000D86E0000}"/>
    <cellStyle name="Input [yellow] 5" xfId="28319" xr:uid="{00000000-0005-0000-0000-0000D96E0000}"/>
    <cellStyle name="Input [yellow] 6" xfId="28320" xr:uid="{00000000-0005-0000-0000-0000DA6E0000}"/>
    <cellStyle name="Input [yellow] 7" xfId="28321" xr:uid="{00000000-0005-0000-0000-0000DB6E0000}"/>
    <cellStyle name="Input [yellow] 8" xfId="28322" xr:uid="{00000000-0005-0000-0000-0000DC6E0000}"/>
    <cellStyle name="Input [yellow] 9" xfId="28323" xr:uid="{00000000-0005-0000-0000-0000DD6E0000}"/>
    <cellStyle name="Input 10" xfId="28324" xr:uid="{00000000-0005-0000-0000-0000DE6E0000}"/>
    <cellStyle name="Input 10 10" xfId="28325" xr:uid="{00000000-0005-0000-0000-0000DF6E0000}"/>
    <cellStyle name="Input 10 10 2" xfId="28326" xr:uid="{00000000-0005-0000-0000-0000E06E0000}"/>
    <cellStyle name="Input 10 10 2 2" xfId="28327" xr:uid="{00000000-0005-0000-0000-0000E16E0000}"/>
    <cellStyle name="Input 10 10 2 2 2" xfId="28328" xr:uid="{00000000-0005-0000-0000-0000E26E0000}"/>
    <cellStyle name="Input 10 10 2 2 3" xfId="28329" xr:uid="{00000000-0005-0000-0000-0000E36E0000}"/>
    <cellStyle name="Input 10 10 2 2 4" xfId="28330" xr:uid="{00000000-0005-0000-0000-0000E46E0000}"/>
    <cellStyle name="Input 10 10 2 3" xfId="28331" xr:uid="{00000000-0005-0000-0000-0000E56E0000}"/>
    <cellStyle name="Input 10 10 2 3 2" xfId="28332" xr:uid="{00000000-0005-0000-0000-0000E66E0000}"/>
    <cellStyle name="Input 10 10 2 3 3" xfId="28333" xr:uid="{00000000-0005-0000-0000-0000E76E0000}"/>
    <cellStyle name="Input 10 10 2 3 4" xfId="28334" xr:uid="{00000000-0005-0000-0000-0000E86E0000}"/>
    <cellStyle name="Input 10 10 2 4" xfId="28335" xr:uid="{00000000-0005-0000-0000-0000E96E0000}"/>
    <cellStyle name="Input 10 10 2 5" xfId="28336" xr:uid="{00000000-0005-0000-0000-0000EA6E0000}"/>
    <cellStyle name="Input 10 10 2 6" xfId="28337" xr:uid="{00000000-0005-0000-0000-0000EB6E0000}"/>
    <cellStyle name="Input 10 10 3" xfId="28338" xr:uid="{00000000-0005-0000-0000-0000EC6E0000}"/>
    <cellStyle name="Input 10 10 3 2" xfId="28339" xr:uid="{00000000-0005-0000-0000-0000ED6E0000}"/>
    <cellStyle name="Input 10 10 3 2 2" xfId="28340" xr:uid="{00000000-0005-0000-0000-0000EE6E0000}"/>
    <cellStyle name="Input 10 10 3 2 3" xfId="28341" xr:uid="{00000000-0005-0000-0000-0000EF6E0000}"/>
    <cellStyle name="Input 10 10 3 2 4" xfId="28342" xr:uid="{00000000-0005-0000-0000-0000F06E0000}"/>
    <cellStyle name="Input 10 10 3 3" xfId="28343" xr:uid="{00000000-0005-0000-0000-0000F16E0000}"/>
    <cellStyle name="Input 10 10 3 3 2" xfId="28344" xr:uid="{00000000-0005-0000-0000-0000F26E0000}"/>
    <cellStyle name="Input 10 10 3 3 3" xfId="28345" xr:uid="{00000000-0005-0000-0000-0000F36E0000}"/>
    <cellStyle name="Input 10 10 3 3 4" xfId="28346" xr:uid="{00000000-0005-0000-0000-0000F46E0000}"/>
    <cellStyle name="Input 10 10 3 4" xfId="28347" xr:uid="{00000000-0005-0000-0000-0000F56E0000}"/>
    <cellStyle name="Input 10 10 3 5" xfId="28348" xr:uid="{00000000-0005-0000-0000-0000F66E0000}"/>
    <cellStyle name="Input 10 10 3 6" xfId="28349" xr:uid="{00000000-0005-0000-0000-0000F76E0000}"/>
    <cellStyle name="Input 10 10 4" xfId="28350" xr:uid="{00000000-0005-0000-0000-0000F86E0000}"/>
    <cellStyle name="Input 10 10 5" xfId="28351" xr:uid="{00000000-0005-0000-0000-0000F96E0000}"/>
    <cellStyle name="Input 10 10 6" xfId="28352" xr:uid="{00000000-0005-0000-0000-0000FA6E0000}"/>
    <cellStyle name="Input 10 11" xfId="28353" xr:uid="{00000000-0005-0000-0000-0000FB6E0000}"/>
    <cellStyle name="Input 10 12" xfId="28354" xr:uid="{00000000-0005-0000-0000-0000FC6E0000}"/>
    <cellStyle name="Input 10 2" xfId="28355" xr:uid="{00000000-0005-0000-0000-0000FD6E0000}"/>
    <cellStyle name="Input 10 2 2" xfId="28356" xr:uid="{00000000-0005-0000-0000-0000FE6E0000}"/>
    <cellStyle name="Input 10 2 2 2" xfId="28357" xr:uid="{00000000-0005-0000-0000-0000FF6E0000}"/>
    <cellStyle name="Input 10 2 2 2 2" xfId="28358" xr:uid="{00000000-0005-0000-0000-0000006F0000}"/>
    <cellStyle name="Input 10 2 2 2 2 2" xfId="28359" xr:uid="{00000000-0005-0000-0000-0000016F0000}"/>
    <cellStyle name="Input 10 2 2 2 2 3" xfId="28360" xr:uid="{00000000-0005-0000-0000-0000026F0000}"/>
    <cellStyle name="Input 10 2 2 2 2 4" xfId="28361" xr:uid="{00000000-0005-0000-0000-0000036F0000}"/>
    <cellStyle name="Input 10 2 2 2 3" xfId="28362" xr:uid="{00000000-0005-0000-0000-0000046F0000}"/>
    <cellStyle name="Input 10 2 2 2 3 2" xfId="28363" xr:uid="{00000000-0005-0000-0000-0000056F0000}"/>
    <cellStyle name="Input 10 2 2 2 3 3" xfId="28364" xr:uid="{00000000-0005-0000-0000-0000066F0000}"/>
    <cellStyle name="Input 10 2 2 2 3 4" xfId="28365" xr:uid="{00000000-0005-0000-0000-0000076F0000}"/>
    <cellStyle name="Input 10 2 2 2 4" xfId="28366" xr:uid="{00000000-0005-0000-0000-0000086F0000}"/>
    <cellStyle name="Input 10 2 2 2 5" xfId="28367" xr:uid="{00000000-0005-0000-0000-0000096F0000}"/>
    <cellStyle name="Input 10 2 2 2 6" xfId="28368" xr:uid="{00000000-0005-0000-0000-00000A6F0000}"/>
    <cellStyle name="Input 10 2 2 3" xfId="28369" xr:uid="{00000000-0005-0000-0000-00000B6F0000}"/>
    <cellStyle name="Input 10 2 2 3 2" xfId="28370" xr:uid="{00000000-0005-0000-0000-00000C6F0000}"/>
    <cellStyle name="Input 10 2 2 3 2 2" xfId="28371" xr:uid="{00000000-0005-0000-0000-00000D6F0000}"/>
    <cellStyle name="Input 10 2 2 3 2 3" xfId="28372" xr:uid="{00000000-0005-0000-0000-00000E6F0000}"/>
    <cellStyle name="Input 10 2 2 3 2 4" xfId="28373" xr:uid="{00000000-0005-0000-0000-00000F6F0000}"/>
    <cellStyle name="Input 10 2 2 3 3" xfId="28374" xr:uid="{00000000-0005-0000-0000-0000106F0000}"/>
    <cellStyle name="Input 10 2 2 3 3 2" xfId="28375" xr:uid="{00000000-0005-0000-0000-0000116F0000}"/>
    <cellStyle name="Input 10 2 2 3 3 3" xfId="28376" xr:uid="{00000000-0005-0000-0000-0000126F0000}"/>
    <cellStyle name="Input 10 2 2 3 3 4" xfId="28377" xr:uid="{00000000-0005-0000-0000-0000136F0000}"/>
    <cellStyle name="Input 10 2 2 3 4" xfId="28378" xr:uid="{00000000-0005-0000-0000-0000146F0000}"/>
    <cellStyle name="Input 10 2 2 3 5" xfId="28379" xr:uid="{00000000-0005-0000-0000-0000156F0000}"/>
    <cellStyle name="Input 10 2 2 3 6" xfId="28380" xr:uid="{00000000-0005-0000-0000-0000166F0000}"/>
    <cellStyle name="Input 10 2 2 4" xfId="28381" xr:uid="{00000000-0005-0000-0000-0000176F0000}"/>
    <cellStyle name="Input 10 2 2 5" xfId="28382" xr:uid="{00000000-0005-0000-0000-0000186F0000}"/>
    <cellStyle name="Input 10 2 2 6" xfId="28383" xr:uid="{00000000-0005-0000-0000-0000196F0000}"/>
    <cellStyle name="Input 10 2 3" xfId="28384" xr:uid="{00000000-0005-0000-0000-00001A6F0000}"/>
    <cellStyle name="Input 10 2 4" xfId="28385" xr:uid="{00000000-0005-0000-0000-00001B6F0000}"/>
    <cellStyle name="Input 10 3" xfId="28386" xr:uid="{00000000-0005-0000-0000-00001C6F0000}"/>
    <cellStyle name="Input 10 3 2" xfId="28387" xr:uid="{00000000-0005-0000-0000-00001D6F0000}"/>
    <cellStyle name="Input 10 3 2 2" xfId="28388" xr:uid="{00000000-0005-0000-0000-00001E6F0000}"/>
    <cellStyle name="Input 10 3 2 2 2" xfId="28389" xr:uid="{00000000-0005-0000-0000-00001F6F0000}"/>
    <cellStyle name="Input 10 3 2 2 2 2" xfId="28390" xr:uid="{00000000-0005-0000-0000-0000206F0000}"/>
    <cellStyle name="Input 10 3 2 2 2 3" xfId="28391" xr:uid="{00000000-0005-0000-0000-0000216F0000}"/>
    <cellStyle name="Input 10 3 2 2 2 4" xfId="28392" xr:uid="{00000000-0005-0000-0000-0000226F0000}"/>
    <cellStyle name="Input 10 3 2 2 3" xfId="28393" xr:uid="{00000000-0005-0000-0000-0000236F0000}"/>
    <cellStyle name="Input 10 3 2 2 3 2" xfId="28394" xr:uid="{00000000-0005-0000-0000-0000246F0000}"/>
    <cellStyle name="Input 10 3 2 2 3 3" xfId="28395" xr:uid="{00000000-0005-0000-0000-0000256F0000}"/>
    <cellStyle name="Input 10 3 2 2 3 4" xfId="28396" xr:uid="{00000000-0005-0000-0000-0000266F0000}"/>
    <cellStyle name="Input 10 3 2 2 4" xfId="28397" xr:uid="{00000000-0005-0000-0000-0000276F0000}"/>
    <cellStyle name="Input 10 3 2 2 5" xfId="28398" xr:uid="{00000000-0005-0000-0000-0000286F0000}"/>
    <cellStyle name="Input 10 3 2 2 6" xfId="28399" xr:uid="{00000000-0005-0000-0000-0000296F0000}"/>
    <cellStyle name="Input 10 3 2 3" xfId="28400" xr:uid="{00000000-0005-0000-0000-00002A6F0000}"/>
    <cellStyle name="Input 10 3 2 3 2" xfId="28401" xr:uid="{00000000-0005-0000-0000-00002B6F0000}"/>
    <cellStyle name="Input 10 3 2 3 2 2" xfId="28402" xr:uid="{00000000-0005-0000-0000-00002C6F0000}"/>
    <cellStyle name="Input 10 3 2 3 2 3" xfId="28403" xr:uid="{00000000-0005-0000-0000-00002D6F0000}"/>
    <cellStyle name="Input 10 3 2 3 2 4" xfId="28404" xr:uid="{00000000-0005-0000-0000-00002E6F0000}"/>
    <cellStyle name="Input 10 3 2 3 3" xfId="28405" xr:uid="{00000000-0005-0000-0000-00002F6F0000}"/>
    <cellStyle name="Input 10 3 2 3 3 2" xfId="28406" xr:uid="{00000000-0005-0000-0000-0000306F0000}"/>
    <cellStyle name="Input 10 3 2 3 3 3" xfId="28407" xr:uid="{00000000-0005-0000-0000-0000316F0000}"/>
    <cellStyle name="Input 10 3 2 3 3 4" xfId="28408" xr:uid="{00000000-0005-0000-0000-0000326F0000}"/>
    <cellStyle name="Input 10 3 2 3 4" xfId="28409" xr:uid="{00000000-0005-0000-0000-0000336F0000}"/>
    <cellStyle name="Input 10 3 2 3 5" xfId="28410" xr:uid="{00000000-0005-0000-0000-0000346F0000}"/>
    <cellStyle name="Input 10 3 2 3 6" xfId="28411" xr:uid="{00000000-0005-0000-0000-0000356F0000}"/>
    <cellStyle name="Input 10 3 2 4" xfId="28412" xr:uid="{00000000-0005-0000-0000-0000366F0000}"/>
    <cellStyle name="Input 10 3 2 5" xfId="28413" xr:uid="{00000000-0005-0000-0000-0000376F0000}"/>
    <cellStyle name="Input 10 3 2 6" xfId="28414" xr:uid="{00000000-0005-0000-0000-0000386F0000}"/>
    <cellStyle name="Input 10 3 3" xfId="28415" xr:uid="{00000000-0005-0000-0000-0000396F0000}"/>
    <cellStyle name="Input 10 3 4" xfId="28416" xr:uid="{00000000-0005-0000-0000-00003A6F0000}"/>
    <cellStyle name="Input 10 4" xfId="28417" xr:uid="{00000000-0005-0000-0000-00003B6F0000}"/>
    <cellStyle name="Input 10 4 2" xfId="28418" xr:uid="{00000000-0005-0000-0000-00003C6F0000}"/>
    <cellStyle name="Input 10 4 2 2" xfId="28419" xr:uid="{00000000-0005-0000-0000-00003D6F0000}"/>
    <cellStyle name="Input 10 4 2 2 2" xfId="28420" xr:uid="{00000000-0005-0000-0000-00003E6F0000}"/>
    <cellStyle name="Input 10 4 2 2 2 2" xfId="28421" xr:uid="{00000000-0005-0000-0000-00003F6F0000}"/>
    <cellStyle name="Input 10 4 2 2 2 3" xfId="28422" xr:uid="{00000000-0005-0000-0000-0000406F0000}"/>
    <cellStyle name="Input 10 4 2 2 2 4" xfId="28423" xr:uid="{00000000-0005-0000-0000-0000416F0000}"/>
    <cellStyle name="Input 10 4 2 2 3" xfId="28424" xr:uid="{00000000-0005-0000-0000-0000426F0000}"/>
    <cellStyle name="Input 10 4 2 2 3 2" xfId="28425" xr:uid="{00000000-0005-0000-0000-0000436F0000}"/>
    <cellStyle name="Input 10 4 2 2 3 3" xfId="28426" xr:uid="{00000000-0005-0000-0000-0000446F0000}"/>
    <cellStyle name="Input 10 4 2 2 3 4" xfId="28427" xr:uid="{00000000-0005-0000-0000-0000456F0000}"/>
    <cellStyle name="Input 10 4 2 2 4" xfId="28428" xr:uid="{00000000-0005-0000-0000-0000466F0000}"/>
    <cellStyle name="Input 10 4 2 2 5" xfId="28429" xr:uid="{00000000-0005-0000-0000-0000476F0000}"/>
    <cellStyle name="Input 10 4 2 2 6" xfId="28430" xr:uid="{00000000-0005-0000-0000-0000486F0000}"/>
    <cellStyle name="Input 10 4 2 3" xfId="28431" xr:uid="{00000000-0005-0000-0000-0000496F0000}"/>
    <cellStyle name="Input 10 4 2 3 2" xfId="28432" xr:uid="{00000000-0005-0000-0000-00004A6F0000}"/>
    <cellStyle name="Input 10 4 2 3 2 2" xfId="28433" xr:uid="{00000000-0005-0000-0000-00004B6F0000}"/>
    <cellStyle name="Input 10 4 2 3 2 3" xfId="28434" xr:uid="{00000000-0005-0000-0000-00004C6F0000}"/>
    <cellStyle name="Input 10 4 2 3 2 4" xfId="28435" xr:uid="{00000000-0005-0000-0000-00004D6F0000}"/>
    <cellStyle name="Input 10 4 2 3 3" xfId="28436" xr:uid="{00000000-0005-0000-0000-00004E6F0000}"/>
    <cellStyle name="Input 10 4 2 3 3 2" xfId="28437" xr:uid="{00000000-0005-0000-0000-00004F6F0000}"/>
    <cellStyle name="Input 10 4 2 3 3 3" xfId="28438" xr:uid="{00000000-0005-0000-0000-0000506F0000}"/>
    <cellStyle name="Input 10 4 2 3 3 4" xfId="28439" xr:uid="{00000000-0005-0000-0000-0000516F0000}"/>
    <cellStyle name="Input 10 4 2 3 4" xfId="28440" xr:uid="{00000000-0005-0000-0000-0000526F0000}"/>
    <cellStyle name="Input 10 4 2 3 5" xfId="28441" xr:uid="{00000000-0005-0000-0000-0000536F0000}"/>
    <cellStyle name="Input 10 4 2 3 6" xfId="28442" xr:uid="{00000000-0005-0000-0000-0000546F0000}"/>
    <cellStyle name="Input 10 4 2 4" xfId="28443" xr:uid="{00000000-0005-0000-0000-0000556F0000}"/>
    <cellStyle name="Input 10 4 2 5" xfId="28444" xr:uid="{00000000-0005-0000-0000-0000566F0000}"/>
    <cellStyle name="Input 10 4 2 6" xfId="28445" xr:uid="{00000000-0005-0000-0000-0000576F0000}"/>
    <cellStyle name="Input 10 4 3" xfId="28446" xr:uid="{00000000-0005-0000-0000-0000586F0000}"/>
    <cellStyle name="Input 10 4 4" xfId="28447" xr:uid="{00000000-0005-0000-0000-0000596F0000}"/>
    <cellStyle name="Input 10 5" xfId="28448" xr:uid="{00000000-0005-0000-0000-00005A6F0000}"/>
    <cellStyle name="Input 10 5 2" xfId="28449" xr:uid="{00000000-0005-0000-0000-00005B6F0000}"/>
    <cellStyle name="Input 10 5 2 2" xfId="28450" xr:uid="{00000000-0005-0000-0000-00005C6F0000}"/>
    <cellStyle name="Input 10 5 2 2 2" xfId="28451" xr:uid="{00000000-0005-0000-0000-00005D6F0000}"/>
    <cellStyle name="Input 10 5 2 2 2 2" xfId="28452" xr:uid="{00000000-0005-0000-0000-00005E6F0000}"/>
    <cellStyle name="Input 10 5 2 2 2 3" xfId="28453" xr:uid="{00000000-0005-0000-0000-00005F6F0000}"/>
    <cellStyle name="Input 10 5 2 2 2 4" xfId="28454" xr:uid="{00000000-0005-0000-0000-0000606F0000}"/>
    <cellStyle name="Input 10 5 2 2 3" xfId="28455" xr:uid="{00000000-0005-0000-0000-0000616F0000}"/>
    <cellStyle name="Input 10 5 2 2 3 2" xfId="28456" xr:uid="{00000000-0005-0000-0000-0000626F0000}"/>
    <cellStyle name="Input 10 5 2 2 3 3" xfId="28457" xr:uid="{00000000-0005-0000-0000-0000636F0000}"/>
    <cellStyle name="Input 10 5 2 2 3 4" xfId="28458" xr:uid="{00000000-0005-0000-0000-0000646F0000}"/>
    <cellStyle name="Input 10 5 2 2 4" xfId="28459" xr:uid="{00000000-0005-0000-0000-0000656F0000}"/>
    <cellStyle name="Input 10 5 2 2 5" xfId="28460" xr:uid="{00000000-0005-0000-0000-0000666F0000}"/>
    <cellStyle name="Input 10 5 2 2 6" xfId="28461" xr:uid="{00000000-0005-0000-0000-0000676F0000}"/>
    <cellStyle name="Input 10 5 2 3" xfId="28462" xr:uid="{00000000-0005-0000-0000-0000686F0000}"/>
    <cellStyle name="Input 10 5 2 3 2" xfId="28463" xr:uid="{00000000-0005-0000-0000-0000696F0000}"/>
    <cellStyle name="Input 10 5 2 3 2 2" xfId="28464" xr:uid="{00000000-0005-0000-0000-00006A6F0000}"/>
    <cellStyle name="Input 10 5 2 3 2 3" xfId="28465" xr:uid="{00000000-0005-0000-0000-00006B6F0000}"/>
    <cellStyle name="Input 10 5 2 3 2 4" xfId="28466" xr:uid="{00000000-0005-0000-0000-00006C6F0000}"/>
    <cellStyle name="Input 10 5 2 3 3" xfId="28467" xr:uid="{00000000-0005-0000-0000-00006D6F0000}"/>
    <cellStyle name="Input 10 5 2 3 3 2" xfId="28468" xr:uid="{00000000-0005-0000-0000-00006E6F0000}"/>
    <cellStyle name="Input 10 5 2 3 3 3" xfId="28469" xr:uid="{00000000-0005-0000-0000-00006F6F0000}"/>
    <cellStyle name="Input 10 5 2 3 3 4" xfId="28470" xr:uid="{00000000-0005-0000-0000-0000706F0000}"/>
    <cellStyle name="Input 10 5 2 3 4" xfId="28471" xr:uid="{00000000-0005-0000-0000-0000716F0000}"/>
    <cellStyle name="Input 10 5 2 3 5" xfId="28472" xr:uid="{00000000-0005-0000-0000-0000726F0000}"/>
    <cellStyle name="Input 10 5 2 3 6" xfId="28473" xr:uid="{00000000-0005-0000-0000-0000736F0000}"/>
    <cellStyle name="Input 10 5 2 4" xfId="28474" xr:uid="{00000000-0005-0000-0000-0000746F0000}"/>
    <cellStyle name="Input 10 5 2 5" xfId="28475" xr:uid="{00000000-0005-0000-0000-0000756F0000}"/>
    <cellStyle name="Input 10 5 2 6" xfId="28476" xr:uid="{00000000-0005-0000-0000-0000766F0000}"/>
    <cellStyle name="Input 10 5 3" xfId="28477" xr:uid="{00000000-0005-0000-0000-0000776F0000}"/>
    <cellStyle name="Input 10 5 4" xfId="28478" xr:uid="{00000000-0005-0000-0000-0000786F0000}"/>
    <cellStyle name="Input 10 6" xfId="28479" xr:uid="{00000000-0005-0000-0000-0000796F0000}"/>
    <cellStyle name="Input 10 6 2" xfId="28480" xr:uid="{00000000-0005-0000-0000-00007A6F0000}"/>
    <cellStyle name="Input 10 6 2 2" xfId="28481" xr:uid="{00000000-0005-0000-0000-00007B6F0000}"/>
    <cellStyle name="Input 10 6 2 2 2" xfId="28482" xr:uid="{00000000-0005-0000-0000-00007C6F0000}"/>
    <cellStyle name="Input 10 6 2 2 3" xfId="28483" xr:uid="{00000000-0005-0000-0000-00007D6F0000}"/>
    <cellStyle name="Input 10 6 2 2 4" xfId="28484" xr:uid="{00000000-0005-0000-0000-00007E6F0000}"/>
    <cellStyle name="Input 10 6 2 3" xfId="28485" xr:uid="{00000000-0005-0000-0000-00007F6F0000}"/>
    <cellStyle name="Input 10 6 2 3 2" xfId="28486" xr:uid="{00000000-0005-0000-0000-0000806F0000}"/>
    <cellStyle name="Input 10 6 2 3 3" xfId="28487" xr:uid="{00000000-0005-0000-0000-0000816F0000}"/>
    <cellStyle name="Input 10 6 2 3 4" xfId="28488" xr:uid="{00000000-0005-0000-0000-0000826F0000}"/>
    <cellStyle name="Input 10 6 2 4" xfId="28489" xr:uid="{00000000-0005-0000-0000-0000836F0000}"/>
    <cellStyle name="Input 10 6 2 5" xfId="28490" xr:uid="{00000000-0005-0000-0000-0000846F0000}"/>
    <cellStyle name="Input 10 6 2 6" xfId="28491" xr:uid="{00000000-0005-0000-0000-0000856F0000}"/>
    <cellStyle name="Input 10 6 3" xfId="28492" xr:uid="{00000000-0005-0000-0000-0000866F0000}"/>
    <cellStyle name="Input 10 6 3 2" xfId="28493" xr:uid="{00000000-0005-0000-0000-0000876F0000}"/>
    <cellStyle name="Input 10 6 3 2 2" xfId="28494" xr:uid="{00000000-0005-0000-0000-0000886F0000}"/>
    <cellStyle name="Input 10 6 3 2 3" xfId="28495" xr:uid="{00000000-0005-0000-0000-0000896F0000}"/>
    <cellStyle name="Input 10 6 3 2 4" xfId="28496" xr:uid="{00000000-0005-0000-0000-00008A6F0000}"/>
    <cellStyle name="Input 10 6 3 3" xfId="28497" xr:uid="{00000000-0005-0000-0000-00008B6F0000}"/>
    <cellStyle name="Input 10 6 3 3 2" xfId="28498" xr:uid="{00000000-0005-0000-0000-00008C6F0000}"/>
    <cellStyle name="Input 10 6 3 3 3" xfId="28499" xr:uid="{00000000-0005-0000-0000-00008D6F0000}"/>
    <cellStyle name="Input 10 6 3 3 4" xfId="28500" xr:uid="{00000000-0005-0000-0000-00008E6F0000}"/>
    <cellStyle name="Input 10 6 3 4" xfId="28501" xr:uid="{00000000-0005-0000-0000-00008F6F0000}"/>
    <cellStyle name="Input 10 6 3 5" xfId="28502" xr:uid="{00000000-0005-0000-0000-0000906F0000}"/>
    <cellStyle name="Input 10 6 3 6" xfId="28503" xr:uid="{00000000-0005-0000-0000-0000916F0000}"/>
    <cellStyle name="Input 10 6 4" xfId="28504" xr:uid="{00000000-0005-0000-0000-0000926F0000}"/>
    <cellStyle name="Input 10 6 4 2" xfId="28505" xr:uid="{00000000-0005-0000-0000-0000936F0000}"/>
    <cellStyle name="Input 10 6 4 3" xfId="28506" xr:uid="{00000000-0005-0000-0000-0000946F0000}"/>
    <cellStyle name="Input 10 6 4 4" xfId="28507" xr:uid="{00000000-0005-0000-0000-0000956F0000}"/>
    <cellStyle name="Input 10 6 5" xfId="28508" xr:uid="{00000000-0005-0000-0000-0000966F0000}"/>
    <cellStyle name="Input 10 6 6" xfId="28509" xr:uid="{00000000-0005-0000-0000-0000976F0000}"/>
    <cellStyle name="Input 10 7" xfId="28510" xr:uid="{00000000-0005-0000-0000-0000986F0000}"/>
    <cellStyle name="Input 10 7 2" xfId="28511" xr:uid="{00000000-0005-0000-0000-0000996F0000}"/>
    <cellStyle name="Input 10 7 2 2" xfId="28512" xr:uid="{00000000-0005-0000-0000-00009A6F0000}"/>
    <cellStyle name="Input 10 7 2 2 2" xfId="28513" xr:uid="{00000000-0005-0000-0000-00009B6F0000}"/>
    <cellStyle name="Input 10 7 2 2 3" xfId="28514" xr:uid="{00000000-0005-0000-0000-00009C6F0000}"/>
    <cellStyle name="Input 10 7 2 2 4" xfId="28515" xr:uid="{00000000-0005-0000-0000-00009D6F0000}"/>
    <cellStyle name="Input 10 7 2 3" xfId="28516" xr:uid="{00000000-0005-0000-0000-00009E6F0000}"/>
    <cellStyle name="Input 10 7 2 3 2" xfId="28517" xr:uid="{00000000-0005-0000-0000-00009F6F0000}"/>
    <cellStyle name="Input 10 7 2 3 3" xfId="28518" xr:uid="{00000000-0005-0000-0000-0000A06F0000}"/>
    <cellStyle name="Input 10 7 2 3 4" xfId="28519" xr:uid="{00000000-0005-0000-0000-0000A16F0000}"/>
    <cellStyle name="Input 10 7 2 4" xfId="28520" xr:uid="{00000000-0005-0000-0000-0000A26F0000}"/>
    <cellStyle name="Input 10 7 2 5" xfId="28521" xr:uid="{00000000-0005-0000-0000-0000A36F0000}"/>
    <cellStyle name="Input 10 7 2 6" xfId="28522" xr:uid="{00000000-0005-0000-0000-0000A46F0000}"/>
    <cellStyle name="Input 10 7 3" xfId="28523" xr:uid="{00000000-0005-0000-0000-0000A56F0000}"/>
    <cellStyle name="Input 10 7 3 2" xfId="28524" xr:uid="{00000000-0005-0000-0000-0000A66F0000}"/>
    <cellStyle name="Input 10 7 3 2 2" xfId="28525" xr:uid="{00000000-0005-0000-0000-0000A76F0000}"/>
    <cellStyle name="Input 10 7 3 2 3" xfId="28526" xr:uid="{00000000-0005-0000-0000-0000A86F0000}"/>
    <cellStyle name="Input 10 7 3 2 4" xfId="28527" xr:uid="{00000000-0005-0000-0000-0000A96F0000}"/>
    <cellStyle name="Input 10 7 3 3" xfId="28528" xr:uid="{00000000-0005-0000-0000-0000AA6F0000}"/>
    <cellStyle name="Input 10 7 3 3 2" xfId="28529" xr:uid="{00000000-0005-0000-0000-0000AB6F0000}"/>
    <cellStyle name="Input 10 7 3 3 3" xfId="28530" xr:uid="{00000000-0005-0000-0000-0000AC6F0000}"/>
    <cellStyle name="Input 10 7 3 3 4" xfId="28531" xr:uid="{00000000-0005-0000-0000-0000AD6F0000}"/>
    <cellStyle name="Input 10 7 3 4" xfId="28532" xr:uid="{00000000-0005-0000-0000-0000AE6F0000}"/>
    <cellStyle name="Input 10 7 3 5" xfId="28533" xr:uid="{00000000-0005-0000-0000-0000AF6F0000}"/>
    <cellStyle name="Input 10 7 3 6" xfId="28534" xr:uid="{00000000-0005-0000-0000-0000B06F0000}"/>
    <cellStyle name="Input 10 7 4" xfId="28535" xr:uid="{00000000-0005-0000-0000-0000B16F0000}"/>
    <cellStyle name="Input 10 7 4 2" xfId="28536" xr:uid="{00000000-0005-0000-0000-0000B26F0000}"/>
    <cellStyle name="Input 10 7 4 3" xfId="28537" xr:uid="{00000000-0005-0000-0000-0000B36F0000}"/>
    <cellStyle name="Input 10 7 4 4" xfId="28538" xr:uid="{00000000-0005-0000-0000-0000B46F0000}"/>
    <cellStyle name="Input 10 7 5" xfId="28539" xr:uid="{00000000-0005-0000-0000-0000B56F0000}"/>
    <cellStyle name="Input 10 7 6" xfId="28540" xr:uid="{00000000-0005-0000-0000-0000B66F0000}"/>
    <cellStyle name="Input 10 8" xfId="28541" xr:uid="{00000000-0005-0000-0000-0000B76F0000}"/>
    <cellStyle name="Input 10 8 2" xfId="28542" xr:uid="{00000000-0005-0000-0000-0000B86F0000}"/>
    <cellStyle name="Input 10 8 2 2" xfId="28543" xr:uid="{00000000-0005-0000-0000-0000B96F0000}"/>
    <cellStyle name="Input 10 8 2 2 2" xfId="28544" xr:uid="{00000000-0005-0000-0000-0000BA6F0000}"/>
    <cellStyle name="Input 10 8 2 2 3" xfId="28545" xr:uid="{00000000-0005-0000-0000-0000BB6F0000}"/>
    <cellStyle name="Input 10 8 2 2 4" xfId="28546" xr:uid="{00000000-0005-0000-0000-0000BC6F0000}"/>
    <cellStyle name="Input 10 8 2 3" xfId="28547" xr:uid="{00000000-0005-0000-0000-0000BD6F0000}"/>
    <cellStyle name="Input 10 8 2 3 2" xfId="28548" xr:uid="{00000000-0005-0000-0000-0000BE6F0000}"/>
    <cellStyle name="Input 10 8 2 3 3" xfId="28549" xr:uid="{00000000-0005-0000-0000-0000BF6F0000}"/>
    <cellStyle name="Input 10 8 2 3 4" xfId="28550" xr:uid="{00000000-0005-0000-0000-0000C06F0000}"/>
    <cellStyle name="Input 10 8 2 4" xfId="28551" xr:uid="{00000000-0005-0000-0000-0000C16F0000}"/>
    <cellStyle name="Input 10 8 2 5" xfId="28552" xr:uid="{00000000-0005-0000-0000-0000C26F0000}"/>
    <cellStyle name="Input 10 8 2 6" xfId="28553" xr:uid="{00000000-0005-0000-0000-0000C36F0000}"/>
    <cellStyle name="Input 10 8 3" xfId="28554" xr:uid="{00000000-0005-0000-0000-0000C46F0000}"/>
    <cellStyle name="Input 10 8 3 2" xfId="28555" xr:uid="{00000000-0005-0000-0000-0000C56F0000}"/>
    <cellStyle name="Input 10 8 3 2 2" xfId="28556" xr:uid="{00000000-0005-0000-0000-0000C66F0000}"/>
    <cellStyle name="Input 10 8 3 2 3" xfId="28557" xr:uid="{00000000-0005-0000-0000-0000C76F0000}"/>
    <cellStyle name="Input 10 8 3 2 4" xfId="28558" xr:uid="{00000000-0005-0000-0000-0000C86F0000}"/>
    <cellStyle name="Input 10 8 3 3" xfId="28559" xr:uid="{00000000-0005-0000-0000-0000C96F0000}"/>
    <cellStyle name="Input 10 8 3 3 2" xfId="28560" xr:uid="{00000000-0005-0000-0000-0000CA6F0000}"/>
    <cellStyle name="Input 10 8 3 3 3" xfId="28561" xr:uid="{00000000-0005-0000-0000-0000CB6F0000}"/>
    <cellStyle name="Input 10 8 3 3 4" xfId="28562" xr:uid="{00000000-0005-0000-0000-0000CC6F0000}"/>
    <cellStyle name="Input 10 8 3 4" xfId="28563" xr:uid="{00000000-0005-0000-0000-0000CD6F0000}"/>
    <cellStyle name="Input 10 8 3 5" xfId="28564" xr:uid="{00000000-0005-0000-0000-0000CE6F0000}"/>
    <cellStyle name="Input 10 8 3 6" xfId="28565" xr:uid="{00000000-0005-0000-0000-0000CF6F0000}"/>
    <cellStyle name="Input 10 8 4" xfId="28566" xr:uid="{00000000-0005-0000-0000-0000D06F0000}"/>
    <cellStyle name="Input 10 8 4 2" xfId="28567" xr:uid="{00000000-0005-0000-0000-0000D16F0000}"/>
    <cellStyle name="Input 10 8 4 3" xfId="28568" xr:uid="{00000000-0005-0000-0000-0000D26F0000}"/>
    <cellStyle name="Input 10 8 4 4" xfId="28569" xr:uid="{00000000-0005-0000-0000-0000D36F0000}"/>
    <cellStyle name="Input 10 8 5" xfId="28570" xr:uid="{00000000-0005-0000-0000-0000D46F0000}"/>
    <cellStyle name="Input 10 8 6" xfId="28571" xr:uid="{00000000-0005-0000-0000-0000D56F0000}"/>
    <cellStyle name="Input 10 9" xfId="28572" xr:uid="{00000000-0005-0000-0000-0000D66F0000}"/>
    <cellStyle name="Input 10 9 2" xfId="28573" xr:uid="{00000000-0005-0000-0000-0000D76F0000}"/>
    <cellStyle name="Input 10 9 2 2" xfId="28574" xr:uid="{00000000-0005-0000-0000-0000D86F0000}"/>
    <cellStyle name="Input 10 9 2 2 2" xfId="28575" xr:uid="{00000000-0005-0000-0000-0000D96F0000}"/>
    <cellStyle name="Input 10 9 2 2 3" xfId="28576" xr:uid="{00000000-0005-0000-0000-0000DA6F0000}"/>
    <cellStyle name="Input 10 9 2 2 4" xfId="28577" xr:uid="{00000000-0005-0000-0000-0000DB6F0000}"/>
    <cellStyle name="Input 10 9 2 3" xfId="28578" xr:uid="{00000000-0005-0000-0000-0000DC6F0000}"/>
    <cellStyle name="Input 10 9 2 3 2" xfId="28579" xr:uid="{00000000-0005-0000-0000-0000DD6F0000}"/>
    <cellStyle name="Input 10 9 2 3 3" xfId="28580" xr:uid="{00000000-0005-0000-0000-0000DE6F0000}"/>
    <cellStyle name="Input 10 9 2 3 4" xfId="28581" xr:uid="{00000000-0005-0000-0000-0000DF6F0000}"/>
    <cellStyle name="Input 10 9 2 4" xfId="28582" xr:uid="{00000000-0005-0000-0000-0000E06F0000}"/>
    <cellStyle name="Input 10 9 2 5" xfId="28583" xr:uid="{00000000-0005-0000-0000-0000E16F0000}"/>
    <cellStyle name="Input 10 9 2 6" xfId="28584" xr:uid="{00000000-0005-0000-0000-0000E26F0000}"/>
    <cellStyle name="Input 10 9 3" xfId="28585" xr:uid="{00000000-0005-0000-0000-0000E36F0000}"/>
    <cellStyle name="Input 10 9 3 2" xfId="28586" xr:uid="{00000000-0005-0000-0000-0000E46F0000}"/>
    <cellStyle name="Input 10 9 3 2 2" xfId="28587" xr:uid="{00000000-0005-0000-0000-0000E56F0000}"/>
    <cellStyle name="Input 10 9 3 2 3" xfId="28588" xr:uid="{00000000-0005-0000-0000-0000E66F0000}"/>
    <cellStyle name="Input 10 9 3 2 4" xfId="28589" xr:uid="{00000000-0005-0000-0000-0000E76F0000}"/>
    <cellStyle name="Input 10 9 3 3" xfId="28590" xr:uid="{00000000-0005-0000-0000-0000E86F0000}"/>
    <cellStyle name="Input 10 9 3 3 2" xfId="28591" xr:uid="{00000000-0005-0000-0000-0000E96F0000}"/>
    <cellStyle name="Input 10 9 3 3 3" xfId="28592" xr:uid="{00000000-0005-0000-0000-0000EA6F0000}"/>
    <cellStyle name="Input 10 9 3 3 4" xfId="28593" xr:uid="{00000000-0005-0000-0000-0000EB6F0000}"/>
    <cellStyle name="Input 10 9 3 4" xfId="28594" xr:uid="{00000000-0005-0000-0000-0000EC6F0000}"/>
    <cellStyle name="Input 10 9 3 5" xfId="28595" xr:uid="{00000000-0005-0000-0000-0000ED6F0000}"/>
    <cellStyle name="Input 10 9 3 6" xfId="28596" xr:uid="{00000000-0005-0000-0000-0000EE6F0000}"/>
    <cellStyle name="Input 10 9 4" xfId="28597" xr:uid="{00000000-0005-0000-0000-0000EF6F0000}"/>
    <cellStyle name="Input 10 9 4 2" xfId="28598" xr:uid="{00000000-0005-0000-0000-0000F06F0000}"/>
    <cellStyle name="Input 10 9 4 3" xfId="28599" xr:uid="{00000000-0005-0000-0000-0000F16F0000}"/>
    <cellStyle name="Input 10 9 4 4" xfId="28600" xr:uid="{00000000-0005-0000-0000-0000F26F0000}"/>
    <cellStyle name="Input 10 9 5" xfId="28601" xr:uid="{00000000-0005-0000-0000-0000F36F0000}"/>
    <cellStyle name="Input 10 9 6" xfId="28602" xr:uid="{00000000-0005-0000-0000-0000F46F0000}"/>
    <cellStyle name="Input 11" xfId="28603" xr:uid="{00000000-0005-0000-0000-0000F56F0000}"/>
    <cellStyle name="Input 11 10" xfId="28604" xr:uid="{00000000-0005-0000-0000-0000F66F0000}"/>
    <cellStyle name="Input 11 10 2" xfId="28605" xr:uid="{00000000-0005-0000-0000-0000F76F0000}"/>
    <cellStyle name="Input 11 10 2 2" xfId="28606" xr:uid="{00000000-0005-0000-0000-0000F86F0000}"/>
    <cellStyle name="Input 11 10 2 2 2" xfId="28607" xr:uid="{00000000-0005-0000-0000-0000F96F0000}"/>
    <cellStyle name="Input 11 10 2 2 3" xfId="28608" xr:uid="{00000000-0005-0000-0000-0000FA6F0000}"/>
    <cellStyle name="Input 11 10 2 2 4" xfId="28609" xr:uid="{00000000-0005-0000-0000-0000FB6F0000}"/>
    <cellStyle name="Input 11 10 2 3" xfId="28610" xr:uid="{00000000-0005-0000-0000-0000FC6F0000}"/>
    <cellStyle name="Input 11 10 2 3 2" xfId="28611" xr:uid="{00000000-0005-0000-0000-0000FD6F0000}"/>
    <cellStyle name="Input 11 10 2 3 3" xfId="28612" xr:uid="{00000000-0005-0000-0000-0000FE6F0000}"/>
    <cellStyle name="Input 11 10 2 3 4" xfId="28613" xr:uid="{00000000-0005-0000-0000-0000FF6F0000}"/>
    <cellStyle name="Input 11 10 2 4" xfId="28614" xr:uid="{00000000-0005-0000-0000-000000700000}"/>
    <cellStyle name="Input 11 10 2 5" xfId="28615" xr:uid="{00000000-0005-0000-0000-000001700000}"/>
    <cellStyle name="Input 11 10 2 6" xfId="28616" xr:uid="{00000000-0005-0000-0000-000002700000}"/>
    <cellStyle name="Input 11 10 3" xfId="28617" xr:uid="{00000000-0005-0000-0000-000003700000}"/>
    <cellStyle name="Input 11 10 3 2" xfId="28618" xr:uid="{00000000-0005-0000-0000-000004700000}"/>
    <cellStyle name="Input 11 10 3 2 2" xfId="28619" xr:uid="{00000000-0005-0000-0000-000005700000}"/>
    <cellStyle name="Input 11 10 3 2 3" xfId="28620" xr:uid="{00000000-0005-0000-0000-000006700000}"/>
    <cellStyle name="Input 11 10 3 2 4" xfId="28621" xr:uid="{00000000-0005-0000-0000-000007700000}"/>
    <cellStyle name="Input 11 10 3 3" xfId="28622" xr:uid="{00000000-0005-0000-0000-000008700000}"/>
    <cellStyle name="Input 11 10 3 3 2" xfId="28623" xr:uid="{00000000-0005-0000-0000-000009700000}"/>
    <cellStyle name="Input 11 10 3 3 3" xfId="28624" xr:uid="{00000000-0005-0000-0000-00000A700000}"/>
    <cellStyle name="Input 11 10 3 3 4" xfId="28625" xr:uid="{00000000-0005-0000-0000-00000B700000}"/>
    <cellStyle name="Input 11 10 3 4" xfId="28626" xr:uid="{00000000-0005-0000-0000-00000C700000}"/>
    <cellStyle name="Input 11 10 3 5" xfId="28627" xr:uid="{00000000-0005-0000-0000-00000D700000}"/>
    <cellStyle name="Input 11 10 3 6" xfId="28628" xr:uid="{00000000-0005-0000-0000-00000E700000}"/>
    <cellStyle name="Input 11 10 4" xfId="28629" xr:uid="{00000000-0005-0000-0000-00000F700000}"/>
    <cellStyle name="Input 11 10 5" xfId="28630" xr:uid="{00000000-0005-0000-0000-000010700000}"/>
    <cellStyle name="Input 11 10 6" xfId="28631" xr:uid="{00000000-0005-0000-0000-000011700000}"/>
    <cellStyle name="Input 11 11" xfId="28632" xr:uid="{00000000-0005-0000-0000-000012700000}"/>
    <cellStyle name="Input 11 12" xfId="28633" xr:uid="{00000000-0005-0000-0000-000013700000}"/>
    <cellStyle name="Input 11 2" xfId="28634" xr:uid="{00000000-0005-0000-0000-000014700000}"/>
    <cellStyle name="Input 11 2 2" xfId="28635" xr:uid="{00000000-0005-0000-0000-000015700000}"/>
    <cellStyle name="Input 11 2 2 2" xfId="28636" xr:uid="{00000000-0005-0000-0000-000016700000}"/>
    <cellStyle name="Input 11 2 2 2 2" xfId="28637" xr:uid="{00000000-0005-0000-0000-000017700000}"/>
    <cellStyle name="Input 11 2 2 2 2 2" xfId="28638" xr:uid="{00000000-0005-0000-0000-000018700000}"/>
    <cellStyle name="Input 11 2 2 2 2 3" xfId="28639" xr:uid="{00000000-0005-0000-0000-000019700000}"/>
    <cellStyle name="Input 11 2 2 2 2 4" xfId="28640" xr:uid="{00000000-0005-0000-0000-00001A700000}"/>
    <cellStyle name="Input 11 2 2 2 3" xfId="28641" xr:uid="{00000000-0005-0000-0000-00001B700000}"/>
    <cellStyle name="Input 11 2 2 2 3 2" xfId="28642" xr:uid="{00000000-0005-0000-0000-00001C700000}"/>
    <cellStyle name="Input 11 2 2 2 3 3" xfId="28643" xr:uid="{00000000-0005-0000-0000-00001D700000}"/>
    <cellStyle name="Input 11 2 2 2 3 4" xfId="28644" xr:uid="{00000000-0005-0000-0000-00001E700000}"/>
    <cellStyle name="Input 11 2 2 2 4" xfId="28645" xr:uid="{00000000-0005-0000-0000-00001F700000}"/>
    <cellStyle name="Input 11 2 2 2 5" xfId="28646" xr:uid="{00000000-0005-0000-0000-000020700000}"/>
    <cellStyle name="Input 11 2 2 2 6" xfId="28647" xr:uid="{00000000-0005-0000-0000-000021700000}"/>
    <cellStyle name="Input 11 2 2 3" xfId="28648" xr:uid="{00000000-0005-0000-0000-000022700000}"/>
    <cellStyle name="Input 11 2 2 3 2" xfId="28649" xr:uid="{00000000-0005-0000-0000-000023700000}"/>
    <cellStyle name="Input 11 2 2 3 2 2" xfId="28650" xr:uid="{00000000-0005-0000-0000-000024700000}"/>
    <cellStyle name="Input 11 2 2 3 2 3" xfId="28651" xr:uid="{00000000-0005-0000-0000-000025700000}"/>
    <cellStyle name="Input 11 2 2 3 2 4" xfId="28652" xr:uid="{00000000-0005-0000-0000-000026700000}"/>
    <cellStyle name="Input 11 2 2 3 3" xfId="28653" xr:uid="{00000000-0005-0000-0000-000027700000}"/>
    <cellStyle name="Input 11 2 2 3 3 2" xfId="28654" xr:uid="{00000000-0005-0000-0000-000028700000}"/>
    <cellStyle name="Input 11 2 2 3 3 3" xfId="28655" xr:uid="{00000000-0005-0000-0000-000029700000}"/>
    <cellStyle name="Input 11 2 2 3 3 4" xfId="28656" xr:uid="{00000000-0005-0000-0000-00002A700000}"/>
    <cellStyle name="Input 11 2 2 3 4" xfId="28657" xr:uid="{00000000-0005-0000-0000-00002B700000}"/>
    <cellStyle name="Input 11 2 2 3 5" xfId="28658" xr:uid="{00000000-0005-0000-0000-00002C700000}"/>
    <cellStyle name="Input 11 2 2 3 6" xfId="28659" xr:uid="{00000000-0005-0000-0000-00002D700000}"/>
    <cellStyle name="Input 11 2 2 4" xfId="28660" xr:uid="{00000000-0005-0000-0000-00002E700000}"/>
    <cellStyle name="Input 11 2 2 5" xfId="28661" xr:uid="{00000000-0005-0000-0000-00002F700000}"/>
    <cellStyle name="Input 11 2 2 6" xfId="28662" xr:uid="{00000000-0005-0000-0000-000030700000}"/>
    <cellStyle name="Input 11 2 3" xfId="28663" xr:uid="{00000000-0005-0000-0000-000031700000}"/>
    <cellStyle name="Input 11 2 4" xfId="28664" xr:uid="{00000000-0005-0000-0000-000032700000}"/>
    <cellStyle name="Input 11 3" xfId="28665" xr:uid="{00000000-0005-0000-0000-000033700000}"/>
    <cellStyle name="Input 11 3 2" xfId="28666" xr:uid="{00000000-0005-0000-0000-000034700000}"/>
    <cellStyle name="Input 11 3 2 2" xfId="28667" xr:uid="{00000000-0005-0000-0000-000035700000}"/>
    <cellStyle name="Input 11 3 2 2 2" xfId="28668" xr:uid="{00000000-0005-0000-0000-000036700000}"/>
    <cellStyle name="Input 11 3 2 2 2 2" xfId="28669" xr:uid="{00000000-0005-0000-0000-000037700000}"/>
    <cellStyle name="Input 11 3 2 2 2 3" xfId="28670" xr:uid="{00000000-0005-0000-0000-000038700000}"/>
    <cellStyle name="Input 11 3 2 2 2 4" xfId="28671" xr:uid="{00000000-0005-0000-0000-000039700000}"/>
    <cellStyle name="Input 11 3 2 2 3" xfId="28672" xr:uid="{00000000-0005-0000-0000-00003A700000}"/>
    <cellStyle name="Input 11 3 2 2 3 2" xfId="28673" xr:uid="{00000000-0005-0000-0000-00003B700000}"/>
    <cellStyle name="Input 11 3 2 2 3 3" xfId="28674" xr:uid="{00000000-0005-0000-0000-00003C700000}"/>
    <cellStyle name="Input 11 3 2 2 3 4" xfId="28675" xr:uid="{00000000-0005-0000-0000-00003D700000}"/>
    <cellStyle name="Input 11 3 2 2 4" xfId="28676" xr:uid="{00000000-0005-0000-0000-00003E700000}"/>
    <cellStyle name="Input 11 3 2 2 5" xfId="28677" xr:uid="{00000000-0005-0000-0000-00003F700000}"/>
    <cellStyle name="Input 11 3 2 2 6" xfId="28678" xr:uid="{00000000-0005-0000-0000-000040700000}"/>
    <cellStyle name="Input 11 3 2 3" xfId="28679" xr:uid="{00000000-0005-0000-0000-000041700000}"/>
    <cellStyle name="Input 11 3 2 3 2" xfId="28680" xr:uid="{00000000-0005-0000-0000-000042700000}"/>
    <cellStyle name="Input 11 3 2 3 2 2" xfId="28681" xr:uid="{00000000-0005-0000-0000-000043700000}"/>
    <cellStyle name="Input 11 3 2 3 2 3" xfId="28682" xr:uid="{00000000-0005-0000-0000-000044700000}"/>
    <cellStyle name="Input 11 3 2 3 2 4" xfId="28683" xr:uid="{00000000-0005-0000-0000-000045700000}"/>
    <cellStyle name="Input 11 3 2 3 3" xfId="28684" xr:uid="{00000000-0005-0000-0000-000046700000}"/>
    <cellStyle name="Input 11 3 2 3 3 2" xfId="28685" xr:uid="{00000000-0005-0000-0000-000047700000}"/>
    <cellStyle name="Input 11 3 2 3 3 3" xfId="28686" xr:uid="{00000000-0005-0000-0000-000048700000}"/>
    <cellStyle name="Input 11 3 2 3 3 4" xfId="28687" xr:uid="{00000000-0005-0000-0000-000049700000}"/>
    <cellStyle name="Input 11 3 2 3 4" xfId="28688" xr:uid="{00000000-0005-0000-0000-00004A700000}"/>
    <cellStyle name="Input 11 3 2 3 5" xfId="28689" xr:uid="{00000000-0005-0000-0000-00004B700000}"/>
    <cellStyle name="Input 11 3 2 3 6" xfId="28690" xr:uid="{00000000-0005-0000-0000-00004C700000}"/>
    <cellStyle name="Input 11 3 2 4" xfId="28691" xr:uid="{00000000-0005-0000-0000-00004D700000}"/>
    <cellStyle name="Input 11 3 2 5" xfId="28692" xr:uid="{00000000-0005-0000-0000-00004E700000}"/>
    <cellStyle name="Input 11 3 2 6" xfId="28693" xr:uid="{00000000-0005-0000-0000-00004F700000}"/>
    <cellStyle name="Input 11 3 3" xfId="28694" xr:uid="{00000000-0005-0000-0000-000050700000}"/>
    <cellStyle name="Input 11 3 4" xfId="28695" xr:uid="{00000000-0005-0000-0000-000051700000}"/>
    <cellStyle name="Input 11 4" xfId="28696" xr:uid="{00000000-0005-0000-0000-000052700000}"/>
    <cellStyle name="Input 11 4 2" xfId="28697" xr:uid="{00000000-0005-0000-0000-000053700000}"/>
    <cellStyle name="Input 11 4 2 2" xfId="28698" xr:uid="{00000000-0005-0000-0000-000054700000}"/>
    <cellStyle name="Input 11 4 2 2 2" xfId="28699" xr:uid="{00000000-0005-0000-0000-000055700000}"/>
    <cellStyle name="Input 11 4 2 2 2 2" xfId="28700" xr:uid="{00000000-0005-0000-0000-000056700000}"/>
    <cellStyle name="Input 11 4 2 2 2 3" xfId="28701" xr:uid="{00000000-0005-0000-0000-000057700000}"/>
    <cellStyle name="Input 11 4 2 2 2 4" xfId="28702" xr:uid="{00000000-0005-0000-0000-000058700000}"/>
    <cellStyle name="Input 11 4 2 2 3" xfId="28703" xr:uid="{00000000-0005-0000-0000-000059700000}"/>
    <cellStyle name="Input 11 4 2 2 3 2" xfId="28704" xr:uid="{00000000-0005-0000-0000-00005A700000}"/>
    <cellStyle name="Input 11 4 2 2 3 3" xfId="28705" xr:uid="{00000000-0005-0000-0000-00005B700000}"/>
    <cellStyle name="Input 11 4 2 2 3 4" xfId="28706" xr:uid="{00000000-0005-0000-0000-00005C700000}"/>
    <cellStyle name="Input 11 4 2 2 4" xfId="28707" xr:uid="{00000000-0005-0000-0000-00005D700000}"/>
    <cellStyle name="Input 11 4 2 2 5" xfId="28708" xr:uid="{00000000-0005-0000-0000-00005E700000}"/>
    <cellStyle name="Input 11 4 2 2 6" xfId="28709" xr:uid="{00000000-0005-0000-0000-00005F700000}"/>
    <cellStyle name="Input 11 4 2 3" xfId="28710" xr:uid="{00000000-0005-0000-0000-000060700000}"/>
    <cellStyle name="Input 11 4 2 3 2" xfId="28711" xr:uid="{00000000-0005-0000-0000-000061700000}"/>
    <cellStyle name="Input 11 4 2 3 2 2" xfId="28712" xr:uid="{00000000-0005-0000-0000-000062700000}"/>
    <cellStyle name="Input 11 4 2 3 2 3" xfId="28713" xr:uid="{00000000-0005-0000-0000-000063700000}"/>
    <cellStyle name="Input 11 4 2 3 2 4" xfId="28714" xr:uid="{00000000-0005-0000-0000-000064700000}"/>
    <cellStyle name="Input 11 4 2 3 3" xfId="28715" xr:uid="{00000000-0005-0000-0000-000065700000}"/>
    <cellStyle name="Input 11 4 2 3 3 2" xfId="28716" xr:uid="{00000000-0005-0000-0000-000066700000}"/>
    <cellStyle name="Input 11 4 2 3 3 3" xfId="28717" xr:uid="{00000000-0005-0000-0000-000067700000}"/>
    <cellStyle name="Input 11 4 2 3 3 4" xfId="28718" xr:uid="{00000000-0005-0000-0000-000068700000}"/>
    <cellStyle name="Input 11 4 2 3 4" xfId="28719" xr:uid="{00000000-0005-0000-0000-000069700000}"/>
    <cellStyle name="Input 11 4 2 3 5" xfId="28720" xr:uid="{00000000-0005-0000-0000-00006A700000}"/>
    <cellStyle name="Input 11 4 2 3 6" xfId="28721" xr:uid="{00000000-0005-0000-0000-00006B700000}"/>
    <cellStyle name="Input 11 4 2 4" xfId="28722" xr:uid="{00000000-0005-0000-0000-00006C700000}"/>
    <cellStyle name="Input 11 4 2 5" xfId="28723" xr:uid="{00000000-0005-0000-0000-00006D700000}"/>
    <cellStyle name="Input 11 4 2 6" xfId="28724" xr:uid="{00000000-0005-0000-0000-00006E700000}"/>
    <cellStyle name="Input 11 4 3" xfId="28725" xr:uid="{00000000-0005-0000-0000-00006F700000}"/>
    <cellStyle name="Input 11 4 4" xfId="28726" xr:uid="{00000000-0005-0000-0000-000070700000}"/>
    <cellStyle name="Input 11 5" xfId="28727" xr:uid="{00000000-0005-0000-0000-000071700000}"/>
    <cellStyle name="Input 11 5 2" xfId="28728" xr:uid="{00000000-0005-0000-0000-000072700000}"/>
    <cellStyle name="Input 11 5 2 2" xfId="28729" xr:uid="{00000000-0005-0000-0000-000073700000}"/>
    <cellStyle name="Input 11 5 2 2 2" xfId="28730" xr:uid="{00000000-0005-0000-0000-000074700000}"/>
    <cellStyle name="Input 11 5 2 2 2 2" xfId="28731" xr:uid="{00000000-0005-0000-0000-000075700000}"/>
    <cellStyle name="Input 11 5 2 2 2 3" xfId="28732" xr:uid="{00000000-0005-0000-0000-000076700000}"/>
    <cellStyle name="Input 11 5 2 2 2 4" xfId="28733" xr:uid="{00000000-0005-0000-0000-000077700000}"/>
    <cellStyle name="Input 11 5 2 2 3" xfId="28734" xr:uid="{00000000-0005-0000-0000-000078700000}"/>
    <cellStyle name="Input 11 5 2 2 3 2" xfId="28735" xr:uid="{00000000-0005-0000-0000-000079700000}"/>
    <cellStyle name="Input 11 5 2 2 3 3" xfId="28736" xr:uid="{00000000-0005-0000-0000-00007A700000}"/>
    <cellStyle name="Input 11 5 2 2 3 4" xfId="28737" xr:uid="{00000000-0005-0000-0000-00007B700000}"/>
    <cellStyle name="Input 11 5 2 2 4" xfId="28738" xr:uid="{00000000-0005-0000-0000-00007C700000}"/>
    <cellStyle name="Input 11 5 2 2 5" xfId="28739" xr:uid="{00000000-0005-0000-0000-00007D700000}"/>
    <cellStyle name="Input 11 5 2 2 6" xfId="28740" xr:uid="{00000000-0005-0000-0000-00007E700000}"/>
    <cellStyle name="Input 11 5 2 3" xfId="28741" xr:uid="{00000000-0005-0000-0000-00007F700000}"/>
    <cellStyle name="Input 11 5 2 3 2" xfId="28742" xr:uid="{00000000-0005-0000-0000-000080700000}"/>
    <cellStyle name="Input 11 5 2 3 2 2" xfId="28743" xr:uid="{00000000-0005-0000-0000-000081700000}"/>
    <cellStyle name="Input 11 5 2 3 2 3" xfId="28744" xr:uid="{00000000-0005-0000-0000-000082700000}"/>
    <cellStyle name="Input 11 5 2 3 2 4" xfId="28745" xr:uid="{00000000-0005-0000-0000-000083700000}"/>
    <cellStyle name="Input 11 5 2 3 3" xfId="28746" xr:uid="{00000000-0005-0000-0000-000084700000}"/>
    <cellStyle name="Input 11 5 2 3 3 2" xfId="28747" xr:uid="{00000000-0005-0000-0000-000085700000}"/>
    <cellStyle name="Input 11 5 2 3 3 3" xfId="28748" xr:uid="{00000000-0005-0000-0000-000086700000}"/>
    <cellStyle name="Input 11 5 2 3 3 4" xfId="28749" xr:uid="{00000000-0005-0000-0000-000087700000}"/>
    <cellStyle name="Input 11 5 2 3 4" xfId="28750" xr:uid="{00000000-0005-0000-0000-000088700000}"/>
    <cellStyle name="Input 11 5 2 3 5" xfId="28751" xr:uid="{00000000-0005-0000-0000-000089700000}"/>
    <cellStyle name="Input 11 5 2 3 6" xfId="28752" xr:uid="{00000000-0005-0000-0000-00008A700000}"/>
    <cellStyle name="Input 11 5 2 4" xfId="28753" xr:uid="{00000000-0005-0000-0000-00008B700000}"/>
    <cellStyle name="Input 11 5 2 5" xfId="28754" xr:uid="{00000000-0005-0000-0000-00008C700000}"/>
    <cellStyle name="Input 11 5 2 6" xfId="28755" xr:uid="{00000000-0005-0000-0000-00008D700000}"/>
    <cellStyle name="Input 11 5 3" xfId="28756" xr:uid="{00000000-0005-0000-0000-00008E700000}"/>
    <cellStyle name="Input 11 5 4" xfId="28757" xr:uid="{00000000-0005-0000-0000-00008F700000}"/>
    <cellStyle name="Input 11 6" xfId="28758" xr:uid="{00000000-0005-0000-0000-000090700000}"/>
    <cellStyle name="Input 11 6 2" xfId="28759" xr:uid="{00000000-0005-0000-0000-000091700000}"/>
    <cellStyle name="Input 11 6 2 2" xfId="28760" xr:uid="{00000000-0005-0000-0000-000092700000}"/>
    <cellStyle name="Input 11 6 2 2 2" xfId="28761" xr:uid="{00000000-0005-0000-0000-000093700000}"/>
    <cellStyle name="Input 11 6 2 2 3" xfId="28762" xr:uid="{00000000-0005-0000-0000-000094700000}"/>
    <cellStyle name="Input 11 6 2 2 4" xfId="28763" xr:uid="{00000000-0005-0000-0000-000095700000}"/>
    <cellStyle name="Input 11 6 2 3" xfId="28764" xr:uid="{00000000-0005-0000-0000-000096700000}"/>
    <cellStyle name="Input 11 6 2 3 2" xfId="28765" xr:uid="{00000000-0005-0000-0000-000097700000}"/>
    <cellStyle name="Input 11 6 2 3 3" xfId="28766" xr:uid="{00000000-0005-0000-0000-000098700000}"/>
    <cellStyle name="Input 11 6 2 3 4" xfId="28767" xr:uid="{00000000-0005-0000-0000-000099700000}"/>
    <cellStyle name="Input 11 6 2 4" xfId="28768" xr:uid="{00000000-0005-0000-0000-00009A700000}"/>
    <cellStyle name="Input 11 6 2 5" xfId="28769" xr:uid="{00000000-0005-0000-0000-00009B700000}"/>
    <cellStyle name="Input 11 6 2 6" xfId="28770" xr:uid="{00000000-0005-0000-0000-00009C700000}"/>
    <cellStyle name="Input 11 6 3" xfId="28771" xr:uid="{00000000-0005-0000-0000-00009D700000}"/>
    <cellStyle name="Input 11 6 3 2" xfId="28772" xr:uid="{00000000-0005-0000-0000-00009E700000}"/>
    <cellStyle name="Input 11 6 3 2 2" xfId="28773" xr:uid="{00000000-0005-0000-0000-00009F700000}"/>
    <cellStyle name="Input 11 6 3 2 3" xfId="28774" xr:uid="{00000000-0005-0000-0000-0000A0700000}"/>
    <cellStyle name="Input 11 6 3 2 4" xfId="28775" xr:uid="{00000000-0005-0000-0000-0000A1700000}"/>
    <cellStyle name="Input 11 6 3 3" xfId="28776" xr:uid="{00000000-0005-0000-0000-0000A2700000}"/>
    <cellStyle name="Input 11 6 3 3 2" xfId="28777" xr:uid="{00000000-0005-0000-0000-0000A3700000}"/>
    <cellStyle name="Input 11 6 3 3 3" xfId="28778" xr:uid="{00000000-0005-0000-0000-0000A4700000}"/>
    <cellStyle name="Input 11 6 3 3 4" xfId="28779" xr:uid="{00000000-0005-0000-0000-0000A5700000}"/>
    <cellStyle name="Input 11 6 3 4" xfId="28780" xr:uid="{00000000-0005-0000-0000-0000A6700000}"/>
    <cellStyle name="Input 11 6 3 5" xfId="28781" xr:uid="{00000000-0005-0000-0000-0000A7700000}"/>
    <cellStyle name="Input 11 6 3 6" xfId="28782" xr:uid="{00000000-0005-0000-0000-0000A8700000}"/>
    <cellStyle name="Input 11 6 4" xfId="28783" xr:uid="{00000000-0005-0000-0000-0000A9700000}"/>
    <cellStyle name="Input 11 6 4 2" xfId="28784" xr:uid="{00000000-0005-0000-0000-0000AA700000}"/>
    <cellStyle name="Input 11 6 4 3" xfId="28785" xr:uid="{00000000-0005-0000-0000-0000AB700000}"/>
    <cellStyle name="Input 11 6 4 4" xfId="28786" xr:uid="{00000000-0005-0000-0000-0000AC700000}"/>
    <cellStyle name="Input 11 6 5" xfId="28787" xr:uid="{00000000-0005-0000-0000-0000AD700000}"/>
    <cellStyle name="Input 11 6 6" xfId="28788" xr:uid="{00000000-0005-0000-0000-0000AE700000}"/>
    <cellStyle name="Input 11 7" xfId="28789" xr:uid="{00000000-0005-0000-0000-0000AF700000}"/>
    <cellStyle name="Input 11 7 2" xfId="28790" xr:uid="{00000000-0005-0000-0000-0000B0700000}"/>
    <cellStyle name="Input 11 7 2 2" xfId="28791" xr:uid="{00000000-0005-0000-0000-0000B1700000}"/>
    <cellStyle name="Input 11 7 2 2 2" xfId="28792" xr:uid="{00000000-0005-0000-0000-0000B2700000}"/>
    <cellStyle name="Input 11 7 2 2 3" xfId="28793" xr:uid="{00000000-0005-0000-0000-0000B3700000}"/>
    <cellStyle name="Input 11 7 2 2 4" xfId="28794" xr:uid="{00000000-0005-0000-0000-0000B4700000}"/>
    <cellStyle name="Input 11 7 2 3" xfId="28795" xr:uid="{00000000-0005-0000-0000-0000B5700000}"/>
    <cellStyle name="Input 11 7 2 3 2" xfId="28796" xr:uid="{00000000-0005-0000-0000-0000B6700000}"/>
    <cellStyle name="Input 11 7 2 3 3" xfId="28797" xr:uid="{00000000-0005-0000-0000-0000B7700000}"/>
    <cellStyle name="Input 11 7 2 3 4" xfId="28798" xr:uid="{00000000-0005-0000-0000-0000B8700000}"/>
    <cellStyle name="Input 11 7 2 4" xfId="28799" xr:uid="{00000000-0005-0000-0000-0000B9700000}"/>
    <cellStyle name="Input 11 7 2 5" xfId="28800" xr:uid="{00000000-0005-0000-0000-0000BA700000}"/>
    <cellStyle name="Input 11 7 2 6" xfId="28801" xr:uid="{00000000-0005-0000-0000-0000BB700000}"/>
    <cellStyle name="Input 11 7 3" xfId="28802" xr:uid="{00000000-0005-0000-0000-0000BC700000}"/>
    <cellStyle name="Input 11 7 3 2" xfId="28803" xr:uid="{00000000-0005-0000-0000-0000BD700000}"/>
    <cellStyle name="Input 11 7 3 2 2" xfId="28804" xr:uid="{00000000-0005-0000-0000-0000BE700000}"/>
    <cellStyle name="Input 11 7 3 2 3" xfId="28805" xr:uid="{00000000-0005-0000-0000-0000BF700000}"/>
    <cellStyle name="Input 11 7 3 2 4" xfId="28806" xr:uid="{00000000-0005-0000-0000-0000C0700000}"/>
    <cellStyle name="Input 11 7 3 3" xfId="28807" xr:uid="{00000000-0005-0000-0000-0000C1700000}"/>
    <cellStyle name="Input 11 7 3 3 2" xfId="28808" xr:uid="{00000000-0005-0000-0000-0000C2700000}"/>
    <cellStyle name="Input 11 7 3 3 3" xfId="28809" xr:uid="{00000000-0005-0000-0000-0000C3700000}"/>
    <cellStyle name="Input 11 7 3 3 4" xfId="28810" xr:uid="{00000000-0005-0000-0000-0000C4700000}"/>
    <cellStyle name="Input 11 7 3 4" xfId="28811" xr:uid="{00000000-0005-0000-0000-0000C5700000}"/>
    <cellStyle name="Input 11 7 3 5" xfId="28812" xr:uid="{00000000-0005-0000-0000-0000C6700000}"/>
    <cellStyle name="Input 11 7 3 6" xfId="28813" xr:uid="{00000000-0005-0000-0000-0000C7700000}"/>
    <cellStyle name="Input 11 7 4" xfId="28814" xr:uid="{00000000-0005-0000-0000-0000C8700000}"/>
    <cellStyle name="Input 11 7 4 2" xfId="28815" xr:uid="{00000000-0005-0000-0000-0000C9700000}"/>
    <cellStyle name="Input 11 7 4 3" xfId="28816" xr:uid="{00000000-0005-0000-0000-0000CA700000}"/>
    <cellStyle name="Input 11 7 4 4" xfId="28817" xr:uid="{00000000-0005-0000-0000-0000CB700000}"/>
    <cellStyle name="Input 11 7 5" xfId="28818" xr:uid="{00000000-0005-0000-0000-0000CC700000}"/>
    <cellStyle name="Input 11 7 6" xfId="28819" xr:uid="{00000000-0005-0000-0000-0000CD700000}"/>
    <cellStyle name="Input 11 8" xfId="28820" xr:uid="{00000000-0005-0000-0000-0000CE700000}"/>
    <cellStyle name="Input 11 8 2" xfId="28821" xr:uid="{00000000-0005-0000-0000-0000CF700000}"/>
    <cellStyle name="Input 11 8 2 2" xfId="28822" xr:uid="{00000000-0005-0000-0000-0000D0700000}"/>
    <cellStyle name="Input 11 8 2 2 2" xfId="28823" xr:uid="{00000000-0005-0000-0000-0000D1700000}"/>
    <cellStyle name="Input 11 8 2 2 3" xfId="28824" xr:uid="{00000000-0005-0000-0000-0000D2700000}"/>
    <cellStyle name="Input 11 8 2 2 4" xfId="28825" xr:uid="{00000000-0005-0000-0000-0000D3700000}"/>
    <cellStyle name="Input 11 8 2 3" xfId="28826" xr:uid="{00000000-0005-0000-0000-0000D4700000}"/>
    <cellStyle name="Input 11 8 2 3 2" xfId="28827" xr:uid="{00000000-0005-0000-0000-0000D5700000}"/>
    <cellStyle name="Input 11 8 2 3 3" xfId="28828" xr:uid="{00000000-0005-0000-0000-0000D6700000}"/>
    <cellStyle name="Input 11 8 2 3 4" xfId="28829" xr:uid="{00000000-0005-0000-0000-0000D7700000}"/>
    <cellStyle name="Input 11 8 2 4" xfId="28830" xr:uid="{00000000-0005-0000-0000-0000D8700000}"/>
    <cellStyle name="Input 11 8 2 5" xfId="28831" xr:uid="{00000000-0005-0000-0000-0000D9700000}"/>
    <cellStyle name="Input 11 8 2 6" xfId="28832" xr:uid="{00000000-0005-0000-0000-0000DA700000}"/>
    <cellStyle name="Input 11 8 3" xfId="28833" xr:uid="{00000000-0005-0000-0000-0000DB700000}"/>
    <cellStyle name="Input 11 8 3 2" xfId="28834" xr:uid="{00000000-0005-0000-0000-0000DC700000}"/>
    <cellStyle name="Input 11 8 3 2 2" xfId="28835" xr:uid="{00000000-0005-0000-0000-0000DD700000}"/>
    <cellStyle name="Input 11 8 3 2 3" xfId="28836" xr:uid="{00000000-0005-0000-0000-0000DE700000}"/>
    <cellStyle name="Input 11 8 3 2 4" xfId="28837" xr:uid="{00000000-0005-0000-0000-0000DF700000}"/>
    <cellStyle name="Input 11 8 3 3" xfId="28838" xr:uid="{00000000-0005-0000-0000-0000E0700000}"/>
    <cellStyle name="Input 11 8 3 3 2" xfId="28839" xr:uid="{00000000-0005-0000-0000-0000E1700000}"/>
    <cellStyle name="Input 11 8 3 3 3" xfId="28840" xr:uid="{00000000-0005-0000-0000-0000E2700000}"/>
    <cellStyle name="Input 11 8 3 3 4" xfId="28841" xr:uid="{00000000-0005-0000-0000-0000E3700000}"/>
    <cellStyle name="Input 11 8 3 4" xfId="28842" xr:uid="{00000000-0005-0000-0000-0000E4700000}"/>
    <cellStyle name="Input 11 8 3 5" xfId="28843" xr:uid="{00000000-0005-0000-0000-0000E5700000}"/>
    <cellStyle name="Input 11 8 3 6" xfId="28844" xr:uid="{00000000-0005-0000-0000-0000E6700000}"/>
    <cellStyle name="Input 11 8 4" xfId="28845" xr:uid="{00000000-0005-0000-0000-0000E7700000}"/>
    <cellStyle name="Input 11 8 4 2" xfId="28846" xr:uid="{00000000-0005-0000-0000-0000E8700000}"/>
    <cellStyle name="Input 11 8 4 3" xfId="28847" xr:uid="{00000000-0005-0000-0000-0000E9700000}"/>
    <cellStyle name="Input 11 8 4 4" xfId="28848" xr:uid="{00000000-0005-0000-0000-0000EA700000}"/>
    <cellStyle name="Input 11 8 5" xfId="28849" xr:uid="{00000000-0005-0000-0000-0000EB700000}"/>
    <cellStyle name="Input 11 8 6" xfId="28850" xr:uid="{00000000-0005-0000-0000-0000EC700000}"/>
    <cellStyle name="Input 11 9" xfId="28851" xr:uid="{00000000-0005-0000-0000-0000ED700000}"/>
    <cellStyle name="Input 11 9 2" xfId="28852" xr:uid="{00000000-0005-0000-0000-0000EE700000}"/>
    <cellStyle name="Input 11 9 2 2" xfId="28853" xr:uid="{00000000-0005-0000-0000-0000EF700000}"/>
    <cellStyle name="Input 11 9 2 2 2" xfId="28854" xr:uid="{00000000-0005-0000-0000-0000F0700000}"/>
    <cellStyle name="Input 11 9 2 2 3" xfId="28855" xr:uid="{00000000-0005-0000-0000-0000F1700000}"/>
    <cellStyle name="Input 11 9 2 2 4" xfId="28856" xr:uid="{00000000-0005-0000-0000-0000F2700000}"/>
    <cellStyle name="Input 11 9 2 3" xfId="28857" xr:uid="{00000000-0005-0000-0000-0000F3700000}"/>
    <cellStyle name="Input 11 9 2 3 2" xfId="28858" xr:uid="{00000000-0005-0000-0000-0000F4700000}"/>
    <cellStyle name="Input 11 9 2 3 3" xfId="28859" xr:uid="{00000000-0005-0000-0000-0000F5700000}"/>
    <cellStyle name="Input 11 9 2 3 4" xfId="28860" xr:uid="{00000000-0005-0000-0000-0000F6700000}"/>
    <cellStyle name="Input 11 9 2 4" xfId="28861" xr:uid="{00000000-0005-0000-0000-0000F7700000}"/>
    <cellStyle name="Input 11 9 2 5" xfId="28862" xr:uid="{00000000-0005-0000-0000-0000F8700000}"/>
    <cellStyle name="Input 11 9 2 6" xfId="28863" xr:uid="{00000000-0005-0000-0000-0000F9700000}"/>
    <cellStyle name="Input 11 9 3" xfId="28864" xr:uid="{00000000-0005-0000-0000-0000FA700000}"/>
    <cellStyle name="Input 11 9 3 2" xfId="28865" xr:uid="{00000000-0005-0000-0000-0000FB700000}"/>
    <cellStyle name="Input 11 9 3 2 2" xfId="28866" xr:uid="{00000000-0005-0000-0000-0000FC700000}"/>
    <cellStyle name="Input 11 9 3 2 3" xfId="28867" xr:uid="{00000000-0005-0000-0000-0000FD700000}"/>
    <cellStyle name="Input 11 9 3 2 4" xfId="28868" xr:uid="{00000000-0005-0000-0000-0000FE700000}"/>
    <cellStyle name="Input 11 9 3 3" xfId="28869" xr:uid="{00000000-0005-0000-0000-0000FF700000}"/>
    <cellStyle name="Input 11 9 3 3 2" xfId="28870" xr:uid="{00000000-0005-0000-0000-000000710000}"/>
    <cellStyle name="Input 11 9 3 3 3" xfId="28871" xr:uid="{00000000-0005-0000-0000-000001710000}"/>
    <cellStyle name="Input 11 9 3 3 4" xfId="28872" xr:uid="{00000000-0005-0000-0000-000002710000}"/>
    <cellStyle name="Input 11 9 3 4" xfId="28873" xr:uid="{00000000-0005-0000-0000-000003710000}"/>
    <cellStyle name="Input 11 9 3 5" xfId="28874" xr:uid="{00000000-0005-0000-0000-000004710000}"/>
    <cellStyle name="Input 11 9 3 6" xfId="28875" xr:uid="{00000000-0005-0000-0000-000005710000}"/>
    <cellStyle name="Input 11 9 4" xfId="28876" xr:uid="{00000000-0005-0000-0000-000006710000}"/>
    <cellStyle name="Input 11 9 4 2" xfId="28877" xr:uid="{00000000-0005-0000-0000-000007710000}"/>
    <cellStyle name="Input 11 9 4 3" xfId="28878" xr:uid="{00000000-0005-0000-0000-000008710000}"/>
    <cellStyle name="Input 11 9 4 4" xfId="28879" xr:uid="{00000000-0005-0000-0000-000009710000}"/>
    <cellStyle name="Input 11 9 5" xfId="28880" xr:uid="{00000000-0005-0000-0000-00000A710000}"/>
    <cellStyle name="Input 11 9 6" xfId="28881" xr:uid="{00000000-0005-0000-0000-00000B710000}"/>
    <cellStyle name="Input 12" xfId="28882" xr:uid="{00000000-0005-0000-0000-00000C710000}"/>
    <cellStyle name="Input 12 10" xfId="28883" xr:uid="{00000000-0005-0000-0000-00000D710000}"/>
    <cellStyle name="Input 12 10 2" xfId="28884" xr:uid="{00000000-0005-0000-0000-00000E710000}"/>
    <cellStyle name="Input 12 10 2 2" xfId="28885" xr:uid="{00000000-0005-0000-0000-00000F710000}"/>
    <cellStyle name="Input 12 10 2 2 2" xfId="28886" xr:uid="{00000000-0005-0000-0000-000010710000}"/>
    <cellStyle name="Input 12 10 2 2 3" xfId="28887" xr:uid="{00000000-0005-0000-0000-000011710000}"/>
    <cellStyle name="Input 12 10 2 2 4" xfId="28888" xr:uid="{00000000-0005-0000-0000-000012710000}"/>
    <cellStyle name="Input 12 10 2 3" xfId="28889" xr:uid="{00000000-0005-0000-0000-000013710000}"/>
    <cellStyle name="Input 12 10 2 3 2" xfId="28890" xr:uid="{00000000-0005-0000-0000-000014710000}"/>
    <cellStyle name="Input 12 10 2 3 3" xfId="28891" xr:uid="{00000000-0005-0000-0000-000015710000}"/>
    <cellStyle name="Input 12 10 2 3 4" xfId="28892" xr:uid="{00000000-0005-0000-0000-000016710000}"/>
    <cellStyle name="Input 12 10 2 4" xfId="28893" xr:uid="{00000000-0005-0000-0000-000017710000}"/>
    <cellStyle name="Input 12 10 2 5" xfId="28894" xr:uid="{00000000-0005-0000-0000-000018710000}"/>
    <cellStyle name="Input 12 10 2 6" xfId="28895" xr:uid="{00000000-0005-0000-0000-000019710000}"/>
    <cellStyle name="Input 12 10 3" xfId="28896" xr:uid="{00000000-0005-0000-0000-00001A710000}"/>
    <cellStyle name="Input 12 10 3 2" xfId="28897" xr:uid="{00000000-0005-0000-0000-00001B710000}"/>
    <cellStyle name="Input 12 10 3 2 2" xfId="28898" xr:uid="{00000000-0005-0000-0000-00001C710000}"/>
    <cellStyle name="Input 12 10 3 2 3" xfId="28899" xr:uid="{00000000-0005-0000-0000-00001D710000}"/>
    <cellStyle name="Input 12 10 3 2 4" xfId="28900" xr:uid="{00000000-0005-0000-0000-00001E710000}"/>
    <cellStyle name="Input 12 10 3 3" xfId="28901" xr:uid="{00000000-0005-0000-0000-00001F710000}"/>
    <cellStyle name="Input 12 10 3 3 2" xfId="28902" xr:uid="{00000000-0005-0000-0000-000020710000}"/>
    <cellStyle name="Input 12 10 3 3 3" xfId="28903" xr:uid="{00000000-0005-0000-0000-000021710000}"/>
    <cellStyle name="Input 12 10 3 3 4" xfId="28904" xr:uid="{00000000-0005-0000-0000-000022710000}"/>
    <cellStyle name="Input 12 10 3 4" xfId="28905" xr:uid="{00000000-0005-0000-0000-000023710000}"/>
    <cellStyle name="Input 12 10 3 5" xfId="28906" xr:uid="{00000000-0005-0000-0000-000024710000}"/>
    <cellStyle name="Input 12 10 3 6" xfId="28907" xr:uid="{00000000-0005-0000-0000-000025710000}"/>
    <cellStyle name="Input 12 10 4" xfId="28908" xr:uid="{00000000-0005-0000-0000-000026710000}"/>
    <cellStyle name="Input 12 10 5" xfId="28909" xr:uid="{00000000-0005-0000-0000-000027710000}"/>
    <cellStyle name="Input 12 10 6" xfId="28910" xr:uid="{00000000-0005-0000-0000-000028710000}"/>
    <cellStyle name="Input 12 11" xfId="28911" xr:uid="{00000000-0005-0000-0000-000029710000}"/>
    <cellStyle name="Input 12 12" xfId="28912" xr:uid="{00000000-0005-0000-0000-00002A710000}"/>
    <cellStyle name="Input 12 2" xfId="28913" xr:uid="{00000000-0005-0000-0000-00002B710000}"/>
    <cellStyle name="Input 12 2 2" xfId="28914" xr:uid="{00000000-0005-0000-0000-00002C710000}"/>
    <cellStyle name="Input 12 2 2 2" xfId="28915" xr:uid="{00000000-0005-0000-0000-00002D710000}"/>
    <cellStyle name="Input 12 2 2 2 2" xfId="28916" xr:uid="{00000000-0005-0000-0000-00002E710000}"/>
    <cellStyle name="Input 12 2 2 2 2 2" xfId="28917" xr:uid="{00000000-0005-0000-0000-00002F710000}"/>
    <cellStyle name="Input 12 2 2 2 2 3" xfId="28918" xr:uid="{00000000-0005-0000-0000-000030710000}"/>
    <cellStyle name="Input 12 2 2 2 2 4" xfId="28919" xr:uid="{00000000-0005-0000-0000-000031710000}"/>
    <cellStyle name="Input 12 2 2 2 3" xfId="28920" xr:uid="{00000000-0005-0000-0000-000032710000}"/>
    <cellStyle name="Input 12 2 2 2 3 2" xfId="28921" xr:uid="{00000000-0005-0000-0000-000033710000}"/>
    <cellStyle name="Input 12 2 2 2 3 3" xfId="28922" xr:uid="{00000000-0005-0000-0000-000034710000}"/>
    <cellStyle name="Input 12 2 2 2 3 4" xfId="28923" xr:uid="{00000000-0005-0000-0000-000035710000}"/>
    <cellStyle name="Input 12 2 2 2 4" xfId="28924" xr:uid="{00000000-0005-0000-0000-000036710000}"/>
    <cellStyle name="Input 12 2 2 2 5" xfId="28925" xr:uid="{00000000-0005-0000-0000-000037710000}"/>
    <cellStyle name="Input 12 2 2 2 6" xfId="28926" xr:uid="{00000000-0005-0000-0000-000038710000}"/>
    <cellStyle name="Input 12 2 2 3" xfId="28927" xr:uid="{00000000-0005-0000-0000-000039710000}"/>
    <cellStyle name="Input 12 2 2 3 2" xfId="28928" xr:uid="{00000000-0005-0000-0000-00003A710000}"/>
    <cellStyle name="Input 12 2 2 3 2 2" xfId="28929" xr:uid="{00000000-0005-0000-0000-00003B710000}"/>
    <cellStyle name="Input 12 2 2 3 2 3" xfId="28930" xr:uid="{00000000-0005-0000-0000-00003C710000}"/>
    <cellStyle name="Input 12 2 2 3 2 4" xfId="28931" xr:uid="{00000000-0005-0000-0000-00003D710000}"/>
    <cellStyle name="Input 12 2 2 3 3" xfId="28932" xr:uid="{00000000-0005-0000-0000-00003E710000}"/>
    <cellStyle name="Input 12 2 2 3 3 2" xfId="28933" xr:uid="{00000000-0005-0000-0000-00003F710000}"/>
    <cellStyle name="Input 12 2 2 3 3 3" xfId="28934" xr:uid="{00000000-0005-0000-0000-000040710000}"/>
    <cellStyle name="Input 12 2 2 3 3 4" xfId="28935" xr:uid="{00000000-0005-0000-0000-000041710000}"/>
    <cellStyle name="Input 12 2 2 3 4" xfId="28936" xr:uid="{00000000-0005-0000-0000-000042710000}"/>
    <cellStyle name="Input 12 2 2 3 5" xfId="28937" xr:uid="{00000000-0005-0000-0000-000043710000}"/>
    <cellStyle name="Input 12 2 2 3 6" xfId="28938" xr:uid="{00000000-0005-0000-0000-000044710000}"/>
    <cellStyle name="Input 12 2 2 4" xfId="28939" xr:uid="{00000000-0005-0000-0000-000045710000}"/>
    <cellStyle name="Input 12 2 2 5" xfId="28940" xr:uid="{00000000-0005-0000-0000-000046710000}"/>
    <cellStyle name="Input 12 2 2 6" xfId="28941" xr:uid="{00000000-0005-0000-0000-000047710000}"/>
    <cellStyle name="Input 12 2 3" xfId="28942" xr:uid="{00000000-0005-0000-0000-000048710000}"/>
    <cellStyle name="Input 12 2 4" xfId="28943" xr:uid="{00000000-0005-0000-0000-000049710000}"/>
    <cellStyle name="Input 12 3" xfId="28944" xr:uid="{00000000-0005-0000-0000-00004A710000}"/>
    <cellStyle name="Input 12 3 2" xfId="28945" xr:uid="{00000000-0005-0000-0000-00004B710000}"/>
    <cellStyle name="Input 12 3 2 2" xfId="28946" xr:uid="{00000000-0005-0000-0000-00004C710000}"/>
    <cellStyle name="Input 12 3 2 2 2" xfId="28947" xr:uid="{00000000-0005-0000-0000-00004D710000}"/>
    <cellStyle name="Input 12 3 2 2 2 2" xfId="28948" xr:uid="{00000000-0005-0000-0000-00004E710000}"/>
    <cellStyle name="Input 12 3 2 2 2 3" xfId="28949" xr:uid="{00000000-0005-0000-0000-00004F710000}"/>
    <cellStyle name="Input 12 3 2 2 2 4" xfId="28950" xr:uid="{00000000-0005-0000-0000-000050710000}"/>
    <cellStyle name="Input 12 3 2 2 3" xfId="28951" xr:uid="{00000000-0005-0000-0000-000051710000}"/>
    <cellStyle name="Input 12 3 2 2 3 2" xfId="28952" xr:uid="{00000000-0005-0000-0000-000052710000}"/>
    <cellStyle name="Input 12 3 2 2 3 3" xfId="28953" xr:uid="{00000000-0005-0000-0000-000053710000}"/>
    <cellStyle name="Input 12 3 2 2 3 4" xfId="28954" xr:uid="{00000000-0005-0000-0000-000054710000}"/>
    <cellStyle name="Input 12 3 2 2 4" xfId="28955" xr:uid="{00000000-0005-0000-0000-000055710000}"/>
    <cellStyle name="Input 12 3 2 2 5" xfId="28956" xr:uid="{00000000-0005-0000-0000-000056710000}"/>
    <cellStyle name="Input 12 3 2 2 6" xfId="28957" xr:uid="{00000000-0005-0000-0000-000057710000}"/>
    <cellStyle name="Input 12 3 2 3" xfId="28958" xr:uid="{00000000-0005-0000-0000-000058710000}"/>
    <cellStyle name="Input 12 3 2 3 2" xfId="28959" xr:uid="{00000000-0005-0000-0000-000059710000}"/>
    <cellStyle name="Input 12 3 2 3 2 2" xfId="28960" xr:uid="{00000000-0005-0000-0000-00005A710000}"/>
    <cellStyle name="Input 12 3 2 3 2 3" xfId="28961" xr:uid="{00000000-0005-0000-0000-00005B710000}"/>
    <cellStyle name="Input 12 3 2 3 2 4" xfId="28962" xr:uid="{00000000-0005-0000-0000-00005C710000}"/>
    <cellStyle name="Input 12 3 2 3 3" xfId="28963" xr:uid="{00000000-0005-0000-0000-00005D710000}"/>
    <cellStyle name="Input 12 3 2 3 3 2" xfId="28964" xr:uid="{00000000-0005-0000-0000-00005E710000}"/>
    <cellStyle name="Input 12 3 2 3 3 3" xfId="28965" xr:uid="{00000000-0005-0000-0000-00005F710000}"/>
    <cellStyle name="Input 12 3 2 3 3 4" xfId="28966" xr:uid="{00000000-0005-0000-0000-000060710000}"/>
    <cellStyle name="Input 12 3 2 3 4" xfId="28967" xr:uid="{00000000-0005-0000-0000-000061710000}"/>
    <cellStyle name="Input 12 3 2 3 5" xfId="28968" xr:uid="{00000000-0005-0000-0000-000062710000}"/>
    <cellStyle name="Input 12 3 2 3 6" xfId="28969" xr:uid="{00000000-0005-0000-0000-000063710000}"/>
    <cellStyle name="Input 12 3 2 4" xfId="28970" xr:uid="{00000000-0005-0000-0000-000064710000}"/>
    <cellStyle name="Input 12 3 2 5" xfId="28971" xr:uid="{00000000-0005-0000-0000-000065710000}"/>
    <cellStyle name="Input 12 3 2 6" xfId="28972" xr:uid="{00000000-0005-0000-0000-000066710000}"/>
    <cellStyle name="Input 12 3 3" xfId="28973" xr:uid="{00000000-0005-0000-0000-000067710000}"/>
    <cellStyle name="Input 12 3 4" xfId="28974" xr:uid="{00000000-0005-0000-0000-000068710000}"/>
    <cellStyle name="Input 12 4" xfId="28975" xr:uid="{00000000-0005-0000-0000-000069710000}"/>
    <cellStyle name="Input 12 4 2" xfId="28976" xr:uid="{00000000-0005-0000-0000-00006A710000}"/>
    <cellStyle name="Input 12 4 2 2" xfId="28977" xr:uid="{00000000-0005-0000-0000-00006B710000}"/>
    <cellStyle name="Input 12 4 2 2 2" xfId="28978" xr:uid="{00000000-0005-0000-0000-00006C710000}"/>
    <cellStyle name="Input 12 4 2 2 2 2" xfId="28979" xr:uid="{00000000-0005-0000-0000-00006D710000}"/>
    <cellStyle name="Input 12 4 2 2 2 3" xfId="28980" xr:uid="{00000000-0005-0000-0000-00006E710000}"/>
    <cellStyle name="Input 12 4 2 2 2 4" xfId="28981" xr:uid="{00000000-0005-0000-0000-00006F710000}"/>
    <cellStyle name="Input 12 4 2 2 3" xfId="28982" xr:uid="{00000000-0005-0000-0000-000070710000}"/>
    <cellStyle name="Input 12 4 2 2 3 2" xfId="28983" xr:uid="{00000000-0005-0000-0000-000071710000}"/>
    <cellStyle name="Input 12 4 2 2 3 3" xfId="28984" xr:uid="{00000000-0005-0000-0000-000072710000}"/>
    <cellStyle name="Input 12 4 2 2 3 4" xfId="28985" xr:uid="{00000000-0005-0000-0000-000073710000}"/>
    <cellStyle name="Input 12 4 2 2 4" xfId="28986" xr:uid="{00000000-0005-0000-0000-000074710000}"/>
    <cellStyle name="Input 12 4 2 2 5" xfId="28987" xr:uid="{00000000-0005-0000-0000-000075710000}"/>
    <cellStyle name="Input 12 4 2 2 6" xfId="28988" xr:uid="{00000000-0005-0000-0000-000076710000}"/>
    <cellStyle name="Input 12 4 2 3" xfId="28989" xr:uid="{00000000-0005-0000-0000-000077710000}"/>
    <cellStyle name="Input 12 4 2 3 2" xfId="28990" xr:uid="{00000000-0005-0000-0000-000078710000}"/>
    <cellStyle name="Input 12 4 2 3 2 2" xfId="28991" xr:uid="{00000000-0005-0000-0000-000079710000}"/>
    <cellStyle name="Input 12 4 2 3 2 3" xfId="28992" xr:uid="{00000000-0005-0000-0000-00007A710000}"/>
    <cellStyle name="Input 12 4 2 3 2 4" xfId="28993" xr:uid="{00000000-0005-0000-0000-00007B710000}"/>
    <cellStyle name="Input 12 4 2 3 3" xfId="28994" xr:uid="{00000000-0005-0000-0000-00007C710000}"/>
    <cellStyle name="Input 12 4 2 3 3 2" xfId="28995" xr:uid="{00000000-0005-0000-0000-00007D710000}"/>
    <cellStyle name="Input 12 4 2 3 3 3" xfId="28996" xr:uid="{00000000-0005-0000-0000-00007E710000}"/>
    <cellStyle name="Input 12 4 2 3 3 4" xfId="28997" xr:uid="{00000000-0005-0000-0000-00007F710000}"/>
    <cellStyle name="Input 12 4 2 3 4" xfId="28998" xr:uid="{00000000-0005-0000-0000-000080710000}"/>
    <cellStyle name="Input 12 4 2 3 5" xfId="28999" xr:uid="{00000000-0005-0000-0000-000081710000}"/>
    <cellStyle name="Input 12 4 2 3 6" xfId="29000" xr:uid="{00000000-0005-0000-0000-000082710000}"/>
    <cellStyle name="Input 12 4 2 4" xfId="29001" xr:uid="{00000000-0005-0000-0000-000083710000}"/>
    <cellStyle name="Input 12 4 2 5" xfId="29002" xr:uid="{00000000-0005-0000-0000-000084710000}"/>
    <cellStyle name="Input 12 4 2 6" xfId="29003" xr:uid="{00000000-0005-0000-0000-000085710000}"/>
    <cellStyle name="Input 12 4 3" xfId="29004" xr:uid="{00000000-0005-0000-0000-000086710000}"/>
    <cellStyle name="Input 12 4 4" xfId="29005" xr:uid="{00000000-0005-0000-0000-000087710000}"/>
    <cellStyle name="Input 12 5" xfId="29006" xr:uid="{00000000-0005-0000-0000-000088710000}"/>
    <cellStyle name="Input 12 5 2" xfId="29007" xr:uid="{00000000-0005-0000-0000-000089710000}"/>
    <cellStyle name="Input 12 5 2 2" xfId="29008" xr:uid="{00000000-0005-0000-0000-00008A710000}"/>
    <cellStyle name="Input 12 5 2 2 2" xfId="29009" xr:uid="{00000000-0005-0000-0000-00008B710000}"/>
    <cellStyle name="Input 12 5 2 2 2 2" xfId="29010" xr:uid="{00000000-0005-0000-0000-00008C710000}"/>
    <cellStyle name="Input 12 5 2 2 2 3" xfId="29011" xr:uid="{00000000-0005-0000-0000-00008D710000}"/>
    <cellStyle name="Input 12 5 2 2 2 4" xfId="29012" xr:uid="{00000000-0005-0000-0000-00008E710000}"/>
    <cellStyle name="Input 12 5 2 2 3" xfId="29013" xr:uid="{00000000-0005-0000-0000-00008F710000}"/>
    <cellStyle name="Input 12 5 2 2 3 2" xfId="29014" xr:uid="{00000000-0005-0000-0000-000090710000}"/>
    <cellStyle name="Input 12 5 2 2 3 3" xfId="29015" xr:uid="{00000000-0005-0000-0000-000091710000}"/>
    <cellStyle name="Input 12 5 2 2 3 4" xfId="29016" xr:uid="{00000000-0005-0000-0000-000092710000}"/>
    <cellStyle name="Input 12 5 2 2 4" xfId="29017" xr:uid="{00000000-0005-0000-0000-000093710000}"/>
    <cellStyle name="Input 12 5 2 2 5" xfId="29018" xr:uid="{00000000-0005-0000-0000-000094710000}"/>
    <cellStyle name="Input 12 5 2 2 6" xfId="29019" xr:uid="{00000000-0005-0000-0000-000095710000}"/>
    <cellStyle name="Input 12 5 2 3" xfId="29020" xr:uid="{00000000-0005-0000-0000-000096710000}"/>
    <cellStyle name="Input 12 5 2 3 2" xfId="29021" xr:uid="{00000000-0005-0000-0000-000097710000}"/>
    <cellStyle name="Input 12 5 2 3 2 2" xfId="29022" xr:uid="{00000000-0005-0000-0000-000098710000}"/>
    <cellStyle name="Input 12 5 2 3 2 3" xfId="29023" xr:uid="{00000000-0005-0000-0000-000099710000}"/>
    <cellStyle name="Input 12 5 2 3 2 4" xfId="29024" xr:uid="{00000000-0005-0000-0000-00009A710000}"/>
    <cellStyle name="Input 12 5 2 3 3" xfId="29025" xr:uid="{00000000-0005-0000-0000-00009B710000}"/>
    <cellStyle name="Input 12 5 2 3 3 2" xfId="29026" xr:uid="{00000000-0005-0000-0000-00009C710000}"/>
    <cellStyle name="Input 12 5 2 3 3 3" xfId="29027" xr:uid="{00000000-0005-0000-0000-00009D710000}"/>
    <cellStyle name="Input 12 5 2 3 3 4" xfId="29028" xr:uid="{00000000-0005-0000-0000-00009E710000}"/>
    <cellStyle name="Input 12 5 2 3 4" xfId="29029" xr:uid="{00000000-0005-0000-0000-00009F710000}"/>
    <cellStyle name="Input 12 5 2 3 5" xfId="29030" xr:uid="{00000000-0005-0000-0000-0000A0710000}"/>
    <cellStyle name="Input 12 5 2 3 6" xfId="29031" xr:uid="{00000000-0005-0000-0000-0000A1710000}"/>
    <cellStyle name="Input 12 5 2 4" xfId="29032" xr:uid="{00000000-0005-0000-0000-0000A2710000}"/>
    <cellStyle name="Input 12 5 2 5" xfId="29033" xr:uid="{00000000-0005-0000-0000-0000A3710000}"/>
    <cellStyle name="Input 12 5 2 6" xfId="29034" xr:uid="{00000000-0005-0000-0000-0000A4710000}"/>
    <cellStyle name="Input 12 5 3" xfId="29035" xr:uid="{00000000-0005-0000-0000-0000A5710000}"/>
    <cellStyle name="Input 12 5 4" xfId="29036" xr:uid="{00000000-0005-0000-0000-0000A6710000}"/>
    <cellStyle name="Input 12 6" xfId="29037" xr:uid="{00000000-0005-0000-0000-0000A7710000}"/>
    <cellStyle name="Input 12 6 2" xfId="29038" xr:uid="{00000000-0005-0000-0000-0000A8710000}"/>
    <cellStyle name="Input 12 6 2 2" xfId="29039" xr:uid="{00000000-0005-0000-0000-0000A9710000}"/>
    <cellStyle name="Input 12 6 2 2 2" xfId="29040" xr:uid="{00000000-0005-0000-0000-0000AA710000}"/>
    <cellStyle name="Input 12 6 2 2 3" xfId="29041" xr:uid="{00000000-0005-0000-0000-0000AB710000}"/>
    <cellStyle name="Input 12 6 2 2 4" xfId="29042" xr:uid="{00000000-0005-0000-0000-0000AC710000}"/>
    <cellStyle name="Input 12 6 2 3" xfId="29043" xr:uid="{00000000-0005-0000-0000-0000AD710000}"/>
    <cellStyle name="Input 12 6 2 3 2" xfId="29044" xr:uid="{00000000-0005-0000-0000-0000AE710000}"/>
    <cellStyle name="Input 12 6 2 3 3" xfId="29045" xr:uid="{00000000-0005-0000-0000-0000AF710000}"/>
    <cellStyle name="Input 12 6 2 3 4" xfId="29046" xr:uid="{00000000-0005-0000-0000-0000B0710000}"/>
    <cellStyle name="Input 12 6 2 4" xfId="29047" xr:uid="{00000000-0005-0000-0000-0000B1710000}"/>
    <cellStyle name="Input 12 6 2 5" xfId="29048" xr:uid="{00000000-0005-0000-0000-0000B2710000}"/>
    <cellStyle name="Input 12 6 2 6" xfId="29049" xr:uid="{00000000-0005-0000-0000-0000B3710000}"/>
    <cellStyle name="Input 12 6 3" xfId="29050" xr:uid="{00000000-0005-0000-0000-0000B4710000}"/>
    <cellStyle name="Input 12 6 3 2" xfId="29051" xr:uid="{00000000-0005-0000-0000-0000B5710000}"/>
    <cellStyle name="Input 12 6 3 2 2" xfId="29052" xr:uid="{00000000-0005-0000-0000-0000B6710000}"/>
    <cellStyle name="Input 12 6 3 2 3" xfId="29053" xr:uid="{00000000-0005-0000-0000-0000B7710000}"/>
    <cellStyle name="Input 12 6 3 2 4" xfId="29054" xr:uid="{00000000-0005-0000-0000-0000B8710000}"/>
    <cellStyle name="Input 12 6 3 3" xfId="29055" xr:uid="{00000000-0005-0000-0000-0000B9710000}"/>
    <cellStyle name="Input 12 6 3 3 2" xfId="29056" xr:uid="{00000000-0005-0000-0000-0000BA710000}"/>
    <cellStyle name="Input 12 6 3 3 3" xfId="29057" xr:uid="{00000000-0005-0000-0000-0000BB710000}"/>
    <cellStyle name="Input 12 6 3 3 4" xfId="29058" xr:uid="{00000000-0005-0000-0000-0000BC710000}"/>
    <cellStyle name="Input 12 6 3 4" xfId="29059" xr:uid="{00000000-0005-0000-0000-0000BD710000}"/>
    <cellStyle name="Input 12 6 3 5" xfId="29060" xr:uid="{00000000-0005-0000-0000-0000BE710000}"/>
    <cellStyle name="Input 12 6 3 6" xfId="29061" xr:uid="{00000000-0005-0000-0000-0000BF710000}"/>
    <cellStyle name="Input 12 6 4" xfId="29062" xr:uid="{00000000-0005-0000-0000-0000C0710000}"/>
    <cellStyle name="Input 12 6 4 2" xfId="29063" xr:uid="{00000000-0005-0000-0000-0000C1710000}"/>
    <cellStyle name="Input 12 6 4 3" xfId="29064" xr:uid="{00000000-0005-0000-0000-0000C2710000}"/>
    <cellStyle name="Input 12 6 4 4" xfId="29065" xr:uid="{00000000-0005-0000-0000-0000C3710000}"/>
    <cellStyle name="Input 12 6 5" xfId="29066" xr:uid="{00000000-0005-0000-0000-0000C4710000}"/>
    <cellStyle name="Input 12 6 6" xfId="29067" xr:uid="{00000000-0005-0000-0000-0000C5710000}"/>
    <cellStyle name="Input 12 7" xfId="29068" xr:uid="{00000000-0005-0000-0000-0000C6710000}"/>
    <cellStyle name="Input 12 7 2" xfId="29069" xr:uid="{00000000-0005-0000-0000-0000C7710000}"/>
    <cellStyle name="Input 12 7 2 2" xfId="29070" xr:uid="{00000000-0005-0000-0000-0000C8710000}"/>
    <cellStyle name="Input 12 7 2 2 2" xfId="29071" xr:uid="{00000000-0005-0000-0000-0000C9710000}"/>
    <cellStyle name="Input 12 7 2 2 3" xfId="29072" xr:uid="{00000000-0005-0000-0000-0000CA710000}"/>
    <cellStyle name="Input 12 7 2 2 4" xfId="29073" xr:uid="{00000000-0005-0000-0000-0000CB710000}"/>
    <cellStyle name="Input 12 7 2 3" xfId="29074" xr:uid="{00000000-0005-0000-0000-0000CC710000}"/>
    <cellStyle name="Input 12 7 2 3 2" xfId="29075" xr:uid="{00000000-0005-0000-0000-0000CD710000}"/>
    <cellStyle name="Input 12 7 2 3 3" xfId="29076" xr:uid="{00000000-0005-0000-0000-0000CE710000}"/>
    <cellStyle name="Input 12 7 2 3 4" xfId="29077" xr:uid="{00000000-0005-0000-0000-0000CF710000}"/>
    <cellStyle name="Input 12 7 2 4" xfId="29078" xr:uid="{00000000-0005-0000-0000-0000D0710000}"/>
    <cellStyle name="Input 12 7 2 5" xfId="29079" xr:uid="{00000000-0005-0000-0000-0000D1710000}"/>
    <cellStyle name="Input 12 7 2 6" xfId="29080" xr:uid="{00000000-0005-0000-0000-0000D2710000}"/>
    <cellStyle name="Input 12 7 3" xfId="29081" xr:uid="{00000000-0005-0000-0000-0000D3710000}"/>
    <cellStyle name="Input 12 7 3 2" xfId="29082" xr:uid="{00000000-0005-0000-0000-0000D4710000}"/>
    <cellStyle name="Input 12 7 3 2 2" xfId="29083" xr:uid="{00000000-0005-0000-0000-0000D5710000}"/>
    <cellStyle name="Input 12 7 3 2 3" xfId="29084" xr:uid="{00000000-0005-0000-0000-0000D6710000}"/>
    <cellStyle name="Input 12 7 3 2 4" xfId="29085" xr:uid="{00000000-0005-0000-0000-0000D7710000}"/>
    <cellStyle name="Input 12 7 3 3" xfId="29086" xr:uid="{00000000-0005-0000-0000-0000D8710000}"/>
    <cellStyle name="Input 12 7 3 3 2" xfId="29087" xr:uid="{00000000-0005-0000-0000-0000D9710000}"/>
    <cellStyle name="Input 12 7 3 3 3" xfId="29088" xr:uid="{00000000-0005-0000-0000-0000DA710000}"/>
    <cellStyle name="Input 12 7 3 3 4" xfId="29089" xr:uid="{00000000-0005-0000-0000-0000DB710000}"/>
    <cellStyle name="Input 12 7 3 4" xfId="29090" xr:uid="{00000000-0005-0000-0000-0000DC710000}"/>
    <cellStyle name="Input 12 7 3 5" xfId="29091" xr:uid="{00000000-0005-0000-0000-0000DD710000}"/>
    <cellStyle name="Input 12 7 3 6" xfId="29092" xr:uid="{00000000-0005-0000-0000-0000DE710000}"/>
    <cellStyle name="Input 12 7 4" xfId="29093" xr:uid="{00000000-0005-0000-0000-0000DF710000}"/>
    <cellStyle name="Input 12 7 4 2" xfId="29094" xr:uid="{00000000-0005-0000-0000-0000E0710000}"/>
    <cellStyle name="Input 12 7 4 3" xfId="29095" xr:uid="{00000000-0005-0000-0000-0000E1710000}"/>
    <cellStyle name="Input 12 7 4 4" xfId="29096" xr:uid="{00000000-0005-0000-0000-0000E2710000}"/>
    <cellStyle name="Input 12 7 5" xfId="29097" xr:uid="{00000000-0005-0000-0000-0000E3710000}"/>
    <cellStyle name="Input 12 7 6" xfId="29098" xr:uid="{00000000-0005-0000-0000-0000E4710000}"/>
    <cellStyle name="Input 12 8" xfId="29099" xr:uid="{00000000-0005-0000-0000-0000E5710000}"/>
    <cellStyle name="Input 12 8 2" xfId="29100" xr:uid="{00000000-0005-0000-0000-0000E6710000}"/>
    <cellStyle name="Input 12 8 2 2" xfId="29101" xr:uid="{00000000-0005-0000-0000-0000E7710000}"/>
    <cellStyle name="Input 12 8 2 2 2" xfId="29102" xr:uid="{00000000-0005-0000-0000-0000E8710000}"/>
    <cellStyle name="Input 12 8 2 2 3" xfId="29103" xr:uid="{00000000-0005-0000-0000-0000E9710000}"/>
    <cellStyle name="Input 12 8 2 2 4" xfId="29104" xr:uid="{00000000-0005-0000-0000-0000EA710000}"/>
    <cellStyle name="Input 12 8 2 3" xfId="29105" xr:uid="{00000000-0005-0000-0000-0000EB710000}"/>
    <cellStyle name="Input 12 8 2 3 2" xfId="29106" xr:uid="{00000000-0005-0000-0000-0000EC710000}"/>
    <cellStyle name="Input 12 8 2 3 3" xfId="29107" xr:uid="{00000000-0005-0000-0000-0000ED710000}"/>
    <cellStyle name="Input 12 8 2 3 4" xfId="29108" xr:uid="{00000000-0005-0000-0000-0000EE710000}"/>
    <cellStyle name="Input 12 8 2 4" xfId="29109" xr:uid="{00000000-0005-0000-0000-0000EF710000}"/>
    <cellStyle name="Input 12 8 2 5" xfId="29110" xr:uid="{00000000-0005-0000-0000-0000F0710000}"/>
    <cellStyle name="Input 12 8 2 6" xfId="29111" xr:uid="{00000000-0005-0000-0000-0000F1710000}"/>
    <cellStyle name="Input 12 8 3" xfId="29112" xr:uid="{00000000-0005-0000-0000-0000F2710000}"/>
    <cellStyle name="Input 12 8 3 2" xfId="29113" xr:uid="{00000000-0005-0000-0000-0000F3710000}"/>
    <cellStyle name="Input 12 8 3 2 2" xfId="29114" xr:uid="{00000000-0005-0000-0000-0000F4710000}"/>
    <cellStyle name="Input 12 8 3 2 3" xfId="29115" xr:uid="{00000000-0005-0000-0000-0000F5710000}"/>
    <cellStyle name="Input 12 8 3 2 4" xfId="29116" xr:uid="{00000000-0005-0000-0000-0000F6710000}"/>
    <cellStyle name="Input 12 8 3 3" xfId="29117" xr:uid="{00000000-0005-0000-0000-0000F7710000}"/>
    <cellStyle name="Input 12 8 3 3 2" xfId="29118" xr:uid="{00000000-0005-0000-0000-0000F8710000}"/>
    <cellStyle name="Input 12 8 3 3 3" xfId="29119" xr:uid="{00000000-0005-0000-0000-0000F9710000}"/>
    <cellStyle name="Input 12 8 3 3 4" xfId="29120" xr:uid="{00000000-0005-0000-0000-0000FA710000}"/>
    <cellStyle name="Input 12 8 3 4" xfId="29121" xr:uid="{00000000-0005-0000-0000-0000FB710000}"/>
    <cellStyle name="Input 12 8 3 5" xfId="29122" xr:uid="{00000000-0005-0000-0000-0000FC710000}"/>
    <cellStyle name="Input 12 8 3 6" xfId="29123" xr:uid="{00000000-0005-0000-0000-0000FD710000}"/>
    <cellStyle name="Input 12 8 4" xfId="29124" xr:uid="{00000000-0005-0000-0000-0000FE710000}"/>
    <cellStyle name="Input 12 8 4 2" xfId="29125" xr:uid="{00000000-0005-0000-0000-0000FF710000}"/>
    <cellStyle name="Input 12 8 4 3" xfId="29126" xr:uid="{00000000-0005-0000-0000-000000720000}"/>
    <cellStyle name="Input 12 8 4 4" xfId="29127" xr:uid="{00000000-0005-0000-0000-000001720000}"/>
    <cellStyle name="Input 12 8 5" xfId="29128" xr:uid="{00000000-0005-0000-0000-000002720000}"/>
    <cellStyle name="Input 12 8 6" xfId="29129" xr:uid="{00000000-0005-0000-0000-000003720000}"/>
    <cellStyle name="Input 12 9" xfId="29130" xr:uid="{00000000-0005-0000-0000-000004720000}"/>
    <cellStyle name="Input 12 9 2" xfId="29131" xr:uid="{00000000-0005-0000-0000-000005720000}"/>
    <cellStyle name="Input 12 9 2 2" xfId="29132" xr:uid="{00000000-0005-0000-0000-000006720000}"/>
    <cellStyle name="Input 12 9 2 2 2" xfId="29133" xr:uid="{00000000-0005-0000-0000-000007720000}"/>
    <cellStyle name="Input 12 9 2 2 3" xfId="29134" xr:uid="{00000000-0005-0000-0000-000008720000}"/>
    <cellStyle name="Input 12 9 2 2 4" xfId="29135" xr:uid="{00000000-0005-0000-0000-000009720000}"/>
    <cellStyle name="Input 12 9 2 3" xfId="29136" xr:uid="{00000000-0005-0000-0000-00000A720000}"/>
    <cellStyle name="Input 12 9 2 3 2" xfId="29137" xr:uid="{00000000-0005-0000-0000-00000B720000}"/>
    <cellStyle name="Input 12 9 2 3 3" xfId="29138" xr:uid="{00000000-0005-0000-0000-00000C720000}"/>
    <cellStyle name="Input 12 9 2 3 4" xfId="29139" xr:uid="{00000000-0005-0000-0000-00000D720000}"/>
    <cellStyle name="Input 12 9 2 4" xfId="29140" xr:uid="{00000000-0005-0000-0000-00000E720000}"/>
    <cellStyle name="Input 12 9 2 5" xfId="29141" xr:uid="{00000000-0005-0000-0000-00000F720000}"/>
    <cellStyle name="Input 12 9 2 6" xfId="29142" xr:uid="{00000000-0005-0000-0000-000010720000}"/>
    <cellStyle name="Input 12 9 3" xfId="29143" xr:uid="{00000000-0005-0000-0000-000011720000}"/>
    <cellStyle name="Input 12 9 3 2" xfId="29144" xr:uid="{00000000-0005-0000-0000-000012720000}"/>
    <cellStyle name="Input 12 9 3 2 2" xfId="29145" xr:uid="{00000000-0005-0000-0000-000013720000}"/>
    <cellStyle name="Input 12 9 3 2 3" xfId="29146" xr:uid="{00000000-0005-0000-0000-000014720000}"/>
    <cellStyle name="Input 12 9 3 2 4" xfId="29147" xr:uid="{00000000-0005-0000-0000-000015720000}"/>
    <cellStyle name="Input 12 9 3 3" xfId="29148" xr:uid="{00000000-0005-0000-0000-000016720000}"/>
    <cellStyle name="Input 12 9 3 3 2" xfId="29149" xr:uid="{00000000-0005-0000-0000-000017720000}"/>
    <cellStyle name="Input 12 9 3 3 3" xfId="29150" xr:uid="{00000000-0005-0000-0000-000018720000}"/>
    <cellStyle name="Input 12 9 3 3 4" xfId="29151" xr:uid="{00000000-0005-0000-0000-000019720000}"/>
    <cellStyle name="Input 12 9 3 4" xfId="29152" xr:uid="{00000000-0005-0000-0000-00001A720000}"/>
    <cellStyle name="Input 12 9 3 5" xfId="29153" xr:uid="{00000000-0005-0000-0000-00001B720000}"/>
    <cellStyle name="Input 12 9 3 6" xfId="29154" xr:uid="{00000000-0005-0000-0000-00001C720000}"/>
    <cellStyle name="Input 12 9 4" xfId="29155" xr:uid="{00000000-0005-0000-0000-00001D720000}"/>
    <cellStyle name="Input 12 9 4 2" xfId="29156" xr:uid="{00000000-0005-0000-0000-00001E720000}"/>
    <cellStyle name="Input 12 9 4 3" xfId="29157" xr:uid="{00000000-0005-0000-0000-00001F720000}"/>
    <cellStyle name="Input 12 9 4 4" xfId="29158" xr:uid="{00000000-0005-0000-0000-000020720000}"/>
    <cellStyle name="Input 12 9 5" xfId="29159" xr:uid="{00000000-0005-0000-0000-000021720000}"/>
    <cellStyle name="Input 12 9 6" xfId="29160" xr:uid="{00000000-0005-0000-0000-000022720000}"/>
    <cellStyle name="Input 13" xfId="29161" xr:uid="{00000000-0005-0000-0000-000023720000}"/>
    <cellStyle name="Input 13 10" xfId="29162" xr:uid="{00000000-0005-0000-0000-000024720000}"/>
    <cellStyle name="Input 13 10 2" xfId="29163" xr:uid="{00000000-0005-0000-0000-000025720000}"/>
    <cellStyle name="Input 13 10 2 2" xfId="29164" xr:uid="{00000000-0005-0000-0000-000026720000}"/>
    <cellStyle name="Input 13 10 2 2 2" xfId="29165" xr:uid="{00000000-0005-0000-0000-000027720000}"/>
    <cellStyle name="Input 13 10 2 2 3" xfId="29166" xr:uid="{00000000-0005-0000-0000-000028720000}"/>
    <cellStyle name="Input 13 10 2 2 4" xfId="29167" xr:uid="{00000000-0005-0000-0000-000029720000}"/>
    <cellStyle name="Input 13 10 2 3" xfId="29168" xr:uid="{00000000-0005-0000-0000-00002A720000}"/>
    <cellStyle name="Input 13 10 2 3 2" xfId="29169" xr:uid="{00000000-0005-0000-0000-00002B720000}"/>
    <cellStyle name="Input 13 10 2 3 3" xfId="29170" xr:uid="{00000000-0005-0000-0000-00002C720000}"/>
    <cellStyle name="Input 13 10 2 3 4" xfId="29171" xr:uid="{00000000-0005-0000-0000-00002D720000}"/>
    <cellStyle name="Input 13 10 2 4" xfId="29172" xr:uid="{00000000-0005-0000-0000-00002E720000}"/>
    <cellStyle name="Input 13 10 2 5" xfId="29173" xr:uid="{00000000-0005-0000-0000-00002F720000}"/>
    <cellStyle name="Input 13 10 2 6" xfId="29174" xr:uid="{00000000-0005-0000-0000-000030720000}"/>
    <cellStyle name="Input 13 10 3" xfId="29175" xr:uid="{00000000-0005-0000-0000-000031720000}"/>
    <cellStyle name="Input 13 10 3 2" xfId="29176" xr:uid="{00000000-0005-0000-0000-000032720000}"/>
    <cellStyle name="Input 13 10 3 2 2" xfId="29177" xr:uid="{00000000-0005-0000-0000-000033720000}"/>
    <cellStyle name="Input 13 10 3 2 3" xfId="29178" xr:uid="{00000000-0005-0000-0000-000034720000}"/>
    <cellStyle name="Input 13 10 3 2 4" xfId="29179" xr:uid="{00000000-0005-0000-0000-000035720000}"/>
    <cellStyle name="Input 13 10 3 3" xfId="29180" xr:uid="{00000000-0005-0000-0000-000036720000}"/>
    <cellStyle name="Input 13 10 3 3 2" xfId="29181" xr:uid="{00000000-0005-0000-0000-000037720000}"/>
    <cellStyle name="Input 13 10 3 3 3" xfId="29182" xr:uid="{00000000-0005-0000-0000-000038720000}"/>
    <cellStyle name="Input 13 10 3 3 4" xfId="29183" xr:uid="{00000000-0005-0000-0000-000039720000}"/>
    <cellStyle name="Input 13 10 3 4" xfId="29184" xr:uid="{00000000-0005-0000-0000-00003A720000}"/>
    <cellStyle name="Input 13 10 3 5" xfId="29185" xr:uid="{00000000-0005-0000-0000-00003B720000}"/>
    <cellStyle name="Input 13 10 3 6" xfId="29186" xr:uid="{00000000-0005-0000-0000-00003C720000}"/>
    <cellStyle name="Input 13 10 4" xfId="29187" xr:uid="{00000000-0005-0000-0000-00003D720000}"/>
    <cellStyle name="Input 13 10 5" xfId="29188" xr:uid="{00000000-0005-0000-0000-00003E720000}"/>
    <cellStyle name="Input 13 10 6" xfId="29189" xr:uid="{00000000-0005-0000-0000-00003F720000}"/>
    <cellStyle name="Input 13 11" xfId="29190" xr:uid="{00000000-0005-0000-0000-000040720000}"/>
    <cellStyle name="Input 13 12" xfId="29191" xr:uid="{00000000-0005-0000-0000-000041720000}"/>
    <cellStyle name="Input 13 2" xfId="29192" xr:uid="{00000000-0005-0000-0000-000042720000}"/>
    <cellStyle name="Input 13 2 2" xfId="29193" xr:uid="{00000000-0005-0000-0000-000043720000}"/>
    <cellStyle name="Input 13 2 2 2" xfId="29194" xr:uid="{00000000-0005-0000-0000-000044720000}"/>
    <cellStyle name="Input 13 2 2 2 2" xfId="29195" xr:uid="{00000000-0005-0000-0000-000045720000}"/>
    <cellStyle name="Input 13 2 2 2 2 2" xfId="29196" xr:uid="{00000000-0005-0000-0000-000046720000}"/>
    <cellStyle name="Input 13 2 2 2 2 3" xfId="29197" xr:uid="{00000000-0005-0000-0000-000047720000}"/>
    <cellStyle name="Input 13 2 2 2 2 4" xfId="29198" xr:uid="{00000000-0005-0000-0000-000048720000}"/>
    <cellStyle name="Input 13 2 2 2 3" xfId="29199" xr:uid="{00000000-0005-0000-0000-000049720000}"/>
    <cellStyle name="Input 13 2 2 2 3 2" xfId="29200" xr:uid="{00000000-0005-0000-0000-00004A720000}"/>
    <cellStyle name="Input 13 2 2 2 3 3" xfId="29201" xr:uid="{00000000-0005-0000-0000-00004B720000}"/>
    <cellStyle name="Input 13 2 2 2 3 4" xfId="29202" xr:uid="{00000000-0005-0000-0000-00004C720000}"/>
    <cellStyle name="Input 13 2 2 2 4" xfId="29203" xr:uid="{00000000-0005-0000-0000-00004D720000}"/>
    <cellStyle name="Input 13 2 2 2 5" xfId="29204" xr:uid="{00000000-0005-0000-0000-00004E720000}"/>
    <cellStyle name="Input 13 2 2 2 6" xfId="29205" xr:uid="{00000000-0005-0000-0000-00004F720000}"/>
    <cellStyle name="Input 13 2 2 3" xfId="29206" xr:uid="{00000000-0005-0000-0000-000050720000}"/>
    <cellStyle name="Input 13 2 2 3 2" xfId="29207" xr:uid="{00000000-0005-0000-0000-000051720000}"/>
    <cellStyle name="Input 13 2 2 3 2 2" xfId="29208" xr:uid="{00000000-0005-0000-0000-000052720000}"/>
    <cellStyle name="Input 13 2 2 3 2 3" xfId="29209" xr:uid="{00000000-0005-0000-0000-000053720000}"/>
    <cellStyle name="Input 13 2 2 3 2 4" xfId="29210" xr:uid="{00000000-0005-0000-0000-000054720000}"/>
    <cellStyle name="Input 13 2 2 3 3" xfId="29211" xr:uid="{00000000-0005-0000-0000-000055720000}"/>
    <cellStyle name="Input 13 2 2 3 3 2" xfId="29212" xr:uid="{00000000-0005-0000-0000-000056720000}"/>
    <cellStyle name="Input 13 2 2 3 3 3" xfId="29213" xr:uid="{00000000-0005-0000-0000-000057720000}"/>
    <cellStyle name="Input 13 2 2 3 3 4" xfId="29214" xr:uid="{00000000-0005-0000-0000-000058720000}"/>
    <cellStyle name="Input 13 2 2 3 4" xfId="29215" xr:uid="{00000000-0005-0000-0000-000059720000}"/>
    <cellStyle name="Input 13 2 2 3 5" xfId="29216" xr:uid="{00000000-0005-0000-0000-00005A720000}"/>
    <cellStyle name="Input 13 2 2 3 6" xfId="29217" xr:uid="{00000000-0005-0000-0000-00005B720000}"/>
    <cellStyle name="Input 13 2 2 4" xfId="29218" xr:uid="{00000000-0005-0000-0000-00005C720000}"/>
    <cellStyle name="Input 13 2 2 5" xfId="29219" xr:uid="{00000000-0005-0000-0000-00005D720000}"/>
    <cellStyle name="Input 13 2 2 6" xfId="29220" xr:uid="{00000000-0005-0000-0000-00005E720000}"/>
    <cellStyle name="Input 13 2 3" xfId="29221" xr:uid="{00000000-0005-0000-0000-00005F720000}"/>
    <cellStyle name="Input 13 2 4" xfId="29222" xr:uid="{00000000-0005-0000-0000-000060720000}"/>
    <cellStyle name="Input 13 3" xfId="29223" xr:uid="{00000000-0005-0000-0000-000061720000}"/>
    <cellStyle name="Input 13 3 2" xfId="29224" xr:uid="{00000000-0005-0000-0000-000062720000}"/>
    <cellStyle name="Input 13 3 2 2" xfId="29225" xr:uid="{00000000-0005-0000-0000-000063720000}"/>
    <cellStyle name="Input 13 3 2 2 2" xfId="29226" xr:uid="{00000000-0005-0000-0000-000064720000}"/>
    <cellStyle name="Input 13 3 2 2 2 2" xfId="29227" xr:uid="{00000000-0005-0000-0000-000065720000}"/>
    <cellStyle name="Input 13 3 2 2 2 3" xfId="29228" xr:uid="{00000000-0005-0000-0000-000066720000}"/>
    <cellStyle name="Input 13 3 2 2 2 4" xfId="29229" xr:uid="{00000000-0005-0000-0000-000067720000}"/>
    <cellStyle name="Input 13 3 2 2 3" xfId="29230" xr:uid="{00000000-0005-0000-0000-000068720000}"/>
    <cellStyle name="Input 13 3 2 2 3 2" xfId="29231" xr:uid="{00000000-0005-0000-0000-000069720000}"/>
    <cellStyle name="Input 13 3 2 2 3 3" xfId="29232" xr:uid="{00000000-0005-0000-0000-00006A720000}"/>
    <cellStyle name="Input 13 3 2 2 3 4" xfId="29233" xr:uid="{00000000-0005-0000-0000-00006B720000}"/>
    <cellStyle name="Input 13 3 2 2 4" xfId="29234" xr:uid="{00000000-0005-0000-0000-00006C720000}"/>
    <cellStyle name="Input 13 3 2 2 5" xfId="29235" xr:uid="{00000000-0005-0000-0000-00006D720000}"/>
    <cellStyle name="Input 13 3 2 2 6" xfId="29236" xr:uid="{00000000-0005-0000-0000-00006E720000}"/>
    <cellStyle name="Input 13 3 2 3" xfId="29237" xr:uid="{00000000-0005-0000-0000-00006F720000}"/>
    <cellStyle name="Input 13 3 2 3 2" xfId="29238" xr:uid="{00000000-0005-0000-0000-000070720000}"/>
    <cellStyle name="Input 13 3 2 3 2 2" xfId="29239" xr:uid="{00000000-0005-0000-0000-000071720000}"/>
    <cellStyle name="Input 13 3 2 3 2 3" xfId="29240" xr:uid="{00000000-0005-0000-0000-000072720000}"/>
    <cellStyle name="Input 13 3 2 3 2 4" xfId="29241" xr:uid="{00000000-0005-0000-0000-000073720000}"/>
    <cellStyle name="Input 13 3 2 3 3" xfId="29242" xr:uid="{00000000-0005-0000-0000-000074720000}"/>
    <cellStyle name="Input 13 3 2 3 3 2" xfId="29243" xr:uid="{00000000-0005-0000-0000-000075720000}"/>
    <cellStyle name="Input 13 3 2 3 3 3" xfId="29244" xr:uid="{00000000-0005-0000-0000-000076720000}"/>
    <cellStyle name="Input 13 3 2 3 3 4" xfId="29245" xr:uid="{00000000-0005-0000-0000-000077720000}"/>
    <cellStyle name="Input 13 3 2 3 4" xfId="29246" xr:uid="{00000000-0005-0000-0000-000078720000}"/>
    <cellStyle name="Input 13 3 2 3 5" xfId="29247" xr:uid="{00000000-0005-0000-0000-000079720000}"/>
    <cellStyle name="Input 13 3 2 3 6" xfId="29248" xr:uid="{00000000-0005-0000-0000-00007A720000}"/>
    <cellStyle name="Input 13 3 2 4" xfId="29249" xr:uid="{00000000-0005-0000-0000-00007B720000}"/>
    <cellStyle name="Input 13 3 2 5" xfId="29250" xr:uid="{00000000-0005-0000-0000-00007C720000}"/>
    <cellStyle name="Input 13 3 2 6" xfId="29251" xr:uid="{00000000-0005-0000-0000-00007D720000}"/>
    <cellStyle name="Input 13 3 3" xfId="29252" xr:uid="{00000000-0005-0000-0000-00007E720000}"/>
    <cellStyle name="Input 13 3 4" xfId="29253" xr:uid="{00000000-0005-0000-0000-00007F720000}"/>
    <cellStyle name="Input 13 4" xfId="29254" xr:uid="{00000000-0005-0000-0000-000080720000}"/>
    <cellStyle name="Input 13 4 2" xfId="29255" xr:uid="{00000000-0005-0000-0000-000081720000}"/>
    <cellStyle name="Input 13 4 2 2" xfId="29256" xr:uid="{00000000-0005-0000-0000-000082720000}"/>
    <cellStyle name="Input 13 4 2 2 2" xfId="29257" xr:uid="{00000000-0005-0000-0000-000083720000}"/>
    <cellStyle name="Input 13 4 2 2 2 2" xfId="29258" xr:uid="{00000000-0005-0000-0000-000084720000}"/>
    <cellStyle name="Input 13 4 2 2 2 3" xfId="29259" xr:uid="{00000000-0005-0000-0000-000085720000}"/>
    <cellStyle name="Input 13 4 2 2 2 4" xfId="29260" xr:uid="{00000000-0005-0000-0000-000086720000}"/>
    <cellStyle name="Input 13 4 2 2 3" xfId="29261" xr:uid="{00000000-0005-0000-0000-000087720000}"/>
    <cellStyle name="Input 13 4 2 2 3 2" xfId="29262" xr:uid="{00000000-0005-0000-0000-000088720000}"/>
    <cellStyle name="Input 13 4 2 2 3 3" xfId="29263" xr:uid="{00000000-0005-0000-0000-000089720000}"/>
    <cellStyle name="Input 13 4 2 2 3 4" xfId="29264" xr:uid="{00000000-0005-0000-0000-00008A720000}"/>
    <cellStyle name="Input 13 4 2 2 4" xfId="29265" xr:uid="{00000000-0005-0000-0000-00008B720000}"/>
    <cellStyle name="Input 13 4 2 2 5" xfId="29266" xr:uid="{00000000-0005-0000-0000-00008C720000}"/>
    <cellStyle name="Input 13 4 2 2 6" xfId="29267" xr:uid="{00000000-0005-0000-0000-00008D720000}"/>
    <cellStyle name="Input 13 4 2 3" xfId="29268" xr:uid="{00000000-0005-0000-0000-00008E720000}"/>
    <cellStyle name="Input 13 4 2 3 2" xfId="29269" xr:uid="{00000000-0005-0000-0000-00008F720000}"/>
    <cellStyle name="Input 13 4 2 3 2 2" xfId="29270" xr:uid="{00000000-0005-0000-0000-000090720000}"/>
    <cellStyle name="Input 13 4 2 3 2 3" xfId="29271" xr:uid="{00000000-0005-0000-0000-000091720000}"/>
    <cellStyle name="Input 13 4 2 3 2 4" xfId="29272" xr:uid="{00000000-0005-0000-0000-000092720000}"/>
    <cellStyle name="Input 13 4 2 3 3" xfId="29273" xr:uid="{00000000-0005-0000-0000-000093720000}"/>
    <cellStyle name="Input 13 4 2 3 3 2" xfId="29274" xr:uid="{00000000-0005-0000-0000-000094720000}"/>
    <cellStyle name="Input 13 4 2 3 3 3" xfId="29275" xr:uid="{00000000-0005-0000-0000-000095720000}"/>
    <cellStyle name="Input 13 4 2 3 3 4" xfId="29276" xr:uid="{00000000-0005-0000-0000-000096720000}"/>
    <cellStyle name="Input 13 4 2 3 4" xfId="29277" xr:uid="{00000000-0005-0000-0000-000097720000}"/>
    <cellStyle name="Input 13 4 2 3 5" xfId="29278" xr:uid="{00000000-0005-0000-0000-000098720000}"/>
    <cellStyle name="Input 13 4 2 3 6" xfId="29279" xr:uid="{00000000-0005-0000-0000-000099720000}"/>
    <cellStyle name="Input 13 4 2 4" xfId="29280" xr:uid="{00000000-0005-0000-0000-00009A720000}"/>
    <cellStyle name="Input 13 4 2 5" xfId="29281" xr:uid="{00000000-0005-0000-0000-00009B720000}"/>
    <cellStyle name="Input 13 4 2 6" xfId="29282" xr:uid="{00000000-0005-0000-0000-00009C720000}"/>
    <cellStyle name="Input 13 4 3" xfId="29283" xr:uid="{00000000-0005-0000-0000-00009D720000}"/>
    <cellStyle name="Input 13 4 4" xfId="29284" xr:uid="{00000000-0005-0000-0000-00009E720000}"/>
    <cellStyle name="Input 13 5" xfId="29285" xr:uid="{00000000-0005-0000-0000-00009F720000}"/>
    <cellStyle name="Input 13 5 2" xfId="29286" xr:uid="{00000000-0005-0000-0000-0000A0720000}"/>
    <cellStyle name="Input 13 5 2 2" xfId="29287" xr:uid="{00000000-0005-0000-0000-0000A1720000}"/>
    <cellStyle name="Input 13 5 2 2 2" xfId="29288" xr:uid="{00000000-0005-0000-0000-0000A2720000}"/>
    <cellStyle name="Input 13 5 2 2 2 2" xfId="29289" xr:uid="{00000000-0005-0000-0000-0000A3720000}"/>
    <cellStyle name="Input 13 5 2 2 2 3" xfId="29290" xr:uid="{00000000-0005-0000-0000-0000A4720000}"/>
    <cellStyle name="Input 13 5 2 2 2 4" xfId="29291" xr:uid="{00000000-0005-0000-0000-0000A5720000}"/>
    <cellStyle name="Input 13 5 2 2 3" xfId="29292" xr:uid="{00000000-0005-0000-0000-0000A6720000}"/>
    <cellStyle name="Input 13 5 2 2 3 2" xfId="29293" xr:uid="{00000000-0005-0000-0000-0000A7720000}"/>
    <cellStyle name="Input 13 5 2 2 3 3" xfId="29294" xr:uid="{00000000-0005-0000-0000-0000A8720000}"/>
    <cellStyle name="Input 13 5 2 2 3 4" xfId="29295" xr:uid="{00000000-0005-0000-0000-0000A9720000}"/>
    <cellStyle name="Input 13 5 2 2 4" xfId="29296" xr:uid="{00000000-0005-0000-0000-0000AA720000}"/>
    <cellStyle name="Input 13 5 2 2 5" xfId="29297" xr:uid="{00000000-0005-0000-0000-0000AB720000}"/>
    <cellStyle name="Input 13 5 2 2 6" xfId="29298" xr:uid="{00000000-0005-0000-0000-0000AC720000}"/>
    <cellStyle name="Input 13 5 2 3" xfId="29299" xr:uid="{00000000-0005-0000-0000-0000AD720000}"/>
    <cellStyle name="Input 13 5 2 3 2" xfId="29300" xr:uid="{00000000-0005-0000-0000-0000AE720000}"/>
    <cellStyle name="Input 13 5 2 3 2 2" xfId="29301" xr:uid="{00000000-0005-0000-0000-0000AF720000}"/>
    <cellStyle name="Input 13 5 2 3 2 3" xfId="29302" xr:uid="{00000000-0005-0000-0000-0000B0720000}"/>
    <cellStyle name="Input 13 5 2 3 2 4" xfId="29303" xr:uid="{00000000-0005-0000-0000-0000B1720000}"/>
    <cellStyle name="Input 13 5 2 3 3" xfId="29304" xr:uid="{00000000-0005-0000-0000-0000B2720000}"/>
    <cellStyle name="Input 13 5 2 3 3 2" xfId="29305" xr:uid="{00000000-0005-0000-0000-0000B3720000}"/>
    <cellStyle name="Input 13 5 2 3 3 3" xfId="29306" xr:uid="{00000000-0005-0000-0000-0000B4720000}"/>
    <cellStyle name="Input 13 5 2 3 3 4" xfId="29307" xr:uid="{00000000-0005-0000-0000-0000B5720000}"/>
    <cellStyle name="Input 13 5 2 3 4" xfId="29308" xr:uid="{00000000-0005-0000-0000-0000B6720000}"/>
    <cellStyle name="Input 13 5 2 3 5" xfId="29309" xr:uid="{00000000-0005-0000-0000-0000B7720000}"/>
    <cellStyle name="Input 13 5 2 3 6" xfId="29310" xr:uid="{00000000-0005-0000-0000-0000B8720000}"/>
    <cellStyle name="Input 13 5 2 4" xfId="29311" xr:uid="{00000000-0005-0000-0000-0000B9720000}"/>
    <cellStyle name="Input 13 5 2 5" xfId="29312" xr:uid="{00000000-0005-0000-0000-0000BA720000}"/>
    <cellStyle name="Input 13 5 2 6" xfId="29313" xr:uid="{00000000-0005-0000-0000-0000BB720000}"/>
    <cellStyle name="Input 13 5 3" xfId="29314" xr:uid="{00000000-0005-0000-0000-0000BC720000}"/>
    <cellStyle name="Input 13 5 4" xfId="29315" xr:uid="{00000000-0005-0000-0000-0000BD720000}"/>
    <cellStyle name="Input 13 6" xfId="29316" xr:uid="{00000000-0005-0000-0000-0000BE720000}"/>
    <cellStyle name="Input 13 6 2" xfId="29317" xr:uid="{00000000-0005-0000-0000-0000BF720000}"/>
    <cellStyle name="Input 13 6 2 2" xfId="29318" xr:uid="{00000000-0005-0000-0000-0000C0720000}"/>
    <cellStyle name="Input 13 6 2 2 2" xfId="29319" xr:uid="{00000000-0005-0000-0000-0000C1720000}"/>
    <cellStyle name="Input 13 6 2 2 3" xfId="29320" xr:uid="{00000000-0005-0000-0000-0000C2720000}"/>
    <cellStyle name="Input 13 6 2 2 4" xfId="29321" xr:uid="{00000000-0005-0000-0000-0000C3720000}"/>
    <cellStyle name="Input 13 6 2 3" xfId="29322" xr:uid="{00000000-0005-0000-0000-0000C4720000}"/>
    <cellStyle name="Input 13 6 2 3 2" xfId="29323" xr:uid="{00000000-0005-0000-0000-0000C5720000}"/>
    <cellStyle name="Input 13 6 2 3 3" xfId="29324" xr:uid="{00000000-0005-0000-0000-0000C6720000}"/>
    <cellStyle name="Input 13 6 2 3 4" xfId="29325" xr:uid="{00000000-0005-0000-0000-0000C7720000}"/>
    <cellStyle name="Input 13 6 2 4" xfId="29326" xr:uid="{00000000-0005-0000-0000-0000C8720000}"/>
    <cellStyle name="Input 13 6 2 5" xfId="29327" xr:uid="{00000000-0005-0000-0000-0000C9720000}"/>
    <cellStyle name="Input 13 6 2 6" xfId="29328" xr:uid="{00000000-0005-0000-0000-0000CA720000}"/>
    <cellStyle name="Input 13 6 3" xfId="29329" xr:uid="{00000000-0005-0000-0000-0000CB720000}"/>
    <cellStyle name="Input 13 6 3 2" xfId="29330" xr:uid="{00000000-0005-0000-0000-0000CC720000}"/>
    <cellStyle name="Input 13 6 3 2 2" xfId="29331" xr:uid="{00000000-0005-0000-0000-0000CD720000}"/>
    <cellStyle name="Input 13 6 3 2 3" xfId="29332" xr:uid="{00000000-0005-0000-0000-0000CE720000}"/>
    <cellStyle name="Input 13 6 3 2 4" xfId="29333" xr:uid="{00000000-0005-0000-0000-0000CF720000}"/>
    <cellStyle name="Input 13 6 3 3" xfId="29334" xr:uid="{00000000-0005-0000-0000-0000D0720000}"/>
    <cellStyle name="Input 13 6 3 3 2" xfId="29335" xr:uid="{00000000-0005-0000-0000-0000D1720000}"/>
    <cellStyle name="Input 13 6 3 3 3" xfId="29336" xr:uid="{00000000-0005-0000-0000-0000D2720000}"/>
    <cellStyle name="Input 13 6 3 3 4" xfId="29337" xr:uid="{00000000-0005-0000-0000-0000D3720000}"/>
    <cellStyle name="Input 13 6 3 4" xfId="29338" xr:uid="{00000000-0005-0000-0000-0000D4720000}"/>
    <cellStyle name="Input 13 6 3 5" xfId="29339" xr:uid="{00000000-0005-0000-0000-0000D5720000}"/>
    <cellStyle name="Input 13 6 3 6" xfId="29340" xr:uid="{00000000-0005-0000-0000-0000D6720000}"/>
    <cellStyle name="Input 13 6 4" xfId="29341" xr:uid="{00000000-0005-0000-0000-0000D7720000}"/>
    <cellStyle name="Input 13 6 4 2" xfId="29342" xr:uid="{00000000-0005-0000-0000-0000D8720000}"/>
    <cellStyle name="Input 13 6 4 3" xfId="29343" xr:uid="{00000000-0005-0000-0000-0000D9720000}"/>
    <cellStyle name="Input 13 6 4 4" xfId="29344" xr:uid="{00000000-0005-0000-0000-0000DA720000}"/>
    <cellStyle name="Input 13 6 5" xfId="29345" xr:uid="{00000000-0005-0000-0000-0000DB720000}"/>
    <cellStyle name="Input 13 6 6" xfId="29346" xr:uid="{00000000-0005-0000-0000-0000DC720000}"/>
    <cellStyle name="Input 13 7" xfId="29347" xr:uid="{00000000-0005-0000-0000-0000DD720000}"/>
    <cellStyle name="Input 13 7 2" xfId="29348" xr:uid="{00000000-0005-0000-0000-0000DE720000}"/>
    <cellStyle name="Input 13 7 2 2" xfId="29349" xr:uid="{00000000-0005-0000-0000-0000DF720000}"/>
    <cellStyle name="Input 13 7 2 2 2" xfId="29350" xr:uid="{00000000-0005-0000-0000-0000E0720000}"/>
    <cellStyle name="Input 13 7 2 2 3" xfId="29351" xr:uid="{00000000-0005-0000-0000-0000E1720000}"/>
    <cellStyle name="Input 13 7 2 2 4" xfId="29352" xr:uid="{00000000-0005-0000-0000-0000E2720000}"/>
    <cellStyle name="Input 13 7 2 3" xfId="29353" xr:uid="{00000000-0005-0000-0000-0000E3720000}"/>
    <cellStyle name="Input 13 7 2 3 2" xfId="29354" xr:uid="{00000000-0005-0000-0000-0000E4720000}"/>
    <cellStyle name="Input 13 7 2 3 3" xfId="29355" xr:uid="{00000000-0005-0000-0000-0000E5720000}"/>
    <cellStyle name="Input 13 7 2 3 4" xfId="29356" xr:uid="{00000000-0005-0000-0000-0000E6720000}"/>
    <cellStyle name="Input 13 7 2 4" xfId="29357" xr:uid="{00000000-0005-0000-0000-0000E7720000}"/>
    <cellStyle name="Input 13 7 2 5" xfId="29358" xr:uid="{00000000-0005-0000-0000-0000E8720000}"/>
    <cellStyle name="Input 13 7 2 6" xfId="29359" xr:uid="{00000000-0005-0000-0000-0000E9720000}"/>
    <cellStyle name="Input 13 7 3" xfId="29360" xr:uid="{00000000-0005-0000-0000-0000EA720000}"/>
    <cellStyle name="Input 13 7 3 2" xfId="29361" xr:uid="{00000000-0005-0000-0000-0000EB720000}"/>
    <cellStyle name="Input 13 7 3 2 2" xfId="29362" xr:uid="{00000000-0005-0000-0000-0000EC720000}"/>
    <cellStyle name="Input 13 7 3 2 3" xfId="29363" xr:uid="{00000000-0005-0000-0000-0000ED720000}"/>
    <cellStyle name="Input 13 7 3 2 4" xfId="29364" xr:uid="{00000000-0005-0000-0000-0000EE720000}"/>
    <cellStyle name="Input 13 7 3 3" xfId="29365" xr:uid="{00000000-0005-0000-0000-0000EF720000}"/>
    <cellStyle name="Input 13 7 3 3 2" xfId="29366" xr:uid="{00000000-0005-0000-0000-0000F0720000}"/>
    <cellStyle name="Input 13 7 3 3 3" xfId="29367" xr:uid="{00000000-0005-0000-0000-0000F1720000}"/>
    <cellStyle name="Input 13 7 3 3 4" xfId="29368" xr:uid="{00000000-0005-0000-0000-0000F2720000}"/>
    <cellStyle name="Input 13 7 3 4" xfId="29369" xr:uid="{00000000-0005-0000-0000-0000F3720000}"/>
    <cellStyle name="Input 13 7 3 5" xfId="29370" xr:uid="{00000000-0005-0000-0000-0000F4720000}"/>
    <cellStyle name="Input 13 7 3 6" xfId="29371" xr:uid="{00000000-0005-0000-0000-0000F5720000}"/>
    <cellStyle name="Input 13 7 4" xfId="29372" xr:uid="{00000000-0005-0000-0000-0000F6720000}"/>
    <cellStyle name="Input 13 7 4 2" xfId="29373" xr:uid="{00000000-0005-0000-0000-0000F7720000}"/>
    <cellStyle name="Input 13 7 4 3" xfId="29374" xr:uid="{00000000-0005-0000-0000-0000F8720000}"/>
    <cellStyle name="Input 13 7 4 4" xfId="29375" xr:uid="{00000000-0005-0000-0000-0000F9720000}"/>
    <cellStyle name="Input 13 7 5" xfId="29376" xr:uid="{00000000-0005-0000-0000-0000FA720000}"/>
    <cellStyle name="Input 13 7 6" xfId="29377" xr:uid="{00000000-0005-0000-0000-0000FB720000}"/>
    <cellStyle name="Input 13 8" xfId="29378" xr:uid="{00000000-0005-0000-0000-0000FC720000}"/>
    <cellStyle name="Input 13 8 2" xfId="29379" xr:uid="{00000000-0005-0000-0000-0000FD720000}"/>
    <cellStyle name="Input 13 8 2 2" xfId="29380" xr:uid="{00000000-0005-0000-0000-0000FE720000}"/>
    <cellStyle name="Input 13 8 2 2 2" xfId="29381" xr:uid="{00000000-0005-0000-0000-0000FF720000}"/>
    <cellStyle name="Input 13 8 2 2 3" xfId="29382" xr:uid="{00000000-0005-0000-0000-000000730000}"/>
    <cellStyle name="Input 13 8 2 2 4" xfId="29383" xr:uid="{00000000-0005-0000-0000-000001730000}"/>
    <cellStyle name="Input 13 8 2 3" xfId="29384" xr:uid="{00000000-0005-0000-0000-000002730000}"/>
    <cellStyle name="Input 13 8 2 3 2" xfId="29385" xr:uid="{00000000-0005-0000-0000-000003730000}"/>
    <cellStyle name="Input 13 8 2 3 3" xfId="29386" xr:uid="{00000000-0005-0000-0000-000004730000}"/>
    <cellStyle name="Input 13 8 2 3 4" xfId="29387" xr:uid="{00000000-0005-0000-0000-000005730000}"/>
    <cellStyle name="Input 13 8 2 4" xfId="29388" xr:uid="{00000000-0005-0000-0000-000006730000}"/>
    <cellStyle name="Input 13 8 2 5" xfId="29389" xr:uid="{00000000-0005-0000-0000-000007730000}"/>
    <cellStyle name="Input 13 8 2 6" xfId="29390" xr:uid="{00000000-0005-0000-0000-000008730000}"/>
    <cellStyle name="Input 13 8 3" xfId="29391" xr:uid="{00000000-0005-0000-0000-000009730000}"/>
    <cellStyle name="Input 13 8 3 2" xfId="29392" xr:uid="{00000000-0005-0000-0000-00000A730000}"/>
    <cellStyle name="Input 13 8 3 2 2" xfId="29393" xr:uid="{00000000-0005-0000-0000-00000B730000}"/>
    <cellStyle name="Input 13 8 3 2 3" xfId="29394" xr:uid="{00000000-0005-0000-0000-00000C730000}"/>
    <cellStyle name="Input 13 8 3 2 4" xfId="29395" xr:uid="{00000000-0005-0000-0000-00000D730000}"/>
    <cellStyle name="Input 13 8 3 3" xfId="29396" xr:uid="{00000000-0005-0000-0000-00000E730000}"/>
    <cellStyle name="Input 13 8 3 3 2" xfId="29397" xr:uid="{00000000-0005-0000-0000-00000F730000}"/>
    <cellStyle name="Input 13 8 3 3 3" xfId="29398" xr:uid="{00000000-0005-0000-0000-000010730000}"/>
    <cellStyle name="Input 13 8 3 3 4" xfId="29399" xr:uid="{00000000-0005-0000-0000-000011730000}"/>
    <cellStyle name="Input 13 8 3 4" xfId="29400" xr:uid="{00000000-0005-0000-0000-000012730000}"/>
    <cellStyle name="Input 13 8 3 5" xfId="29401" xr:uid="{00000000-0005-0000-0000-000013730000}"/>
    <cellStyle name="Input 13 8 3 6" xfId="29402" xr:uid="{00000000-0005-0000-0000-000014730000}"/>
    <cellStyle name="Input 13 8 4" xfId="29403" xr:uid="{00000000-0005-0000-0000-000015730000}"/>
    <cellStyle name="Input 13 8 4 2" xfId="29404" xr:uid="{00000000-0005-0000-0000-000016730000}"/>
    <cellStyle name="Input 13 8 4 3" xfId="29405" xr:uid="{00000000-0005-0000-0000-000017730000}"/>
    <cellStyle name="Input 13 8 4 4" xfId="29406" xr:uid="{00000000-0005-0000-0000-000018730000}"/>
    <cellStyle name="Input 13 8 5" xfId="29407" xr:uid="{00000000-0005-0000-0000-000019730000}"/>
    <cellStyle name="Input 13 8 6" xfId="29408" xr:uid="{00000000-0005-0000-0000-00001A730000}"/>
    <cellStyle name="Input 13 9" xfId="29409" xr:uid="{00000000-0005-0000-0000-00001B730000}"/>
    <cellStyle name="Input 13 9 2" xfId="29410" xr:uid="{00000000-0005-0000-0000-00001C730000}"/>
    <cellStyle name="Input 13 9 2 2" xfId="29411" xr:uid="{00000000-0005-0000-0000-00001D730000}"/>
    <cellStyle name="Input 13 9 2 2 2" xfId="29412" xr:uid="{00000000-0005-0000-0000-00001E730000}"/>
    <cellStyle name="Input 13 9 2 2 3" xfId="29413" xr:uid="{00000000-0005-0000-0000-00001F730000}"/>
    <cellStyle name="Input 13 9 2 2 4" xfId="29414" xr:uid="{00000000-0005-0000-0000-000020730000}"/>
    <cellStyle name="Input 13 9 2 3" xfId="29415" xr:uid="{00000000-0005-0000-0000-000021730000}"/>
    <cellStyle name="Input 13 9 2 3 2" xfId="29416" xr:uid="{00000000-0005-0000-0000-000022730000}"/>
    <cellStyle name="Input 13 9 2 3 3" xfId="29417" xr:uid="{00000000-0005-0000-0000-000023730000}"/>
    <cellStyle name="Input 13 9 2 3 4" xfId="29418" xr:uid="{00000000-0005-0000-0000-000024730000}"/>
    <cellStyle name="Input 13 9 2 4" xfId="29419" xr:uid="{00000000-0005-0000-0000-000025730000}"/>
    <cellStyle name="Input 13 9 2 5" xfId="29420" xr:uid="{00000000-0005-0000-0000-000026730000}"/>
    <cellStyle name="Input 13 9 2 6" xfId="29421" xr:uid="{00000000-0005-0000-0000-000027730000}"/>
    <cellStyle name="Input 13 9 3" xfId="29422" xr:uid="{00000000-0005-0000-0000-000028730000}"/>
    <cellStyle name="Input 13 9 3 2" xfId="29423" xr:uid="{00000000-0005-0000-0000-000029730000}"/>
    <cellStyle name="Input 13 9 3 2 2" xfId="29424" xr:uid="{00000000-0005-0000-0000-00002A730000}"/>
    <cellStyle name="Input 13 9 3 2 3" xfId="29425" xr:uid="{00000000-0005-0000-0000-00002B730000}"/>
    <cellStyle name="Input 13 9 3 2 4" xfId="29426" xr:uid="{00000000-0005-0000-0000-00002C730000}"/>
    <cellStyle name="Input 13 9 3 3" xfId="29427" xr:uid="{00000000-0005-0000-0000-00002D730000}"/>
    <cellStyle name="Input 13 9 3 3 2" xfId="29428" xr:uid="{00000000-0005-0000-0000-00002E730000}"/>
    <cellStyle name="Input 13 9 3 3 3" xfId="29429" xr:uid="{00000000-0005-0000-0000-00002F730000}"/>
    <cellStyle name="Input 13 9 3 3 4" xfId="29430" xr:uid="{00000000-0005-0000-0000-000030730000}"/>
    <cellStyle name="Input 13 9 3 4" xfId="29431" xr:uid="{00000000-0005-0000-0000-000031730000}"/>
    <cellStyle name="Input 13 9 3 5" xfId="29432" xr:uid="{00000000-0005-0000-0000-000032730000}"/>
    <cellStyle name="Input 13 9 3 6" xfId="29433" xr:uid="{00000000-0005-0000-0000-000033730000}"/>
    <cellStyle name="Input 13 9 4" xfId="29434" xr:uid="{00000000-0005-0000-0000-000034730000}"/>
    <cellStyle name="Input 13 9 4 2" xfId="29435" xr:uid="{00000000-0005-0000-0000-000035730000}"/>
    <cellStyle name="Input 13 9 4 3" xfId="29436" xr:uid="{00000000-0005-0000-0000-000036730000}"/>
    <cellStyle name="Input 13 9 4 4" xfId="29437" xr:uid="{00000000-0005-0000-0000-000037730000}"/>
    <cellStyle name="Input 13 9 5" xfId="29438" xr:uid="{00000000-0005-0000-0000-000038730000}"/>
    <cellStyle name="Input 13 9 6" xfId="29439" xr:uid="{00000000-0005-0000-0000-000039730000}"/>
    <cellStyle name="Input 14" xfId="29440" xr:uid="{00000000-0005-0000-0000-00003A730000}"/>
    <cellStyle name="Input 14 2" xfId="29441" xr:uid="{00000000-0005-0000-0000-00003B730000}"/>
    <cellStyle name="Input 14 2 2" xfId="29442" xr:uid="{00000000-0005-0000-0000-00003C730000}"/>
    <cellStyle name="Input 14 2 2 2" xfId="29443" xr:uid="{00000000-0005-0000-0000-00003D730000}"/>
    <cellStyle name="Input 14 2 2 2 2" xfId="29444" xr:uid="{00000000-0005-0000-0000-00003E730000}"/>
    <cellStyle name="Input 14 2 2 2 3" xfId="29445" xr:uid="{00000000-0005-0000-0000-00003F730000}"/>
    <cellStyle name="Input 14 2 2 2 4" xfId="29446" xr:uid="{00000000-0005-0000-0000-000040730000}"/>
    <cellStyle name="Input 14 2 2 3" xfId="29447" xr:uid="{00000000-0005-0000-0000-000041730000}"/>
    <cellStyle name="Input 14 2 2 3 2" xfId="29448" xr:uid="{00000000-0005-0000-0000-000042730000}"/>
    <cellStyle name="Input 14 2 2 3 3" xfId="29449" xr:uid="{00000000-0005-0000-0000-000043730000}"/>
    <cellStyle name="Input 14 2 2 3 4" xfId="29450" xr:uid="{00000000-0005-0000-0000-000044730000}"/>
    <cellStyle name="Input 14 2 2 4" xfId="29451" xr:uid="{00000000-0005-0000-0000-000045730000}"/>
    <cellStyle name="Input 14 2 2 5" xfId="29452" xr:uid="{00000000-0005-0000-0000-000046730000}"/>
    <cellStyle name="Input 14 2 2 6" xfId="29453" xr:uid="{00000000-0005-0000-0000-000047730000}"/>
    <cellStyle name="Input 14 2 3" xfId="29454" xr:uid="{00000000-0005-0000-0000-000048730000}"/>
    <cellStyle name="Input 14 2 3 2" xfId="29455" xr:uid="{00000000-0005-0000-0000-000049730000}"/>
    <cellStyle name="Input 14 2 3 2 2" xfId="29456" xr:uid="{00000000-0005-0000-0000-00004A730000}"/>
    <cellStyle name="Input 14 2 3 2 3" xfId="29457" xr:uid="{00000000-0005-0000-0000-00004B730000}"/>
    <cellStyle name="Input 14 2 3 2 4" xfId="29458" xr:uid="{00000000-0005-0000-0000-00004C730000}"/>
    <cellStyle name="Input 14 2 3 3" xfId="29459" xr:uid="{00000000-0005-0000-0000-00004D730000}"/>
    <cellStyle name="Input 14 2 3 3 2" xfId="29460" xr:uid="{00000000-0005-0000-0000-00004E730000}"/>
    <cellStyle name="Input 14 2 3 3 3" xfId="29461" xr:uid="{00000000-0005-0000-0000-00004F730000}"/>
    <cellStyle name="Input 14 2 3 3 4" xfId="29462" xr:uid="{00000000-0005-0000-0000-000050730000}"/>
    <cellStyle name="Input 14 2 3 4" xfId="29463" xr:uid="{00000000-0005-0000-0000-000051730000}"/>
    <cellStyle name="Input 14 2 3 5" xfId="29464" xr:uid="{00000000-0005-0000-0000-000052730000}"/>
    <cellStyle name="Input 14 2 3 6" xfId="29465" xr:uid="{00000000-0005-0000-0000-000053730000}"/>
    <cellStyle name="Input 14 2 4" xfId="29466" xr:uid="{00000000-0005-0000-0000-000054730000}"/>
    <cellStyle name="Input 14 2 5" xfId="29467" xr:uid="{00000000-0005-0000-0000-000055730000}"/>
    <cellStyle name="Input 14 2 6" xfId="29468" xr:uid="{00000000-0005-0000-0000-000056730000}"/>
    <cellStyle name="Input 14 3" xfId="29469" xr:uid="{00000000-0005-0000-0000-000057730000}"/>
    <cellStyle name="Input 14 4" xfId="29470" xr:uid="{00000000-0005-0000-0000-000058730000}"/>
    <cellStyle name="Input 15" xfId="29471" xr:uid="{00000000-0005-0000-0000-000059730000}"/>
    <cellStyle name="Input 15 2" xfId="29472" xr:uid="{00000000-0005-0000-0000-00005A730000}"/>
    <cellStyle name="Input 15 2 2" xfId="29473" xr:uid="{00000000-0005-0000-0000-00005B730000}"/>
    <cellStyle name="Input 15 2 2 2" xfId="29474" xr:uid="{00000000-0005-0000-0000-00005C730000}"/>
    <cellStyle name="Input 15 2 2 2 2" xfId="29475" xr:uid="{00000000-0005-0000-0000-00005D730000}"/>
    <cellStyle name="Input 15 2 2 2 3" xfId="29476" xr:uid="{00000000-0005-0000-0000-00005E730000}"/>
    <cellStyle name="Input 15 2 2 2 4" xfId="29477" xr:uid="{00000000-0005-0000-0000-00005F730000}"/>
    <cellStyle name="Input 15 2 2 3" xfId="29478" xr:uid="{00000000-0005-0000-0000-000060730000}"/>
    <cellStyle name="Input 15 2 2 3 2" xfId="29479" xr:uid="{00000000-0005-0000-0000-000061730000}"/>
    <cellStyle name="Input 15 2 2 3 3" xfId="29480" xr:uid="{00000000-0005-0000-0000-000062730000}"/>
    <cellStyle name="Input 15 2 2 3 4" xfId="29481" xr:uid="{00000000-0005-0000-0000-000063730000}"/>
    <cellStyle name="Input 15 2 2 4" xfId="29482" xr:uid="{00000000-0005-0000-0000-000064730000}"/>
    <cellStyle name="Input 15 2 2 5" xfId="29483" xr:uid="{00000000-0005-0000-0000-000065730000}"/>
    <cellStyle name="Input 15 2 2 6" xfId="29484" xr:uid="{00000000-0005-0000-0000-000066730000}"/>
    <cellStyle name="Input 15 2 3" xfId="29485" xr:uid="{00000000-0005-0000-0000-000067730000}"/>
    <cellStyle name="Input 15 2 3 2" xfId="29486" xr:uid="{00000000-0005-0000-0000-000068730000}"/>
    <cellStyle name="Input 15 2 3 2 2" xfId="29487" xr:uid="{00000000-0005-0000-0000-000069730000}"/>
    <cellStyle name="Input 15 2 3 2 3" xfId="29488" xr:uid="{00000000-0005-0000-0000-00006A730000}"/>
    <cellStyle name="Input 15 2 3 2 4" xfId="29489" xr:uid="{00000000-0005-0000-0000-00006B730000}"/>
    <cellStyle name="Input 15 2 3 3" xfId="29490" xr:uid="{00000000-0005-0000-0000-00006C730000}"/>
    <cellStyle name="Input 15 2 3 3 2" xfId="29491" xr:uid="{00000000-0005-0000-0000-00006D730000}"/>
    <cellStyle name="Input 15 2 3 3 3" xfId="29492" xr:uid="{00000000-0005-0000-0000-00006E730000}"/>
    <cellStyle name="Input 15 2 3 3 4" xfId="29493" xr:uid="{00000000-0005-0000-0000-00006F730000}"/>
    <cellStyle name="Input 15 2 3 4" xfId="29494" xr:uid="{00000000-0005-0000-0000-000070730000}"/>
    <cellStyle name="Input 15 2 3 5" xfId="29495" xr:uid="{00000000-0005-0000-0000-000071730000}"/>
    <cellStyle name="Input 15 2 3 6" xfId="29496" xr:uid="{00000000-0005-0000-0000-000072730000}"/>
    <cellStyle name="Input 15 2 4" xfId="29497" xr:uid="{00000000-0005-0000-0000-000073730000}"/>
    <cellStyle name="Input 15 2 5" xfId="29498" xr:uid="{00000000-0005-0000-0000-000074730000}"/>
    <cellStyle name="Input 15 2 6" xfId="29499" xr:uid="{00000000-0005-0000-0000-000075730000}"/>
    <cellStyle name="Input 15 3" xfId="29500" xr:uid="{00000000-0005-0000-0000-000076730000}"/>
    <cellStyle name="Input 15 4" xfId="29501" xr:uid="{00000000-0005-0000-0000-000077730000}"/>
    <cellStyle name="Input 16" xfId="29502" xr:uid="{00000000-0005-0000-0000-000078730000}"/>
    <cellStyle name="Input 16 2" xfId="29503" xr:uid="{00000000-0005-0000-0000-000079730000}"/>
    <cellStyle name="Input 16 2 2" xfId="29504" xr:uid="{00000000-0005-0000-0000-00007A730000}"/>
    <cellStyle name="Input 16 2 2 2" xfId="29505" xr:uid="{00000000-0005-0000-0000-00007B730000}"/>
    <cellStyle name="Input 16 2 2 2 2" xfId="29506" xr:uid="{00000000-0005-0000-0000-00007C730000}"/>
    <cellStyle name="Input 16 2 2 2 3" xfId="29507" xr:uid="{00000000-0005-0000-0000-00007D730000}"/>
    <cellStyle name="Input 16 2 2 2 4" xfId="29508" xr:uid="{00000000-0005-0000-0000-00007E730000}"/>
    <cellStyle name="Input 16 2 2 3" xfId="29509" xr:uid="{00000000-0005-0000-0000-00007F730000}"/>
    <cellStyle name="Input 16 2 2 3 2" xfId="29510" xr:uid="{00000000-0005-0000-0000-000080730000}"/>
    <cellStyle name="Input 16 2 2 3 3" xfId="29511" xr:uid="{00000000-0005-0000-0000-000081730000}"/>
    <cellStyle name="Input 16 2 2 3 4" xfId="29512" xr:uid="{00000000-0005-0000-0000-000082730000}"/>
    <cellStyle name="Input 16 2 2 4" xfId="29513" xr:uid="{00000000-0005-0000-0000-000083730000}"/>
    <cellStyle name="Input 16 2 2 5" xfId="29514" xr:uid="{00000000-0005-0000-0000-000084730000}"/>
    <cellStyle name="Input 16 2 2 6" xfId="29515" xr:uid="{00000000-0005-0000-0000-000085730000}"/>
    <cellStyle name="Input 16 2 3" xfId="29516" xr:uid="{00000000-0005-0000-0000-000086730000}"/>
    <cellStyle name="Input 16 2 3 2" xfId="29517" xr:uid="{00000000-0005-0000-0000-000087730000}"/>
    <cellStyle name="Input 16 2 3 2 2" xfId="29518" xr:uid="{00000000-0005-0000-0000-000088730000}"/>
    <cellStyle name="Input 16 2 3 2 3" xfId="29519" xr:uid="{00000000-0005-0000-0000-000089730000}"/>
    <cellStyle name="Input 16 2 3 2 4" xfId="29520" xr:uid="{00000000-0005-0000-0000-00008A730000}"/>
    <cellStyle name="Input 16 2 3 3" xfId="29521" xr:uid="{00000000-0005-0000-0000-00008B730000}"/>
    <cellStyle name="Input 16 2 3 3 2" xfId="29522" xr:uid="{00000000-0005-0000-0000-00008C730000}"/>
    <cellStyle name="Input 16 2 3 3 3" xfId="29523" xr:uid="{00000000-0005-0000-0000-00008D730000}"/>
    <cellStyle name="Input 16 2 3 3 4" xfId="29524" xr:uid="{00000000-0005-0000-0000-00008E730000}"/>
    <cellStyle name="Input 16 2 3 4" xfId="29525" xr:uid="{00000000-0005-0000-0000-00008F730000}"/>
    <cellStyle name="Input 16 2 3 5" xfId="29526" xr:uid="{00000000-0005-0000-0000-000090730000}"/>
    <cellStyle name="Input 16 2 3 6" xfId="29527" xr:uid="{00000000-0005-0000-0000-000091730000}"/>
    <cellStyle name="Input 16 2 4" xfId="29528" xr:uid="{00000000-0005-0000-0000-000092730000}"/>
    <cellStyle name="Input 16 2 5" xfId="29529" xr:uid="{00000000-0005-0000-0000-000093730000}"/>
    <cellStyle name="Input 16 2 6" xfId="29530" xr:uid="{00000000-0005-0000-0000-000094730000}"/>
    <cellStyle name="Input 16 3" xfId="29531" xr:uid="{00000000-0005-0000-0000-000095730000}"/>
    <cellStyle name="Input 16 4" xfId="29532" xr:uid="{00000000-0005-0000-0000-000096730000}"/>
    <cellStyle name="Input 17" xfId="29533" xr:uid="{00000000-0005-0000-0000-000097730000}"/>
    <cellStyle name="Input 17 2" xfId="29534" xr:uid="{00000000-0005-0000-0000-000098730000}"/>
    <cellStyle name="Input 17 2 2" xfId="29535" xr:uid="{00000000-0005-0000-0000-000099730000}"/>
    <cellStyle name="Input 17 2 2 2" xfId="29536" xr:uid="{00000000-0005-0000-0000-00009A730000}"/>
    <cellStyle name="Input 17 2 2 2 2" xfId="29537" xr:uid="{00000000-0005-0000-0000-00009B730000}"/>
    <cellStyle name="Input 17 2 2 2 3" xfId="29538" xr:uid="{00000000-0005-0000-0000-00009C730000}"/>
    <cellStyle name="Input 17 2 2 2 4" xfId="29539" xr:uid="{00000000-0005-0000-0000-00009D730000}"/>
    <cellStyle name="Input 17 2 2 3" xfId="29540" xr:uid="{00000000-0005-0000-0000-00009E730000}"/>
    <cellStyle name="Input 17 2 2 3 2" xfId="29541" xr:uid="{00000000-0005-0000-0000-00009F730000}"/>
    <cellStyle name="Input 17 2 2 3 3" xfId="29542" xr:uid="{00000000-0005-0000-0000-0000A0730000}"/>
    <cellStyle name="Input 17 2 2 3 4" xfId="29543" xr:uid="{00000000-0005-0000-0000-0000A1730000}"/>
    <cellStyle name="Input 17 2 2 4" xfId="29544" xr:uid="{00000000-0005-0000-0000-0000A2730000}"/>
    <cellStyle name="Input 17 2 2 5" xfId="29545" xr:uid="{00000000-0005-0000-0000-0000A3730000}"/>
    <cellStyle name="Input 17 2 2 6" xfId="29546" xr:uid="{00000000-0005-0000-0000-0000A4730000}"/>
    <cellStyle name="Input 17 2 3" xfId="29547" xr:uid="{00000000-0005-0000-0000-0000A5730000}"/>
    <cellStyle name="Input 17 2 3 2" xfId="29548" xr:uid="{00000000-0005-0000-0000-0000A6730000}"/>
    <cellStyle name="Input 17 2 3 2 2" xfId="29549" xr:uid="{00000000-0005-0000-0000-0000A7730000}"/>
    <cellStyle name="Input 17 2 3 2 3" xfId="29550" xr:uid="{00000000-0005-0000-0000-0000A8730000}"/>
    <cellStyle name="Input 17 2 3 2 4" xfId="29551" xr:uid="{00000000-0005-0000-0000-0000A9730000}"/>
    <cellStyle name="Input 17 2 3 3" xfId="29552" xr:uid="{00000000-0005-0000-0000-0000AA730000}"/>
    <cellStyle name="Input 17 2 3 3 2" xfId="29553" xr:uid="{00000000-0005-0000-0000-0000AB730000}"/>
    <cellStyle name="Input 17 2 3 3 3" xfId="29554" xr:uid="{00000000-0005-0000-0000-0000AC730000}"/>
    <cellStyle name="Input 17 2 3 3 4" xfId="29555" xr:uid="{00000000-0005-0000-0000-0000AD730000}"/>
    <cellStyle name="Input 17 2 3 4" xfId="29556" xr:uid="{00000000-0005-0000-0000-0000AE730000}"/>
    <cellStyle name="Input 17 2 3 5" xfId="29557" xr:uid="{00000000-0005-0000-0000-0000AF730000}"/>
    <cellStyle name="Input 17 2 3 6" xfId="29558" xr:uid="{00000000-0005-0000-0000-0000B0730000}"/>
    <cellStyle name="Input 17 2 4" xfId="29559" xr:uid="{00000000-0005-0000-0000-0000B1730000}"/>
    <cellStyle name="Input 17 2 5" xfId="29560" xr:uid="{00000000-0005-0000-0000-0000B2730000}"/>
    <cellStyle name="Input 17 2 6" xfId="29561" xr:uid="{00000000-0005-0000-0000-0000B3730000}"/>
    <cellStyle name="Input 17 3" xfId="29562" xr:uid="{00000000-0005-0000-0000-0000B4730000}"/>
    <cellStyle name="Input 17 4" xfId="29563" xr:uid="{00000000-0005-0000-0000-0000B5730000}"/>
    <cellStyle name="Input 18" xfId="29564" xr:uid="{00000000-0005-0000-0000-0000B6730000}"/>
    <cellStyle name="Input 18 2" xfId="29565" xr:uid="{00000000-0005-0000-0000-0000B7730000}"/>
    <cellStyle name="Input 18 2 2" xfId="29566" xr:uid="{00000000-0005-0000-0000-0000B8730000}"/>
    <cellStyle name="Input 18 2 2 2" xfId="29567" xr:uid="{00000000-0005-0000-0000-0000B9730000}"/>
    <cellStyle name="Input 18 2 2 3" xfId="29568" xr:uid="{00000000-0005-0000-0000-0000BA730000}"/>
    <cellStyle name="Input 18 2 2 4" xfId="29569" xr:uid="{00000000-0005-0000-0000-0000BB730000}"/>
    <cellStyle name="Input 18 2 3" xfId="29570" xr:uid="{00000000-0005-0000-0000-0000BC730000}"/>
    <cellStyle name="Input 18 2 3 2" xfId="29571" xr:uid="{00000000-0005-0000-0000-0000BD730000}"/>
    <cellStyle name="Input 18 2 3 3" xfId="29572" xr:uid="{00000000-0005-0000-0000-0000BE730000}"/>
    <cellStyle name="Input 18 2 3 4" xfId="29573" xr:uid="{00000000-0005-0000-0000-0000BF730000}"/>
    <cellStyle name="Input 18 2 4" xfId="29574" xr:uid="{00000000-0005-0000-0000-0000C0730000}"/>
    <cellStyle name="Input 18 2 5" xfId="29575" xr:uid="{00000000-0005-0000-0000-0000C1730000}"/>
    <cellStyle name="Input 18 2 6" xfId="29576" xr:uid="{00000000-0005-0000-0000-0000C2730000}"/>
    <cellStyle name="Input 18 3" xfId="29577" xr:uid="{00000000-0005-0000-0000-0000C3730000}"/>
    <cellStyle name="Input 18 3 2" xfId="29578" xr:uid="{00000000-0005-0000-0000-0000C4730000}"/>
    <cellStyle name="Input 18 3 2 2" xfId="29579" xr:uid="{00000000-0005-0000-0000-0000C5730000}"/>
    <cellStyle name="Input 18 3 2 3" xfId="29580" xr:uid="{00000000-0005-0000-0000-0000C6730000}"/>
    <cellStyle name="Input 18 3 2 4" xfId="29581" xr:uid="{00000000-0005-0000-0000-0000C7730000}"/>
    <cellStyle name="Input 18 3 3" xfId="29582" xr:uid="{00000000-0005-0000-0000-0000C8730000}"/>
    <cellStyle name="Input 18 3 3 2" xfId="29583" xr:uid="{00000000-0005-0000-0000-0000C9730000}"/>
    <cellStyle name="Input 18 3 3 3" xfId="29584" xr:uid="{00000000-0005-0000-0000-0000CA730000}"/>
    <cellStyle name="Input 18 3 3 4" xfId="29585" xr:uid="{00000000-0005-0000-0000-0000CB730000}"/>
    <cellStyle name="Input 18 3 4" xfId="29586" xr:uid="{00000000-0005-0000-0000-0000CC730000}"/>
    <cellStyle name="Input 18 3 5" xfId="29587" xr:uid="{00000000-0005-0000-0000-0000CD730000}"/>
    <cellStyle name="Input 18 3 6" xfId="29588" xr:uid="{00000000-0005-0000-0000-0000CE730000}"/>
    <cellStyle name="Input 18 4" xfId="29589" xr:uid="{00000000-0005-0000-0000-0000CF730000}"/>
    <cellStyle name="Input 18 4 2" xfId="29590" xr:uid="{00000000-0005-0000-0000-0000D0730000}"/>
    <cellStyle name="Input 18 4 3" xfId="29591" xr:uid="{00000000-0005-0000-0000-0000D1730000}"/>
    <cellStyle name="Input 18 4 4" xfId="29592" xr:uid="{00000000-0005-0000-0000-0000D2730000}"/>
    <cellStyle name="Input 18 5" xfId="29593" xr:uid="{00000000-0005-0000-0000-0000D3730000}"/>
    <cellStyle name="Input 18 6" xfId="29594" xr:uid="{00000000-0005-0000-0000-0000D4730000}"/>
    <cellStyle name="Input 19" xfId="29595" xr:uid="{00000000-0005-0000-0000-0000D5730000}"/>
    <cellStyle name="Input 19 2" xfId="29596" xr:uid="{00000000-0005-0000-0000-0000D6730000}"/>
    <cellStyle name="Input 19 2 2" xfId="29597" xr:uid="{00000000-0005-0000-0000-0000D7730000}"/>
    <cellStyle name="Input 19 2 2 2" xfId="29598" xr:uid="{00000000-0005-0000-0000-0000D8730000}"/>
    <cellStyle name="Input 19 2 2 3" xfId="29599" xr:uid="{00000000-0005-0000-0000-0000D9730000}"/>
    <cellStyle name="Input 19 2 2 4" xfId="29600" xr:uid="{00000000-0005-0000-0000-0000DA730000}"/>
    <cellStyle name="Input 19 2 3" xfId="29601" xr:uid="{00000000-0005-0000-0000-0000DB730000}"/>
    <cellStyle name="Input 19 2 3 2" xfId="29602" xr:uid="{00000000-0005-0000-0000-0000DC730000}"/>
    <cellStyle name="Input 19 2 3 3" xfId="29603" xr:uid="{00000000-0005-0000-0000-0000DD730000}"/>
    <cellStyle name="Input 19 2 3 4" xfId="29604" xr:uid="{00000000-0005-0000-0000-0000DE730000}"/>
    <cellStyle name="Input 19 2 4" xfId="29605" xr:uid="{00000000-0005-0000-0000-0000DF730000}"/>
    <cellStyle name="Input 19 2 5" xfId="29606" xr:uid="{00000000-0005-0000-0000-0000E0730000}"/>
    <cellStyle name="Input 19 2 6" xfId="29607" xr:uid="{00000000-0005-0000-0000-0000E1730000}"/>
    <cellStyle name="Input 19 3" xfId="29608" xr:uid="{00000000-0005-0000-0000-0000E2730000}"/>
    <cellStyle name="Input 19 3 2" xfId="29609" xr:uid="{00000000-0005-0000-0000-0000E3730000}"/>
    <cellStyle name="Input 19 3 2 2" xfId="29610" xr:uid="{00000000-0005-0000-0000-0000E4730000}"/>
    <cellStyle name="Input 19 3 2 3" xfId="29611" xr:uid="{00000000-0005-0000-0000-0000E5730000}"/>
    <cellStyle name="Input 19 3 2 4" xfId="29612" xr:uid="{00000000-0005-0000-0000-0000E6730000}"/>
    <cellStyle name="Input 19 3 3" xfId="29613" xr:uid="{00000000-0005-0000-0000-0000E7730000}"/>
    <cellStyle name="Input 19 3 3 2" xfId="29614" xr:uid="{00000000-0005-0000-0000-0000E8730000}"/>
    <cellStyle name="Input 19 3 3 3" xfId="29615" xr:uid="{00000000-0005-0000-0000-0000E9730000}"/>
    <cellStyle name="Input 19 3 3 4" xfId="29616" xr:uid="{00000000-0005-0000-0000-0000EA730000}"/>
    <cellStyle name="Input 19 3 4" xfId="29617" xr:uid="{00000000-0005-0000-0000-0000EB730000}"/>
    <cellStyle name="Input 19 3 5" xfId="29618" xr:uid="{00000000-0005-0000-0000-0000EC730000}"/>
    <cellStyle name="Input 19 3 6" xfId="29619" xr:uid="{00000000-0005-0000-0000-0000ED730000}"/>
    <cellStyle name="Input 19 4" xfId="29620" xr:uid="{00000000-0005-0000-0000-0000EE730000}"/>
    <cellStyle name="Input 19 4 2" xfId="29621" xr:uid="{00000000-0005-0000-0000-0000EF730000}"/>
    <cellStyle name="Input 19 4 3" xfId="29622" xr:uid="{00000000-0005-0000-0000-0000F0730000}"/>
    <cellStyle name="Input 19 4 4" xfId="29623" xr:uid="{00000000-0005-0000-0000-0000F1730000}"/>
    <cellStyle name="Input 19 5" xfId="29624" xr:uid="{00000000-0005-0000-0000-0000F2730000}"/>
    <cellStyle name="Input 19 6" xfId="29625" xr:uid="{00000000-0005-0000-0000-0000F3730000}"/>
    <cellStyle name="Input 2" xfId="29626" xr:uid="{00000000-0005-0000-0000-0000F4730000}"/>
    <cellStyle name="Input 2 10" xfId="29627" xr:uid="{00000000-0005-0000-0000-0000F5730000}"/>
    <cellStyle name="Input 2 10 2" xfId="29628" xr:uid="{00000000-0005-0000-0000-0000F6730000}"/>
    <cellStyle name="Input 2 10 2 2" xfId="29629" xr:uid="{00000000-0005-0000-0000-0000F7730000}"/>
    <cellStyle name="Input 2 10 2 2 2" xfId="29630" xr:uid="{00000000-0005-0000-0000-0000F8730000}"/>
    <cellStyle name="Input 2 10 2 2 3" xfId="29631" xr:uid="{00000000-0005-0000-0000-0000F9730000}"/>
    <cellStyle name="Input 2 10 2 2 4" xfId="29632" xr:uid="{00000000-0005-0000-0000-0000FA730000}"/>
    <cellStyle name="Input 2 10 2 3" xfId="29633" xr:uid="{00000000-0005-0000-0000-0000FB730000}"/>
    <cellStyle name="Input 2 10 2 3 2" xfId="29634" xr:uid="{00000000-0005-0000-0000-0000FC730000}"/>
    <cellStyle name="Input 2 10 2 3 3" xfId="29635" xr:uid="{00000000-0005-0000-0000-0000FD730000}"/>
    <cellStyle name="Input 2 10 2 3 4" xfId="29636" xr:uid="{00000000-0005-0000-0000-0000FE730000}"/>
    <cellStyle name="Input 2 10 2 4" xfId="29637" xr:uid="{00000000-0005-0000-0000-0000FF730000}"/>
    <cellStyle name="Input 2 10 2 5" xfId="29638" xr:uid="{00000000-0005-0000-0000-000000740000}"/>
    <cellStyle name="Input 2 10 2 6" xfId="29639" xr:uid="{00000000-0005-0000-0000-000001740000}"/>
    <cellStyle name="Input 2 10 3" xfId="29640" xr:uid="{00000000-0005-0000-0000-000002740000}"/>
    <cellStyle name="Input 2 10 3 2" xfId="29641" xr:uid="{00000000-0005-0000-0000-000003740000}"/>
    <cellStyle name="Input 2 10 3 2 2" xfId="29642" xr:uid="{00000000-0005-0000-0000-000004740000}"/>
    <cellStyle name="Input 2 10 3 2 3" xfId="29643" xr:uid="{00000000-0005-0000-0000-000005740000}"/>
    <cellStyle name="Input 2 10 3 2 4" xfId="29644" xr:uid="{00000000-0005-0000-0000-000006740000}"/>
    <cellStyle name="Input 2 10 3 3" xfId="29645" xr:uid="{00000000-0005-0000-0000-000007740000}"/>
    <cellStyle name="Input 2 10 3 3 2" xfId="29646" xr:uid="{00000000-0005-0000-0000-000008740000}"/>
    <cellStyle name="Input 2 10 3 3 3" xfId="29647" xr:uid="{00000000-0005-0000-0000-000009740000}"/>
    <cellStyle name="Input 2 10 3 3 4" xfId="29648" xr:uid="{00000000-0005-0000-0000-00000A740000}"/>
    <cellStyle name="Input 2 10 3 4" xfId="29649" xr:uid="{00000000-0005-0000-0000-00000B740000}"/>
    <cellStyle name="Input 2 10 3 5" xfId="29650" xr:uid="{00000000-0005-0000-0000-00000C740000}"/>
    <cellStyle name="Input 2 10 3 6" xfId="29651" xr:uid="{00000000-0005-0000-0000-00000D740000}"/>
    <cellStyle name="Input 2 10 4" xfId="29652" xr:uid="{00000000-0005-0000-0000-00000E740000}"/>
    <cellStyle name="Input 2 10 5" xfId="29653" xr:uid="{00000000-0005-0000-0000-00000F740000}"/>
    <cellStyle name="Input 2 10 6" xfId="29654" xr:uid="{00000000-0005-0000-0000-000010740000}"/>
    <cellStyle name="Input 2 11" xfId="29655" xr:uid="{00000000-0005-0000-0000-000011740000}"/>
    <cellStyle name="Input 2 12" xfId="29656" xr:uid="{00000000-0005-0000-0000-000012740000}"/>
    <cellStyle name="Input 2 2" xfId="29657" xr:uid="{00000000-0005-0000-0000-000013740000}"/>
    <cellStyle name="Input 2 2 2" xfId="29658" xr:uid="{00000000-0005-0000-0000-000014740000}"/>
    <cellStyle name="Input 2 2 2 2" xfId="29659" xr:uid="{00000000-0005-0000-0000-000015740000}"/>
    <cellStyle name="Input 2 2 2 2 2" xfId="29660" xr:uid="{00000000-0005-0000-0000-000016740000}"/>
    <cellStyle name="Input 2 2 2 2 2 2" xfId="29661" xr:uid="{00000000-0005-0000-0000-000017740000}"/>
    <cellStyle name="Input 2 2 2 2 2 3" xfId="29662" xr:uid="{00000000-0005-0000-0000-000018740000}"/>
    <cellStyle name="Input 2 2 2 2 2 4" xfId="29663" xr:uid="{00000000-0005-0000-0000-000019740000}"/>
    <cellStyle name="Input 2 2 2 2 3" xfId="29664" xr:uid="{00000000-0005-0000-0000-00001A740000}"/>
    <cellStyle name="Input 2 2 2 2 3 2" xfId="29665" xr:uid="{00000000-0005-0000-0000-00001B740000}"/>
    <cellStyle name="Input 2 2 2 2 3 3" xfId="29666" xr:uid="{00000000-0005-0000-0000-00001C740000}"/>
    <cellStyle name="Input 2 2 2 2 3 4" xfId="29667" xr:uid="{00000000-0005-0000-0000-00001D740000}"/>
    <cellStyle name="Input 2 2 2 2 4" xfId="29668" xr:uid="{00000000-0005-0000-0000-00001E740000}"/>
    <cellStyle name="Input 2 2 2 2 5" xfId="29669" xr:uid="{00000000-0005-0000-0000-00001F740000}"/>
    <cellStyle name="Input 2 2 2 2 6" xfId="29670" xr:uid="{00000000-0005-0000-0000-000020740000}"/>
    <cellStyle name="Input 2 2 2 3" xfId="29671" xr:uid="{00000000-0005-0000-0000-000021740000}"/>
    <cellStyle name="Input 2 2 2 3 2" xfId="29672" xr:uid="{00000000-0005-0000-0000-000022740000}"/>
    <cellStyle name="Input 2 2 2 3 2 2" xfId="29673" xr:uid="{00000000-0005-0000-0000-000023740000}"/>
    <cellStyle name="Input 2 2 2 3 2 3" xfId="29674" xr:uid="{00000000-0005-0000-0000-000024740000}"/>
    <cellStyle name="Input 2 2 2 3 2 4" xfId="29675" xr:uid="{00000000-0005-0000-0000-000025740000}"/>
    <cellStyle name="Input 2 2 2 3 3" xfId="29676" xr:uid="{00000000-0005-0000-0000-000026740000}"/>
    <cellStyle name="Input 2 2 2 3 3 2" xfId="29677" xr:uid="{00000000-0005-0000-0000-000027740000}"/>
    <cellStyle name="Input 2 2 2 3 3 3" xfId="29678" xr:uid="{00000000-0005-0000-0000-000028740000}"/>
    <cellStyle name="Input 2 2 2 3 3 4" xfId="29679" xr:uid="{00000000-0005-0000-0000-000029740000}"/>
    <cellStyle name="Input 2 2 2 3 4" xfId="29680" xr:uid="{00000000-0005-0000-0000-00002A740000}"/>
    <cellStyle name="Input 2 2 2 3 5" xfId="29681" xr:uid="{00000000-0005-0000-0000-00002B740000}"/>
    <cellStyle name="Input 2 2 2 3 6" xfId="29682" xr:uid="{00000000-0005-0000-0000-00002C740000}"/>
    <cellStyle name="Input 2 2 2 4" xfId="29683" xr:uid="{00000000-0005-0000-0000-00002D740000}"/>
    <cellStyle name="Input 2 2 2 5" xfId="29684" xr:uid="{00000000-0005-0000-0000-00002E740000}"/>
    <cellStyle name="Input 2 2 2 6" xfId="29685" xr:uid="{00000000-0005-0000-0000-00002F740000}"/>
    <cellStyle name="Input 2 2 3" xfId="29686" xr:uid="{00000000-0005-0000-0000-000030740000}"/>
    <cellStyle name="Input 2 2 4" xfId="29687" xr:uid="{00000000-0005-0000-0000-000031740000}"/>
    <cellStyle name="Input 2 3" xfId="29688" xr:uid="{00000000-0005-0000-0000-000032740000}"/>
    <cellStyle name="Input 2 3 2" xfId="29689" xr:uid="{00000000-0005-0000-0000-000033740000}"/>
    <cellStyle name="Input 2 3 2 2" xfId="29690" xr:uid="{00000000-0005-0000-0000-000034740000}"/>
    <cellStyle name="Input 2 3 2 2 2" xfId="29691" xr:uid="{00000000-0005-0000-0000-000035740000}"/>
    <cellStyle name="Input 2 3 2 2 2 2" xfId="29692" xr:uid="{00000000-0005-0000-0000-000036740000}"/>
    <cellStyle name="Input 2 3 2 2 2 3" xfId="29693" xr:uid="{00000000-0005-0000-0000-000037740000}"/>
    <cellStyle name="Input 2 3 2 2 2 4" xfId="29694" xr:uid="{00000000-0005-0000-0000-000038740000}"/>
    <cellStyle name="Input 2 3 2 2 3" xfId="29695" xr:uid="{00000000-0005-0000-0000-000039740000}"/>
    <cellStyle name="Input 2 3 2 2 3 2" xfId="29696" xr:uid="{00000000-0005-0000-0000-00003A740000}"/>
    <cellStyle name="Input 2 3 2 2 3 3" xfId="29697" xr:uid="{00000000-0005-0000-0000-00003B740000}"/>
    <cellStyle name="Input 2 3 2 2 3 4" xfId="29698" xr:uid="{00000000-0005-0000-0000-00003C740000}"/>
    <cellStyle name="Input 2 3 2 2 4" xfId="29699" xr:uid="{00000000-0005-0000-0000-00003D740000}"/>
    <cellStyle name="Input 2 3 2 2 5" xfId="29700" xr:uid="{00000000-0005-0000-0000-00003E740000}"/>
    <cellStyle name="Input 2 3 2 2 6" xfId="29701" xr:uid="{00000000-0005-0000-0000-00003F740000}"/>
    <cellStyle name="Input 2 3 2 3" xfId="29702" xr:uid="{00000000-0005-0000-0000-000040740000}"/>
    <cellStyle name="Input 2 3 2 3 2" xfId="29703" xr:uid="{00000000-0005-0000-0000-000041740000}"/>
    <cellStyle name="Input 2 3 2 3 2 2" xfId="29704" xr:uid="{00000000-0005-0000-0000-000042740000}"/>
    <cellStyle name="Input 2 3 2 3 2 3" xfId="29705" xr:uid="{00000000-0005-0000-0000-000043740000}"/>
    <cellStyle name="Input 2 3 2 3 2 4" xfId="29706" xr:uid="{00000000-0005-0000-0000-000044740000}"/>
    <cellStyle name="Input 2 3 2 3 3" xfId="29707" xr:uid="{00000000-0005-0000-0000-000045740000}"/>
    <cellStyle name="Input 2 3 2 3 3 2" xfId="29708" xr:uid="{00000000-0005-0000-0000-000046740000}"/>
    <cellStyle name="Input 2 3 2 3 3 3" xfId="29709" xr:uid="{00000000-0005-0000-0000-000047740000}"/>
    <cellStyle name="Input 2 3 2 3 3 4" xfId="29710" xr:uid="{00000000-0005-0000-0000-000048740000}"/>
    <cellStyle name="Input 2 3 2 3 4" xfId="29711" xr:uid="{00000000-0005-0000-0000-000049740000}"/>
    <cellStyle name="Input 2 3 2 3 5" xfId="29712" xr:uid="{00000000-0005-0000-0000-00004A740000}"/>
    <cellStyle name="Input 2 3 2 3 6" xfId="29713" xr:uid="{00000000-0005-0000-0000-00004B740000}"/>
    <cellStyle name="Input 2 3 2 4" xfId="29714" xr:uid="{00000000-0005-0000-0000-00004C740000}"/>
    <cellStyle name="Input 2 3 2 5" xfId="29715" xr:uid="{00000000-0005-0000-0000-00004D740000}"/>
    <cellStyle name="Input 2 3 2 6" xfId="29716" xr:uid="{00000000-0005-0000-0000-00004E740000}"/>
    <cellStyle name="Input 2 3 3" xfId="29717" xr:uid="{00000000-0005-0000-0000-00004F740000}"/>
    <cellStyle name="Input 2 3 4" xfId="29718" xr:uid="{00000000-0005-0000-0000-000050740000}"/>
    <cellStyle name="Input 2 4" xfId="29719" xr:uid="{00000000-0005-0000-0000-000051740000}"/>
    <cellStyle name="Input 2 4 2" xfId="29720" xr:uid="{00000000-0005-0000-0000-000052740000}"/>
    <cellStyle name="Input 2 4 2 2" xfId="29721" xr:uid="{00000000-0005-0000-0000-000053740000}"/>
    <cellStyle name="Input 2 4 2 2 2" xfId="29722" xr:uid="{00000000-0005-0000-0000-000054740000}"/>
    <cellStyle name="Input 2 4 2 2 2 2" xfId="29723" xr:uid="{00000000-0005-0000-0000-000055740000}"/>
    <cellStyle name="Input 2 4 2 2 2 3" xfId="29724" xr:uid="{00000000-0005-0000-0000-000056740000}"/>
    <cellStyle name="Input 2 4 2 2 2 4" xfId="29725" xr:uid="{00000000-0005-0000-0000-000057740000}"/>
    <cellStyle name="Input 2 4 2 2 3" xfId="29726" xr:uid="{00000000-0005-0000-0000-000058740000}"/>
    <cellStyle name="Input 2 4 2 2 3 2" xfId="29727" xr:uid="{00000000-0005-0000-0000-000059740000}"/>
    <cellStyle name="Input 2 4 2 2 3 3" xfId="29728" xr:uid="{00000000-0005-0000-0000-00005A740000}"/>
    <cellStyle name="Input 2 4 2 2 3 4" xfId="29729" xr:uid="{00000000-0005-0000-0000-00005B740000}"/>
    <cellStyle name="Input 2 4 2 2 4" xfId="29730" xr:uid="{00000000-0005-0000-0000-00005C740000}"/>
    <cellStyle name="Input 2 4 2 2 5" xfId="29731" xr:uid="{00000000-0005-0000-0000-00005D740000}"/>
    <cellStyle name="Input 2 4 2 2 6" xfId="29732" xr:uid="{00000000-0005-0000-0000-00005E740000}"/>
    <cellStyle name="Input 2 4 2 3" xfId="29733" xr:uid="{00000000-0005-0000-0000-00005F740000}"/>
    <cellStyle name="Input 2 4 2 3 2" xfId="29734" xr:uid="{00000000-0005-0000-0000-000060740000}"/>
    <cellStyle name="Input 2 4 2 3 2 2" xfId="29735" xr:uid="{00000000-0005-0000-0000-000061740000}"/>
    <cellStyle name="Input 2 4 2 3 2 3" xfId="29736" xr:uid="{00000000-0005-0000-0000-000062740000}"/>
    <cellStyle name="Input 2 4 2 3 2 4" xfId="29737" xr:uid="{00000000-0005-0000-0000-000063740000}"/>
    <cellStyle name="Input 2 4 2 3 3" xfId="29738" xr:uid="{00000000-0005-0000-0000-000064740000}"/>
    <cellStyle name="Input 2 4 2 3 3 2" xfId="29739" xr:uid="{00000000-0005-0000-0000-000065740000}"/>
    <cellStyle name="Input 2 4 2 3 3 3" xfId="29740" xr:uid="{00000000-0005-0000-0000-000066740000}"/>
    <cellStyle name="Input 2 4 2 3 3 4" xfId="29741" xr:uid="{00000000-0005-0000-0000-000067740000}"/>
    <cellStyle name="Input 2 4 2 3 4" xfId="29742" xr:uid="{00000000-0005-0000-0000-000068740000}"/>
    <cellStyle name="Input 2 4 2 3 5" xfId="29743" xr:uid="{00000000-0005-0000-0000-000069740000}"/>
    <cellStyle name="Input 2 4 2 3 6" xfId="29744" xr:uid="{00000000-0005-0000-0000-00006A740000}"/>
    <cellStyle name="Input 2 4 2 4" xfId="29745" xr:uid="{00000000-0005-0000-0000-00006B740000}"/>
    <cellStyle name="Input 2 4 2 5" xfId="29746" xr:uid="{00000000-0005-0000-0000-00006C740000}"/>
    <cellStyle name="Input 2 4 2 6" xfId="29747" xr:uid="{00000000-0005-0000-0000-00006D740000}"/>
    <cellStyle name="Input 2 4 3" xfId="29748" xr:uid="{00000000-0005-0000-0000-00006E740000}"/>
    <cellStyle name="Input 2 4 4" xfId="29749" xr:uid="{00000000-0005-0000-0000-00006F740000}"/>
    <cellStyle name="Input 2 5" xfId="29750" xr:uid="{00000000-0005-0000-0000-000070740000}"/>
    <cellStyle name="Input 2 5 2" xfId="29751" xr:uid="{00000000-0005-0000-0000-000071740000}"/>
    <cellStyle name="Input 2 5 2 2" xfId="29752" xr:uid="{00000000-0005-0000-0000-000072740000}"/>
    <cellStyle name="Input 2 5 2 2 2" xfId="29753" xr:uid="{00000000-0005-0000-0000-000073740000}"/>
    <cellStyle name="Input 2 5 2 2 2 2" xfId="29754" xr:uid="{00000000-0005-0000-0000-000074740000}"/>
    <cellStyle name="Input 2 5 2 2 2 3" xfId="29755" xr:uid="{00000000-0005-0000-0000-000075740000}"/>
    <cellStyle name="Input 2 5 2 2 2 4" xfId="29756" xr:uid="{00000000-0005-0000-0000-000076740000}"/>
    <cellStyle name="Input 2 5 2 2 3" xfId="29757" xr:uid="{00000000-0005-0000-0000-000077740000}"/>
    <cellStyle name="Input 2 5 2 2 3 2" xfId="29758" xr:uid="{00000000-0005-0000-0000-000078740000}"/>
    <cellStyle name="Input 2 5 2 2 3 3" xfId="29759" xr:uid="{00000000-0005-0000-0000-000079740000}"/>
    <cellStyle name="Input 2 5 2 2 3 4" xfId="29760" xr:uid="{00000000-0005-0000-0000-00007A740000}"/>
    <cellStyle name="Input 2 5 2 2 4" xfId="29761" xr:uid="{00000000-0005-0000-0000-00007B740000}"/>
    <cellStyle name="Input 2 5 2 2 5" xfId="29762" xr:uid="{00000000-0005-0000-0000-00007C740000}"/>
    <cellStyle name="Input 2 5 2 2 6" xfId="29763" xr:uid="{00000000-0005-0000-0000-00007D740000}"/>
    <cellStyle name="Input 2 5 2 3" xfId="29764" xr:uid="{00000000-0005-0000-0000-00007E740000}"/>
    <cellStyle name="Input 2 5 2 3 2" xfId="29765" xr:uid="{00000000-0005-0000-0000-00007F740000}"/>
    <cellStyle name="Input 2 5 2 3 2 2" xfId="29766" xr:uid="{00000000-0005-0000-0000-000080740000}"/>
    <cellStyle name="Input 2 5 2 3 2 3" xfId="29767" xr:uid="{00000000-0005-0000-0000-000081740000}"/>
    <cellStyle name="Input 2 5 2 3 2 4" xfId="29768" xr:uid="{00000000-0005-0000-0000-000082740000}"/>
    <cellStyle name="Input 2 5 2 3 3" xfId="29769" xr:uid="{00000000-0005-0000-0000-000083740000}"/>
    <cellStyle name="Input 2 5 2 3 3 2" xfId="29770" xr:uid="{00000000-0005-0000-0000-000084740000}"/>
    <cellStyle name="Input 2 5 2 3 3 3" xfId="29771" xr:uid="{00000000-0005-0000-0000-000085740000}"/>
    <cellStyle name="Input 2 5 2 3 3 4" xfId="29772" xr:uid="{00000000-0005-0000-0000-000086740000}"/>
    <cellStyle name="Input 2 5 2 3 4" xfId="29773" xr:uid="{00000000-0005-0000-0000-000087740000}"/>
    <cellStyle name="Input 2 5 2 3 5" xfId="29774" xr:uid="{00000000-0005-0000-0000-000088740000}"/>
    <cellStyle name="Input 2 5 2 3 6" xfId="29775" xr:uid="{00000000-0005-0000-0000-000089740000}"/>
    <cellStyle name="Input 2 5 2 4" xfId="29776" xr:uid="{00000000-0005-0000-0000-00008A740000}"/>
    <cellStyle name="Input 2 5 2 5" xfId="29777" xr:uid="{00000000-0005-0000-0000-00008B740000}"/>
    <cellStyle name="Input 2 5 2 6" xfId="29778" xr:uid="{00000000-0005-0000-0000-00008C740000}"/>
    <cellStyle name="Input 2 5 3" xfId="29779" xr:uid="{00000000-0005-0000-0000-00008D740000}"/>
    <cellStyle name="Input 2 5 4" xfId="29780" xr:uid="{00000000-0005-0000-0000-00008E740000}"/>
    <cellStyle name="Input 2 6" xfId="29781" xr:uid="{00000000-0005-0000-0000-00008F740000}"/>
    <cellStyle name="Input 2 6 2" xfId="29782" xr:uid="{00000000-0005-0000-0000-000090740000}"/>
    <cellStyle name="Input 2 6 2 2" xfId="29783" xr:uid="{00000000-0005-0000-0000-000091740000}"/>
    <cellStyle name="Input 2 6 2 2 2" xfId="29784" xr:uid="{00000000-0005-0000-0000-000092740000}"/>
    <cellStyle name="Input 2 6 2 2 3" xfId="29785" xr:uid="{00000000-0005-0000-0000-000093740000}"/>
    <cellStyle name="Input 2 6 2 2 4" xfId="29786" xr:uid="{00000000-0005-0000-0000-000094740000}"/>
    <cellStyle name="Input 2 6 2 3" xfId="29787" xr:uid="{00000000-0005-0000-0000-000095740000}"/>
    <cellStyle name="Input 2 6 2 3 2" xfId="29788" xr:uid="{00000000-0005-0000-0000-000096740000}"/>
    <cellStyle name="Input 2 6 2 3 3" xfId="29789" xr:uid="{00000000-0005-0000-0000-000097740000}"/>
    <cellStyle name="Input 2 6 2 3 4" xfId="29790" xr:uid="{00000000-0005-0000-0000-000098740000}"/>
    <cellStyle name="Input 2 6 2 4" xfId="29791" xr:uid="{00000000-0005-0000-0000-000099740000}"/>
    <cellStyle name="Input 2 6 2 5" xfId="29792" xr:uid="{00000000-0005-0000-0000-00009A740000}"/>
    <cellStyle name="Input 2 6 2 6" xfId="29793" xr:uid="{00000000-0005-0000-0000-00009B740000}"/>
    <cellStyle name="Input 2 6 3" xfId="29794" xr:uid="{00000000-0005-0000-0000-00009C740000}"/>
    <cellStyle name="Input 2 6 3 2" xfId="29795" xr:uid="{00000000-0005-0000-0000-00009D740000}"/>
    <cellStyle name="Input 2 6 3 2 2" xfId="29796" xr:uid="{00000000-0005-0000-0000-00009E740000}"/>
    <cellStyle name="Input 2 6 3 2 3" xfId="29797" xr:uid="{00000000-0005-0000-0000-00009F740000}"/>
    <cellStyle name="Input 2 6 3 2 4" xfId="29798" xr:uid="{00000000-0005-0000-0000-0000A0740000}"/>
    <cellStyle name="Input 2 6 3 3" xfId="29799" xr:uid="{00000000-0005-0000-0000-0000A1740000}"/>
    <cellStyle name="Input 2 6 3 3 2" xfId="29800" xr:uid="{00000000-0005-0000-0000-0000A2740000}"/>
    <cellStyle name="Input 2 6 3 3 3" xfId="29801" xr:uid="{00000000-0005-0000-0000-0000A3740000}"/>
    <cellStyle name="Input 2 6 3 3 4" xfId="29802" xr:uid="{00000000-0005-0000-0000-0000A4740000}"/>
    <cellStyle name="Input 2 6 3 4" xfId="29803" xr:uid="{00000000-0005-0000-0000-0000A5740000}"/>
    <cellStyle name="Input 2 6 3 5" xfId="29804" xr:uid="{00000000-0005-0000-0000-0000A6740000}"/>
    <cellStyle name="Input 2 6 3 6" xfId="29805" xr:uid="{00000000-0005-0000-0000-0000A7740000}"/>
    <cellStyle name="Input 2 6 4" xfId="29806" xr:uid="{00000000-0005-0000-0000-0000A8740000}"/>
    <cellStyle name="Input 2 6 4 2" xfId="29807" xr:uid="{00000000-0005-0000-0000-0000A9740000}"/>
    <cellStyle name="Input 2 6 4 3" xfId="29808" xr:uid="{00000000-0005-0000-0000-0000AA740000}"/>
    <cellStyle name="Input 2 6 4 4" xfId="29809" xr:uid="{00000000-0005-0000-0000-0000AB740000}"/>
    <cellStyle name="Input 2 6 5" xfId="29810" xr:uid="{00000000-0005-0000-0000-0000AC740000}"/>
    <cellStyle name="Input 2 6 6" xfId="29811" xr:uid="{00000000-0005-0000-0000-0000AD740000}"/>
    <cellStyle name="Input 2 7" xfId="29812" xr:uid="{00000000-0005-0000-0000-0000AE740000}"/>
    <cellStyle name="Input 2 7 2" xfId="29813" xr:uid="{00000000-0005-0000-0000-0000AF740000}"/>
    <cellStyle name="Input 2 7 2 2" xfId="29814" xr:uid="{00000000-0005-0000-0000-0000B0740000}"/>
    <cellStyle name="Input 2 7 2 2 2" xfId="29815" xr:uid="{00000000-0005-0000-0000-0000B1740000}"/>
    <cellStyle name="Input 2 7 2 2 3" xfId="29816" xr:uid="{00000000-0005-0000-0000-0000B2740000}"/>
    <cellStyle name="Input 2 7 2 2 4" xfId="29817" xr:uid="{00000000-0005-0000-0000-0000B3740000}"/>
    <cellStyle name="Input 2 7 2 3" xfId="29818" xr:uid="{00000000-0005-0000-0000-0000B4740000}"/>
    <cellStyle name="Input 2 7 2 3 2" xfId="29819" xr:uid="{00000000-0005-0000-0000-0000B5740000}"/>
    <cellStyle name="Input 2 7 2 3 3" xfId="29820" xr:uid="{00000000-0005-0000-0000-0000B6740000}"/>
    <cellStyle name="Input 2 7 2 3 4" xfId="29821" xr:uid="{00000000-0005-0000-0000-0000B7740000}"/>
    <cellStyle name="Input 2 7 2 4" xfId="29822" xr:uid="{00000000-0005-0000-0000-0000B8740000}"/>
    <cellStyle name="Input 2 7 2 5" xfId="29823" xr:uid="{00000000-0005-0000-0000-0000B9740000}"/>
    <cellStyle name="Input 2 7 2 6" xfId="29824" xr:uid="{00000000-0005-0000-0000-0000BA740000}"/>
    <cellStyle name="Input 2 7 3" xfId="29825" xr:uid="{00000000-0005-0000-0000-0000BB740000}"/>
    <cellStyle name="Input 2 7 3 2" xfId="29826" xr:uid="{00000000-0005-0000-0000-0000BC740000}"/>
    <cellStyle name="Input 2 7 3 2 2" xfId="29827" xr:uid="{00000000-0005-0000-0000-0000BD740000}"/>
    <cellStyle name="Input 2 7 3 2 3" xfId="29828" xr:uid="{00000000-0005-0000-0000-0000BE740000}"/>
    <cellStyle name="Input 2 7 3 2 4" xfId="29829" xr:uid="{00000000-0005-0000-0000-0000BF740000}"/>
    <cellStyle name="Input 2 7 3 3" xfId="29830" xr:uid="{00000000-0005-0000-0000-0000C0740000}"/>
    <cellStyle name="Input 2 7 3 3 2" xfId="29831" xr:uid="{00000000-0005-0000-0000-0000C1740000}"/>
    <cellStyle name="Input 2 7 3 3 3" xfId="29832" xr:uid="{00000000-0005-0000-0000-0000C2740000}"/>
    <cellStyle name="Input 2 7 3 3 4" xfId="29833" xr:uid="{00000000-0005-0000-0000-0000C3740000}"/>
    <cellStyle name="Input 2 7 3 4" xfId="29834" xr:uid="{00000000-0005-0000-0000-0000C4740000}"/>
    <cellStyle name="Input 2 7 3 5" xfId="29835" xr:uid="{00000000-0005-0000-0000-0000C5740000}"/>
    <cellStyle name="Input 2 7 3 6" xfId="29836" xr:uid="{00000000-0005-0000-0000-0000C6740000}"/>
    <cellStyle name="Input 2 7 4" xfId="29837" xr:uid="{00000000-0005-0000-0000-0000C7740000}"/>
    <cellStyle name="Input 2 7 4 2" xfId="29838" xr:uid="{00000000-0005-0000-0000-0000C8740000}"/>
    <cellStyle name="Input 2 7 4 3" xfId="29839" xr:uid="{00000000-0005-0000-0000-0000C9740000}"/>
    <cellStyle name="Input 2 7 4 4" xfId="29840" xr:uid="{00000000-0005-0000-0000-0000CA740000}"/>
    <cellStyle name="Input 2 7 5" xfId="29841" xr:uid="{00000000-0005-0000-0000-0000CB740000}"/>
    <cellStyle name="Input 2 7 6" xfId="29842" xr:uid="{00000000-0005-0000-0000-0000CC740000}"/>
    <cellStyle name="Input 2 8" xfId="29843" xr:uid="{00000000-0005-0000-0000-0000CD740000}"/>
    <cellStyle name="Input 2 8 2" xfId="29844" xr:uid="{00000000-0005-0000-0000-0000CE740000}"/>
    <cellStyle name="Input 2 8 2 2" xfId="29845" xr:uid="{00000000-0005-0000-0000-0000CF740000}"/>
    <cellStyle name="Input 2 8 2 2 2" xfId="29846" xr:uid="{00000000-0005-0000-0000-0000D0740000}"/>
    <cellStyle name="Input 2 8 2 2 3" xfId="29847" xr:uid="{00000000-0005-0000-0000-0000D1740000}"/>
    <cellStyle name="Input 2 8 2 2 4" xfId="29848" xr:uid="{00000000-0005-0000-0000-0000D2740000}"/>
    <cellStyle name="Input 2 8 2 3" xfId="29849" xr:uid="{00000000-0005-0000-0000-0000D3740000}"/>
    <cellStyle name="Input 2 8 2 3 2" xfId="29850" xr:uid="{00000000-0005-0000-0000-0000D4740000}"/>
    <cellStyle name="Input 2 8 2 3 3" xfId="29851" xr:uid="{00000000-0005-0000-0000-0000D5740000}"/>
    <cellStyle name="Input 2 8 2 3 4" xfId="29852" xr:uid="{00000000-0005-0000-0000-0000D6740000}"/>
    <cellStyle name="Input 2 8 2 4" xfId="29853" xr:uid="{00000000-0005-0000-0000-0000D7740000}"/>
    <cellStyle name="Input 2 8 2 5" xfId="29854" xr:uid="{00000000-0005-0000-0000-0000D8740000}"/>
    <cellStyle name="Input 2 8 2 6" xfId="29855" xr:uid="{00000000-0005-0000-0000-0000D9740000}"/>
    <cellStyle name="Input 2 8 3" xfId="29856" xr:uid="{00000000-0005-0000-0000-0000DA740000}"/>
    <cellStyle name="Input 2 8 3 2" xfId="29857" xr:uid="{00000000-0005-0000-0000-0000DB740000}"/>
    <cellStyle name="Input 2 8 3 2 2" xfId="29858" xr:uid="{00000000-0005-0000-0000-0000DC740000}"/>
    <cellStyle name="Input 2 8 3 2 3" xfId="29859" xr:uid="{00000000-0005-0000-0000-0000DD740000}"/>
    <cellStyle name="Input 2 8 3 2 4" xfId="29860" xr:uid="{00000000-0005-0000-0000-0000DE740000}"/>
    <cellStyle name="Input 2 8 3 3" xfId="29861" xr:uid="{00000000-0005-0000-0000-0000DF740000}"/>
    <cellStyle name="Input 2 8 3 3 2" xfId="29862" xr:uid="{00000000-0005-0000-0000-0000E0740000}"/>
    <cellStyle name="Input 2 8 3 3 3" xfId="29863" xr:uid="{00000000-0005-0000-0000-0000E1740000}"/>
    <cellStyle name="Input 2 8 3 3 4" xfId="29864" xr:uid="{00000000-0005-0000-0000-0000E2740000}"/>
    <cellStyle name="Input 2 8 3 4" xfId="29865" xr:uid="{00000000-0005-0000-0000-0000E3740000}"/>
    <cellStyle name="Input 2 8 3 5" xfId="29866" xr:uid="{00000000-0005-0000-0000-0000E4740000}"/>
    <cellStyle name="Input 2 8 3 6" xfId="29867" xr:uid="{00000000-0005-0000-0000-0000E5740000}"/>
    <cellStyle name="Input 2 8 4" xfId="29868" xr:uid="{00000000-0005-0000-0000-0000E6740000}"/>
    <cellStyle name="Input 2 8 4 2" xfId="29869" xr:uid="{00000000-0005-0000-0000-0000E7740000}"/>
    <cellStyle name="Input 2 8 4 3" xfId="29870" xr:uid="{00000000-0005-0000-0000-0000E8740000}"/>
    <cellStyle name="Input 2 8 4 4" xfId="29871" xr:uid="{00000000-0005-0000-0000-0000E9740000}"/>
    <cellStyle name="Input 2 8 5" xfId="29872" xr:uid="{00000000-0005-0000-0000-0000EA740000}"/>
    <cellStyle name="Input 2 8 6" xfId="29873" xr:uid="{00000000-0005-0000-0000-0000EB740000}"/>
    <cellStyle name="Input 2 9" xfId="29874" xr:uid="{00000000-0005-0000-0000-0000EC740000}"/>
    <cellStyle name="Input 2 9 2" xfId="29875" xr:uid="{00000000-0005-0000-0000-0000ED740000}"/>
    <cellStyle name="Input 2 9 2 2" xfId="29876" xr:uid="{00000000-0005-0000-0000-0000EE740000}"/>
    <cellStyle name="Input 2 9 2 2 2" xfId="29877" xr:uid="{00000000-0005-0000-0000-0000EF740000}"/>
    <cellStyle name="Input 2 9 2 2 3" xfId="29878" xr:uid="{00000000-0005-0000-0000-0000F0740000}"/>
    <cellStyle name="Input 2 9 2 2 4" xfId="29879" xr:uid="{00000000-0005-0000-0000-0000F1740000}"/>
    <cellStyle name="Input 2 9 2 3" xfId="29880" xr:uid="{00000000-0005-0000-0000-0000F2740000}"/>
    <cellStyle name="Input 2 9 2 3 2" xfId="29881" xr:uid="{00000000-0005-0000-0000-0000F3740000}"/>
    <cellStyle name="Input 2 9 2 3 3" xfId="29882" xr:uid="{00000000-0005-0000-0000-0000F4740000}"/>
    <cellStyle name="Input 2 9 2 3 4" xfId="29883" xr:uid="{00000000-0005-0000-0000-0000F5740000}"/>
    <cellStyle name="Input 2 9 2 4" xfId="29884" xr:uid="{00000000-0005-0000-0000-0000F6740000}"/>
    <cellStyle name="Input 2 9 2 5" xfId="29885" xr:uid="{00000000-0005-0000-0000-0000F7740000}"/>
    <cellStyle name="Input 2 9 2 6" xfId="29886" xr:uid="{00000000-0005-0000-0000-0000F8740000}"/>
    <cellStyle name="Input 2 9 3" xfId="29887" xr:uid="{00000000-0005-0000-0000-0000F9740000}"/>
    <cellStyle name="Input 2 9 3 2" xfId="29888" xr:uid="{00000000-0005-0000-0000-0000FA740000}"/>
    <cellStyle name="Input 2 9 3 2 2" xfId="29889" xr:uid="{00000000-0005-0000-0000-0000FB740000}"/>
    <cellStyle name="Input 2 9 3 2 3" xfId="29890" xr:uid="{00000000-0005-0000-0000-0000FC740000}"/>
    <cellStyle name="Input 2 9 3 2 4" xfId="29891" xr:uid="{00000000-0005-0000-0000-0000FD740000}"/>
    <cellStyle name="Input 2 9 3 3" xfId="29892" xr:uid="{00000000-0005-0000-0000-0000FE740000}"/>
    <cellStyle name="Input 2 9 3 3 2" xfId="29893" xr:uid="{00000000-0005-0000-0000-0000FF740000}"/>
    <cellStyle name="Input 2 9 3 3 3" xfId="29894" xr:uid="{00000000-0005-0000-0000-000000750000}"/>
    <cellStyle name="Input 2 9 3 3 4" xfId="29895" xr:uid="{00000000-0005-0000-0000-000001750000}"/>
    <cellStyle name="Input 2 9 3 4" xfId="29896" xr:uid="{00000000-0005-0000-0000-000002750000}"/>
    <cellStyle name="Input 2 9 3 5" xfId="29897" xr:uid="{00000000-0005-0000-0000-000003750000}"/>
    <cellStyle name="Input 2 9 3 6" xfId="29898" xr:uid="{00000000-0005-0000-0000-000004750000}"/>
    <cellStyle name="Input 2 9 4" xfId="29899" xr:uid="{00000000-0005-0000-0000-000005750000}"/>
    <cellStyle name="Input 2 9 4 2" xfId="29900" xr:uid="{00000000-0005-0000-0000-000006750000}"/>
    <cellStyle name="Input 2 9 4 3" xfId="29901" xr:uid="{00000000-0005-0000-0000-000007750000}"/>
    <cellStyle name="Input 2 9 4 4" xfId="29902" xr:uid="{00000000-0005-0000-0000-000008750000}"/>
    <cellStyle name="Input 2 9 5" xfId="29903" xr:uid="{00000000-0005-0000-0000-000009750000}"/>
    <cellStyle name="Input 2 9 6" xfId="29904" xr:uid="{00000000-0005-0000-0000-00000A750000}"/>
    <cellStyle name="Input 20" xfId="29905" xr:uid="{00000000-0005-0000-0000-00000B750000}"/>
    <cellStyle name="Input 20 2" xfId="29906" xr:uid="{00000000-0005-0000-0000-00000C750000}"/>
    <cellStyle name="Input 20 2 2" xfId="29907" xr:uid="{00000000-0005-0000-0000-00000D750000}"/>
    <cellStyle name="Input 20 2 2 2" xfId="29908" xr:uid="{00000000-0005-0000-0000-00000E750000}"/>
    <cellStyle name="Input 20 2 2 3" xfId="29909" xr:uid="{00000000-0005-0000-0000-00000F750000}"/>
    <cellStyle name="Input 20 2 2 4" xfId="29910" xr:uid="{00000000-0005-0000-0000-000010750000}"/>
    <cellStyle name="Input 20 2 3" xfId="29911" xr:uid="{00000000-0005-0000-0000-000011750000}"/>
    <cellStyle name="Input 20 2 3 2" xfId="29912" xr:uid="{00000000-0005-0000-0000-000012750000}"/>
    <cellStyle name="Input 20 2 3 3" xfId="29913" xr:uid="{00000000-0005-0000-0000-000013750000}"/>
    <cellStyle name="Input 20 2 3 4" xfId="29914" xr:uid="{00000000-0005-0000-0000-000014750000}"/>
    <cellStyle name="Input 20 2 4" xfId="29915" xr:uid="{00000000-0005-0000-0000-000015750000}"/>
    <cellStyle name="Input 20 2 5" xfId="29916" xr:uid="{00000000-0005-0000-0000-000016750000}"/>
    <cellStyle name="Input 20 2 6" xfId="29917" xr:uid="{00000000-0005-0000-0000-000017750000}"/>
    <cellStyle name="Input 20 3" xfId="29918" xr:uid="{00000000-0005-0000-0000-000018750000}"/>
    <cellStyle name="Input 20 3 2" xfId="29919" xr:uid="{00000000-0005-0000-0000-000019750000}"/>
    <cellStyle name="Input 20 3 2 2" xfId="29920" xr:uid="{00000000-0005-0000-0000-00001A750000}"/>
    <cellStyle name="Input 20 3 2 3" xfId="29921" xr:uid="{00000000-0005-0000-0000-00001B750000}"/>
    <cellStyle name="Input 20 3 2 4" xfId="29922" xr:uid="{00000000-0005-0000-0000-00001C750000}"/>
    <cellStyle name="Input 20 3 3" xfId="29923" xr:uid="{00000000-0005-0000-0000-00001D750000}"/>
    <cellStyle name="Input 20 3 3 2" xfId="29924" xr:uid="{00000000-0005-0000-0000-00001E750000}"/>
    <cellStyle name="Input 20 3 3 3" xfId="29925" xr:uid="{00000000-0005-0000-0000-00001F750000}"/>
    <cellStyle name="Input 20 3 3 4" xfId="29926" xr:uid="{00000000-0005-0000-0000-000020750000}"/>
    <cellStyle name="Input 20 3 4" xfId="29927" xr:uid="{00000000-0005-0000-0000-000021750000}"/>
    <cellStyle name="Input 20 3 5" xfId="29928" xr:uid="{00000000-0005-0000-0000-000022750000}"/>
    <cellStyle name="Input 20 3 6" xfId="29929" xr:uid="{00000000-0005-0000-0000-000023750000}"/>
    <cellStyle name="Input 20 4" xfId="29930" xr:uid="{00000000-0005-0000-0000-000024750000}"/>
    <cellStyle name="Input 20 4 2" xfId="29931" xr:uid="{00000000-0005-0000-0000-000025750000}"/>
    <cellStyle name="Input 20 4 3" xfId="29932" xr:uid="{00000000-0005-0000-0000-000026750000}"/>
    <cellStyle name="Input 20 4 4" xfId="29933" xr:uid="{00000000-0005-0000-0000-000027750000}"/>
    <cellStyle name="Input 20 5" xfId="29934" xr:uid="{00000000-0005-0000-0000-000028750000}"/>
    <cellStyle name="Input 20 6" xfId="29935" xr:uid="{00000000-0005-0000-0000-000029750000}"/>
    <cellStyle name="Input 21" xfId="29936" xr:uid="{00000000-0005-0000-0000-00002A750000}"/>
    <cellStyle name="Input 21 2" xfId="29937" xr:uid="{00000000-0005-0000-0000-00002B750000}"/>
    <cellStyle name="Input 21 2 2" xfId="29938" xr:uid="{00000000-0005-0000-0000-00002C750000}"/>
    <cellStyle name="Input 21 2 2 2" xfId="29939" xr:uid="{00000000-0005-0000-0000-00002D750000}"/>
    <cellStyle name="Input 21 2 2 3" xfId="29940" xr:uid="{00000000-0005-0000-0000-00002E750000}"/>
    <cellStyle name="Input 21 2 2 4" xfId="29941" xr:uid="{00000000-0005-0000-0000-00002F750000}"/>
    <cellStyle name="Input 21 2 3" xfId="29942" xr:uid="{00000000-0005-0000-0000-000030750000}"/>
    <cellStyle name="Input 21 2 3 2" xfId="29943" xr:uid="{00000000-0005-0000-0000-000031750000}"/>
    <cellStyle name="Input 21 2 3 3" xfId="29944" xr:uid="{00000000-0005-0000-0000-000032750000}"/>
    <cellStyle name="Input 21 2 3 4" xfId="29945" xr:uid="{00000000-0005-0000-0000-000033750000}"/>
    <cellStyle name="Input 21 2 4" xfId="29946" xr:uid="{00000000-0005-0000-0000-000034750000}"/>
    <cellStyle name="Input 21 2 5" xfId="29947" xr:uid="{00000000-0005-0000-0000-000035750000}"/>
    <cellStyle name="Input 21 2 6" xfId="29948" xr:uid="{00000000-0005-0000-0000-000036750000}"/>
    <cellStyle name="Input 21 3" xfId="29949" xr:uid="{00000000-0005-0000-0000-000037750000}"/>
    <cellStyle name="Input 21 3 2" xfId="29950" xr:uid="{00000000-0005-0000-0000-000038750000}"/>
    <cellStyle name="Input 21 3 2 2" xfId="29951" xr:uid="{00000000-0005-0000-0000-000039750000}"/>
    <cellStyle name="Input 21 3 2 3" xfId="29952" xr:uid="{00000000-0005-0000-0000-00003A750000}"/>
    <cellStyle name="Input 21 3 2 4" xfId="29953" xr:uid="{00000000-0005-0000-0000-00003B750000}"/>
    <cellStyle name="Input 21 3 3" xfId="29954" xr:uid="{00000000-0005-0000-0000-00003C750000}"/>
    <cellStyle name="Input 21 3 3 2" xfId="29955" xr:uid="{00000000-0005-0000-0000-00003D750000}"/>
    <cellStyle name="Input 21 3 3 3" xfId="29956" xr:uid="{00000000-0005-0000-0000-00003E750000}"/>
    <cellStyle name="Input 21 3 3 4" xfId="29957" xr:uid="{00000000-0005-0000-0000-00003F750000}"/>
    <cellStyle name="Input 21 3 4" xfId="29958" xr:uid="{00000000-0005-0000-0000-000040750000}"/>
    <cellStyle name="Input 21 3 5" xfId="29959" xr:uid="{00000000-0005-0000-0000-000041750000}"/>
    <cellStyle name="Input 21 3 6" xfId="29960" xr:uid="{00000000-0005-0000-0000-000042750000}"/>
    <cellStyle name="Input 21 4" xfId="29961" xr:uid="{00000000-0005-0000-0000-000043750000}"/>
    <cellStyle name="Input 21 4 2" xfId="29962" xr:uid="{00000000-0005-0000-0000-000044750000}"/>
    <cellStyle name="Input 21 4 3" xfId="29963" xr:uid="{00000000-0005-0000-0000-000045750000}"/>
    <cellStyle name="Input 21 4 4" xfId="29964" xr:uid="{00000000-0005-0000-0000-000046750000}"/>
    <cellStyle name="Input 21 5" xfId="29965" xr:uid="{00000000-0005-0000-0000-000047750000}"/>
    <cellStyle name="Input 21 6" xfId="29966" xr:uid="{00000000-0005-0000-0000-000048750000}"/>
    <cellStyle name="Input 22" xfId="29967" xr:uid="{00000000-0005-0000-0000-000049750000}"/>
    <cellStyle name="Input 22 2" xfId="29968" xr:uid="{00000000-0005-0000-0000-00004A750000}"/>
    <cellStyle name="Input 22 2 2" xfId="29969" xr:uid="{00000000-0005-0000-0000-00004B750000}"/>
    <cellStyle name="Input 22 2 2 2" xfId="29970" xr:uid="{00000000-0005-0000-0000-00004C750000}"/>
    <cellStyle name="Input 22 2 2 3" xfId="29971" xr:uid="{00000000-0005-0000-0000-00004D750000}"/>
    <cellStyle name="Input 22 2 2 4" xfId="29972" xr:uid="{00000000-0005-0000-0000-00004E750000}"/>
    <cellStyle name="Input 22 2 3" xfId="29973" xr:uid="{00000000-0005-0000-0000-00004F750000}"/>
    <cellStyle name="Input 22 2 3 2" xfId="29974" xr:uid="{00000000-0005-0000-0000-000050750000}"/>
    <cellStyle name="Input 22 2 3 3" xfId="29975" xr:uid="{00000000-0005-0000-0000-000051750000}"/>
    <cellStyle name="Input 22 2 3 4" xfId="29976" xr:uid="{00000000-0005-0000-0000-000052750000}"/>
    <cellStyle name="Input 22 2 4" xfId="29977" xr:uid="{00000000-0005-0000-0000-000053750000}"/>
    <cellStyle name="Input 22 2 5" xfId="29978" xr:uid="{00000000-0005-0000-0000-000054750000}"/>
    <cellStyle name="Input 22 2 6" xfId="29979" xr:uid="{00000000-0005-0000-0000-000055750000}"/>
    <cellStyle name="Input 22 3" xfId="29980" xr:uid="{00000000-0005-0000-0000-000056750000}"/>
    <cellStyle name="Input 22 3 2" xfId="29981" xr:uid="{00000000-0005-0000-0000-000057750000}"/>
    <cellStyle name="Input 22 3 2 2" xfId="29982" xr:uid="{00000000-0005-0000-0000-000058750000}"/>
    <cellStyle name="Input 22 3 2 3" xfId="29983" xr:uid="{00000000-0005-0000-0000-000059750000}"/>
    <cellStyle name="Input 22 3 2 4" xfId="29984" xr:uid="{00000000-0005-0000-0000-00005A750000}"/>
    <cellStyle name="Input 22 3 3" xfId="29985" xr:uid="{00000000-0005-0000-0000-00005B750000}"/>
    <cellStyle name="Input 22 3 3 2" xfId="29986" xr:uid="{00000000-0005-0000-0000-00005C750000}"/>
    <cellStyle name="Input 22 3 3 3" xfId="29987" xr:uid="{00000000-0005-0000-0000-00005D750000}"/>
    <cellStyle name="Input 22 3 3 4" xfId="29988" xr:uid="{00000000-0005-0000-0000-00005E750000}"/>
    <cellStyle name="Input 22 3 4" xfId="29989" xr:uid="{00000000-0005-0000-0000-00005F750000}"/>
    <cellStyle name="Input 22 3 5" xfId="29990" xr:uid="{00000000-0005-0000-0000-000060750000}"/>
    <cellStyle name="Input 22 3 6" xfId="29991" xr:uid="{00000000-0005-0000-0000-000061750000}"/>
    <cellStyle name="Input 22 4" xfId="29992" xr:uid="{00000000-0005-0000-0000-000062750000}"/>
    <cellStyle name="Input 22 4 2" xfId="29993" xr:uid="{00000000-0005-0000-0000-000063750000}"/>
    <cellStyle name="Input 22 4 3" xfId="29994" xr:uid="{00000000-0005-0000-0000-000064750000}"/>
    <cellStyle name="Input 22 4 4" xfId="29995" xr:uid="{00000000-0005-0000-0000-000065750000}"/>
    <cellStyle name="Input 22 5" xfId="29996" xr:uid="{00000000-0005-0000-0000-000066750000}"/>
    <cellStyle name="Input 22 6" xfId="29997" xr:uid="{00000000-0005-0000-0000-000067750000}"/>
    <cellStyle name="Input 23" xfId="29998" xr:uid="{00000000-0005-0000-0000-000068750000}"/>
    <cellStyle name="Input 23 2" xfId="29999" xr:uid="{00000000-0005-0000-0000-000069750000}"/>
    <cellStyle name="Input 23 2 2" xfId="30000" xr:uid="{00000000-0005-0000-0000-00006A750000}"/>
    <cellStyle name="Input 23 2 2 2" xfId="30001" xr:uid="{00000000-0005-0000-0000-00006B750000}"/>
    <cellStyle name="Input 23 2 2 3" xfId="30002" xr:uid="{00000000-0005-0000-0000-00006C750000}"/>
    <cellStyle name="Input 23 2 2 4" xfId="30003" xr:uid="{00000000-0005-0000-0000-00006D750000}"/>
    <cellStyle name="Input 23 2 3" xfId="30004" xr:uid="{00000000-0005-0000-0000-00006E750000}"/>
    <cellStyle name="Input 23 2 3 2" xfId="30005" xr:uid="{00000000-0005-0000-0000-00006F750000}"/>
    <cellStyle name="Input 23 2 3 3" xfId="30006" xr:uid="{00000000-0005-0000-0000-000070750000}"/>
    <cellStyle name="Input 23 2 3 4" xfId="30007" xr:uid="{00000000-0005-0000-0000-000071750000}"/>
    <cellStyle name="Input 23 2 4" xfId="30008" xr:uid="{00000000-0005-0000-0000-000072750000}"/>
    <cellStyle name="Input 23 2 5" xfId="30009" xr:uid="{00000000-0005-0000-0000-000073750000}"/>
    <cellStyle name="Input 23 2 6" xfId="30010" xr:uid="{00000000-0005-0000-0000-000074750000}"/>
    <cellStyle name="Input 23 3" xfId="30011" xr:uid="{00000000-0005-0000-0000-000075750000}"/>
    <cellStyle name="Input 23 3 2" xfId="30012" xr:uid="{00000000-0005-0000-0000-000076750000}"/>
    <cellStyle name="Input 23 3 2 2" xfId="30013" xr:uid="{00000000-0005-0000-0000-000077750000}"/>
    <cellStyle name="Input 23 3 2 3" xfId="30014" xr:uid="{00000000-0005-0000-0000-000078750000}"/>
    <cellStyle name="Input 23 3 2 4" xfId="30015" xr:uid="{00000000-0005-0000-0000-000079750000}"/>
    <cellStyle name="Input 23 3 3" xfId="30016" xr:uid="{00000000-0005-0000-0000-00007A750000}"/>
    <cellStyle name="Input 23 3 3 2" xfId="30017" xr:uid="{00000000-0005-0000-0000-00007B750000}"/>
    <cellStyle name="Input 23 3 3 3" xfId="30018" xr:uid="{00000000-0005-0000-0000-00007C750000}"/>
    <cellStyle name="Input 23 3 3 4" xfId="30019" xr:uid="{00000000-0005-0000-0000-00007D750000}"/>
    <cellStyle name="Input 23 3 4" xfId="30020" xr:uid="{00000000-0005-0000-0000-00007E750000}"/>
    <cellStyle name="Input 23 3 5" xfId="30021" xr:uid="{00000000-0005-0000-0000-00007F750000}"/>
    <cellStyle name="Input 23 3 6" xfId="30022" xr:uid="{00000000-0005-0000-0000-000080750000}"/>
    <cellStyle name="Input 23 4" xfId="30023" xr:uid="{00000000-0005-0000-0000-000081750000}"/>
    <cellStyle name="Input 23 4 2" xfId="30024" xr:uid="{00000000-0005-0000-0000-000082750000}"/>
    <cellStyle name="Input 23 4 3" xfId="30025" xr:uid="{00000000-0005-0000-0000-000083750000}"/>
    <cellStyle name="Input 23 4 4" xfId="30026" xr:uid="{00000000-0005-0000-0000-000084750000}"/>
    <cellStyle name="Input 23 5" xfId="30027" xr:uid="{00000000-0005-0000-0000-000085750000}"/>
    <cellStyle name="Input 23 6" xfId="30028" xr:uid="{00000000-0005-0000-0000-000086750000}"/>
    <cellStyle name="Input 24" xfId="30029" xr:uid="{00000000-0005-0000-0000-000087750000}"/>
    <cellStyle name="Input 24 2" xfId="30030" xr:uid="{00000000-0005-0000-0000-000088750000}"/>
    <cellStyle name="Input 24 2 2" xfId="30031" xr:uid="{00000000-0005-0000-0000-000089750000}"/>
    <cellStyle name="Input 24 2 2 2" xfId="30032" xr:uid="{00000000-0005-0000-0000-00008A750000}"/>
    <cellStyle name="Input 24 2 2 3" xfId="30033" xr:uid="{00000000-0005-0000-0000-00008B750000}"/>
    <cellStyle name="Input 24 2 2 4" xfId="30034" xr:uid="{00000000-0005-0000-0000-00008C750000}"/>
    <cellStyle name="Input 24 2 3" xfId="30035" xr:uid="{00000000-0005-0000-0000-00008D750000}"/>
    <cellStyle name="Input 24 2 3 2" xfId="30036" xr:uid="{00000000-0005-0000-0000-00008E750000}"/>
    <cellStyle name="Input 24 2 3 3" xfId="30037" xr:uid="{00000000-0005-0000-0000-00008F750000}"/>
    <cellStyle name="Input 24 2 3 4" xfId="30038" xr:uid="{00000000-0005-0000-0000-000090750000}"/>
    <cellStyle name="Input 24 2 4" xfId="30039" xr:uid="{00000000-0005-0000-0000-000091750000}"/>
    <cellStyle name="Input 24 2 5" xfId="30040" xr:uid="{00000000-0005-0000-0000-000092750000}"/>
    <cellStyle name="Input 24 2 6" xfId="30041" xr:uid="{00000000-0005-0000-0000-000093750000}"/>
    <cellStyle name="Input 24 3" xfId="30042" xr:uid="{00000000-0005-0000-0000-000094750000}"/>
    <cellStyle name="Input 24 3 2" xfId="30043" xr:uid="{00000000-0005-0000-0000-000095750000}"/>
    <cellStyle name="Input 24 3 2 2" xfId="30044" xr:uid="{00000000-0005-0000-0000-000096750000}"/>
    <cellStyle name="Input 24 3 2 3" xfId="30045" xr:uid="{00000000-0005-0000-0000-000097750000}"/>
    <cellStyle name="Input 24 3 2 4" xfId="30046" xr:uid="{00000000-0005-0000-0000-000098750000}"/>
    <cellStyle name="Input 24 3 3" xfId="30047" xr:uid="{00000000-0005-0000-0000-000099750000}"/>
    <cellStyle name="Input 24 3 3 2" xfId="30048" xr:uid="{00000000-0005-0000-0000-00009A750000}"/>
    <cellStyle name="Input 24 3 3 3" xfId="30049" xr:uid="{00000000-0005-0000-0000-00009B750000}"/>
    <cellStyle name="Input 24 3 3 4" xfId="30050" xr:uid="{00000000-0005-0000-0000-00009C750000}"/>
    <cellStyle name="Input 24 3 4" xfId="30051" xr:uid="{00000000-0005-0000-0000-00009D750000}"/>
    <cellStyle name="Input 24 3 5" xfId="30052" xr:uid="{00000000-0005-0000-0000-00009E750000}"/>
    <cellStyle name="Input 24 3 6" xfId="30053" xr:uid="{00000000-0005-0000-0000-00009F750000}"/>
    <cellStyle name="Input 24 4" xfId="30054" xr:uid="{00000000-0005-0000-0000-0000A0750000}"/>
    <cellStyle name="Input 24 4 2" xfId="30055" xr:uid="{00000000-0005-0000-0000-0000A1750000}"/>
    <cellStyle name="Input 24 4 3" xfId="30056" xr:uid="{00000000-0005-0000-0000-0000A2750000}"/>
    <cellStyle name="Input 24 4 4" xfId="30057" xr:uid="{00000000-0005-0000-0000-0000A3750000}"/>
    <cellStyle name="Input 24 5" xfId="30058" xr:uid="{00000000-0005-0000-0000-0000A4750000}"/>
    <cellStyle name="Input 24 6" xfId="30059" xr:uid="{00000000-0005-0000-0000-0000A5750000}"/>
    <cellStyle name="Input 25" xfId="30060" xr:uid="{00000000-0005-0000-0000-0000A6750000}"/>
    <cellStyle name="Input 25 2" xfId="30061" xr:uid="{00000000-0005-0000-0000-0000A7750000}"/>
    <cellStyle name="Input 25 2 2" xfId="30062" xr:uid="{00000000-0005-0000-0000-0000A8750000}"/>
    <cellStyle name="Input 25 2 2 2" xfId="30063" xr:uid="{00000000-0005-0000-0000-0000A9750000}"/>
    <cellStyle name="Input 25 2 2 3" xfId="30064" xr:uid="{00000000-0005-0000-0000-0000AA750000}"/>
    <cellStyle name="Input 25 2 2 4" xfId="30065" xr:uid="{00000000-0005-0000-0000-0000AB750000}"/>
    <cellStyle name="Input 25 2 3" xfId="30066" xr:uid="{00000000-0005-0000-0000-0000AC750000}"/>
    <cellStyle name="Input 25 2 3 2" xfId="30067" xr:uid="{00000000-0005-0000-0000-0000AD750000}"/>
    <cellStyle name="Input 25 2 3 3" xfId="30068" xr:uid="{00000000-0005-0000-0000-0000AE750000}"/>
    <cellStyle name="Input 25 2 3 4" xfId="30069" xr:uid="{00000000-0005-0000-0000-0000AF750000}"/>
    <cellStyle name="Input 25 2 4" xfId="30070" xr:uid="{00000000-0005-0000-0000-0000B0750000}"/>
    <cellStyle name="Input 25 2 5" xfId="30071" xr:uid="{00000000-0005-0000-0000-0000B1750000}"/>
    <cellStyle name="Input 25 2 6" xfId="30072" xr:uid="{00000000-0005-0000-0000-0000B2750000}"/>
    <cellStyle name="Input 25 3" xfId="30073" xr:uid="{00000000-0005-0000-0000-0000B3750000}"/>
    <cellStyle name="Input 25 3 2" xfId="30074" xr:uid="{00000000-0005-0000-0000-0000B4750000}"/>
    <cellStyle name="Input 25 3 2 2" xfId="30075" xr:uid="{00000000-0005-0000-0000-0000B5750000}"/>
    <cellStyle name="Input 25 3 2 3" xfId="30076" xr:uid="{00000000-0005-0000-0000-0000B6750000}"/>
    <cellStyle name="Input 25 3 2 4" xfId="30077" xr:uid="{00000000-0005-0000-0000-0000B7750000}"/>
    <cellStyle name="Input 25 3 3" xfId="30078" xr:uid="{00000000-0005-0000-0000-0000B8750000}"/>
    <cellStyle name="Input 25 3 3 2" xfId="30079" xr:uid="{00000000-0005-0000-0000-0000B9750000}"/>
    <cellStyle name="Input 25 3 3 3" xfId="30080" xr:uid="{00000000-0005-0000-0000-0000BA750000}"/>
    <cellStyle name="Input 25 3 3 4" xfId="30081" xr:uid="{00000000-0005-0000-0000-0000BB750000}"/>
    <cellStyle name="Input 25 3 4" xfId="30082" xr:uid="{00000000-0005-0000-0000-0000BC750000}"/>
    <cellStyle name="Input 25 3 5" xfId="30083" xr:uid="{00000000-0005-0000-0000-0000BD750000}"/>
    <cellStyle name="Input 25 3 6" xfId="30084" xr:uid="{00000000-0005-0000-0000-0000BE750000}"/>
    <cellStyle name="Input 25 4" xfId="30085" xr:uid="{00000000-0005-0000-0000-0000BF750000}"/>
    <cellStyle name="Input 25 4 2" xfId="30086" xr:uid="{00000000-0005-0000-0000-0000C0750000}"/>
    <cellStyle name="Input 25 4 3" xfId="30087" xr:uid="{00000000-0005-0000-0000-0000C1750000}"/>
    <cellStyle name="Input 25 4 4" xfId="30088" xr:uid="{00000000-0005-0000-0000-0000C2750000}"/>
    <cellStyle name="Input 25 5" xfId="30089" xr:uid="{00000000-0005-0000-0000-0000C3750000}"/>
    <cellStyle name="Input 25 6" xfId="30090" xr:uid="{00000000-0005-0000-0000-0000C4750000}"/>
    <cellStyle name="Input 26" xfId="30091" xr:uid="{00000000-0005-0000-0000-0000C5750000}"/>
    <cellStyle name="Input 26 2" xfId="30092" xr:uid="{00000000-0005-0000-0000-0000C6750000}"/>
    <cellStyle name="Input 26 2 2" xfId="30093" xr:uid="{00000000-0005-0000-0000-0000C7750000}"/>
    <cellStyle name="Input 26 2 2 2" xfId="30094" xr:uid="{00000000-0005-0000-0000-0000C8750000}"/>
    <cellStyle name="Input 26 2 2 3" xfId="30095" xr:uid="{00000000-0005-0000-0000-0000C9750000}"/>
    <cellStyle name="Input 26 2 2 4" xfId="30096" xr:uid="{00000000-0005-0000-0000-0000CA750000}"/>
    <cellStyle name="Input 26 2 3" xfId="30097" xr:uid="{00000000-0005-0000-0000-0000CB750000}"/>
    <cellStyle name="Input 26 2 3 2" xfId="30098" xr:uid="{00000000-0005-0000-0000-0000CC750000}"/>
    <cellStyle name="Input 26 2 3 3" xfId="30099" xr:uid="{00000000-0005-0000-0000-0000CD750000}"/>
    <cellStyle name="Input 26 2 3 4" xfId="30100" xr:uid="{00000000-0005-0000-0000-0000CE750000}"/>
    <cellStyle name="Input 26 2 4" xfId="30101" xr:uid="{00000000-0005-0000-0000-0000CF750000}"/>
    <cellStyle name="Input 26 2 5" xfId="30102" xr:uid="{00000000-0005-0000-0000-0000D0750000}"/>
    <cellStyle name="Input 26 2 6" xfId="30103" xr:uid="{00000000-0005-0000-0000-0000D1750000}"/>
    <cellStyle name="Input 26 3" xfId="30104" xr:uid="{00000000-0005-0000-0000-0000D2750000}"/>
    <cellStyle name="Input 26 3 2" xfId="30105" xr:uid="{00000000-0005-0000-0000-0000D3750000}"/>
    <cellStyle name="Input 26 3 2 2" xfId="30106" xr:uid="{00000000-0005-0000-0000-0000D4750000}"/>
    <cellStyle name="Input 26 3 2 3" xfId="30107" xr:uid="{00000000-0005-0000-0000-0000D5750000}"/>
    <cellStyle name="Input 26 3 2 4" xfId="30108" xr:uid="{00000000-0005-0000-0000-0000D6750000}"/>
    <cellStyle name="Input 26 3 3" xfId="30109" xr:uid="{00000000-0005-0000-0000-0000D7750000}"/>
    <cellStyle name="Input 26 3 3 2" xfId="30110" xr:uid="{00000000-0005-0000-0000-0000D8750000}"/>
    <cellStyle name="Input 26 3 3 3" xfId="30111" xr:uid="{00000000-0005-0000-0000-0000D9750000}"/>
    <cellStyle name="Input 26 3 3 4" xfId="30112" xr:uid="{00000000-0005-0000-0000-0000DA750000}"/>
    <cellStyle name="Input 26 3 4" xfId="30113" xr:uid="{00000000-0005-0000-0000-0000DB750000}"/>
    <cellStyle name="Input 26 3 5" xfId="30114" xr:uid="{00000000-0005-0000-0000-0000DC750000}"/>
    <cellStyle name="Input 26 3 6" xfId="30115" xr:uid="{00000000-0005-0000-0000-0000DD750000}"/>
    <cellStyle name="Input 26 4" xfId="30116" xr:uid="{00000000-0005-0000-0000-0000DE750000}"/>
    <cellStyle name="Input 26 4 2" xfId="30117" xr:uid="{00000000-0005-0000-0000-0000DF750000}"/>
    <cellStyle name="Input 26 4 3" xfId="30118" xr:uid="{00000000-0005-0000-0000-0000E0750000}"/>
    <cellStyle name="Input 26 4 4" xfId="30119" xr:uid="{00000000-0005-0000-0000-0000E1750000}"/>
    <cellStyle name="Input 26 5" xfId="30120" xr:uid="{00000000-0005-0000-0000-0000E2750000}"/>
    <cellStyle name="Input 26 6" xfId="30121" xr:uid="{00000000-0005-0000-0000-0000E3750000}"/>
    <cellStyle name="Input 27" xfId="30122" xr:uid="{00000000-0005-0000-0000-0000E4750000}"/>
    <cellStyle name="Input 27 2" xfId="30123" xr:uid="{00000000-0005-0000-0000-0000E5750000}"/>
    <cellStyle name="Input 27 2 2" xfId="30124" xr:uid="{00000000-0005-0000-0000-0000E6750000}"/>
    <cellStyle name="Input 27 2 2 2" xfId="30125" xr:uid="{00000000-0005-0000-0000-0000E7750000}"/>
    <cellStyle name="Input 27 2 2 3" xfId="30126" xr:uid="{00000000-0005-0000-0000-0000E8750000}"/>
    <cellStyle name="Input 27 2 2 4" xfId="30127" xr:uid="{00000000-0005-0000-0000-0000E9750000}"/>
    <cellStyle name="Input 27 2 3" xfId="30128" xr:uid="{00000000-0005-0000-0000-0000EA750000}"/>
    <cellStyle name="Input 27 2 3 2" xfId="30129" xr:uid="{00000000-0005-0000-0000-0000EB750000}"/>
    <cellStyle name="Input 27 2 3 3" xfId="30130" xr:uid="{00000000-0005-0000-0000-0000EC750000}"/>
    <cellStyle name="Input 27 2 3 4" xfId="30131" xr:uid="{00000000-0005-0000-0000-0000ED750000}"/>
    <cellStyle name="Input 27 2 4" xfId="30132" xr:uid="{00000000-0005-0000-0000-0000EE750000}"/>
    <cellStyle name="Input 27 2 5" xfId="30133" xr:uid="{00000000-0005-0000-0000-0000EF750000}"/>
    <cellStyle name="Input 27 2 6" xfId="30134" xr:uid="{00000000-0005-0000-0000-0000F0750000}"/>
    <cellStyle name="Input 27 3" xfId="30135" xr:uid="{00000000-0005-0000-0000-0000F1750000}"/>
    <cellStyle name="Input 27 3 2" xfId="30136" xr:uid="{00000000-0005-0000-0000-0000F2750000}"/>
    <cellStyle name="Input 27 3 2 2" xfId="30137" xr:uid="{00000000-0005-0000-0000-0000F3750000}"/>
    <cellStyle name="Input 27 3 2 3" xfId="30138" xr:uid="{00000000-0005-0000-0000-0000F4750000}"/>
    <cellStyle name="Input 27 3 2 4" xfId="30139" xr:uid="{00000000-0005-0000-0000-0000F5750000}"/>
    <cellStyle name="Input 27 3 3" xfId="30140" xr:uid="{00000000-0005-0000-0000-0000F6750000}"/>
    <cellStyle name="Input 27 3 3 2" xfId="30141" xr:uid="{00000000-0005-0000-0000-0000F7750000}"/>
    <cellStyle name="Input 27 3 3 3" xfId="30142" xr:uid="{00000000-0005-0000-0000-0000F8750000}"/>
    <cellStyle name="Input 27 3 3 4" xfId="30143" xr:uid="{00000000-0005-0000-0000-0000F9750000}"/>
    <cellStyle name="Input 27 3 4" xfId="30144" xr:uid="{00000000-0005-0000-0000-0000FA750000}"/>
    <cellStyle name="Input 27 3 5" xfId="30145" xr:uid="{00000000-0005-0000-0000-0000FB750000}"/>
    <cellStyle name="Input 27 3 6" xfId="30146" xr:uid="{00000000-0005-0000-0000-0000FC750000}"/>
    <cellStyle name="Input 27 4" xfId="30147" xr:uid="{00000000-0005-0000-0000-0000FD750000}"/>
    <cellStyle name="Input 27 4 2" xfId="30148" xr:uid="{00000000-0005-0000-0000-0000FE750000}"/>
    <cellStyle name="Input 27 4 3" xfId="30149" xr:uid="{00000000-0005-0000-0000-0000FF750000}"/>
    <cellStyle name="Input 27 4 4" xfId="30150" xr:uid="{00000000-0005-0000-0000-000000760000}"/>
    <cellStyle name="Input 27 5" xfId="30151" xr:uid="{00000000-0005-0000-0000-000001760000}"/>
    <cellStyle name="Input 27 6" xfId="30152" xr:uid="{00000000-0005-0000-0000-000002760000}"/>
    <cellStyle name="Input 28" xfId="30153" xr:uid="{00000000-0005-0000-0000-000003760000}"/>
    <cellStyle name="Input 28 2" xfId="30154" xr:uid="{00000000-0005-0000-0000-000004760000}"/>
    <cellStyle name="Input 28 2 2" xfId="30155" xr:uid="{00000000-0005-0000-0000-000005760000}"/>
    <cellStyle name="Input 28 2 2 2" xfId="30156" xr:uid="{00000000-0005-0000-0000-000006760000}"/>
    <cellStyle name="Input 28 2 2 3" xfId="30157" xr:uid="{00000000-0005-0000-0000-000007760000}"/>
    <cellStyle name="Input 28 2 2 4" xfId="30158" xr:uid="{00000000-0005-0000-0000-000008760000}"/>
    <cellStyle name="Input 28 2 3" xfId="30159" xr:uid="{00000000-0005-0000-0000-000009760000}"/>
    <cellStyle name="Input 28 2 3 2" xfId="30160" xr:uid="{00000000-0005-0000-0000-00000A760000}"/>
    <cellStyle name="Input 28 2 3 3" xfId="30161" xr:uid="{00000000-0005-0000-0000-00000B760000}"/>
    <cellStyle name="Input 28 2 3 4" xfId="30162" xr:uid="{00000000-0005-0000-0000-00000C760000}"/>
    <cellStyle name="Input 28 2 4" xfId="30163" xr:uid="{00000000-0005-0000-0000-00000D760000}"/>
    <cellStyle name="Input 28 2 5" xfId="30164" xr:uid="{00000000-0005-0000-0000-00000E760000}"/>
    <cellStyle name="Input 28 2 6" xfId="30165" xr:uid="{00000000-0005-0000-0000-00000F760000}"/>
    <cellStyle name="Input 28 3" xfId="30166" xr:uid="{00000000-0005-0000-0000-000010760000}"/>
    <cellStyle name="Input 28 3 2" xfId="30167" xr:uid="{00000000-0005-0000-0000-000011760000}"/>
    <cellStyle name="Input 28 3 2 2" xfId="30168" xr:uid="{00000000-0005-0000-0000-000012760000}"/>
    <cellStyle name="Input 28 3 2 3" xfId="30169" xr:uid="{00000000-0005-0000-0000-000013760000}"/>
    <cellStyle name="Input 28 3 2 4" xfId="30170" xr:uid="{00000000-0005-0000-0000-000014760000}"/>
    <cellStyle name="Input 28 3 3" xfId="30171" xr:uid="{00000000-0005-0000-0000-000015760000}"/>
    <cellStyle name="Input 28 3 3 2" xfId="30172" xr:uid="{00000000-0005-0000-0000-000016760000}"/>
    <cellStyle name="Input 28 3 3 3" xfId="30173" xr:uid="{00000000-0005-0000-0000-000017760000}"/>
    <cellStyle name="Input 28 3 3 4" xfId="30174" xr:uid="{00000000-0005-0000-0000-000018760000}"/>
    <cellStyle name="Input 28 3 4" xfId="30175" xr:uid="{00000000-0005-0000-0000-000019760000}"/>
    <cellStyle name="Input 28 3 5" xfId="30176" xr:uid="{00000000-0005-0000-0000-00001A760000}"/>
    <cellStyle name="Input 28 3 6" xfId="30177" xr:uid="{00000000-0005-0000-0000-00001B760000}"/>
    <cellStyle name="Input 28 4" xfId="30178" xr:uid="{00000000-0005-0000-0000-00001C760000}"/>
    <cellStyle name="Input 28 4 2" xfId="30179" xr:uid="{00000000-0005-0000-0000-00001D760000}"/>
    <cellStyle name="Input 28 4 3" xfId="30180" xr:uid="{00000000-0005-0000-0000-00001E760000}"/>
    <cellStyle name="Input 28 4 4" xfId="30181" xr:uid="{00000000-0005-0000-0000-00001F760000}"/>
    <cellStyle name="Input 28 5" xfId="30182" xr:uid="{00000000-0005-0000-0000-000020760000}"/>
    <cellStyle name="Input 28 6" xfId="30183" xr:uid="{00000000-0005-0000-0000-000021760000}"/>
    <cellStyle name="Input 29" xfId="30184" xr:uid="{00000000-0005-0000-0000-000022760000}"/>
    <cellStyle name="Input 29 2" xfId="30185" xr:uid="{00000000-0005-0000-0000-000023760000}"/>
    <cellStyle name="Input 29 2 2" xfId="30186" xr:uid="{00000000-0005-0000-0000-000024760000}"/>
    <cellStyle name="Input 29 2 2 2" xfId="30187" xr:uid="{00000000-0005-0000-0000-000025760000}"/>
    <cellStyle name="Input 29 2 2 3" xfId="30188" xr:uid="{00000000-0005-0000-0000-000026760000}"/>
    <cellStyle name="Input 29 2 2 4" xfId="30189" xr:uid="{00000000-0005-0000-0000-000027760000}"/>
    <cellStyle name="Input 29 2 3" xfId="30190" xr:uid="{00000000-0005-0000-0000-000028760000}"/>
    <cellStyle name="Input 29 2 3 2" xfId="30191" xr:uid="{00000000-0005-0000-0000-000029760000}"/>
    <cellStyle name="Input 29 2 3 3" xfId="30192" xr:uid="{00000000-0005-0000-0000-00002A760000}"/>
    <cellStyle name="Input 29 2 3 4" xfId="30193" xr:uid="{00000000-0005-0000-0000-00002B760000}"/>
    <cellStyle name="Input 29 2 4" xfId="30194" xr:uid="{00000000-0005-0000-0000-00002C760000}"/>
    <cellStyle name="Input 29 2 5" xfId="30195" xr:uid="{00000000-0005-0000-0000-00002D760000}"/>
    <cellStyle name="Input 29 2 6" xfId="30196" xr:uid="{00000000-0005-0000-0000-00002E760000}"/>
    <cellStyle name="Input 29 3" xfId="30197" xr:uid="{00000000-0005-0000-0000-00002F760000}"/>
    <cellStyle name="Input 29 3 2" xfId="30198" xr:uid="{00000000-0005-0000-0000-000030760000}"/>
    <cellStyle name="Input 29 3 2 2" xfId="30199" xr:uid="{00000000-0005-0000-0000-000031760000}"/>
    <cellStyle name="Input 29 3 2 3" xfId="30200" xr:uid="{00000000-0005-0000-0000-000032760000}"/>
    <cellStyle name="Input 29 3 2 4" xfId="30201" xr:uid="{00000000-0005-0000-0000-000033760000}"/>
    <cellStyle name="Input 29 3 3" xfId="30202" xr:uid="{00000000-0005-0000-0000-000034760000}"/>
    <cellStyle name="Input 29 3 3 2" xfId="30203" xr:uid="{00000000-0005-0000-0000-000035760000}"/>
    <cellStyle name="Input 29 3 3 3" xfId="30204" xr:uid="{00000000-0005-0000-0000-000036760000}"/>
    <cellStyle name="Input 29 3 3 4" xfId="30205" xr:uid="{00000000-0005-0000-0000-000037760000}"/>
    <cellStyle name="Input 29 3 4" xfId="30206" xr:uid="{00000000-0005-0000-0000-000038760000}"/>
    <cellStyle name="Input 29 3 5" xfId="30207" xr:uid="{00000000-0005-0000-0000-000039760000}"/>
    <cellStyle name="Input 29 3 6" xfId="30208" xr:uid="{00000000-0005-0000-0000-00003A760000}"/>
    <cellStyle name="Input 29 4" xfId="30209" xr:uid="{00000000-0005-0000-0000-00003B760000}"/>
    <cellStyle name="Input 29 4 2" xfId="30210" xr:uid="{00000000-0005-0000-0000-00003C760000}"/>
    <cellStyle name="Input 29 4 3" xfId="30211" xr:uid="{00000000-0005-0000-0000-00003D760000}"/>
    <cellStyle name="Input 29 4 4" xfId="30212" xr:uid="{00000000-0005-0000-0000-00003E760000}"/>
    <cellStyle name="Input 29 5" xfId="30213" xr:uid="{00000000-0005-0000-0000-00003F760000}"/>
    <cellStyle name="Input 29 6" xfId="30214" xr:uid="{00000000-0005-0000-0000-000040760000}"/>
    <cellStyle name="Input 3" xfId="30215" xr:uid="{00000000-0005-0000-0000-000041760000}"/>
    <cellStyle name="Input 3 10" xfId="30216" xr:uid="{00000000-0005-0000-0000-000042760000}"/>
    <cellStyle name="Input 3 10 2" xfId="30217" xr:uid="{00000000-0005-0000-0000-000043760000}"/>
    <cellStyle name="Input 3 10 2 2" xfId="30218" xr:uid="{00000000-0005-0000-0000-000044760000}"/>
    <cellStyle name="Input 3 10 2 2 2" xfId="30219" xr:uid="{00000000-0005-0000-0000-000045760000}"/>
    <cellStyle name="Input 3 10 2 2 3" xfId="30220" xr:uid="{00000000-0005-0000-0000-000046760000}"/>
    <cellStyle name="Input 3 10 2 2 4" xfId="30221" xr:uid="{00000000-0005-0000-0000-000047760000}"/>
    <cellStyle name="Input 3 10 2 3" xfId="30222" xr:uid="{00000000-0005-0000-0000-000048760000}"/>
    <cellStyle name="Input 3 10 2 3 2" xfId="30223" xr:uid="{00000000-0005-0000-0000-000049760000}"/>
    <cellStyle name="Input 3 10 2 3 3" xfId="30224" xr:uid="{00000000-0005-0000-0000-00004A760000}"/>
    <cellStyle name="Input 3 10 2 3 4" xfId="30225" xr:uid="{00000000-0005-0000-0000-00004B760000}"/>
    <cellStyle name="Input 3 10 2 4" xfId="30226" xr:uid="{00000000-0005-0000-0000-00004C760000}"/>
    <cellStyle name="Input 3 10 2 5" xfId="30227" xr:uid="{00000000-0005-0000-0000-00004D760000}"/>
    <cellStyle name="Input 3 10 2 6" xfId="30228" xr:uid="{00000000-0005-0000-0000-00004E760000}"/>
    <cellStyle name="Input 3 10 3" xfId="30229" xr:uid="{00000000-0005-0000-0000-00004F760000}"/>
    <cellStyle name="Input 3 10 3 2" xfId="30230" xr:uid="{00000000-0005-0000-0000-000050760000}"/>
    <cellStyle name="Input 3 10 3 2 2" xfId="30231" xr:uid="{00000000-0005-0000-0000-000051760000}"/>
    <cellStyle name="Input 3 10 3 2 3" xfId="30232" xr:uid="{00000000-0005-0000-0000-000052760000}"/>
    <cellStyle name="Input 3 10 3 2 4" xfId="30233" xr:uid="{00000000-0005-0000-0000-000053760000}"/>
    <cellStyle name="Input 3 10 3 3" xfId="30234" xr:uid="{00000000-0005-0000-0000-000054760000}"/>
    <cellStyle name="Input 3 10 3 3 2" xfId="30235" xr:uid="{00000000-0005-0000-0000-000055760000}"/>
    <cellStyle name="Input 3 10 3 3 3" xfId="30236" xr:uid="{00000000-0005-0000-0000-000056760000}"/>
    <cellStyle name="Input 3 10 3 3 4" xfId="30237" xr:uid="{00000000-0005-0000-0000-000057760000}"/>
    <cellStyle name="Input 3 10 3 4" xfId="30238" xr:uid="{00000000-0005-0000-0000-000058760000}"/>
    <cellStyle name="Input 3 10 3 5" xfId="30239" xr:uid="{00000000-0005-0000-0000-000059760000}"/>
    <cellStyle name="Input 3 10 3 6" xfId="30240" xr:uid="{00000000-0005-0000-0000-00005A760000}"/>
    <cellStyle name="Input 3 10 4" xfId="30241" xr:uid="{00000000-0005-0000-0000-00005B760000}"/>
    <cellStyle name="Input 3 10 5" xfId="30242" xr:uid="{00000000-0005-0000-0000-00005C760000}"/>
    <cellStyle name="Input 3 10 6" xfId="30243" xr:uid="{00000000-0005-0000-0000-00005D760000}"/>
    <cellStyle name="Input 3 11" xfId="30244" xr:uid="{00000000-0005-0000-0000-00005E760000}"/>
    <cellStyle name="Input 3 12" xfId="30245" xr:uid="{00000000-0005-0000-0000-00005F760000}"/>
    <cellStyle name="Input 3 2" xfId="30246" xr:uid="{00000000-0005-0000-0000-000060760000}"/>
    <cellStyle name="Input 3 2 2" xfId="30247" xr:uid="{00000000-0005-0000-0000-000061760000}"/>
    <cellStyle name="Input 3 2 2 2" xfId="30248" xr:uid="{00000000-0005-0000-0000-000062760000}"/>
    <cellStyle name="Input 3 2 2 2 2" xfId="30249" xr:uid="{00000000-0005-0000-0000-000063760000}"/>
    <cellStyle name="Input 3 2 2 2 2 2" xfId="30250" xr:uid="{00000000-0005-0000-0000-000064760000}"/>
    <cellStyle name="Input 3 2 2 2 2 3" xfId="30251" xr:uid="{00000000-0005-0000-0000-000065760000}"/>
    <cellStyle name="Input 3 2 2 2 2 4" xfId="30252" xr:uid="{00000000-0005-0000-0000-000066760000}"/>
    <cellStyle name="Input 3 2 2 2 3" xfId="30253" xr:uid="{00000000-0005-0000-0000-000067760000}"/>
    <cellStyle name="Input 3 2 2 2 3 2" xfId="30254" xr:uid="{00000000-0005-0000-0000-000068760000}"/>
    <cellStyle name="Input 3 2 2 2 3 3" xfId="30255" xr:uid="{00000000-0005-0000-0000-000069760000}"/>
    <cellStyle name="Input 3 2 2 2 3 4" xfId="30256" xr:uid="{00000000-0005-0000-0000-00006A760000}"/>
    <cellStyle name="Input 3 2 2 2 4" xfId="30257" xr:uid="{00000000-0005-0000-0000-00006B760000}"/>
    <cellStyle name="Input 3 2 2 2 5" xfId="30258" xr:uid="{00000000-0005-0000-0000-00006C760000}"/>
    <cellStyle name="Input 3 2 2 2 6" xfId="30259" xr:uid="{00000000-0005-0000-0000-00006D760000}"/>
    <cellStyle name="Input 3 2 2 3" xfId="30260" xr:uid="{00000000-0005-0000-0000-00006E760000}"/>
    <cellStyle name="Input 3 2 2 3 2" xfId="30261" xr:uid="{00000000-0005-0000-0000-00006F760000}"/>
    <cellStyle name="Input 3 2 2 3 2 2" xfId="30262" xr:uid="{00000000-0005-0000-0000-000070760000}"/>
    <cellStyle name="Input 3 2 2 3 2 3" xfId="30263" xr:uid="{00000000-0005-0000-0000-000071760000}"/>
    <cellStyle name="Input 3 2 2 3 2 4" xfId="30264" xr:uid="{00000000-0005-0000-0000-000072760000}"/>
    <cellStyle name="Input 3 2 2 3 3" xfId="30265" xr:uid="{00000000-0005-0000-0000-000073760000}"/>
    <cellStyle name="Input 3 2 2 3 3 2" xfId="30266" xr:uid="{00000000-0005-0000-0000-000074760000}"/>
    <cellStyle name="Input 3 2 2 3 3 3" xfId="30267" xr:uid="{00000000-0005-0000-0000-000075760000}"/>
    <cellStyle name="Input 3 2 2 3 3 4" xfId="30268" xr:uid="{00000000-0005-0000-0000-000076760000}"/>
    <cellStyle name="Input 3 2 2 3 4" xfId="30269" xr:uid="{00000000-0005-0000-0000-000077760000}"/>
    <cellStyle name="Input 3 2 2 3 5" xfId="30270" xr:uid="{00000000-0005-0000-0000-000078760000}"/>
    <cellStyle name="Input 3 2 2 3 6" xfId="30271" xr:uid="{00000000-0005-0000-0000-000079760000}"/>
    <cellStyle name="Input 3 2 2 4" xfId="30272" xr:uid="{00000000-0005-0000-0000-00007A760000}"/>
    <cellStyle name="Input 3 2 2 5" xfId="30273" xr:uid="{00000000-0005-0000-0000-00007B760000}"/>
    <cellStyle name="Input 3 2 2 6" xfId="30274" xr:uid="{00000000-0005-0000-0000-00007C760000}"/>
    <cellStyle name="Input 3 2 3" xfId="30275" xr:uid="{00000000-0005-0000-0000-00007D760000}"/>
    <cellStyle name="Input 3 2 4" xfId="30276" xr:uid="{00000000-0005-0000-0000-00007E760000}"/>
    <cellStyle name="Input 3 3" xfId="30277" xr:uid="{00000000-0005-0000-0000-00007F760000}"/>
    <cellStyle name="Input 3 3 2" xfId="30278" xr:uid="{00000000-0005-0000-0000-000080760000}"/>
    <cellStyle name="Input 3 3 2 2" xfId="30279" xr:uid="{00000000-0005-0000-0000-000081760000}"/>
    <cellStyle name="Input 3 3 2 2 2" xfId="30280" xr:uid="{00000000-0005-0000-0000-000082760000}"/>
    <cellStyle name="Input 3 3 2 2 2 2" xfId="30281" xr:uid="{00000000-0005-0000-0000-000083760000}"/>
    <cellStyle name="Input 3 3 2 2 2 3" xfId="30282" xr:uid="{00000000-0005-0000-0000-000084760000}"/>
    <cellStyle name="Input 3 3 2 2 2 4" xfId="30283" xr:uid="{00000000-0005-0000-0000-000085760000}"/>
    <cellStyle name="Input 3 3 2 2 3" xfId="30284" xr:uid="{00000000-0005-0000-0000-000086760000}"/>
    <cellStyle name="Input 3 3 2 2 3 2" xfId="30285" xr:uid="{00000000-0005-0000-0000-000087760000}"/>
    <cellStyle name="Input 3 3 2 2 3 3" xfId="30286" xr:uid="{00000000-0005-0000-0000-000088760000}"/>
    <cellStyle name="Input 3 3 2 2 3 4" xfId="30287" xr:uid="{00000000-0005-0000-0000-000089760000}"/>
    <cellStyle name="Input 3 3 2 2 4" xfId="30288" xr:uid="{00000000-0005-0000-0000-00008A760000}"/>
    <cellStyle name="Input 3 3 2 2 5" xfId="30289" xr:uid="{00000000-0005-0000-0000-00008B760000}"/>
    <cellStyle name="Input 3 3 2 2 6" xfId="30290" xr:uid="{00000000-0005-0000-0000-00008C760000}"/>
    <cellStyle name="Input 3 3 2 3" xfId="30291" xr:uid="{00000000-0005-0000-0000-00008D760000}"/>
    <cellStyle name="Input 3 3 2 3 2" xfId="30292" xr:uid="{00000000-0005-0000-0000-00008E760000}"/>
    <cellStyle name="Input 3 3 2 3 2 2" xfId="30293" xr:uid="{00000000-0005-0000-0000-00008F760000}"/>
    <cellStyle name="Input 3 3 2 3 2 3" xfId="30294" xr:uid="{00000000-0005-0000-0000-000090760000}"/>
    <cellStyle name="Input 3 3 2 3 2 4" xfId="30295" xr:uid="{00000000-0005-0000-0000-000091760000}"/>
    <cellStyle name="Input 3 3 2 3 3" xfId="30296" xr:uid="{00000000-0005-0000-0000-000092760000}"/>
    <cellStyle name="Input 3 3 2 3 3 2" xfId="30297" xr:uid="{00000000-0005-0000-0000-000093760000}"/>
    <cellStyle name="Input 3 3 2 3 3 3" xfId="30298" xr:uid="{00000000-0005-0000-0000-000094760000}"/>
    <cellStyle name="Input 3 3 2 3 3 4" xfId="30299" xr:uid="{00000000-0005-0000-0000-000095760000}"/>
    <cellStyle name="Input 3 3 2 3 4" xfId="30300" xr:uid="{00000000-0005-0000-0000-000096760000}"/>
    <cellStyle name="Input 3 3 2 3 5" xfId="30301" xr:uid="{00000000-0005-0000-0000-000097760000}"/>
    <cellStyle name="Input 3 3 2 3 6" xfId="30302" xr:uid="{00000000-0005-0000-0000-000098760000}"/>
    <cellStyle name="Input 3 3 2 4" xfId="30303" xr:uid="{00000000-0005-0000-0000-000099760000}"/>
    <cellStyle name="Input 3 3 2 5" xfId="30304" xr:uid="{00000000-0005-0000-0000-00009A760000}"/>
    <cellStyle name="Input 3 3 2 6" xfId="30305" xr:uid="{00000000-0005-0000-0000-00009B760000}"/>
    <cellStyle name="Input 3 3 3" xfId="30306" xr:uid="{00000000-0005-0000-0000-00009C760000}"/>
    <cellStyle name="Input 3 3 4" xfId="30307" xr:uid="{00000000-0005-0000-0000-00009D760000}"/>
    <cellStyle name="Input 3 4" xfId="30308" xr:uid="{00000000-0005-0000-0000-00009E760000}"/>
    <cellStyle name="Input 3 4 2" xfId="30309" xr:uid="{00000000-0005-0000-0000-00009F760000}"/>
    <cellStyle name="Input 3 4 2 2" xfId="30310" xr:uid="{00000000-0005-0000-0000-0000A0760000}"/>
    <cellStyle name="Input 3 4 2 2 2" xfId="30311" xr:uid="{00000000-0005-0000-0000-0000A1760000}"/>
    <cellStyle name="Input 3 4 2 2 2 2" xfId="30312" xr:uid="{00000000-0005-0000-0000-0000A2760000}"/>
    <cellStyle name="Input 3 4 2 2 2 3" xfId="30313" xr:uid="{00000000-0005-0000-0000-0000A3760000}"/>
    <cellStyle name="Input 3 4 2 2 2 4" xfId="30314" xr:uid="{00000000-0005-0000-0000-0000A4760000}"/>
    <cellStyle name="Input 3 4 2 2 3" xfId="30315" xr:uid="{00000000-0005-0000-0000-0000A5760000}"/>
    <cellStyle name="Input 3 4 2 2 3 2" xfId="30316" xr:uid="{00000000-0005-0000-0000-0000A6760000}"/>
    <cellStyle name="Input 3 4 2 2 3 3" xfId="30317" xr:uid="{00000000-0005-0000-0000-0000A7760000}"/>
    <cellStyle name="Input 3 4 2 2 3 4" xfId="30318" xr:uid="{00000000-0005-0000-0000-0000A8760000}"/>
    <cellStyle name="Input 3 4 2 2 4" xfId="30319" xr:uid="{00000000-0005-0000-0000-0000A9760000}"/>
    <cellStyle name="Input 3 4 2 2 5" xfId="30320" xr:uid="{00000000-0005-0000-0000-0000AA760000}"/>
    <cellStyle name="Input 3 4 2 2 6" xfId="30321" xr:uid="{00000000-0005-0000-0000-0000AB760000}"/>
    <cellStyle name="Input 3 4 2 3" xfId="30322" xr:uid="{00000000-0005-0000-0000-0000AC760000}"/>
    <cellStyle name="Input 3 4 2 3 2" xfId="30323" xr:uid="{00000000-0005-0000-0000-0000AD760000}"/>
    <cellStyle name="Input 3 4 2 3 2 2" xfId="30324" xr:uid="{00000000-0005-0000-0000-0000AE760000}"/>
    <cellStyle name="Input 3 4 2 3 2 3" xfId="30325" xr:uid="{00000000-0005-0000-0000-0000AF760000}"/>
    <cellStyle name="Input 3 4 2 3 2 4" xfId="30326" xr:uid="{00000000-0005-0000-0000-0000B0760000}"/>
    <cellStyle name="Input 3 4 2 3 3" xfId="30327" xr:uid="{00000000-0005-0000-0000-0000B1760000}"/>
    <cellStyle name="Input 3 4 2 3 3 2" xfId="30328" xr:uid="{00000000-0005-0000-0000-0000B2760000}"/>
    <cellStyle name="Input 3 4 2 3 3 3" xfId="30329" xr:uid="{00000000-0005-0000-0000-0000B3760000}"/>
    <cellStyle name="Input 3 4 2 3 3 4" xfId="30330" xr:uid="{00000000-0005-0000-0000-0000B4760000}"/>
    <cellStyle name="Input 3 4 2 3 4" xfId="30331" xr:uid="{00000000-0005-0000-0000-0000B5760000}"/>
    <cellStyle name="Input 3 4 2 3 5" xfId="30332" xr:uid="{00000000-0005-0000-0000-0000B6760000}"/>
    <cellStyle name="Input 3 4 2 3 6" xfId="30333" xr:uid="{00000000-0005-0000-0000-0000B7760000}"/>
    <cellStyle name="Input 3 4 2 4" xfId="30334" xr:uid="{00000000-0005-0000-0000-0000B8760000}"/>
    <cellStyle name="Input 3 4 2 5" xfId="30335" xr:uid="{00000000-0005-0000-0000-0000B9760000}"/>
    <cellStyle name="Input 3 4 2 6" xfId="30336" xr:uid="{00000000-0005-0000-0000-0000BA760000}"/>
    <cellStyle name="Input 3 4 3" xfId="30337" xr:uid="{00000000-0005-0000-0000-0000BB760000}"/>
    <cellStyle name="Input 3 4 4" xfId="30338" xr:uid="{00000000-0005-0000-0000-0000BC760000}"/>
    <cellStyle name="Input 3 5" xfId="30339" xr:uid="{00000000-0005-0000-0000-0000BD760000}"/>
    <cellStyle name="Input 3 5 2" xfId="30340" xr:uid="{00000000-0005-0000-0000-0000BE760000}"/>
    <cellStyle name="Input 3 5 2 2" xfId="30341" xr:uid="{00000000-0005-0000-0000-0000BF760000}"/>
    <cellStyle name="Input 3 5 2 2 2" xfId="30342" xr:uid="{00000000-0005-0000-0000-0000C0760000}"/>
    <cellStyle name="Input 3 5 2 2 2 2" xfId="30343" xr:uid="{00000000-0005-0000-0000-0000C1760000}"/>
    <cellStyle name="Input 3 5 2 2 2 3" xfId="30344" xr:uid="{00000000-0005-0000-0000-0000C2760000}"/>
    <cellStyle name="Input 3 5 2 2 2 4" xfId="30345" xr:uid="{00000000-0005-0000-0000-0000C3760000}"/>
    <cellStyle name="Input 3 5 2 2 3" xfId="30346" xr:uid="{00000000-0005-0000-0000-0000C4760000}"/>
    <cellStyle name="Input 3 5 2 2 3 2" xfId="30347" xr:uid="{00000000-0005-0000-0000-0000C5760000}"/>
    <cellStyle name="Input 3 5 2 2 3 3" xfId="30348" xr:uid="{00000000-0005-0000-0000-0000C6760000}"/>
    <cellStyle name="Input 3 5 2 2 3 4" xfId="30349" xr:uid="{00000000-0005-0000-0000-0000C7760000}"/>
    <cellStyle name="Input 3 5 2 2 4" xfId="30350" xr:uid="{00000000-0005-0000-0000-0000C8760000}"/>
    <cellStyle name="Input 3 5 2 2 5" xfId="30351" xr:uid="{00000000-0005-0000-0000-0000C9760000}"/>
    <cellStyle name="Input 3 5 2 2 6" xfId="30352" xr:uid="{00000000-0005-0000-0000-0000CA760000}"/>
    <cellStyle name="Input 3 5 2 3" xfId="30353" xr:uid="{00000000-0005-0000-0000-0000CB760000}"/>
    <cellStyle name="Input 3 5 2 3 2" xfId="30354" xr:uid="{00000000-0005-0000-0000-0000CC760000}"/>
    <cellStyle name="Input 3 5 2 3 2 2" xfId="30355" xr:uid="{00000000-0005-0000-0000-0000CD760000}"/>
    <cellStyle name="Input 3 5 2 3 2 3" xfId="30356" xr:uid="{00000000-0005-0000-0000-0000CE760000}"/>
    <cellStyle name="Input 3 5 2 3 2 4" xfId="30357" xr:uid="{00000000-0005-0000-0000-0000CF760000}"/>
    <cellStyle name="Input 3 5 2 3 3" xfId="30358" xr:uid="{00000000-0005-0000-0000-0000D0760000}"/>
    <cellStyle name="Input 3 5 2 3 3 2" xfId="30359" xr:uid="{00000000-0005-0000-0000-0000D1760000}"/>
    <cellStyle name="Input 3 5 2 3 3 3" xfId="30360" xr:uid="{00000000-0005-0000-0000-0000D2760000}"/>
    <cellStyle name="Input 3 5 2 3 3 4" xfId="30361" xr:uid="{00000000-0005-0000-0000-0000D3760000}"/>
    <cellStyle name="Input 3 5 2 3 4" xfId="30362" xr:uid="{00000000-0005-0000-0000-0000D4760000}"/>
    <cellStyle name="Input 3 5 2 3 5" xfId="30363" xr:uid="{00000000-0005-0000-0000-0000D5760000}"/>
    <cellStyle name="Input 3 5 2 3 6" xfId="30364" xr:uid="{00000000-0005-0000-0000-0000D6760000}"/>
    <cellStyle name="Input 3 5 2 4" xfId="30365" xr:uid="{00000000-0005-0000-0000-0000D7760000}"/>
    <cellStyle name="Input 3 5 2 5" xfId="30366" xr:uid="{00000000-0005-0000-0000-0000D8760000}"/>
    <cellStyle name="Input 3 5 2 6" xfId="30367" xr:uid="{00000000-0005-0000-0000-0000D9760000}"/>
    <cellStyle name="Input 3 5 3" xfId="30368" xr:uid="{00000000-0005-0000-0000-0000DA760000}"/>
    <cellStyle name="Input 3 5 4" xfId="30369" xr:uid="{00000000-0005-0000-0000-0000DB760000}"/>
    <cellStyle name="Input 3 6" xfId="30370" xr:uid="{00000000-0005-0000-0000-0000DC760000}"/>
    <cellStyle name="Input 3 6 2" xfId="30371" xr:uid="{00000000-0005-0000-0000-0000DD760000}"/>
    <cellStyle name="Input 3 6 2 2" xfId="30372" xr:uid="{00000000-0005-0000-0000-0000DE760000}"/>
    <cellStyle name="Input 3 6 2 2 2" xfId="30373" xr:uid="{00000000-0005-0000-0000-0000DF760000}"/>
    <cellStyle name="Input 3 6 2 2 3" xfId="30374" xr:uid="{00000000-0005-0000-0000-0000E0760000}"/>
    <cellStyle name="Input 3 6 2 2 4" xfId="30375" xr:uid="{00000000-0005-0000-0000-0000E1760000}"/>
    <cellStyle name="Input 3 6 2 3" xfId="30376" xr:uid="{00000000-0005-0000-0000-0000E2760000}"/>
    <cellStyle name="Input 3 6 2 3 2" xfId="30377" xr:uid="{00000000-0005-0000-0000-0000E3760000}"/>
    <cellStyle name="Input 3 6 2 3 3" xfId="30378" xr:uid="{00000000-0005-0000-0000-0000E4760000}"/>
    <cellStyle name="Input 3 6 2 3 4" xfId="30379" xr:uid="{00000000-0005-0000-0000-0000E5760000}"/>
    <cellStyle name="Input 3 6 2 4" xfId="30380" xr:uid="{00000000-0005-0000-0000-0000E6760000}"/>
    <cellStyle name="Input 3 6 2 5" xfId="30381" xr:uid="{00000000-0005-0000-0000-0000E7760000}"/>
    <cellStyle name="Input 3 6 2 6" xfId="30382" xr:uid="{00000000-0005-0000-0000-0000E8760000}"/>
    <cellStyle name="Input 3 6 3" xfId="30383" xr:uid="{00000000-0005-0000-0000-0000E9760000}"/>
    <cellStyle name="Input 3 6 3 2" xfId="30384" xr:uid="{00000000-0005-0000-0000-0000EA760000}"/>
    <cellStyle name="Input 3 6 3 2 2" xfId="30385" xr:uid="{00000000-0005-0000-0000-0000EB760000}"/>
    <cellStyle name="Input 3 6 3 2 3" xfId="30386" xr:uid="{00000000-0005-0000-0000-0000EC760000}"/>
    <cellStyle name="Input 3 6 3 2 4" xfId="30387" xr:uid="{00000000-0005-0000-0000-0000ED760000}"/>
    <cellStyle name="Input 3 6 3 3" xfId="30388" xr:uid="{00000000-0005-0000-0000-0000EE760000}"/>
    <cellStyle name="Input 3 6 3 3 2" xfId="30389" xr:uid="{00000000-0005-0000-0000-0000EF760000}"/>
    <cellStyle name="Input 3 6 3 3 3" xfId="30390" xr:uid="{00000000-0005-0000-0000-0000F0760000}"/>
    <cellStyle name="Input 3 6 3 3 4" xfId="30391" xr:uid="{00000000-0005-0000-0000-0000F1760000}"/>
    <cellStyle name="Input 3 6 3 4" xfId="30392" xr:uid="{00000000-0005-0000-0000-0000F2760000}"/>
    <cellStyle name="Input 3 6 3 5" xfId="30393" xr:uid="{00000000-0005-0000-0000-0000F3760000}"/>
    <cellStyle name="Input 3 6 3 6" xfId="30394" xr:uid="{00000000-0005-0000-0000-0000F4760000}"/>
    <cellStyle name="Input 3 6 4" xfId="30395" xr:uid="{00000000-0005-0000-0000-0000F5760000}"/>
    <cellStyle name="Input 3 6 4 2" xfId="30396" xr:uid="{00000000-0005-0000-0000-0000F6760000}"/>
    <cellStyle name="Input 3 6 4 3" xfId="30397" xr:uid="{00000000-0005-0000-0000-0000F7760000}"/>
    <cellStyle name="Input 3 6 4 4" xfId="30398" xr:uid="{00000000-0005-0000-0000-0000F8760000}"/>
    <cellStyle name="Input 3 6 5" xfId="30399" xr:uid="{00000000-0005-0000-0000-0000F9760000}"/>
    <cellStyle name="Input 3 6 6" xfId="30400" xr:uid="{00000000-0005-0000-0000-0000FA760000}"/>
    <cellStyle name="Input 3 7" xfId="30401" xr:uid="{00000000-0005-0000-0000-0000FB760000}"/>
    <cellStyle name="Input 3 7 2" xfId="30402" xr:uid="{00000000-0005-0000-0000-0000FC760000}"/>
    <cellStyle name="Input 3 7 2 2" xfId="30403" xr:uid="{00000000-0005-0000-0000-0000FD760000}"/>
    <cellStyle name="Input 3 7 2 2 2" xfId="30404" xr:uid="{00000000-0005-0000-0000-0000FE760000}"/>
    <cellStyle name="Input 3 7 2 2 3" xfId="30405" xr:uid="{00000000-0005-0000-0000-0000FF760000}"/>
    <cellStyle name="Input 3 7 2 2 4" xfId="30406" xr:uid="{00000000-0005-0000-0000-000000770000}"/>
    <cellStyle name="Input 3 7 2 3" xfId="30407" xr:uid="{00000000-0005-0000-0000-000001770000}"/>
    <cellStyle name="Input 3 7 2 3 2" xfId="30408" xr:uid="{00000000-0005-0000-0000-000002770000}"/>
    <cellStyle name="Input 3 7 2 3 3" xfId="30409" xr:uid="{00000000-0005-0000-0000-000003770000}"/>
    <cellStyle name="Input 3 7 2 3 4" xfId="30410" xr:uid="{00000000-0005-0000-0000-000004770000}"/>
    <cellStyle name="Input 3 7 2 4" xfId="30411" xr:uid="{00000000-0005-0000-0000-000005770000}"/>
    <cellStyle name="Input 3 7 2 5" xfId="30412" xr:uid="{00000000-0005-0000-0000-000006770000}"/>
    <cellStyle name="Input 3 7 2 6" xfId="30413" xr:uid="{00000000-0005-0000-0000-000007770000}"/>
    <cellStyle name="Input 3 7 3" xfId="30414" xr:uid="{00000000-0005-0000-0000-000008770000}"/>
    <cellStyle name="Input 3 7 3 2" xfId="30415" xr:uid="{00000000-0005-0000-0000-000009770000}"/>
    <cellStyle name="Input 3 7 3 2 2" xfId="30416" xr:uid="{00000000-0005-0000-0000-00000A770000}"/>
    <cellStyle name="Input 3 7 3 2 3" xfId="30417" xr:uid="{00000000-0005-0000-0000-00000B770000}"/>
    <cellStyle name="Input 3 7 3 2 4" xfId="30418" xr:uid="{00000000-0005-0000-0000-00000C770000}"/>
    <cellStyle name="Input 3 7 3 3" xfId="30419" xr:uid="{00000000-0005-0000-0000-00000D770000}"/>
    <cellStyle name="Input 3 7 3 3 2" xfId="30420" xr:uid="{00000000-0005-0000-0000-00000E770000}"/>
    <cellStyle name="Input 3 7 3 3 3" xfId="30421" xr:uid="{00000000-0005-0000-0000-00000F770000}"/>
    <cellStyle name="Input 3 7 3 3 4" xfId="30422" xr:uid="{00000000-0005-0000-0000-000010770000}"/>
    <cellStyle name="Input 3 7 3 4" xfId="30423" xr:uid="{00000000-0005-0000-0000-000011770000}"/>
    <cellStyle name="Input 3 7 3 5" xfId="30424" xr:uid="{00000000-0005-0000-0000-000012770000}"/>
    <cellStyle name="Input 3 7 3 6" xfId="30425" xr:uid="{00000000-0005-0000-0000-000013770000}"/>
    <cellStyle name="Input 3 7 4" xfId="30426" xr:uid="{00000000-0005-0000-0000-000014770000}"/>
    <cellStyle name="Input 3 7 4 2" xfId="30427" xr:uid="{00000000-0005-0000-0000-000015770000}"/>
    <cellStyle name="Input 3 7 4 3" xfId="30428" xr:uid="{00000000-0005-0000-0000-000016770000}"/>
    <cellStyle name="Input 3 7 4 4" xfId="30429" xr:uid="{00000000-0005-0000-0000-000017770000}"/>
    <cellStyle name="Input 3 7 5" xfId="30430" xr:uid="{00000000-0005-0000-0000-000018770000}"/>
    <cellStyle name="Input 3 7 6" xfId="30431" xr:uid="{00000000-0005-0000-0000-000019770000}"/>
    <cellStyle name="Input 3 8" xfId="30432" xr:uid="{00000000-0005-0000-0000-00001A770000}"/>
    <cellStyle name="Input 3 8 2" xfId="30433" xr:uid="{00000000-0005-0000-0000-00001B770000}"/>
    <cellStyle name="Input 3 8 2 2" xfId="30434" xr:uid="{00000000-0005-0000-0000-00001C770000}"/>
    <cellStyle name="Input 3 8 2 2 2" xfId="30435" xr:uid="{00000000-0005-0000-0000-00001D770000}"/>
    <cellStyle name="Input 3 8 2 2 3" xfId="30436" xr:uid="{00000000-0005-0000-0000-00001E770000}"/>
    <cellStyle name="Input 3 8 2 2 4" xfId="30437" xr:uid="{00000000-0005-0000-0000-00001F770000}"/>
    <cellStyle name="Input 3 8 2 3" xfId="30438" xr:uid="{00000000-0005-0000-0000-000020770000}"/>
    <cellStyle name="Input 3 8 2 3 2" xfId="30439" xr:uid="{00000000-0005-0000-0000-000021770000}"/>
    <cellStyle name="Input 3 8 2 3 3" xfId="30440" xr:uid="{00000000-0005-0000-0000-000022770000}"/>
    <cellStyle name="Input 3 8 2 3 4" xfId="30441" xr:uid="{00000000-0005-0000-0000-000023770000}"/>
    <cellStyle name="Input 3 8 2 4" xfId="30442" xr:uid="{00000000-0005-0000-0000-000024770000}"/>
    <cellStyle name="Input 3 8 2 5" xfId="30443" xr:uid="{00000000-0005-0000-0000-000025770000}"/>
    <cellStyle name="Input 3 8 2 6" xfId="30444" xr:uid="{00000000-0005-0000-0000-000026770000}"/>
    <cellStyle name="Input 3 8 3" xfId="30445" xr:uid="{00000000-0005-0000-0000-000027770000}"/>
    <cellStyle name="Input 3 8 3 2" xfId="30446" xr:uid="{00000000-0005-0000-0000-000028770000}"/>
    <cellStyle name="Input 3 8 3 2 2" xfId="30447" xr:uid="{00000000-0005-0000-0000-000029770000}"/>
    <cellStyle name="Input 3 8 3 2 3" xfId="30448" xr:uid="{00000000-0005-0000-0000-00002A770000}"/>
    <cellStyle name="Input 3 8 3 2 4" xfId="30449" xr:uid="{00000000-0005-0000-0000-00002B770000}"/>
    <cellStyle name="Input 3 8 3 3" xfId="30450" xr:uid="{00000000-0005-0000-0000-00002C770000}"/>
    <cellStyle name="Input 3 8 3 3 2" xfId="30451" xr:uid="{00000000-0005-0000-0000-00002D770000}"/>
    <cellStyle name="Input 3 8 3 3 3" xfId="30452" xr:uid="{00000000-0005-0000-0000-00002E770000}"/>
    <cellStyle name="Input 3 8 3 3 4" xfId="30453" xr:uid="{00000000-0005-0000-0000-00002F770000}"/>
    <cellStyle name="Input 3 8 3 4" xfId="30454" xr:uid="{00000000-0005-0000-0000-000030770000}"/>
    <cellStyle name="Input 3 8 3 5" xfId="30455" xr:uid="{00000000-0005-0000-0000-000031770000}"/>
    <cellStyle name="Input 3 8 3 6" xfId="30456" xr:uid="{00000000-0005-0000-0000-000032770000}"/>
    <cellStyle name="Input 3 8 4" xfId="30457" xr:uid="{00000000-0005-0000-0000-000033770000}"/>
    <cellStyle name="Input 3 8 4 2" xfId="30458" xr:uid="{00000000-0005-0000-0000-000034770000}"/>
    <cellStyle name="Input 3 8 4 3" xfId="30459" xr:uid="{00000000-0005-0000-0000-000035770000}"/>
    <cellStyle name="Input 3 8 4 4" xfId="30460" xr:uid="{00000000-0005-0000-0000-000036770000}"/>
    <cellStyle name="Input 3 8 5" xfId="30461" xr:uid="{00000000-0005-0000-0000-000037770000}"/>
    <cellStyle name="Input 3 8 6" xfId="30462" xr:uid="{00000000-0005-0000-0000-000038770000}"/>
    <cellStyle name="Input 3 9" xfId="30463" xr:uid="{00000000-0005-0000-0000-000039770000}"/>
    <cellStyle name="Input 3 9 2" xfId="30464" xr:uid="{00000000-0005-0000-0000-00003A770000}"/>
    <cellStyle name="Input 3 9 2 2" xfId="30465" xr:uid="{00000000-0005-0000-0000-00003B770000}"/>
    <cellStyle name="Input 3 9 2 2 2" xfId="30466" xr:uid="{00000000-0005-0000-0000-00003C770000}"/>
    <cellStyle name="Input 3 9 2 2 3" xfId="30467" xr:uid="{00000000-0005-0000-0000-00003D770000}"/>
    <cellStyle name="Input 3 9 2 2 4" xfId="30468" xr:uid="{00000000-0005-0000-0000-00003E770000}"/>
    <cellStyle name="Input 3 9 2 3" xfId="30469" xr:uid="{00000000-0005-0000-0000-00003F770000}"/>
    <cellStyle name="Input 3 9 2 3 2" xfId="30470" xr:uid="{00000000-0005-0000-0000-000040770000}"/>
    <cellStyle name="Input 3 9 2 3 3" xfId="30471" xr:uid="{00000000-0005-0000-0000-000041770000}"/>
    <cellStyle name="Input 3 9 2 3 4" xfId="30472" xr:uid="{00000000-0005-0000-0000-000042770000}"/>
    <cellStyle name="Input 3 9 2 4" xfId="30473" xr:uid="{00000000-0005-0000-0000-000043770000}"/>
    <cellStyle name="Input 3 9 2 5" xfId="30474" xr:uid="{00000000-0005-0000-0000-000044770000}"/>
    <cellStyle name="Input 3 9 2 6" xfId="30475" xr:uid="{00000000-0005-0000-0000-000045770000}"/>
    <cellStyle name="Input 3 9 3" xfId="30476" xr:uid="{00000000-0005-0000-0000-000046770000}"/>
    <cellStyle name="Input 3 9 3 2" xfId="30477" xr:uid="{00000000-0005-0000-0000-000047770000}"/>
    <cellStyle name="Input 3 9 3 2 2" xfId="30478" xr:uid="{00000000-0005-0000-0000-000048770000}"/>
    <cellStyle name="Input 3 9 3 2 3" xfId="30479" xr:uid="{00000000-0005-0000-0000-000049770000}"/>
    <cellStyle name="Input 3 9 3 2 4" xfId="30480" xr:uid="{00000000-0005-0000-0000-00004A770000}"/>
    <cellStyle name="Input 3 9 3 3" xfId="30481" xr:uid="{00000000-0005-0000-0000-00004B770000}"/>
    <cellStyle name="Input 3 9 3 3 2" xfId="30482" xr:uid="{00000000-0005-0000-0000-00004C770000}"/>
    <cellStyle name="Input 3 9 3 3 3" xfId="30483" xr:uid="{00000000-0005-0000-0000-00004D770000}"/>
    <cellStyle name="Input 3 9 3 3 4" xfId="30484" xr:uid="{00000000-0005-0000-0000-00004E770000}"/>
    <cellStyle name="Input 3 9 3 4" xfId="30485" xr:uid="{00000000-0005-0000-0000-00004F770000}"/>
    <cellStyle name="Input 3 9 3 5" xfId="30486" xr:uid="{00000000-0005-0000-0000-000050770000}"/>
    <cellStyle name="Input 3 9 3 6" xfId="30487" xr:uid="{00000000-0005-0000-0000-000051770000}"/>
    <cellStyle name="Input 3 9 4" xfId="30488" xr:uid="{00000000-0005-0000-0000-000052770000}"/>
    <cellStyle name="Input 3 9 4 2" xfId="30489" xr:uid="{00000000-0005-0000-0000-000053770000}"/>
    <cellStyle name="Input 3 9 4 3" xfId="30490" xr:uid="{00000000-0005-0000-0000-000054770000}"/>
    <cellStyle name="Input 3 9 4 4" xfId="30491" xr:uid="{00000000-0005-0000-0000-000055770000}"/>
    <cellStyle name="Input 3 9 5" xfId="30492" xr:uid="{00000000-0005-0000-0000-000056770000}"/>
    <cellStyle name="Input 3 9 6" xfId="30493" xr:uid="{00000000-0005-0000-0000-000057770000}"/>
    <cellStyle name="Input 30" xfId="30494" xr:uid="{00000000-0005-0000-0000-000058770000}"/>
    <cellStyle name="Input 30 2" xfId="30495" xr:uid="{00000000-0005-0000-0000-000059770000}"/>
    <cellStyle name="Input 30 2 2" xfId="30496" xr:uid="{00000000-0005-0000-0000-00005A770000}"/>
    <cellStyle name="Input 30 2 2 2" xfId="30497" xr:uid="{00000000-0005-0000-0000-00005B770000}"/>
    <cellStyle name="Input 30 2 2 3" xfId="30498" xr:uid="{00000000-0005-0000-0000-00005C770000}"/>
    <cellStyle name="Input 30 2 2 4" xfId="30499" xr:uid="{00000000-0005-0000-0000-00005D770000}"/>
    <cellStyle name="Input 30 2 3" xfId="30500" xr:uid="{00000000-0005-0000-0000-00005E770000}"/>
    <cellStyle name="Input 30 2 3 2" xfId="30501" xr:uid="{00000000-0005-0000-0000-00005F770000}"/>
    <cellStyle name="Input 30 2 3 3" xfId="30502" xr:uid="{00000000-0005-0000-0000-000060770000}"/>
    <cellStyle name="Input 30 2 3 4" xfId="30503" xr:uid="{00000000-0005-0000-0000-000061770000}"/>
    <cellStyle name="Input 30 2 4" xfId="30504" xr:uid="{00000000-0005-0000-0000-000062770000}"/>
    <cellStyle name="Input 30 2 5" xfId="30505" xr:uid="{00000000-0005-0000-0000-000063770000}"/>
    <cellStyle name="Input 30 2 6" xfId="30506" xr:uid="{00000000-0005-0000-0000-000064770000}"/>
    <cellStyle name="Input 30 3" xfId="30507" xr:uid="{00000000-0005-0000-0000-000065770000}"/>
    <cellStyle name="Input 30 3 2" xfId="30508" xr:uid="{00000000-0005-0000-0000-000066770000}"/>
    <cellStyle name="Input 30 3 2 2" xfId="30509" xr:uid="{00000000-0005-0000-0000-000067770000}"/>
    <cellStyle name="Input 30 3 2 3" xfId="30510" xr:uid="{00000000-0005-0000-0000-000068770000}"/>
    <cellStyle name="Input 30 3 2 4" xfId="30511" xr:uid="{00000000-0005-0000-0000-000069770000}"/>
    <cellStyle name="Input 30 3 3" xfId="30512" xr:uid="{00000000-0005-0000-0000-00006A770000}"/>
    <cellStyle name="Input 30 3 3 2" xfId="30513" xr:uid="{00000000-0005-0000-0000-00006B770000}"/>
    <cellStyle name="Input 30 3 3 3" xfId="30514" xr:uid="{00000000-0005-0000-0000-00006C770000}"/>
    <cellStyle name="Input 30 3 3 4" xfId="30515" xr:uid="{00000000-0005-0000-0000-00006D770000}"/>
    <cellStyle name="Input 30 3 4" xfId="30516" xr:uid="{00000000-0005-0000-0000-00006E770000}"/>
    <cellStyle name="Input 30 3 5" xfId="30517" xr:uid="{00000000-0005-0000-0000-00006F770000}"/>
    <cellStyle name="Input 30 3 6" xfId="30518" xr:uid="{00000000-0005-0000-0000-000070770000}"/>
    <cellStyle name="Input 30 4" xfId="30519" xr:uid="{00000000-0005-0000-0000-000071770000}"/>
    <cellStyle name="Input 30 4 2" xfId="30520" xr:uid="{00000000-0005-0000-0000-000072770000}"/>
    <cellStyle name="Input 30 4 3" xfId="30521" xr:uid="{00000000-0005-0000-0000-000073770000}"/>
    <cellStyle name="Input 30 4 4" xfId="30522" xr:uid="{00000000-0005-0000-0000-000074770000}"/>
    <cellStyle name="Input 30 5" xfId="30523" xr:uid="{00000000-0005-0000-0000-000075770000}"/>
    <cellStyle name="Input 30 6" xfId="30524" xr:uid="{00000000-0005-0000-0000-000076770000}"/>
    <cellStyle name="Input 31" xfId="30525" xr:uid="{00000000-0005-0000-0000-000077770000}"/>
    <cellStyle name="Input 31 2" xfId="30526" xr:uid="{00000000-0005-0000-0000-000078770000}"/>
    <cellStyle name="Input 31 2 2" xfId="30527" xr:uid="{00000000-0005-0000-0000-000079770000}"/>
    <cellStyle name="Input 31 2 2 2" xfId="30528" xr:uid="{00000000-0005-0000-0000-00007A770000}"/>
    <cellStyle name="Input 31 2 2 3" xfId="30529" xr:uid="{00000000-0005-0000-0000-00007B770000}"/>
    <cellStyle name="Input 31 2 2 4" xfId="30530" xr:uid="{00000000-0005-0000-0000-00007C770000}"/>
    <cellStyle name="Input 31 2 3" xfId="30531" xr:uid="{00000000-0005-0000-0000-00007D770000}"/>
    <cellStyle name="Input 31 2 3 2" xfId="30532" xr:uid="{00000000-0005-0000-0000-00007E770000}"/>
    <cellStyle name="Input 31 2 3 3" xfId="30533" xr:uid="{00000000-0005-0000-0000-00007F770000}"/>
    <cellStyle name="Input 31 2 3 4" xfId="30534" xr:uid="{00000000-0005-0000-0000-000080770000}"/>
    <cellStyle name="Input 31 2 4" xfId="30535" xr:uid="{00000000-0005-0000-0000-000081770000}"/>
    <cellStyle name="Input 31 2 5" xfId="30536" xr:uid="{00000000-0005-0000-0000-000082770000}"/>
    <cellStyle name="Input 31 2 6" xfId="30537" xr:uid="{00000000-0005-0000-0000-000083770000}"/>
    <cellStyle name="Input 31 3" xfId="30538" xr:uid="{00000000-0005-0000-0000-000084770000}"/>
    <cellStyle name="Input 31 3 2" xfId="30539" xr:uid="{00000000-0005-0000-0000-000085770000}"/>
    <cellStyle name="Input 31 3 2 2" xfId="30540" xr:uid="{00000000-0005-0000-0000-000086770000}"/>
    <cellStyle name="Input 31 3 2 3" xfId="30541" xr:uid="{00000000-0005-0000-0000-000087770000}"/>
    <cellStyle name="Input 31 3 2 4" xfId="30542" xr:uid="{00000000-0005-0000-0000-000088770000}"/>
    <cellStyle name="Input 31 3 3" xfId="30543" xr:uid="{00000000-0005-0000-0000-000089770000}"/>
    <cellStyle name="Input 31 3 3 2" xfId="30544" xr:uid="{00000000-0005-0000-0000-00008A770000}"/>
    <cellStyle name="Input 31 3 3 3" xfId="30545" xr:uid="{00000000-0005-0000-0000-00008B770000}"/>
    <cellStyle name="Input 31 3 3 4" xfId="30546" xr:uid="{00000000-0005-0000-0000-00008C770000}"/>
    <cellStyle name="Input 31 3 4" xfId="30547" xr:uid="{00000000-0005-0000-0000-00008D770000}"/>
    <cellStyle name="Input 31 3 5" xfId="30548" xr:uid="{00000000-0005-0000-0000-00008E770000}"/>
    <cellStyle name="Input 31 3 6" xfId="30549" xr:uid="{00000000-0005-0000-0000-00008F770000}"/>
    <cellStyle name="Input 31 4" xfId="30550" xr:uid="{00000000-0005-0000-0000-000090770000}"/>
    <cellStyle name="Input 31 5" xfId="30551" xr:uid="{00000000-0005-0000-0000-000091770000}"/>
    <cellStyle name="Input 31 6" xfId="30552" xr:uid="{00000000-0005-0000-0000-000092770000}"/>
    <cellStyle name="Input 32" xfId="30553" xr:uid="{00000000-0005-0000-0000-000093770000}"/>
    <cellStyle name="Input 32 2" xfId="30554" xr:uid="{00000000-0005-0000-0000-000094770000}"/>
    <cellStyle name="Input 32 2 2" xfId="30555" xr:uid="{00000000-0005-0000-0000-000095770000}"/>
    <cellStyle name="Input 32 2 2 2" xfId="30556" xr:uid="{00000000-0005-0000-0000-000096770000}"/>
    <cellStyle name="Input 32 2 2 3" xfId="30557" xr:uid="{00000000-0005-0000-0000-000097770000}"/>
    <cellStyle name="Input 32 2 2 4" xfId="30558" xr:uid="{00000000-0005-0000-0000-000098770000}"/>
    <cellStyle name="Input 32 2 3" xfId="30559" xr:uid="{00000000-0005-0000-0000-000099770000}"/>
    <cellStyle name="Input 32 2 3 2" xfId="30560" xr:uid="{00000000-0005-0000-0000-00009A770000}"/>
    <cellStyle name="Input 32 2 3 3" xfId="30561" xr:uid="{00000000-0005-0000-0000-00009B770000}"/>
    <cellStyle name="Input 32 2 3 4" xfId="30562" xr:uid="{00000000-0005-0000-0000-00009C770000}"/>
    <cellStyle name="Input 32 2 4" xfId="30563" xr:uid="{00000000-0005-0000-0000-00009D770000}"/>
    <cellStyle name="Input 32 2 5" xfId="30564" xr:uid="{00000000-0005-0000-0000-00009E770000}"/>
    <cellStyle name="Input 32 2 6" xfId="30565" xr:uid="{00000000-0005-0000-0000-00009F770000}"/>
    <cellStyle name="Input 32 3" xfId="30566" xr:uid="{00000000-0005-0000-0000-0000A0770000}"/>
    <cellStyle name="Input 32 3 2" xfId="30567" xr:uid="{00000000-0005-0000-0000-0000A1770000}"/>
    <cellStyle name="Input 32 3 2 2" xfId="30568" xr:uid="{00000000-0005-0000-0000-0000A2770000}"/>
    <cellStyle name="Input 32 3 2 3" xfId="30569" xr:uid="{00000000-0005-0000-0000-0000A3770000}"/>
    <cellStyle name="Input 32 3 2 4" xfId="30570" xr:uid="{00000000-0005-0000-0000-0000A4770000}"/>
    <cellStyle name="Input 32 3 3" xfId="30571" xr:uid="{00000000-0005-0000-0000-0000A5770000}"/>
    <cellStyle name="Input 32 3 3 2" xfId="30572" xr:uid="{00000000-0005-0000-0000-0000A6770000}"/>
    <cellStyle name="Input 32 3 3 3" xfId="30573" xr:uid="{00000000-0005-0000-0000-0000A7770000}"/>
    <cellStyle name="Input 32 3 3 4" xfId="30574" xr:uid="{00000000-0005-0000-0000-0000A8770000}"/>
    <cellStyle name="Input 32 3 4" xfId="30575" xr:uid="{00000000-0005-0000-0000-0000A9770000}"/>
    <cellStyle name="Input 32 3 5" xfId="30576" xr:uid="{00000000-0005-0000-0000-0000AA770000}"/>
    <cellStyle name="Input 32 3 6" xfId="30577" xr:uid="{00000000-0005-0000-0000-0000AB770000}"/>
    <cellStyle name="Input 32 4" xfId="30578" xr:uid="{00000000-0005-0000-0000-0000AC770000}"/>
    <cellStyle name="Input 32 5" xfId="30579" xr:uid="{00000000-0005-0000-0000-0000AD770000}"/>
    <cellStyle name="Input 32 6" xfId="30580" xr:uid="{00000000-0005-0000-0000-0000AE770000}"/>
    <cellStyle name="Input 33" xfId="30581" xr:uid="{00000000-0005-0000-0000-0000AF770000}"/>
    <cellStyle name="Input 33 2" xfId="30582" xr:uid="{00000000-0005-0000-0000-0000B0770000}"/>
    <cellStyle name="Input 33 2 2" xfId="30583" xr:uid="{00000000-0005-0000-0000-0000B1770000}"/>
    <cellStyle name="Input 33 2 2 2" xfId="30584" xr:uid="{00000000-0005-0000-0000-0000B2770000}"/>
    <cellStyle name="Input 33 2 2 3" xfId="30585" xr:uid="{00000000-0005-0000-0000-0000B3770000}"/>
    <cellStyle name="Input 33 2 2 4" xfId="30586" xr:uid="{00000000-0005-0000-0000-0000B4770000}"/>
    <cellStyle name="Input 33 2 3" xfId="30587" xr:uid="{00000000-0005-0000-0000-0000B5770000}"/>
    <cellStyle name="Input 33 2 3 2" xfId="30588" xr:uid="{00000000-0005-0000-0000-0000B6770000}"/>
    <cellStyle name="Input 33 2 3 3" xfId="30589" xr:uid="{00000000-0005-0000-0000-0000B7770000}"/>
    <cellStyle name="Input 33 2 3 4" xfId="30590" xr:uid="{00000000-0005-0000-0000-0000B8770000}"/>
    <cellStyle name="Input 33 2 4" xfId="30591" xr:uid="{00000000-0005-0000-0000-0000B9770000}"/>
    <cellStyle name="Input 33 2 5" xfId="30592" xr:uid="{00000000-0005-0000-0000-0000BA770000}"/>
    <cellStyle name="Input 33 2 6" xfId="30593" xr:uid="{00000000-0005-0000-0000-0000BB770000}"/>
    <cellStyle name="Input 33 3" xfId="30594" xr:uid="{00000000-0005-0000-0000-0000BC770000}"/>
    <cellStyle name="Input 33 3 2" xfId="30595" xr:uid="{00000000-0005-0000-0000-0000BD770000}"/>
    <cellStyle name="Input 33 3 2 2" xfId="30596" xr:uid="{00000000-0005-0000-0000-0000BE770000}"/>
    <cellStyle name="Input 33 3 2 3" xfId="30597" xr:uid="{00000000-0005-0000-0000-0000BF770000}"/>
    <cellStyle name="Input 33 3 2 4" xfId="30598" xr:uid="{00000000-0005-0000-0000-0000C0770000}"/>
    <cellStyle name="Input 33 3 3" xfId="30599" xr:uid="{00000000-0005-0000-0000-0000C1770000}"/>
    <cellStyle name="Input 33 3 3 2" xfId="30600" xr:uid="{00000000-0005-0000-0000-0000C2770000}"/>
    <cellStyle name="Input 33 3 3 3" xfId="30601" xr:uid="{00000000-0005-0000-0000-0000C3770000}"/>
    <cellStyle name="Input 33 3 3 4" xfId="30602" xr:uid="{00000000-0005-0000-0000-0000C4770000}"/>
    <cellStyle name="Input 33 3 4" xfId="30603" xr:uid="{00000000-0005-0000-0000-0000C5770000}"/>
    <cellStyle name="Input 33 3 5" xfId="30604" xr:uid="{00000000-0005-0000-0000-0000C6770000}"/>
    <cellStyle name="Input 33 3 6" xfId="30605" xr:uid="{00000000-0005-0000-0000-0000C7770000}"/>
    <cellStyle name="Input 33 4" xfId="30606" xr:uid="{00000000-0005-0000-0000-0000C8770000}"/>
    <cellStyle name="Input 33 5" xfId="30607" xr:uid="{00000000-0005-0000-0000-0000C9770000}"/>
    <cellStyle name="Input 33 6" xfId="30608" xr:uid="{00000000-0005-0000-0000-0000CA770000}"/>
    <cellStyle name="Input 34" xfId="30609" xr:uid="{00000000-0005-0000-0000-0000CB770000}"/>
    <cellStyle name="Input 34 2" xfId="30610" xr:uid="{00000000-0005-0000-0000-0000CC770000}"/>
    <cellStyle name="Input 34 2 2" xfId="30611" xr:uid="{00000000-0005-0000-0000-0000CD770000}"/>
    <cellStyle name="Input 34 2 2 2" xfId="30612" xr:uid="{00000000-0005-0000-0000-0000CE770000}"/>
    <cellStyle name="Input 34 2 2 3" xfId="30613" xr:uid="{00000000-0005-0000-0000-0000CF770000}"/>
    <cellStyle name="Input 34 2 2 4" xfId="30614" xr:uid="{00000000-0005-0000-0000-0000D0770000}"/>
    <cellStyle name="Input 34 2 3" xfId="30615" xr:uid="{00000000-0005-0000-0000-0000D1770000}"/>
    <cellStyle name="Input 34 2 3 2" xfId="30616" xr:uid="{00000000-0005-0000-0000-0000D2770000}"/>
    <cellStyle name="Input 34 2 3 3" xfId="30617" xr:uid="{00000000-0005-0000-0000-0000D3770000}"/>
    <cellStyle name="Input 34 2 3 4" xfId="30618" xr:uid="{00000000-0005-0000-0000-0000D4770000}"/>
    <cellStyle name="Input 34 2 4" xfId="30619" xr:uid="{00000000-0005-0000-0000-0000D5770000}"/>
    <cellStyle name="Input 34 2 5" xfId="30620" xr:uid="{00000000-0005-0000-0000-0000D6770000}"/>
    <cellStyle name="Input 34 2 6" xfId="30621" xr:uid="{00000000-0005-0000-0000-0000D7770000}"/>
    <cellStyle name="Input 34 3" xfId="30622" xr:uid="{00000000-0005-0000-0000-0000D8770000}"/>
    <cellStyle name="Input 34 3 2" xfId="30623" xr:uid="{00000000-0005-0000-0000-0000D9770000}"/>
    <cellStyle name="Input 34 3 2 2" xfId="30624" xr:uid="{00000000-0005-0000-0000-0000DA770000}"/>
    <cellStyle name="Input 34 3 2 3" xfId="30625" xr:uid="{00000000-0005-0000-0000-0000DB770000}"/>
    <cellStyle name="Input 34 3 2 4" xfId="30626" xr:uid="{00000000-0005-0000-0000-0000DC770000}"/>
    <cellStyle name="Input 34 3 3" xfId="30627" xr:uid="{00000000-0005-0000-0000-0000DD770000}"/>
    <cellStyle name="Input 34 3 3 2" xfId="30628" xr:uid="{00000000-0005-0000-0000-0000DE770000}"/>
    <cellStyle name="Input 34 3 3 3" xfId="30629" xr:uid="{00000000-0005-0000-0000-0000DF770000}"/>
    <cellStyle name="Input 34 3 3 4" xfId="30630" xr:uid="{00000000-0005-0000-0000-0000E0770000}"/>
    <cellStyle name="Input 34 3 4" xfId="30631" xr:uid="{00000000-0005-0000-0000-0000E1770000}"/>
    <cellStyle name="Input 34 3 5" xfId="30632" xr:uid="{00000000-0005-0000-0000-0000E2770000}"/>
    <cellStyle name="Input 34 3 6" xfId="30633" xr:uid="{00000000-0005-0000-0000-0000E3770000}"/>
    <cellStyle name="Input 34 4" xfId="30634" xr:uid="{00000000-0005-0000-0000-0000E4770000}"/>
    <cellStyle name="Input 34 5" xfId="30635" xr:uid="{00000000-0005-0000-0000-0000E5770000}"/>
    <cellStyle name="Input 34 6" xfId="30636" xr:uid="{00000000-0005-0000-0000-0000E6770000}"/>
    <cellStyle name="Input 35" xfId="30637" xr:uid="{00000000-0005-0000-0000-0000E7770000}"/>
    <cellStyle name="Input 35 2" xfId="30638" xr:uid="{00000000-0005-0000-0000-0000E8770000}"/>
    <cellStyle name="Input 35 2 2" xfId="30639" xr:uid="{00000000-0005-0000-0000-0000E9770000}"/>
    <cellStyle name="Input 35 2 2 2" xfId="30640" xr:uid="{00000000-0005-0000-0000-0000EA770000}"/>
    <cellStyle name="Input 35 2 2 3" xfId="30641" xr:uid="{00000000-0005-0000-0000-0000EB770000}"/>
    <cellStyle name="Input 35 2 2 4" xfId="30642" xr:uid="{00000000-0005-0000-0000-0000EC770000}"/>
    <cellStyle name="Input 35 2 3" xfId="30643" xr:uid="{00000000-0005-0000-0000-0000ED770000}"/>
    <cellStyle name="Input 35 2 3 2" xfId="30644" xr:uid="{00000000-0005-0000-0000-0000EE770000}"/>
    <cellStyle name="Input 35 2 3 3" xfId="30645" xr:uid="{00000000-0005-0000-0000-0000EF770000}"/>
    <cellStyle name="Input 35 2 3 4" xfId="30646" xr:uid="{00000000-0005-0000-0000-0000F0770000}"/>
    <cellStyle name="Input 35 2 4" xfId="30647" xr:uid="{00000000-0005-0000-0000-0000F1770000}"/>
    <cellStyle name="Input 35 2 5" xfId="30648" xr:uid="{00000000-0005-0000-0000-0000F2770000}"/>
    <cellStyle name="Input 35 2 6" xfId="30649" xr:uid="{00000000-0005-0000-0000-0000F3770000}"/>
    <cellStyle name="Input 35 3" xfId="30650" xr:uid="{00000000-0005-0000-0000-0000F4770000}"/>
    <cellStyle name="Input 35 3 2" xfId="30651" xr:uid="{00000000-0005-0000-0000-0000F5770000}"/>
    <cellStyle name="Input 35 3 2 2" xfId="30652" xr:uid="{00000000-0005-0000-0000-0000F6770000}"/>
    <cellStyle name="Input 35 3 2 3" xfId="30653" xr:uid="{00000000-0005-0000-0000-0000F7770000}"/>
    <cellStyle name="Input 35 3 2 4" xfId="30654" xr:uid="{00000000-0005-0000-0000-0000F8770000}"/>
    <cellStyle name="Input 35 3 3" xfId="30655" xr:uid="{00000000-0005-0000-0000-0000F9770000}"/>
    <cellStyle name="Input 35 3 3 2" xfId="30656" xr:uid="{00000000-0005-0000-0000-0000FA770000}"/>
    <cellStyle name="Input 35 3 3 3" xfId="30657" xr:uid="{00000000-0005-0000-0000-0000FB770000}"/>
    <cellStyle name="Input 35 3 3 4" xfId="30658" xr:uid="{00000000-0005-0000-0000-0000FC770000}"/>
    <cellStyle name="Input 35 3 4" xfId="30659" xr:uid="{00000000-0005-0000-0000-0000FD770000}"/>
    <cellStyle name="Input 35 3 5" xfId="30660" xr:uid="{00000000-0005-0000-0000-0000FE770000}"/>
    <cellStyle name="Input 35 3 6" xfId="30661" xr:uid="{00000000-0005-0000-0000-0000FF770000}"/>
    <cellStyle name="Input 35 4" xfId="30662" xr:uid="{00000000-0005-0000-0000-000000780000}"/>
    <cellStyle name="Input 35 5" xfId="30663" xr:uid="{00000000-0005-0000-0000-000001780000}"/>
    <cellStyle name="Input 35 6" xfId="30664" xr:uid="{00000000-0005-0000-0000-000002780000}"/>
    <cellStyle name="Input 36" xfId="30665" xr:uid="{00000000-0005-0000-0000-000003780000}"/>
    <cellStyle name="Input 36 2" xfId="30666" xr:uid="{00000000-0005-0000-0000-000004780000}"/>
    <cellStyle name="Input 36 2 2" xfId="30667" xr:uid="{00000000-0005-0000-0000-000005780000}"/>
    <cellStyle name="Input 36 2 3" xfId="30668" xr:uid="{00000000-0005-0000-0000-000006780000}"/>
    <cellStyle name="Input 36 2 4" xfId="30669" xr:uid="{00000000-0005-0000-0000-000007780000}"/>
    <cellStyle name="Input 36 3" xfId="30670" xr:uid="{00000000-0005-0000-0000-000008780000}"/>
    <cellStyle name="Input 36 3 2" xfId="30671" xr:uid="{00000000-0005-0000-0000-000009780000}"/>
    <cellStyle name="Input 36 3 3" xfId="30672" xr:uid="{00000000-0005-0000-0000-00000A780000}"/>
    <cellStyle name="Input 36 3 4" xfId="30673" xr:uid="{00000000-0005-0000-0000-00000B780000}"/>
    <cellStyle name="Input 36 4" xfId="30674" xr:uid="{00000000-0005-0000-0000-00000C780000}"/>
    <cellStyle name="Input 36 5" xfId="30675" xr:uid="{00000000-0005-0000-0000-00000D780000}"/>
    <cellStyle name="Input 36 6" xfId="30676" xr:uid="{00000000-0005-0000-0000-00000E780000}"/>
    <cellStyle name="Input 37" xfId="30677" xr:uid="{00000000-0005-0000-0000-00000F780000}"/>
    <cellStyle name="Input 37 2" xfId="30678" xr:uid="{00000000-0005-0000-0000-000010780000}"/>
    <cellStyle name="Input 37 2 2" xfId="30679" xr:uid="{00000000-0005-0000-0000-000011780000}"/>
    <cellStyle name="Input 37 2 3" xfId="30680" xr:uid="{00000000-0005-0000-0000-000012780000}"/>
    <cellStyle name="Input 37 2 4" xfId="30681" xr:uid="{00000000-0005-0000-0000-000013780000}"/>
    <cellStyle name="Input 37 3" xfId="30682" xr:uid="{00000000-0005-0000-0000-000014780000}"/>
    <cellStyle name="Input 37 3 2" xfId="30683" xr:uid="{00000000-0005-0000-0000-000015780000}"/>
    <cellStyle name="Input 37 3 3" xfId="30684" xr:uid="{00000000-0005-0000-0000-000016780000}"/>
    <cellStyle name="Input 37 3 4" xfId="30685" xr:uid="{00000000-0005-0000-0000-000017780000}"/>
    <cellStyle name="Input 37 4" xfId="30686" xr:uid="{00000000-0005-0000-0000-000018780000}"/>
    <cellStyle name="Input 37 5" xfId="30687" xr:uid="{00000000-0005-0000-0000-000019780000}"/>
    <cellStyle name="Input 37 6" xfId="30688" xr:uid="{00000000-0005-0000-0000-00001A780000}"/>
    <cellStyle name="Input 38" xfId="30689" xr:uid="{00000000-0005-0000-0000-00001B780000}"/>
    <cellStyle name="Input 38 2" xfId="30690" xr:uid="{00000000-0005-0000-0000-00001C780000}"/>
    <cellStyle name="Input 38 2 2" xfId="30691" xr:uid="{00000000-0005-0000-0000-00001D780000}"/>
    <cellStyle name="Input 38 2 3" xfId="30692" xr:uid="{00000000-0005-0000-0000-00001E780000}"/>
    <cellStyle name="Input 38 2 4" xfId="30693" xr:uid="{00000000-0005-0000-0000-00001F780000}"/>
    <cellStyle name="Input 38 3" xfId="30694" xr:uid="{00000000-0005-0000-0000-000020780000}"/>
    <cellStyle name="Input 38 3 2" xfId="30695" xr:uid="{00000000-0005-0000-0000-000021780000}"/>
    <cellStyle name="Input 38 3 3" xfId="30696" xr:uid="{00000000-0005-0000-0000-000022780000}"/>
    <cellStyle name="Input 38 3 4" xfId="30697" xr:uid="{00000000-0005-0000-0000-000023780000}"/>
    <cellStyle name="Input 38 4" xfId="30698" xr:uid="{00000000-0005-0000-0000-000024780000}"/>
    <cellStyle name="Input 38 5" xfId="30699" xr:uid="{00000000-0005-0000-0000-000025780000}"/>
    <cellStyle name="Input 38 6" xfId="30700" xr:uid="{00000000-0005-0000-0000-000026780000}"/>
    <cellStyle name="Input 39" xfId="30701" xr:uid="{00000000-0005-0000-0000-000027780000}"/>
    <cellStyle name="Input 39 2" xfId="30702" xr:uid="{00000000-0005-0000-0000-000028780000}"/>
    <cellStyle name="Input 39 2 2" xfId="30703" xr:uid="{00000000-0005-0000-0000-000029780000}"/>
    <cellStyle name="Input 39 2 3" xfId="30704" xr:uid="{00000000-0005-0000-0000-00002A780000}"/>
    <cellStyle name="Input 39 2 4" xfId="30705" xr:uid="{00000000-0005-0000-0000-00002B780000}"/>
    <cellStyle name="Input 39 3" xfId="30706" xr:uid="{00000000-0005-0000-0000-00002C780000}"/>
    <cellStyle name="Input 39 3 2" xfId="30707" xr:uid="{00000000-0005-0000-0000-00002D780000}"/>
    <cellStyle name="Input 39 3 3" xfId="30708" xr:uid="{00000000-0005-0000-0000-00002E780000}"/>
    <cellStyle name="Input 39 3 4" xfId="30709" xr:uid="{00000000-0005-0000-0000-00002F780000}"/>
    <cellStyle name="Input 39 4" xfId="30710" xr:uid="{00000000-0005-0000-0000-000030780000}"/>
    <cellStyle name="Input 39 5" xfId="30711" xr:uid="{00000000-0005-0000-0000-000031780000}"/>
    <cellStyle name="Input 39 6" xfId="30712" xr:uid="{00000000-0005-0000-0000-000032780000}"/>
    <cellStyle name="Input 4" xfId="30713" xr:uid="{00000000-0005-0000-0000-000033780000}"/>
    <cellStyle name="Input 4 10" xfId="30714" xr:uid="{00000000-0005-0000-0000-000034780000}"/>
    <cellStyle name="Input 4 10 2" xfId="30715" xr:uid="{00000000-0005-0000-0000-000035780000}"/>
    <cellStyle name="Input 4 10 2 2" xfId="30716" xr:uid="{00000000-0005-0000-0000-000036780000}"/>
    <cellStyle name="Input 4 10 2 2 2" xfId="30717" xr:uid="{00000000-0005-0000-0000-000037780000}"/>
    <cellStyle name="Input 4 10 2 2 3" xfId="30718" xr:uid="{00000000-0005-0000-0000-000038780000}"/>
    <cellStyle name="Input 4 10 2 2 4" xfId="30719" xr:uid="{00000000-0005-0000-0000-000039780000}"/>
    <cellStyle name="Input 4 10 2 3" xfId="30720" xr:uid="{00000000-0005-0000-0000-00003A780000}"/>
    <cellStyle name="Input 4 10 2 3 2" xfId="30721" xr:uid="{00000000-0005-0000-0000-00003B780000}"/>
    <cellStyle name="Input 4 10 2 3 3" xfId="30722" xr:uid="{00000000-0005-0000-0000-00003C780000}"/>
    <cellStyle name="Input 4 10 2 3 4" xfId="30723" xr:uid="{00000000-0005-0000-0000-00003D780000}"/>
    <cellStyle name="Input 4 10 2 4" xfId="30724" xr:uid="{00000000-0005-0000-0000-00003E780000}"/>
    <cellStyle name="Input 4 10 2 5" xfId="30725" xr:uid="{00000000-0005-0000-0000-00003F780000}"/>
    <cellStyle name="Input 4 10 2 6" xfId="30726" xr:uid="{00000000-0005-0000-0000-000040780000}"/>
    <cellStyle name="Input 4 10 3" xfId="30727" xr:uid="{00000000-0005-0000-0000-000041780000}"/>
    <cellStyle name="Input 4 10 3 2" xfId="30728" xr:uid="{00000000-0005-0000-0000-000042780000}"/>
    <cellStyle name="Input 4 10 3 2 2" xfId="30729" xr:uid="{00000000-0005-0000-0000-000043780000}"/>
    <cellStyle name="Input 4 10 3 2 3" xfId="30730" xr:uid="{00000000-0005-0000-0000-000044780000}"/>
    <cellStyle name="Input 4 10 3 2 4" xfId="30731" xr:uid="{00000000-0005-0000-0000-000045780000}"/>
    <cellStyle name="Input 4 10 3 3" xfId="30732" xr:uid="{00000000-0005-0000-0000-000046780000}"/>
    <cellStyle name="Input 4 10 3 3 2" xfId="30733" xr:uid="{00000000-0005-0000-0000-000047780000}"/>
    <cellStyle name="Input 4 10 3 3 3" xfId="30734" xr:uid="{00000000-0005-0000-0000-000048780000}"/>
    <cellStyle name="Input 4 10 3 3 4" xfId="30735" xr:uid="{00000000-0005-0000-0000-000049780000}"/>
    <cellStyle name="Input 4 10 3 4" xfId="30736" xr:uid="{00000000-0005-0000-0000-00004A780000}"/>
    <cellStyle name="Input 4 10 3 5" xfId="30737" xr:uid="{00000000-0005-0000-0000-00004B780000}"/>
    <cellStyle name="Input 4 10 3 6" xfId="30738" xr:uid="{00000000-0005-0000-0000-00004C780000}"/>
    <cellStyle name="Input 4 10 4" xfId="30739" xr:uid="{00000000-0005-0000-0000-00004D780000}"/>
    <cellStyle name="Input 4 10 5" xfId="30740" xr:uid="{00000000-0005-0000-0000-00004E780000}"/>
    <cellStyle name="Input 4 10 6" xfId="30741" xr:uid="{00000000-0005-0000-0000-00004F780000}"/>
    <cellStyle name="Input 4 11" xfId="30742" xr:uid="{00000000-0005-0000-0000-000050780000}"/>
    <cellStyle name="Input 4 12" xfId="30743" xr:uid="{00000000-0005-0000-0000-000051780000}"/>
    <cellStyle name="Input 4 2" xfId="30744" xr:uid="{00000000-0005-0000-0000-000052780000}"/>
    <cellStyle name="Input 4 2 2" xfId="30745" xr:uid="{00000000-0005-0000-0000-000053780000}"/>
    <cellStyle name="Input 4 2 2 2" xfId="30746" xr:uid="{00000000-0005-0000-0000-000054780000}"/>
    <cellStyle name="Input 4 2 2 2 2" xfId="30747" xr:uid="{00000000-0005-0000-0000-000055780000}"/>
    <cellStyle name="Input 4 2 2 2 2 2" xfId="30748" xr:uid="{00000000-0005-0000-0000-000056780000}"/>
    <cellStyle name="Input 4 2 2 2 2 3" xfId="30749" xr:uid="{00000000-0005-0000-0000-000057780000}"/>
    <cellStyle name="Input 4 2 2 2 2 4" xfId="30750" xr:uid="{00000000-0005-0000-0000-000058780000}"/>
    <cellStyle name="Input 4 2 2 2 3" xfId="30751" xr:uid="{00000000-0005-0000-0000-000059780000}"/>
    <cellStyle name="Input 4 2 2 2 3 2" xfId="30752" xr:uid="{00000000-0005-0000-0000-00005A780000}"/>
    <cellStyle name="Input 4 2 2 2 3 3" xfId="30753" xr:uid="{00000000-0005-0000-0000-00005B780000}"/>
    <cellStyle name="Input 4 2 2 2 3 4" xfId="30754" xr:uid="{00000000-0005-0000-0000-00005C780000}"/>
    <cellStyle name="Input 4 2 2 2 4" xfId="30755" xr:uid="{00000000-0005-0000-0000-00005D780000}"/>
    <cellStyle name="Input 4 2 2 2 5" xfId="30756" xr:uid="{00000000-0005-0000-0000-00005E780000}"/>
    <cellStyle name="Input 4 2 2 2 6" xfId="30757" xr:uid="{00000000-0005-0000-0000-00005F780000}"/>
    <cellStyle name="Input 4 2 2 3" xfId="30758" xr:uid="{00000000-0005-0000-0000-000060780000}"/>
    <cellStyle name="Input 4 2 2 3 2" xfId="30759" xr:uid="{00000000-0005-0000-0000-000061780000}"/>
    <cellStyle name="Input 4 2 2 3 2 2" xfId="30760" xr:uid="{00000000-0005-0000-0000-000062780000}"/>
    <cellStyle name="Input 4 2 2 3 2 3" xfId="30761" xr:uid="{00000000-0005-0000-0000-000063780000}"/>
    <cellStyle name="Input 4 2 2 3 2 4" xfId="30762" xr:uid="{00000000-0005-0000-0000-000064780000}"/>
    <cellStyle name="Input 4 2 2 3 3" xfId="30763" xr:uid="{00000000-0005-0000-0000-000065780000}"/>
    <cellStyle name="Input 4 2 2 3 3 2" xfId="30764" xr:uid="{00000000-0005-0000-0000-000066780000}"/>
    <cellStyle name="Input 4 2 2 3 3 3" xfId="30765" xr:uid="{00000000-0005-0000-0000-000067780000}"/>
    <cellStyle name="Input 4 2 2 3 3 4" xfId="30766" xr:uid="{00000000-0005-0000-0000-000068780000}"/>
    <cellStyle name="Input 4 2 2 3 4" xfId="30767" xr:uid="{00000000-0005-0000-0000-000069780000}"/>
    <cellStyle name="Input 4 2 2 3 5" xfId="30768" xr:uid="{00000000-0005-0000-0000-00006A780000}"/>
    <cellStyle name="Input 4 2 2 3 6" xfId="30769" xr:uid="{00000000-0005-0000-0000-00006B780000}"/>
    <cellStyle name="Input 4 2 2 4" xfId="30770" xr:uid="{00000000-0005-0000-0000-00006C780000}"/>
    <cellStyle name="Input 4 2 2 5" xfId="30771" xr:uid="{00000000-0005-0000-0000-00006D780000}"/>
    <cellStyle name="Input 4 2 2 6" xfId="30772" xr:uid="{00000000-0005-0000-0000-00006E780000}"/>
    <cellStyle name="Input 4 2 3" xfId="30773" xr:uid="{00000000-0005-0000-0000-00006F780000}"/>
    <cellStyle name="Input 4 2 4" xfId="30774" xr:uid="{00000000-0005-0000-0000-000070780000}"/>
    <cellStyle name="Input 4 3" xfId="30775" xr:uid="{00000000-0005-0000-0000-000071780000}"/>
    <cellStyle name="Input 4 3 2" xfId="30776" xr:uid="{00000000-0005-0000-0000-000072780000}"/>
    <cellStyle name="Input 4 3 2 2" xfId="30777" xr:uid="{00000000-0005-0000-0000-000073780000}"/>
    <cellStyle name="Input 4 3 2 2 2" xfId="30778" xr:uid="{00000000-0005-0000-0000-000074780000}"/>
    <cellStyle name="Input 4 3 2 2 2 2" xfId="30779" xr:uid="{00000000-0005-0000-0000-000075780000}"/>
    <cellStyle name="Input 4 3 2 2 2 3" xfId="30780" xr:uid="{00000000-0005-0000-0000-000076780000}"/>
    <cellStyle name="Input 4 3 2 2 2 4" xfId="30781" xr:uid="{00000000-0005-0000-0000-000077780000}"/>
    <cellStyle name="Input 4 3 2 2 3" xfId="30782" xr:uid="{00000000-0005-0000-0000-000078780000}"/>
    <cellStyle name="Input 4 3 2 2 3 2" xfId="30783" xr:uid="{00000000-0005-0000-0000-000079780000}"/>
    <cellStyle name="Input 4 3 2 2 3 3" xfId="30784" xr:uid="{00000000-0005-0000-0000-00007A780000}"/>
    <cellStyle name="Input 4 3 2 2 3 4" xfId="30785" xr:uid="{00000000-0005-0000-0000-00007B780000}"/>
    <cellStyle name="Input 4 3 2 2 4" xfId="30786" xr:uid="{00000000-0005-0000-0000-00007C780000}"/>
    <cellStyle name="Input 4 3 2 2 5" xfId="30787" xr:uid="{00000000-0005-0000-0000-00007D780000}"/>
    <cellStyle name="Input 4 3 2 2 6" xfId="30788" xr:uid="{00000000-0005-0000-0000-00007E780000}"/>
    <cellStyle name="Input 4 3 2 3" xfId="30789" xr:uid="{00000000-0005-0000-0000-00007F780000}"/>
    <cellStyle name="Input 4 3 2 3 2" xfId="30790" xr:uid="{00000000-0005-0000-0000-000080780000}"/>
    <cellStyle name="Input 4 3 2 3 2 2" xfId="30791" xr:uid="{00000000-0005-0000-0000-000081780000}"/>
    <cellStyle name="Input 4 3 2 3 2 3" xfId="30792" xr:uid="{00000000-0005-0000-0000-000082780000}"/>
    <cellStyle name="Input 4 3 2 3 2 4" xfId="30793" xr:uid="{00000000-0005-0000-0000-000083780000}"/>
    <cellStyle name="Input 4 3 2 3 3" xfId="30794" xr:uid="{00000000-0005-0000-0000-000084780000}"/>
    <cellStyle name="Input 4 3 2 3 3 2" xfId="30795" xr:uid="{00000000-0005-0000-0000-000085780000}"/>
    <cellStyle name="Input 4 3 2 3 3 3" xfId="30796" xr:uid="{00000000-0005-0000-0000-000086780000}"/>
    <cellStyle name="Input 4 3 2 3 3 4" xfId="30797" xr:uid="{00000000-0005-0000-0000-000087780000}"/>
    <cellStyle name="Input 4 3 2 3 4" xfId="30798" xr:uid="{00000000-0005-0000-0000-000088780000}"/>
    <cellStyle name="Input 4 3 2 3 5" xfId="30799" xr:uid="{00000000-0005-0000-0000-000089780000}"/>
    <cellStyle name="Input 4 3 2 3 6" xfId="30800" xr:uid="{00000000-0005-0000-0000-00008A780000}"/>
    <cellStyle name="Input 4 3 2 4" xfId="30801" xr:uid="{00000000-0005-0000-0000-00008B780000}"/>
    <cellStyle name="Input 4 3 2 5" xfId="30802" xr:uid="{00000000-0005-0000-0000-00008C780000}"/>
    <cellStyle name="Input 4 3 2 6" xfId="30803" xr:uid="{00000000-0005-0000-0000-00008D780000}"/>
    <cellStyle name="Input 4 3 3" xfId="30804" xr:uid="{00000000-0005-0000-0000-00008E780000}"/>
    <cellStyle name="Input 4 3 4" xfId="30805" xr:uid="{00000000-0005-0000-0000-00008F780000}"/>
    <cellStyle name="Input 4 4" xfId="30806" xr:uid="{00000000-0005-0000-0000-000090780000}"/>
    <cellStyle name="Input 4 4 2" xfId="30807" xr:uid="{00000000-0005-0000-0000-000091780000}"/>
    <cellStyle name="Input 4 4 2 2" xfId="30808" xr:uid="{00000000-0005-0000-0000-000092780000}"/>
    <cellStyle name="Input 4 4 2 2 2" xfId="30809" xr:uid="{00000000-0005-0000-0000-000093780000}"/>
    <cellStyle name="Input 4 4 2 2 2 2" xfId="30810" xr:uid="{00000000-0005-0000-0000-000094780000}"/>
    <cellStyle name="Input 4 4 2 2 2 3" xfId="30811" xr:uid="{00000000-0005-0000-0000-000095780000}"/>
    <cellStyle name="Input 4 4 2 2 2 4" xfId="30812" xr:uid="{00000000-0005-0000-0000-000096780000}"/>
    <cellStyle name="Input 4 4 2 2 3" xfId="30813" xr:uid="{00000000-0005-0000-0000-000097780000}"/>
    <cellStyle name="Input 4 4 2 2 3 2" xfId="30814" xr:uid="{00000000-0005-0000-0000-000098780000}"/>
    <cellStyle name="Input 4 4 2 2 3 3" xfId="30815" xr:uid="{00000000-0005-0000-0000-000099780000}"/>
    <cellStyle name="Input 4 4 2 2 3 4" xfId="30816" xr:uid="{00000000-0005-0000-0000-00009A780000}"/>
    <cellStyle name="Input 4 4 2 2 4" xfId="30817" xr:uid="{00000000-0005-0000-0000-00009B780000}"/>
    <cellStyle name="Input 4 4 2 2 5" xfId="30818" xr:uid="{00000000-0005-0000-0000-00009C780000}"/>
    <cellStyle name="Input 4 4 2 2 6" xfId="30819" xr:uid="{00000000-0005-0000-0000-00009D780000}"/>
    <cellStyle name="Input 4 4 2 3" xfId="30820" xr:uid="{00000000-0005-0000-0000-00009E780000}"/>
    <cellStyle name="Input 4 4 2 3 2" xfId="30821" xr:uid="{00000000-0005-0000-0000-00009F780000}"/>
    <cellStyle name="Input 4 4 2 3 2 2" xfId="30822" xr:uid="{00000000-0005-0000-0000-0000A0780000}"/>
    <cellStyle name="Input 4 4 2 3 2 3" xfId="30823" xr:uid="{00000000-0005-0000-0000-0000A1780000}"/>
    <cellStyle name="Input 4 4 2 3 2 4" xfId="30824" xr:uid="{00000000-0005-0000-0000-0000A2780000}"/>
    <cellStyle name="Input 4 4 2 3 3" xfId="30825" xr:uid="{00000000-0005-0000-0000-0000A3780000}"/>
    <cellStyle name="Input 4 4 2 3 3 2" xfId="30826" xr:uid="{00000000-0005-0000-0000-0000A4780000}"/>
    <cellStyle name="Input 4 4 2 3 3 3" xfId="30827" xr:uid="{00000000-0005-0000-0000-0000A5780000}"/>
    <cellStyle name="Input 4 4 2 3 3 4" xfId="30828" xr:uid="{00000000-0005-0000-0000-0000A6780000}"/>
    <cellStyle name="Input 4 4 2 3 4" xfId="30829" xr:uid="{00000000-0005-0000-0000-0000A7780000}"/>
    <cellStyle name="Input 4 4 2 3 5" xfId="30830" xr:uid="{00000000-0005-0000-0000-0000A8780000}"/>
    <cellStyle name="Input 4 4 2 3 6" xfId="30831" xr:uid="{00000000-0005-0000-0000-0000A9780000}"/>
    <cellStyle name="Input 4 4 2 4" xfId="30832" xr:uid="{00000000-0005-0000-0000-0000AA780000}"/>
    <cellStyle name="Input 4 4 2 5" xfId="30833" xr:uid="{00000000-0005-0000-0000-0000AB780000}"/>
    <cellStyle name="Input 4 4 2 6" xfId="30834" xr:uid="{00000000-0005-0000-0000-0000AC780000}"/>
    <cellStyle name="Input 4 4 3" xfId="30835" xr:uid="{00000000-0005-0000-0000-0000AD780000}"/>
    <cellStyle name="Input 4 4 4" xfId="30836" xr:uid="{00000000-0005-0000-0000-0000AE780000}"/>
    <cellStyle name="Input 4 5" xfId="30837" xr:uid="{00000000-0005-0000-0000-0000AF780000}"/>
    <cellStyle name="Input 4 5 2" xfId="30838" xr:uid="{00000000-0005-0000-0000-0000B0780000}"/>
    <cellStyle name="Input 4 5 2 2" xfId="30839" xr:uid="{00000000-0005-0000-0000-0000B1780000}"/>
    <cellStyle name="Input 4 5 2 2 2" xfId="30840" xr:uid="{00000000-0005-0000-0000-0000B2780000}"/>
    <cellStyle name="Input 4 5 2 2 2 2" xfId="30841" xr:uid="{00000000-0005-0000-0000-0000B3780000}"/>
    <cellStyle name="Input 4 5 2 2 2 3" xfId="30842" xr:uid="{00000000-0005-0000-0000-0000B4780000}"/>
    <cellStyle name="Input 4 5 2 2 2 4" xfId="30843" xr:uid="{00000000-0005-0000-0000-0000B5780000}"/>
    <cellStyle name="Input 4 5 2 2 3" xfId="30844" xr:uid="{00000000-0005-0000-0000-0000B6780000}"/>
    <cellStyle name="Input 4 5 2 2 3 2" xfId="30845" xr:uid="{00000000-0005-0000-0000-0000B7780000}"/>
    <cellStyle name="Input 4 5 2 2 3 3" xfId="30846" xr:uid="{00000000-0005-0000-0000-0000B8780000}"/>
    <cellStyle name="Input 4 5 2 2 3 4" xfId="30847" xr:uid="{00000000-0005-0000-0000-0000B9780000}"/>
    <cellStyle name="Input 4 5 2 2 4" xfId="30848" xr:uid="{00000000-0005-0000-0000-0000BA780000}"/>
    <cellStyle name="Input 4 5 2 2 5" xfId="30849" xr:uid="{00000000-0005-0000-0000-0000BB780000}"/>
    <cellStyle name="Input 4 5 2 2 6" xfId="30850" xr:uid="{00000000-0005-0000-0000-0000BC780000}"/>
    <cellStyle name="Input 4 5 2 3" xfId="30851" xr:uid="{00000000-0005-0000-0000-0000BD780000}"/>
    <cellStyle name="Input 4 5 2 3 2" xfId="30852" xr:uid="{00000000-0005-0000-0000-0000BE780000}"/>
    <cellStyle name="Input 4 5 2 3 2 2" xfId="30853" xr:uid="{00000000-0005-0000-0000-0000BF780000}"/>
    <cellStyle name="Input 4 5 2 3 2 3" xfId="30854" xr:uid="{00000000-0005-0000-0000-0000C0780000}"/>
    <cellStyle name="Input 4 5 2 3 2 4" xfId="30855" xr:uid="{00000000-0005-0000-0000-0000C1780000}"/>
    <cellStyle name="Input 4 5 2 3 3" xfId="30856" xr:uid="{00000000-0005-0000-0000-0000C2780000}"/>
    <cellStyle name="Input 4 5 2 3 3 2" xfId="30857" xr:uid="{00000000-0005-0000-0000-0000C3780000}"/>
    <cellStyle name="Input 4 5 2 3 3 3" xfId="30858" xr:uid="{00000000-0005-0000-0000-0000C4780000}"/>
    <cellStyle name="Input 4 5 2 3 3 4" xfId="30859" xr:uid="{00000000-0005-0000-0000-0000C5780000}"/>
    <cellStyle name="Input 4 5 2 3 4" xfId="30860" xr:uid="{00000000-0005-0000-0000-0000C6780000}"/>
    <cellStyle name="Input 4 5 2 3 5" xfId="30861" xr:uid="{00000000-0005-0000-0000-0000C7780000}"/>
    <cellStyle name="Input 4 5 2 3 6" xfId="30862" xr:uid="{00000000-0005-0000-0000-0000C8780000}"/>
    <cellStyle name="Input 4 5 2 4" xfId="30863" xr:uid="{00000000-0005-0000-0000-0000C9780000}"/>
    <cellStyle name="Input 4 5 2 5" xfId="30864" xr:uid="{00000000-0005-0000-0000-0000CA780000}"/>
    <cellStyle name="Input 4 5 2 6" xfId="30865" xr:uid="{00000000-0005-0000-0000-0000CB780000}"/>
    <cellStyle name="Input 4 5 3" xfId="30866" xr:uid="{00000000-0005-0000-0000-0000CC780000}"/>
    <cellStyle name="Input 4 5 4" xfId="30867" xr:uid="{00000000-0005-0000-0000-0000CD780000}"/>
    <cellStyle name="Input 4 6" xfId="30868" xr:uid="{00000000-0005-0000-0000-0000CE780000}"/>
    <cellStyle name="Input 4 6 2" xfId="30869" xr:uid="{00000000-0005-0000-0000-0000CF780000}"/>
    <cellStyle name="Input 4 6 2 2" xfId="30870" xr:uid="{00000000-0005-0000-0000-0000D0780000}"/>
    <cellStyle name="Input 4 6 2 2 2" xfId="30871" xr:uid="{00000000-0005-0000-0000-0000D1780000}"/>
    <cellStyle name="Input 4 6 2 2 3" xfId="30872" xr:uid="{00000000-0005-0000-0000-0000D2780000}"/>
    <cellStyle name="Input 4 6 2 2 4" xfId="30873" xr:uid="{00000000-0005-0000-0000-0000D3780000}"/>
    <cellStyle name="Input 4 6 2 3" xfId="30874" xr:uid="{00000000-0005-0000-0000-0000D4780000}"/>
    <cellStyle name="Input 4 6 2 3 2" xfId="30875" xr:uid="{00000000-0005-0000-0000-0000D5780000}"/>
    <cellStyle name="Input 4 6 2 3 3" xfId="30876" xr:uid="{00000000-0005-0000-0000-0000D6780000}"/>
    <cellStyle name="Input 4 6 2 3 4" xfId="30877" xr:uid="{00000000-0005-0000-0000-0000D7780000}"/>
    <cellStyle name="Input 4 6 2 4" xfId="30878" xr:uid="{00000000-0005-0000-0000-0000D8780000}"/>
    <cellStyle name="Input 4 6 2 5" xfId="30879" xr:uid="{00000000-0005-0000-0000-0000D9780000}"/>
    <cellStyle name="Input 4 6 2 6" xfId="30880" xr:uid="{00000000-0005-0000-0000-0000DA780000}"/>
    <cellStyle name="Input 4 6 3" xfId="30881" xr:uid="{00000000-0005-0000-0000-0000DB780000}"/>
    <cellStyle name="Input 4 6 3 2" xfId="30882" xr:uid="{00000000-0005-0000-0000-0000DC780000}"/>
    <cellStyle name="Input 4 6 3 2 2" xfId="30883" xr:uid="{00000000-0005-0000-0000-0000DD780000}"/>
    <cellStyle name="Input 4 6 3 2 3" xfId="30884" xr:uid="{00000000-0005-0000-0000-0000DE780000}"/>
    <cellStyle name="Input 4 6 3 2 4" xfId="30885" xr:uid="{00000000-0005-0000-0000-0000DF780000}"/>
    <cellStyle name="Input 4 6 3 3" xfId="30886" xr:uid="{00000000-0005-0000-0000-0000E0780000}"/>
    <cellStyle name="Input 4 6 3 3 2" xfId="30887" xr:uid="{00000000-0005-0000-0000-0000E1780000}"/>
    <cellStyle name="Input 4 6 3 3 3" xfId="30888" xr:uid="{00000000-0005-0000-0000-0000E2780000}"/>
    <cellStyle name="Input 4 6 3 3 4" xfId="30889" xr:uid="{00000000-0005-0000-0000-0000E3780000}"/>
    <cellStyle name="Input 4 6 3 4" xfId="30890" xr:uid="{00000000-0005-0000-0000-0000E4780000}"/>
    <cellStyle name="Input 4 6 3 5" xfId="30891" xr:uid="{00000000-0005-0000-0000-0000E5780000}"/>
    <cellStyle name="Input 4 6 3 6" xfId="30892" xr:uid="{00000000-0005-0000-0000-0000E6780000}"/>
    <cellStyle name="Input 4 6 4" xfId="30893" xr:uid="{00000000-0005-0000-0000-0000E7780000}"/>
    <cellStyle name="Input 4 6 4 2" xfId="30894" xr:uid="{00000000-0005-0000-0000-0000E8780000}"/>
    <cellStyle name="Input 4 6 4 3" xfId="30895" xr:uid="{00000000-0005-0000-0000-0000E9780000}"/>
    <cellStyle name="Input 4 6 4 4" xfId="30896" xr:uid="{00000000-0005-0000-0000-0000EA780000}"/>
    <cellStyle name="Input 4 6 5" xfId="30897" xr:uid="{00000000-0005-0000-0000-0000EB780000}"/>
    <cellStyle name="Input 4 6 6" xfId="30898" xr:uid="{00000000-0005-0000-0000-0000EC780000}"/>
    <cellStyle name="Input 4 7" xfId="30899" xr:uid="{00000000-0005-0000-0000-0000ED780000}"/>
    <cellStyle name="Input 4 7 2" xfId="30900" xr:uid="{00000000-0005-0000-0000-0000EE780000}"/>
    <cellStyle name="Input 4 7 2 2" xfId="30901" xr:uid="{00000000-0005-0000-0000-0000EF780000}"/>
    <cellStyle name="Input 4 7 2 2 2" xfId="30902" xr:uid="{00000000-0005-0000-0000-0000F0780000}"/>
    <cellStyle name="Input 4 7 2 2 3" xfId="30903" xr:uid="{00000000-0005-0000-0000-0000F1780000}"/>
    <cellStyle name="Input 4 7 2 2 4" xfId="30904" xr:uid="{00000000-0005-0000-0000-0000F2780000}"/>
    <cellStyle name="Input 4 7 2 3" xfId="30905" xr:uid="{00000000-0005-0000-0000-0000F3780000}"/>
    <cellStyle name="Input 4 7 2 3 2" xfId="30906" xr:uid="{00000000-0005-0000-0000-0000F4780000}"/>
    <cellStyle name="Input 4 7 2 3 3" xfId="30907" xr:uid="{00000000-0005-0000-0000-0000F5780000}"/>
    <cellStyle name="Input 4 7 2 3 4" xfId="30908" xr:uid="{00000000-0005-0000-0000-0000F6780000}"/>
    <cellStyle name="Input 4 7 2 4" xfId="30909" xr:uid="{00000000-0005-0000-0000-0000F7780000}"/>
    <cellStyle name="Input 4 7 2 5" xfId="30910" xr:uid="{00000000-0005-0000-0000-0000F8780000}"/>
    <cellStyle name="Input 4 7 2 6" xfId="30911" xr:uid="{00000000-0005-0000-0000-0000F9780000}"/>
    <cellStyle name="Input 4 7 3" xfId="30912" xr:uid="{00000000-0005-0000-0000-0000FA780000}"/>
    <cellStyle name="Input 4 7 3 2" xfId="30913" xr:uid="{00000000-0005-0000-0000-0000FB780000}"/>
    <cellStyle name="Input 4 7 3 2 2" xfId="30914" xr:uid="{00000000-0005-0000-0000-0000FC780000}"/>
    <cellStyle name="Input 4 7 3 2 3" xfId="30915" xr:uid="{00000000-0005-0000-0000-0000FD780000}"/>
    <cellStyle name="Input 4 7 3 2 4" xfId="30916" xr:uid="{00000000-0005-0000-0000-0000FE780000}"/>
    <cellStyle name="Input 4 7 3 3" xfId="30917" xr:uid="{00000000-0005-0000-0000-0000FF780000}"/>
    <cellStyle name="Input 4 7 3 3 2" xfId="30918" xr:uid="{00000000-0005-0000-0000-000000790000}"/>
    <cellStyle name="Input 4 7 3 3 3" xfId="30919" xr:uid="{00000000-0005-0000-0000-000001790000}"/>
    <cellStyle name="Input 4 7 3 3 4" xfId="30920" xr:uid="{00000000-0005-0000-0000-000002790000}"/>
    <cellStyle name="Input 4 7 3 4" xfId="30921" xr:uid="{00000000-0005-0000-0000-000003790000}"/>
    <cellStyle name="Input 4 7 3 5" xfId="30922" xr:uid="{00000000-0005-0000-0000-000004790000}"/>
    <cellStyle name="Input 4 7 3 6" xfId="30923" xr:uid="{00000000-0005-0000-0000-000005790000}"/>
    <cellStyle name="Input 4 7 4" xfId="30924" xr:uid="{00000000-0005-0000-0000-000006790000}"/>
    <cellStyle name="Input 4 7 4 2" xfId="30925" xr:uid="{00000000-0005-0000-0000-000007790000}"/>
    <cellStyle name="Input 4 7 4 3" xfId="30926" xr:uid="{00000000-0005-0000-0000-000008790000}"/>
    <cellStyle name="Input 4 7 4 4" xfId="30927" xr:uid="{00000000-0005-0000-0000-000009790000}"/>
    <cellStyle name="Input 4 7 5" xfId="30928" xr:uid="{00000000-0005-0000-0000-00000A790000}"/>
    <cellStyle name="Input 4 7 6" xfId="30929" xr:uid="{00000000-0005-0000-0000-00000B790000}"/>
    <cellStyle name="Input 4 8" xfId="30930" xr:uid="{00000000-0005-0000-0000-00000C790000}"/>
    <cellStyle name="Input 4 8 2" xfId="30931" xr:uid="{00000000-0005-0000-0000-00000D790000}"/>
    <cellStyle name="Input 4 8 2 2" xfId="30932" xr:uid="{00000000-0005-0000-0000-00000E790000}"/>
    <cellStyle name="Input 4 8 2 2 2" xfId="30933" xr:uid="{00000000-0005-0000-0000-00000F790000}"/>
    <cellStyle name="Input 4 8 2 2 3" xfId="30934" xr:uid="{00000000-0005-0000-0000-000010790000}"/>
    <cellStyle name="Input 4 8 2 2 4" xfId="30935" xr:uid="{00000000-0005-0000-0000-000011790000}"/>
    <cellStyle name="Input 4 8 2 3" xfId="30936" xr:uid="{00000000-0005-0000-0000-000012790000}"/>
    <cellStyle name="Input 4 8 2 3 2" xfId="30937" xr:uid="{00000000-0005-0000-0000-000013790000}"/>
    <cellStyle name="Input 4 8 2 3 3" xfId="30938" xr:uid="{00000000-0005-0000-0000-000014790000}"/>
    <cellStyle name="Input 4 8 2 3 4" xfId="30939" xr:uid="{00000000-0005-0000-0000-000015790000}"/>
    <cellStyle name="Input 4 8 2 4" xfId="30940" xr:uid="{00000000-0005-0000-0000-000016790000}"/>
    <cellStyle name="Input 4 8 2 5" xfId="30941" xr:uid="{00000000-0005-0000-0000-000017790000}"/>
    <cellStyle name="Input 4 8 2 6" xfId="30942" xr:uid="{00000000-0005-0000-0000-000018790000}"/>
    <cellStyle name="Input 4 8 3" xfId="30943" xr:uid="{00000000-0005-0000-0000-000019790000}"/>
    <cellStyle name="Input 4 8 3 2" xfId="30944" xr:uid="{00000000-0005-0000-0000-00001A790000}"/>
    <cellStyle name="Input 4 8 3 2 2" xfId="30945" xr:uid="{00000000-0005-0000-0000-00001B790000}"/>
    <cellStyle name="Input 4 8 3 2 3" xfId="30946" xr:uid="{00000000-0005-0000-0000-00001C790000}"/>
    <cellStyle name="Input 4 8 3 2 4" xfId="30947" xr:uid="{00000000-0005-0000-0000-00001D790000}"/>
    <cellStyle name="Input 4 8 3 3" xfId="30948" xr:uid="{00000000-0005-0000-0000-00001E790000}"/>
    <cellStyle name="Input 4 8 3 3 2" xfId="30949" xr:uid="{00000000-0005-0000-0000-00001F790000}"/>
    <cellStyle name="Input 4 8 3 3 3" xfId="30950" xr:uid="{00000000-0005-0000-0000-000020790000}"/>
    <cellStyle name="Input 4 8 3 3 4" xfId="30951" xr:uid="{00000000-0005-0000-0000-000021790000}"/>
    <cellStyle name="Input 4 8 3 4" xfId="30952" xr:uid="{00000000-0005-0000-0000-000022790000}"/>
    <cellStyle name="Input 4 8 3 5" xfId="30953" xr:uid="{00000000-0005-0000-0000-000023790000}"/>
    <cellStyle name="Input 4 8 3 6" xfId="30954" xr:uid="{00000000-0005-0000-0000-000024790000}"/>
    <cellStyle name="Input 4 8 4" xfId="30955" xr:uid="{00000000-0005-0000-0000-000025790000}"/>
    <cellStyle name="Input 4 8 4 2" xfId="30956" xr:uid="{00000000-0005-0000-0000-000026790000}"/>
    <cellStyle name="Input 4 8 4 3" xfId="30957" xr:uid="{00000000-0005-0000-0000-000027790000}"/>
    <cellStyle name="Input 4 8 4 4" xfId="30958" xr:uid="{00000000-0005-0000-0000-000028790000}"/>
    <cellStyle name="Input 4 8 5" xfId="30959" xr:uid="{00000000-0005-0000-0000-000029790000}"/>
    <cellStyle name="Input 4 8 6" xfId="30960" xr:uid="{00000000-0005-0000-0000-00002A790000}"/>
    <cellStyle name="Input 4 9" xfId="30961" xr:uid="{00000000-0005-0000-0000-00002B790000}"/>
    <cellStyle name="Input 4 9 2" xfId="30962" xr:uid="{00000000-0005-0000-0000-00002C790000}"/>
    <cellStyle name="Input 4 9 2 2" xfId="30963" xr:uid="{00000000-0005-0000-0000-00002D790000}"/>
    <cellStyle name="Input 4 9 2 2 2" xfId="30964" xr:uid="{00000000-0005-0000-0000-00002E790000}"/>
    <cellStyle name="Input 4 9 2 2 3" xfId="30965" xr:uid="{00000000-0005-0000-0000-00002F790000}"/>
    <cellStyle name="Input 4 9 2 2 4" xfId="30966" xr:uid="{00000000-0005-0000-0000-000030790000}"/>
    <cellStyle name="Input 4 9 2 3" xfId="30967" xr:uid="{00000000-0005-0000-0000-000031790000}"/>
    <cellStyle name="Input 4 9 2 3 2" xfId="30968" xr:uid="{00000000-0005-0000-0000-000032790000}"/>
    <cellStyle name="Input 4 9 2 3 3" xfId="30969" xr:uid="{00000000-0005-0000-0000-000033790000}"/>
    <cellStyle name="Input 4 9 2 3 4" xfId="30970" xr:uid="{00000000-0005-0000-0000-000034790000}"/>
    <cellStyle name="Input 4 9 2 4" xfId="30971" xr:uid="{00000000-0005-0000-0000-000035790000}"/>
    <cellStyle name="Input 4 9 2 5" xfId="30972" xr:uid="{00000000-0005-0000-0000-000036790000}"/>
    <cellStyle name="Input 4 9 2 6" xfId="30973" xr:uid="{00000000-0005-0000-0000-000037790000}"/>
    <cellStyle name="Input 4 9 3" xfId="30974" xr:uid="{00000000-0005-0000-0000-000038790000}"/>
    <cellStyle name="Input 4 9 3 2" xfId="30975" xr:uid="{00000000-0005-0000-0000-000039790000}"/>
    <cellStyle name="Input 4 9 3 2 2" xfId="30976" xr:uid="{00000000-0005-0000-0000-00003A790000}"/>
    <cellStyle name="Input 4 9 3 2 3" xfId="30977" xr:uid="{00000000-0005-0000-0000-00003B790000}"/>
    <cellStyle name="Input 4 9 3 2 4" xfId="30978" xr:uid="{00000000-0005-0000-0000-00003C790000}"/>
    <cellStyle name="Input 4 9 3 3" xfId="30979" xr:uid="{00000000-0005-0000-0000-00003D790000}"/>
    <cellStyle name="Input 4 9 3 3 2" xfId="30980" xr:uid="{00000000-0005-0000-0000-00003E790000}"/>
    <cellStyle name="Input 4 9 3 3 3" xfId="30981" xr:uid="{00000000-0005-0000-0000-00003F790000}"/>
    <cellStyle name="Input 4 9 3 3 4" xfId="30982" xr:uid="{00000000-0005-0000-0000-000040790000}"/>
    <cellStyle name="Input 4 9 3 4" xfId="30983" xr:uid="{00000000-0005-0000-0000-000041790000}"/>
    <cellStyle name="Input 4 9 3 5" xfId="30984" xr:uid="{00000000-0005-0000-0000-000042790000}"/>
    <cellStyle name="Input 4 9 3 6" xfId="30985" xr:uid="{00000000-0005-0000-0000-000043790000}"/>
    <cellStyle name="Input 4 9 4" xfId="30986" xr:uid="{00000000-0005-0000-0000-000044790000}"/>
    <cellStyle name="Input 4 9 4 2" xfId="30987" xr:uid="{00000000-0005-0000-0000-000045790000}"/>
    <cellStyle name="Input 4 9 4 3" xfId="30988" xr:uid="{00000000-0005-0000-0000-000046790000}"/>
    <cellStyle name="Input 4 9 4 4" xfId="30989" xr:uid="{00000000-0005-0000-0000-000047790000}"/>
    <cellStyle name="Input 4 9 5" xfId="30990" xr:uid="{00000000-0005-0000-0000-000048790000}"/>
    <cellStyle name="Input 4 9 6" xfId="30991" xr:uid="{00000000-0005-0000-0000-000049790000}"/>
    <cellStyle name="Input 40" xfId="30992" xr:uid="{00000000-0005-0000-0000-00004A790000}"/>
    <cellStyle name="Input 40 2" xfId="30993" xr:uid="{00000000-0005-0000-0000-00004B790000}"/>
    <cellStyle name="Input 40 3" xfId="30994" xr:uid="{00000000-0005-0000-0000-00004C790000}"/>
    <cellStyle name="Input 40 4" xfId="30995" xr:uid="{00000000-0005-0000-0000-00004D790000}"/>
    <cellStyle name="Input 41" xfId="30996" xr:uid="{00000000-0005-0000-0000-00004E790000}"/>
    <cellStyle name="Input 41 2" xfId="30997" xr:uid="{00000000-0005-0000-0000-00004F790000}"/>
    <cellStyle name="Input 41 3" xfId="30998" xr:uid="{00000000-0005-0000-0000-000050790000}"/>
    <cellStyle name="Input 41 4" xfId="30999" xr:uid="{00000000-0005-0000-0000-000051790000}"/>
    <cellStyle name="Input 42" xfId="31000" xr:uid="{00000000-0005-0000-0000-000052790000}"/>
    <cellStyle name="Input 43" xfId="31001" xr:uid="{00000000-0005-0000-0000-000053790000}"/>
    <cellStyle name="Input 44" xfId="31002" xr:uid="{00000000-0005-0000-0000-000054790000}"/>
    <cellStyle name="Input 45" xfId="31003" xr:uid="{00000000-0005-0000-0000-000055790000}"/>
    <cellStyle name="Input 46" xfId="31004" xr:uid="{00000000-0005-0000-0000-000056790000}"/>
    <cellStyle name="Input 47" xfId="31005" xr:uid="{00000000-0005-0000-0000-000057790000}"/>
    <cellStyle name="Input 5" xfId="31006" xr:uid="{00000000-0005-0000-0000-000058790000}"/>
    <cellStyle name="Input 5 10" xfId="31007" xr:uid="{00000000-0005-0000-0000-000059790000}"/>
    <cellStyle name="Input 5 10 2" xfId="31008" xr:uid="{00000000-0005-0000-0000-00005A790000}"/>
    <cellStyle name="Input 5 10 2 2" xfId="31009" xr:uid="{00000000-0005-0000-0000-00005B790000}"/>
    <cellStyle name="Input 5 10 2 2 2" xfId="31010" xr:uid="{00000000-0005-0000-0000-00005C790000}"/>
    <cellStyle name="Input 5 10 2 2 3" xfId="31011" xr:uid="{00000000-0005-0000-0000-00005D790000}"/>
    <cellStyle name="Input 5 10 2 2 4" xfId="31012" xr:uid="{00000000-0005-0000-0000-00005E790000}"/>
    <cellStyle name="Input 5 10 2 3" xfId="31013" xr:uid="{00000000-0005-0000-0000-00005F790000}"/>
    <cellStyle name="Input 5 10 2 3 2" xfId="31014" xr:uid="{00000000-0005-0000-0000-000060790000}"/>
    <cellStyle name="Input 5 10 2 3 3" xfId="31015" xr:uid="{00000000-0005-0000-0000-000061790000}"/>
    <cellStyle name="Input 5 10 2 3 4" xfId="31016" xr:uid="{00000000-0005-0000-0000-000062790000}"/>
    <cellStyle name="Input 5 10 2 4" xfId="31017" xr:uid="{00000000-0005-0000-0000-000063790000}"/>
    <cellStyle name="Input 5 10 2 5" xfId="31018" xr:uid="{00000000-0005-0000-0000-000064790000}"/>
    <cellStyle name="Input 5 10 2 6" xfId="31019" xr:uid="{00000000-0005-0000-0000-000065790000}"/>
    <cellStyle name="Input 5 10 3" xfId="31020" xr:uid="{00000000-0005-0000-0000-000066790000}"/>
    <cellStyle name="Input 5 10 3 2" xfId="31021" xr:uid="{00000000-0005-0000-0000-000067790000}"/>
    <cellStyle name="Input 5 10 3 2 2" xfId="31022" xr:uid="{00000000-0005-0000-0000-000068790000}"/>
    <cellStyle name="Input 5 10 3 2 3" xfId="31023" xr:uid="{00000000-0005-0000-0000-000069790000}"/>
    <cellStyle name="Input 5 10 3 2 4" xfId="31024" xr:uid="{00000000-0005-0000-0000-00006A790000}"/>
    <cellStyle name="Input 5 10 3 3" xfId="31025" xr:uid="{00000000-0005-0000-0000-00006B790000}"/>
    <cellStyle name="Input 5 10 3 3 2" xfId="31026" xr:uid="{00000000-0005-0000-0000-00006C790000}"/>
    <cellStyle name="Input 5 10 3 3 3" xfId="31027" xr:uid="{00000000-0005-0000-0000-00006D790000}"/>
    <cellStyle name="Input 5 10 3 3 4" xfId="31028" xr:uid="{00000000-0005-0000-0000-00006E790000}"/>
    <cellStyle name="Input 5 10 3 4" xfId="31029" xr:uid="{00000000-0005-0000-0000-00006F790000}"/>
    <cellStyle name="Input 5 10 3 5" xfId="31030" xr:uid="{00000000-0005-0000-0000-000070790000}"/>
    <cellStyle name="Input 5 10 3 6" xfId="31031" xr:uid="{00000000-0005-0000-0000-000071790000}"/>
    <cellStyle name="Input 5 10 4" xfId="31032" xr:uid="{00000000-0005-0000-0000-000072790000}"/>
    <cellStyle name="Input 5 10 5" xfId="31033" xr:uid="{00000000-0005-0000-0000-000073790000}"/>
    <cellStyle name="Input 5 10 6" xfId="31034" xr:uid="{00000000-0005-0000-0000-000074790000}"/>
    <cellStyle name="Input 5 11" xfId="31035" xr:uid="{00000000-0005-0000-0000-000075790000}"/>
    <cellStyle name="Input 5 12" xfId="31036" xr:uid="{00000000-0005-0000-0000-000076790000}"/>
    <cellStyle name="Input 5 2" xfId="31037" xr:uid="{00000000-0005-0000-0000-000077790000}"/>
    <cellStyle name="Input 5 2 2" xfId="31038" xr:uid="{00000000-0005-0000-0000-000078790000}"/>
    <cellStyle name="Input 5 2 2 2" xfId="31039" xr:uid="{00000000-0005-0000-0000-000079790000}"/>
    <cellStyle name="Input 5 2 2 2 2" xfId="31040" xr:uid="{00000000-0005-0000-0000-00007A790000}"/>
    <cellStyle name="Input 5 2 2 2 2 2" xfId="31041" xr:uid="{00000000-0005-0000-0000-00007B790000}"/>
    <cellStyle name="Input 5 2 2 2 2 3" xfId="31042" xr:uid="{00000000-0005-0000-0000-00007C790000}"/>
    <cellStyle name="Input 5 2 2 2 2 4" xfId="31043" xr:uid="{00000000-0005-0000-0000-00007D790000}"/>
    <cellStyle name="Input 5 2 2 2 3" xfId="31044" xr:uid="{00000000-0005-0000-0000-00007E790000}"/>
    <cellStyle name="Input 5 2 2 2 3 2" xfId="31045" xr:uid="{00000000-0005-0000-0000-00007F790000}"/>
    <cellStyle name="Input 5 2 2 2 3 3" xfId="31046" xr:uid="{00000000-0005-0000-0000-000080790000}"/>
    <cellStyle name="Input 5 2 2 2 3 4" xfId="31047" xr:uid="{00000000-0005-0000-0000-000081790000}"/>
    <cellStyle name="Input 5 2 2 2 4" xfId="31048" xr:uid="{00000000-0005-0000-0000-000082790000}"/>
    <cellStyle name="Input 5 2 2 2 5" xfId="31049" xr:uid="{00000000-0005-0000-0000-000083790000}"/>
    <cellStyle name="Input 5 2 2 2 6" xfId="31050" xr:uid="{00000000-0005-0000-0000-000084790000}"/>
    <cellStyle name="Input 5 2 2 3" xfId="31051" xr:uid="{00000000-0005-0000-0000-000085790000}"/>
    <cellStyle name="Input 5 2 2 3 2" xfId="31052" xr:uid="{00000000-0005-0000-0000-000086790000}"/>
    <cellStyle name="Input 5 2 2 3 2 2" xfId="31053" xr:uid="{00000000-0005-0000-0000-000087790000}"/>
    <cellStyle name="Input 5 2 2 3 2 3" xfId="31054" xr:uid="{00000000-0005-0000-0000-000088790000}"/>
    <cellStyle name="Input 5 2 2 3 2 4" xfId="31055" xr:uid="{00000000-0005-0000-0000-000089790000}"/>
    <cellStyle name="Input 5 2 2 3 3" xfId="31056" xr:uid="{00000000-0005-0000-0000-00008A790000}"/>
    <cellStyle name="Input 5 2 2 3 3 2" xfId="31057" xr:uid="{00000000-0005-0000-0000-00008B790000}"/>
    <cellStyle name="Input 5 2 2 3 3 3" xfId="31058" xr:uid="{00000000-0005-0000-0000-00008C790000}"/>
    <cellStyle name="Input 5 2 2 3 3 4" xfId="31059" xr:uid="{00000000-0005-0000-0000-00008D790000}"/>
    <cellStyle name="Input 5 2 2 3 4" xfId="31060" xr:uid="{00000000-0005-0000-0000-00008E790000}"/>
    <cellStyle name="Input 5 2 2 3 5" xfId="31061" xr:uid="{00000000-0005-0000-0000-00008F790000}"/>
    <cellStyle name="Input 5 2 2 3 6" xfId="31062" xr:uid="{00000000-0005-0000-0000-000090790000}"/>
    <cellStyle name="Input 5 2 2 4" xfId="31063" xr:uid="{00000000-0005-0000-0000-000091790000}"/>
    <cellStyle name="Input 5 2 2 5" xfId="31064" xr:uid="{00000000-0005-0000-0000-000092790000}"/>
    <cellStyle name="Input 5 2 2 6" xfId="31065" xr:uid="{00000000-0005-0000-0000-000093790000}"/>
    <cellStyle name="Input 5 2 3" xfId="31066" xr:uid="{00000000-0005-0000-0000-000094790000}"/>
    <cellStyle name="Input 5 2 4" xfId="31067" xr:uid="{00000000-0005-0000-0000-000095790000}"/>
    <cellStyle name="Input 5 3" xfId="31068" xr:uid="{00000000-0005-0000-0000-000096790000}"/>
    <cellStyle name="Input 5 3 2" xfId="31069" xr:uid="{00000000-0005-0000-0000-000097790000}"/>
    <cellStyle name="Input 5 3 2 2" xfId="31070" xr:uid="{00000000-0005-0000-0000-000098790000}"/>
    <cellStyle name="Input 5 3 2 2 2" xfId="31071" xr:uid="{00000000-0005-0000-0000-000099790000}"/>
    <cellStyle name="Input 5 3 2 2 2 2" xfId="31072" xr:uid="{00000000-0005-0000-0000-00009A790000}"/>
    <cellStyle name="Input 5 3 2 2 2 3" xfId="31073" xr:uid="{00000000-0005-0000-0000-00009B790000}"/>
    <cellStyle name="Input 5 3 2 2 2 4" xfId="31074" xr:uid="{00000000-0005-0000-0000-00009C790000}"/>
    <cellStyle name="Input 5 3 2 2 3" xfId="31075" xr:uid="{00000000-0005-0000-0000-00009D790000}"/>
    <cellStyle name="Input 5 3 2 2 3 2" xfId="31076" xr:uid="{00000000-0005-0000-0000-00009E790000}"/>
    <cellStyle name="Input 5 3 2 2 3 3" xfId="31077" xr:uid="{00000000-0005-0000-0000-00009F790000}"/>
    <cellStyle name="Input 5 3 2 2 3 4" xfId="31078" xr:uid="{00000000-0005-0000-0000-0000A0790000}"/>
    <cellStyle name="Input 5 3 2 2 4" xfId="31079" xr:uid="{00000000-0005-0000-0000-0000A1790000}"/>
    <cellStyle name="Input 5 3 2 2 5" xfId="31080" xr:uid="{00000000-0005-0000-0000-0000A2790000}"/>
    <cellStyle name="Input 5 3 2 2 6" xfId="31081" xr:uid="{00000000-0005-0000-0000-0000A3790000}"/>
    <cellStyle name="Input 5 3 2 3" xfId="31082" xr:uid="{00000000-0005-0000-0000-0000A4790000}"/>
    <cellStyle name="Input 5 3 2 3 2" xfId="31083" xr:uid="{00000000-0005-0000-0000-0000A5790000}"/>
    <cellStyle name="Input 5 3 2 3 2 2" xfId="31084" xr:uid="{00000000-0005-0000-0000-0000A6790000}"/>
    <cellStyle name="Input 5 3 2 3 2 3" xfId="31085" xr:uid="{00000000-0005-0000-0000-0000A7790000}"/>
    <cellStyle name="Input 5 3 2 3 2 4" xfId="31086" xr:uid="{00000000-0005-0000-0000-0000A8790000}"/>
    <cellStyle name="Input 5 3 2 3 3" xfId="31087" xr:uid="{00000000-0005-0000-0000-0000A9790000}"/>
    <cellStyle name="Input 5 3 2 3 3 2" xfId="31088" xr:uid="{00000000-0005-0000-0000-0000AA790000}"/>
    <cellStyle name="Input 5 3 2 3 3 3" xfId="31089" xr:uid="{00000000-0005-0000-0000-0000AB790000}"/>
    <cellStyle name="Input 5 3 2 3 3 4" xfId="31090" xr:uid="{00000000-0005-0000-0000-0000AC790000}"/>
    <cellStyle name="Input 5 3 2 3 4" xfId="31091" xr:uid="{00000000-0005-0000-0000-0000AD790000}"/>
    <cellStyle name="Input 5 3 2 3 5" xfId="31092" xr:uid="{00000000-0005-0000-0000-0000AE790000}"/>
    <cellStyle name="Input 5 3 2 3 6" xfId="31093" xr:uid="{00000000-0005-0000-0000-0000AF790000}"/>
    <cellStyle name="Input 5 3 2 4" xfId="31094" xr:uid="{00000000-0005-0000-0000-0000B0790000}"/>
    <cellStyle name="Input 5 3 2 5" xfId="31095" xr:uid="{00000000-0005-0000-0000-0000B1790000}"/>
    <cellStyle name="Input 5 3 2 6" xfId="31096" xr:uid="{00000000-0005-0000-0000-0000B2790000}"/>
    <cellStyle name="Input 5 3 3" xfId="31097" xr:uid="{00000000-0005-0000-0000-0000B3790000}"/>
    <cellStyle name="Input 5 3 4" xfId="31098" xr:uid="{00000000-0005-0000-0000-0000B4790000}"/>
    <cellStyle name="Input 5 4" xfId="31099" xr:uid="{00000000-0005-0000-0000-0000B5790000}"/>
    <cellStyle name="Input 5 4 2" xfId="31100" xr:uid="{00000000-0005-0000-0000-0000B6790000}"/>
    <cellStyle name="Input 5 4 2 2" xfId="31101" xr:uid="{00000000-0005-0000-0000-0000B7790000}"/>
    <cellStyle name="Input 5 4 2 2 2" xfId="31102" xr:uid="{00000000-0005-0000-0000-0000B8790000}"/>
    <cellStyle name="Input 5 4 2 2 2 2" xfId="31103" xr:uid="{00000000-0005-0000-0000-0000B9790000}"/>
    <cellStyle name="Input 5 4 2 2 2 3" xfId="31104" xr:uid="{00000000-0005-0000-0000-0000BA790000}"/>
    <cellStyle name="Input 5 4 2 2 2 4" xfId="31105" xr:uid="{00000000-0005-0000-0000-0000BB790000}"/>
    <cellStyle name="Input 5 4 2 2 3" xfId="31106" xr:uid="{00000000-0005-0000-0000-0000BC790000}"/>
    <cellStyle name="Input 5 4 2 2 3 2" xfId="31107" xr:uid="{00000000-0005-0000-0000-0000BD790000}"/>
    <cellStyle name="Input 5 4 2 2 3 3" xfId="31108" xr:uid="{00000000-0005-0000-0000-0000BE790000}"/>
    <cellStyle name="Input 5 4 2 2 3 4" xfId="31109" xr:uid="{00000000-0005-0000-0000-0000BF790000}"/>
    <cellStyle name="Input 5 4 2 2 4" xfId="31110" xr:uid="{00000000-0005-0000-0000-0000C0790000}"/>
    <cellStyle name="Input 5 4 2 2 5" xfId="31111" xr:uid="{00000000-0005-0000-0000-0000C1790000}"/>
    <cellStyle name="Input 5 4 2 2 6" xfId="31112" xr:uid="{00000000-0005-0000-0000-0000C2790000}"/>
    <cellStyle name="Input 5 4 2 3" xfId="31113" xr:uid="{00000000-0005-0000-0000-0000C3790000}"/>
    <cellStyle name="Input 5 4 2 3 2" xfId="31114" xr:uid="{00000000-0005-0000-0000-0000C4790000}"/>
    <cellStyle name="Input 5 4 2 3 2 2" xfId="31115" xr:uid="{00000000-0005-0000-0000-0000C5790000}"/>
    <cellStyle name="Input 5 4 2 3 2 3" xfId="31116" xr:uid="{00000000-0005-0000-0000-0000C6790000}"/>
    <cellStyle name="Input 5 4 2 3 2 4" xfId="31117" xr:uid="{00000000-0005-0000-0000-0000C7790000}"/>
    <cellStyle name="Input 5 4 2 3 3" xfId="31118" xr:uid="{00000000-0005-0000-0000-0000C8790000}"/>
    <cellStyle name="Input 5 4 2 3 3 2" xfId="31119" xr:uid="{00000000-0005-0000-0000-0000C9790000}"/>
    <cellStyle name="Input 5 4 2 3 3 3" xfId="31120" xr:uid="{00000000-0005-0000-0000-0000CA790000}"/>
    <cellStyle name="Input 5 4 2 3 3 4" xfId="31121" xr:uid="{00000000-0005-0000-0000-0000CB790000}"/>
    <cellStyle name="Input 5 4 2 3 4" xfId="31122" xr:uid="{00000000-0005-0000-0000-0000CC790000}"/>
    <cellStyle name="Input 5 4 2 3 5" xfId="31123" xr:uid="{00000000-0005-0000-0000-0000CD790000}"/>
    <cellStyle name="Input 5 4 2 3 6" xfId="31124" xr:uid="{00000000-0005-0000-0000-0000CE790000}"/>
    <cellStyle name="Input 5 4 2 4" xfId="31125" xr:uid="{00000000-0005-0000-0000-0000CF790000}"/>
    <cellStyle name="Input 5 4 2 5" xfId="31126" xr:uid="{00000000-0005-0000-0000-0000D0790000}"/>
    <cellStyle name="Input 5 4 2 6" xfId="31127" xr:uid="{00000000-0005-0000-0000-0000D1790000}"/>
    <cellStyle name="Input 5 4 3" xfId="31128" xr:uid="{00000000-0005-0000-0000-0000D2790000}"/>
    <cellStyle name="Input 5 4 4" xfId="31129" xr:uid="{00000000-0005-0000-0000-0000D3790000}"/>
    <cellStyle name="Input 5 5" xfId="31130" xr:uid="{00000000-0005-0000-0000-0000D4790000}"/>
    <cellStyle name="Input 5 5 2" xfId="31131" xr:uid="{00000000-0005-0000-0000-0000D5790000}"/>
    <cellStyle name="Input 5 5 2 2" xfId="31132" xr:uid="{00000000-0005-0000-0000-0000D6790000}"/>
    <cellStyle name="Input 5 5 2 2 2" xfId="31133" xr:uid="{00000000-0005-0000-0000-0000D7790000}"/>
    <cellStyle name="Input 5 5 2 2 2 2" xfId="31134" xr:uid="{00000000-0005-0000-0000-0000D8790000}"/>
    <cellStyle name="Input 5 5 2 2 2 3" xfId="31135" xr:uid="{00000000-0005-0000-0000-0000D9790000}"/>
    <cellStyle name="Input 5 5 2 2 2 4" xfId="31136" xr:uid="{00000000-0005-0000-0000-0000DA790000}"/>
    <cellStyle name="Input 5 5 2 2 3" xfId="31137" xr:uid="{00000000-0005-0000-0000-0000DB790000}"/>
    <cellStyle name="Input 5 5 2 2 3 2" xfId="31138" xr:uid="{00000000-0005-0000-0000-0000DC790000}"/>
    <cellStyle name="Input 5 5 2 2 3 3" xfId="31139" xr:uid="{00000000-0005-0000-0000-0000DD790000}"/>
    <cellStyle name="Input 5 5 2 2 3 4" xfId="31140" xr:uid="{00000000-0005-0000-0000-0000DE790000}"/>
    <cellStyle name="Input 5 5 2 2 4" xfId="31141" xr:uid="{00000000-0005-0000-0000-0000DF790000}"/>
    <cellStyle name="Input 5 5 2 2 5" xfId="31142" xr:uid="{00000000-0005-0000-0000-0000E0790000}"/>
    <cellStyle name="Input 5 5 2 2 6" xfId="31143" xr:uid="{00000000-0005-0000-0000-0000E1790000}"/>
    <cellStyle name="Input 5 5 2 3" xfId="31144" xr:uid="{00000000-0005-0000-0000-0000E2790000}"/>
    <cellStyle name="Input 5 5 2 3 2" xfId="31145" xr:uid="{00000000-0005-0000-0000-0000E3790000}"/>
    <cellStyle name="Input 5 5 2 3 2 2" xfId="31146" xr:uid="{00000000-0005-0000-0000-0000E4790000}"/>
    <cellStyle name="Input 5 5 2 3 2 3" xfId="31147" xr:uid="{00000000-0005-0000-0000-0000E5790000}"/>
    <cellStyle name="Input 5 5 2 3 2 4" xfId="31148" xr:uid="{00000000-0005-0000-0000-0000E6790000}"/>
    <cellStyle name="Input 5 5 2 3 3" xfId="31149" xr:uid="{00000000-0005-0000-0000-0000E7790000}"/>
    <cellStyle name="Input 5 5 2 3 3 2" xfId="31150" xr:uid="{00000000-0005-0000-0000-0000E8790000}"/>
    <cellStyle name="Input 5 5 2 3 3 3" xfId="31151" xr:uid="{00000000-0005-0000-0000-0000E9790000}"/>
    <cellStyle name="Input 5 5 2 3 3 4" xfId="31152" xr:uid="{00000000-0005-0000-0000-0000EA790000}"/>
    <cellStyle name="Input 5 5 2 3 4" xfId="31153" xr:uid="{00000000-0005-0000-0000-0000EB790000}"/>
    <cellStyle name="Input 5 5 2 3 5" xfId="31154" xr:uid="{00000000-0005-0000-0000-0000EC790000}"/>
    <cellStyle name="Input 5 5 2 3 6" xfId="31155" xr:uid="{00000000-0005-0000-0000-0000ED790000}"/>
    <cellStyle name="Input 5 5 2 4" xfId="31156" xr:uid="{00000000-0005-0000-0000-0000EE790000}"/>
    <cellStyle name="Input 5 5 2 5" xfId="31157" xr:uid="{00000000-0005-0000-0000-0000EF790000}"/>
    <cellStyle name="Input 5 5 2 6" xfId="31158" xr:uid="{00000000-0005-0000-0000-0000F0790000}"/>
    <cellStyle name="Input 5 5 3" xfId="31159" xr:uid="{00000000-0005-0000-0000-0000F1790000}"/>
    <cellStyle name="Input 5 5 4" xfId="31160" xr:uid="{00000000-0005-0000-0000-0000F2790000}"/>
    <cellStyle name="Input 5 6" xfId="31161" xr:uid="{00000000-0005-0000-0000-0000F3790000}"/>
    <cellStyle name="Input 5 6 2" xfId="31162" xr:uid="{00000000-0005-0000-0000-0000F4790000}"/>
    <cellStyle name="Input 5 6 2 2" xfId="31163" xr:uid="{00000000-0005-0000-0000-0000F5790000}"/>
    <cellStyle name="Input 5 6 2 2 2" xfId="31164" xr:uid="{00000000-0005-0000-0000-0000F6790000}"/>
    <cellStyle name="Input 5 6 2 2 3" xfId="31165" xr:uid="{00000000-0005-0000-0000-0000F7790000}"/>
    <cellStyle name="Input 5 6 2 2 4" xfId="31166" xr:uid="{00000000-0005-0000-0000-0000F8790000}"/>
    <cellStyle name="Input 5 6 2 3" xfId="31167" xr:uid="{00000000-0005-0000-0000-0000F9790000}"/>
    <cellStyle name="Input 5 6 2 3 2" xfId="31168" xr:uid="{00000000-0005-0000-0000-0000FA790000}"/>
    <cellStyle name="Input 5 6 2 3 3" xfId="31169" xr:uid="{00000000-0005-0000-0000-0000FB790000}"/>
    <cellStyle name="Input 5 6 2 3 4" xfId="31170" xr:uid="{00000000-0005-0000-0000-0000FC790000}"/>
    <cellStyle name="Input 5 6 2 4" xfId="31171" xr:uid="{00000000-0005-0000-0000-0000FD790000}"/>
    <cellStyle name="Input 5 6 2 5" xfId="31172" xr:uid="{00000000-0005-0000-0000-0000FE790000}"/>
    <cellStyle name="Input 5 6 2 6" xfId="31173" xr:uid="{00000000-0005-0000-0000-0000FF790000}"/>
    <cellStyle name="Input 5 6 3" xfId="31174" xr:uid="{00000000-0005-0000-0000-0000007A0000}"/>
    <cellStyle name="Input 5 6 3 2" xfId="31175" xr:uid="{00000000-0005-0000-0000-0000017A0000}"/>
    <cellStyle name="Input 5 6 3 2 2" xfId="31176" xr:uid="{00000000-0005-0000-0000-0000027A0000}"/>
    <cellStyle name="Input 5 6 3 2 3" xfId="31177" xr:uid="{00000000-0005-0000-0000-0000037A0000}"/>
    <cellStyle name="Input 5 6 3 2 4" xfId="31178" xr:uid="{00000000-0005-0000-0000-0000047A0000}"/>
    <cellStyle name="Input 5 6 3 3" xfId="31179" xr:uid="{00000000-0005-0000-0000-0000057A0000}"/>
    <cellStyle name="Input 5 6 3 3 2" xfId="31180" xr:uid="{00000000-0005-0000-0000-0000067A0000}"/>
    <cellStyle name="Input 5 6 3 3 3" xfId="31181" xr:uid="{00000000-0005-0000-0000-0000077A0000}"/>
    <cellStyle name="Input 5 6 3 3 4" xfId="31182" xr:uid="{00000000-0005-0000-0000-0000087A0000}"/>
    <cellStyle name="Input 5 6 3 4" xfId="31183" xr:uid="{00000000-0005-0000-0000-0000097A0000}"/>
    <cellStyle name="Input 5 6 3 5" xfId="31184" xr:uid="{00000000-0005-0000-0000-00000A7A0000}"/>
    <cellStyle name="Input 5 6 3 6" xfId="31185" xr:uid="{00000000-0005-0000-0000-00000B7A0000}"/>
    <cellStyle name="Input 5 6 4" xfId="31186" xr:uid="{00000000-0005-0000-0000-00000C7A0000}"/>
    <cellStyle name="Input 5 6 4 2" xfId="31187" xr:uid="{00000000-0005-0000-0000-00000D7A0000}"/>
    <cellStyle name="Input 5 6 4 3" xfId="31188" xr:uid="{00000000-0005-0000-0000-00000E7A0000}"/>
    <cellStyle name="Input 5 6 4 4" xfId="31189" xr:uid="{00000000-0005-0000-0000-00000F7A0000}"/>
    <cellStyle name="Input 5 6 5" xfId="31190" xr:uid="{00000000-0005-0000-0000-0000107A0000}"/>
    <cellStyle name="Input 5 6 6" xfId="31191" xr:uid="{00000000-0005-0000-0000-0000117A0000}"/>
    <cellStyle name="Input 5 7" xfId="31192" xr:uid="{00000000-0005-0000-0000-0000127A0000}"/>
    <cellStyle name="Input 5 7 2" xfId="31193" xr:uid="{00000000-0005-0000-0000-0000137A0000}"/>
    <cellStyle name="Input 5 7 2 2" xfId="31194" xr:uid="{00000000-0005-0000-0000-0000147A0000}"/>
    <cellStyle name="Input 5 7 2 2 2" xfId="31195" xr:uid="{00000000-0005-0000-0000-0000157A0000}"/>
    <cellStyle name="Input 5 7 2 2 3" xfId="31196" xr:uid="{00000000-0005-0000-0000-0000167A0000}"/>
    <cellStyle name="Input 5 7 2 2 4" xfId="31197" xr:uid="{00000000-0005-0000-0000-0000177A0000}"/>
    <cellStyle name="Input 5 7 2 3" xfId="31198" xr:uid="{00000000-0005-0000-0000-0000187A0000}"/>
    <cellStyle name="Input 5 7 2 3 2" xfId="31199" xr:uid="{00000000-0005-0000-0000-0000197A0000}"/>
    <cellStyle name="Input 5 7 2 3 3" xfId="31200" xr:uid="{00000000-0005-0000-0000-00001A7A0000}"/>
    <cellStyle name="Input 5 7 2 3 4" xfId="31201" xr:uid="{00000000-0005-0000-0000-00001B7A0000}"/>
    <cellStyle name="Input 5 7 2 4" xfId="31202" xr:uid="{00000000-0005-0000-0000-00001C7A0000}"/>
    <cellStyle name="Input 5 7 2 5" xfId="31203" xr:uid="{00000000-0005-0000-0000-00001D7A0000}"/>
    <cellStyle name="Input 5 7 2 6" xfId="31204" xr:uid="{00000000-0005-0000-0000-00001E7A0000}"/>
    <cellStyle name="Input 5 7 3" xfId="31205" xr:uid="{00000000-0005-0000-0000-00001F7A0000}"/>
    <cellStyle name="Input 5 7 3 2" xfId="31206" xr:uid="{00000000-0005-0000-0000-0000207A0000}"/>
    <cellStyle name="Input 5 7 3 2 2" xfId="31207" xr:uid="{00000000-0005-0000-0000-0000217A0000}"/>
    <cellStyle name="Input 5 7 3 2 3" xfId="31208" xr:uid="{00000000-0005-0000-0000-0000227A0000}"/>
    <cellStyle name="Input 5 7 3 2 4" xfId="31209" xr:uid="{00000000-0005-0000-0000-0000237A0000}"/>
    <cellStyle name="Input 5 7 3 3" xfId="31210" xr:uid="{00000000-0005-0000-0000-0000247A0000}"/>
    <cellStyle name="Input 5 7 3 3 2" xfId="31211" xr:uid="{00000000-0005-0000-0000-0000257A0000}"/>
    <cellStyle name="Input 5 7 3 3 3" xfId="31212" xr:uid="{00000000-0005-0000-0000-0000267A0000}"/>
    <cellStyle name="Input 5 7 3 3 4" xfId="31213" xr:uid="{00000000-0005-0000-0000-0000277A0000}"/>
    <cellStyle name="Input 5 7 3 4" xfId="31214" xr:uid="{00000000-0005-0000-0000-0000287A0000}"/>
    <cellStyle name="Input 5 7 3 5" xfId="31215" xr:uid="{00000000-0005-0000-0000-0000297A0000}"/>
    <cellStyle name="Input 5 7 3 6" xfId="31216" xr:uid="{00000000-0005-0000-0000-00002A7A0000}"/>
    <cellStyle name="Input 5 7 4" xfId="31217" xr:uid="{00000000-0005-0000-0000-00002B7A0000}"/>
    <cellStyle name="Input 5 7 4 2" xfId="31218" xr:uid="{00000000-0005-0000-0000-00002C7A0000}"/>
    <cellStyle name="Input 5 7 4 3" xfId="31219" xr:uid="{00000000-0005-0000-0000-00002D7A0000}"/>
    <cellStyle name="Input 5 7 4 4" xfId="31220" xr:uid="{00000000-0005-0000-0000-00002E7A0000}"/>
    <cellStyle name="Input 5 7 5" xfId="31221" xr:uid="{00000000-0005-0000-0000-00002F7A0000}"/>
    <cellStyle name="Input 5 7 6" xfId="31222" xr:uid="{00000000-0005-0000-0000-0000307A0000}"/>
    <cellStyle name="Input 5 8" xfId="31223" xr:uid="{00000000-0005-0000-0000-0000317A0000}"/>
    <cellStyle name="Input 5 8 2" xfId="31224" xr:uid="{00000000-0005-0000-0000-0000327A0000}"/>
    <cellStyle name="Input 5 8 2 2" xfId="31225" xr:uid="{00000000-0005-0000-0000-0000337A0000}"/>
    <cellStyle name="Input 5 8 2 2 2" xfId="31226" xr:uid="{00000000-0005-0000-0000-0000347A0000}"/>
    <cellStyle name="Input 5 8 2 2 3" xfId="31227" xr:uid="{00000000-0005-0000-0000-0000357A0000}"/>
    <cellStyle name="Input 5 8 2 2 4" xfId="31228" xr:uid="{00000000-0005-0000-0000-0000367A0000}"/>
    <cellStyle name="Input 5 8 2 3" xfId="31229" xr:uid="{00000000-0005-0000-0000-0000377A0000}"/>
    <cellStyle name="Input 5 8 2 3 2" xfId="31230" xr:uid="{00000000-0005-0000-0000-0000387A0000}"/>
    <cellStyle name="Input 5 8 2 3 3" xfId="31231" xr:uid="{00000000-0005-0000-0000-0000397A0000}"/>
    <cellStyle name="Input 5 8 2 3 4" xfId="31232" xr:uid="{00000000-0005-0000-0000-00003A7A0000}"/>
    <cellStyle name="Input 5 8 2 4" xfId="31233" xr:uid="{00000000-0005-0000-0000-00003B7A0000}"/>
    <cellStyle name="Input 5 8 2 5" xfId="31234" xr:uid="{00000000-0005-0000-0000-00003C7A0000}"/>
    <cellStyle name="Input 5 8 2 6" xfId="31235" xr:uid="{00000000-0005-0000-0000-00003D7A0000}"/>
    <cellStyle name="Input 5 8 3" xfId="31236" xr:uid="{00000000-0005-0000-0000-00003E7A0000}"/>
    <cellStyle name="Input 5 8 3 2" xfId="31237" xr:uid="{00000000-0005-0000-0000-00003F7A0000}"/>
    <cellStyle name="Input 5 8 3 2 2" xfId="31238" xr:uid="{00000000-0005-0000-0000-0000407A0000}"/>
    <cellStyle name="Input 5 8 3 2 3" xfId="31239" xr:uid="{00000000-0005-0000-0000-0000417A0000}"/>
    <cellStyle name="Input 5 8 3 2 4" xfId="31240" xr:uid="{00000000-0005-0000-0000-0000427A0000}"/>
    <cellStyle name="Input 5 8 3 3" xfId="31241" xr:uid="{00000000-0005-0000-0000-0000437A0000}"/>
    <cellStyle name="Input 5 8 3 3 2" xfId="31242" xr:uid="{00000000-0005-0000-0000-0000447A0000}"/>
    <cellStyle name="Input 5 8 3 3 3" xfId="31243" xr:uid="{00000000-0005-0000-0000-0000457A0000}"/>
    <cellStyle name="Input 5 8 3 3 4" xfId="31244" xr:uid="{00000000-0005-0000-0000-0000467A0000}"/>
    <cellStyle name="Input 5 8 3 4" xfId="31245" xr:uid="{00000000-0005-0000-0000-0000477A0000}"/>
    <cellStyle name="Input 5 8 3 5" xfId="31246" xr:uid="{00000000-0005-0000-0000-0000487A0000}"/>
    <cellStyle name="Input 5 8 3 6" xfId="31247" xr:uid="{00000000-0005-0000-0000-0000497A0000}"/>
    <cellStyle name="Input 5 8 4" xfId="31248" xr:uid="{00000000-0005-0000-0000-00004A7A0000}"/>
    <cellStyle name="Input 5 8 4 2" xfId="31249" xr:uid="{00000000-0005-0000-0000-00004B7A0000}"/>
    <cellStyle name="Input 5 8 4 3" xfId="31250" xr:uid="{00000000-0005-0000-0000-00004C7A0000}"/>
    <cellStyle name="Input 5 8 4 4" xfId="31251" xr:uid="{00000000-0005-0000-0000-00004D7A0000}"/>
    <cellStyle name="Input 5 8 5" xfId="31252" xr:uid="{00000000-0005-0000-0000-00004E7A0000}"/>
    <cellStyle name="Input 5 8 6" xfId="31253" xr:uid="{00000000-0005-0000-0000-00004F7A0000}"/>
    <cellStyle name="Input 5 9" xfId="31254" xr:uid="{00000000-0005-0000-0000-0000507A0000}"/>
    <cellStyle name="Input 5 9 2" xfId="31255" xr:uid="{00000000-0005-0000-0000-0000517A0000}"/>
    <cellStyle name="Input 5 9 2 2" xfId="31256" xr:uid="{00000000-0005-0000-0000-0000527A0000}"/>
    <cellStyle name="Input 5 9 2 2 2" xfId="31257" xr:uid="{00000000-0005-0000-0000-0000537A0000}"/>
    <cellStyle name="Input 5 9 2 2 3" xfId="31258" xr:uid="{00000000-0005-0000-0000-0000547A0000}"/>
    <cellStyle name="Input 5 9 2 2 4" xfId="31259" xr:uid="{00000000-0005-0000-0000-0000557A0000}"/>
    <cellStyle name="Input 5 9 2 3" xfId="31260" xr:uid="{00000000-0005-0000-0000-0000567A0000}"/>
    <cellStyle name="Input 5 9 2 3 2" xfId="31261" xr:uid="{00000000-0005-0000-0000-0000577A0000}"/>
    <cellStyle name="Input 5 9 2 3 3" xfId="31262" xr:uid="{00000000-0005-0000-0000-0000587A0000}"/>
    <cellStyle name="Input 5 9 2 3 4" xfId="31263" xr:uid="{00000000-0005-0000-0000-0000597A0000}"/>
    <cellStyle name="Input 5 9 2 4" xfId="31264" xr:uid="{00000000-0005-0000-0000-00005A7A0000}"/>
    <cellStyle name="Input 5 9 2 5" xfId="31265" xr:uid="{00000000-0005-0000-0000-00005B7A0000}"/>
    <cellStyle name="Input 5 9 2 6" xfId="31266" xr:uid="{00000000-0005-0000-0000-00005C7A0000}"/>
    <cellStyle name="Input 5 9 3" xfId="31267" xr:uid="{00000000-0005-0000-0000-00005D7A0000}"/>
    <cellStyle name="Input 5 9 3 2" xfId="31268" xr:uid="{00000000-0005-0000-0000-00005E7A0000}"/>
    <cellStyle name="Input 5 9 3 2 2" xfId="31269" xr:uid="{00000000-0005-0000-0000-00005F7A0000}"/>
    <cellStyle name="Input 5 9 3 2 3" xfId="31270" xr:uid="{00000000-0005-0000-0000-0000607A0000}"/>
    <cellStyle name="Input 5 9 3 2 4" xfId="31271" xr:uid="{00000000-0005-0000-0000-0000617A0000}"/>
    <cellStyle name="Input 5 9 3 3" xfId="31272" xr:uid="{00000000-0005-0000-0000-0000627A0000}"/>
    <cellStyle name="Input 5 9 3 3 2" xfId="31273" xr:uid="{00000000-0005-0000-0000-0000637A0000}"/>
    <cellStyle name="Input 5 9 3 3 3" xfId="31274" xr:uid="{00000000-0005-0000-0000-0000647A0000}"/>
    <cellStyle name="Input 5 9 3 3 4" xfId="31275" xr:uid="{00000000-0005-0000-0000-0000657A0000}"/>
    <cellStyle name="Input 5 9 3 4" xfId="31276" xr:uid="{00000000-0005-0000-0000-0000667A0000}"/>
    <cellStyle name="Input 5 9 3 5" xfId="31277" xr:uid="{00000000-0005-0000-0000-0000677A0000}"/>
    <cellStyle name="Input 5 9 3 6" xfId="31278" xr:uid="{00000000-0005-0000-0000-0000687A0000}"/>
    <cellStyle name="Input 5 9 4" xfId="31279" xr:uid="{00000000-0005-0000-0000-0000697A0000}"/>
    <cellStyle name="Input 5 9 4 2" xfId="31280" xr:uid="{00000000-0005-0000-0000-00006A7A0000}"/>
    <cellStyle name="Input 5 9 4 3" xfId="31281" xr:uid="{00000000-0005-0000-0000-00006B7A0000}"/>
    <cellStyle name="Input 5 9 4 4" xfId="31282" xr:uid="{00000000-0005-0000-0000-00006C7A0000}"/>
    <cellStyle name="Input 5 9 5" xfId="31283" xr:uid="{00000000-0005-0000-0000-00006D7A0000}"/>
    <cellStyle name="Input 5 9 6" xfId="31284" xr:uid="{00000000-0005-0000-0000-00006E7A0000}"/>
    <cellStyle name="Input 6" xfId="31285" xr:uid="{00000000-0005-0000-0000-00006F7A0000}"/>
    <cellStyle name="Input 6 10" xfId="31286" xr:uid="{00000000-0005-0000-0000-0000707A0000}"/>
    <cellStyle name="Input 6 10 2" xfId="31287" xr:uid="{00000000-0005-0000-0000-0000717A0000}"/>
    <cellStyle name="Input 6 10 2 2" xfId="31288" xr:uid="{00000000-0005-0000-0000-0000727A0000}"/>
    <cellStyle name="Input 6 10 2 2 2" xfId="31289" xr:uid="{00000000-0005-0000-0000-0000737A0000}"/>
    <cellStyle name="Input 6 10 2 2 3" xfId="31290" xr:uid="{00000000-0005-0000-0000-0000747A0000}"/>
    <cellStyle name="Input 6 10 2 2 4" xfId="31291" xr:uid="{00000000-0005-0000-0000-0000757A0000}"/>
    <cellStyle name="Input 6 10 2 3" xfId="31292" xr:uid="{00000000-0005-0000-0000-0000767A0000}"/>
    <cellStyle name="Input 6 10 2 3 2" xfId="31293" xr:uid="{00000000-0005-0000-0000-0000777A0000}"/>
    <cellStyle name="Input 6 10 2 3 3" xfId="31294" xr:uid="{00000000-0005-0000-0000-0000787A0000}"/>
    <cellStyle name="Input 6 10 2 3 4" xfId="31295" xr:uid="{00000000-0005-0000-0000-0000797A0000}"/>
    <cellStyle name="Input 6 10 2 4" xfId="31296" xr:uid="{00000000-0005-0000-0000-00007A7A0000}"/>
    <cellStyle name="Input 6 10 2 5" xfId="31297" xr:uid="{00000000-0005-0000-0000-00007B7A0000}"/>
    <cellStyle name="Input 6 10 2 6" xfId="31298" xr:uid="{00000000-0005-0000-0000-00007C7A0000}"/>
    <cellStyle name="Input 6 10 3" xfId="31299" xr:uid="{00000000-0005-0000-0000-00007D7A0000}"/>
    <cellStyle name="Input 6 10 3 2" xfId="31300" xr:uid="{00000000-0005-0000-0000-00007E7A0000}"/>
    <cellStyle name="Input 6 10 3 2 2" xfId="31301" xr:uid="{00000000-0005-0000-0000-00007F7A0000}"/>
    <cellStyle name="Input 6 10 3 2 3" xfId="31302" xr:uid="{00000000-0005-0000-0000-0000807A0000}"/>
    <cellStyle name="Input 6 10 3 2 4" xfId="31303" xr:uid="{00000000-0005-0000-0000-0000817A0000}"/>
    <cellStyle name="Input 6 10 3 3" xfId="31304" xr:uid="{00000000-0005-0000-0000-0000827A0000}"/>
    <cellStyle name="Input 6 10 3 3 2" xfId="31305" xr:uid="{00000000-0005-0000-0000-0000837A0000}"/>
    <cellStyle name="Input 6 10 3 3 3" xfId="31306" xr:uid="{00000000-0005-0000-0000-0000847A0000}"/>
    <cellStyle name="Input 6 10 3 3 4" xfId="31307" xr:uid="{00000000-0005-0000-0000-0000857A0000}"/>
    <cellStyle name="Input 6 10 3 4" xfId="31308" xr:uid="{00000000-0005-0000-0000-0000867A0000}"/>
    <cellStyle name="Input 6 10 3 5" xfId="31309" xr:uid="{00000000-0005-0000-0000-0000877A0000}"/>
    <cellStyle name="Input 6 10 3 6" xfId="31310" xr:uid="{00000000-0005-0000-0000-0000887A0000}"/>
    <cellStyle name="Input 6 10 4" xfId="31311" xr:uid="{00000000-0005-0000-0000-0000897A0000}"/>
    <cellStyle name="Input 6 10 5" xfId="31312" xr:uid="{00000000-0005-0000-0000-00008A7A0000}"/>
    <cellStyle name="Input 6 10 6" xfId="31313" xr:uid="{00000000-0005-0000-0000-00008B7A0000}"/>
    <cellStyle name="Input 6 11" xfId="31314" xr:uid="{00000000-0005-0000-0000-00008C7A0000}"/>
    <cellStyle name="Input 6 12" xfId="31315" xr:uid="{00000000-0005-0000-0000-00008D7A0000}"/>
    <cellStyle name="Input 6 2" xfId="31316" xr:uid="{00000000-0005-0000-0000-00008E7A0000}"/>
    <cellStyle name="Input 6 2 2" xfId="31317" xr:uid="{00000000-0005-0000-0000-00008F7A0000}"/>
    <cellStyle name="Input 6 2 2 2" xfId="31318" xr:uid="{00000000-0005-0000-0000-0000907A0000}"/>
    <cellStyle name="Input 6 2 2 2 2" xfId="31319" xr:uid="{00000000-0005-0000-0000-0000917A0000}"/>
    <cellStyle name="Input 6 2 2 2 2 2" xfId="31320" xr:uid="{00000000-0005-0000-0000-0000927A0000}"/>
    <cellStyle name="Input 6 2 2 2 2 3" xfId="31321" xr:uid="{00000000-0005-0000-0000-0000937A0000}"/>
    <cellStyle name="Input 6 2 2 2 2 4" xfId="31322" xr:uid="{00000000-0005-0000-0000-0000947A0000}"/>
    <cellStyle name="Input 6 2 2 2 3" xfId="31323" xr:uid="{00000000-0005-0000-0000-0000957A0000}"/>
    <cellStyle name="Input 6 2 2 2 3 2" xfId="31324" xr:uid="{00000000-0005-0000-0000-0000967A0000}"/>
    <cellStyle name="Input 6 2 2 2 3 3" xfId="31325" xr:uid="{00000000-0005-0000-0000-0000977A0000}"/>
    <cellStyle name="Input 6 2 2 2 3 4" xfId="31326" xr:uid="{00000000-0005-0000-0000-0000987A0000}"/>
    <cellStyle name="Input 6 2 2 2 4" xfId="31327" xr:uid="{00000000-0005-0000-0000-0000997A0000}"/>
    <cellStyle name="Input 6 2 2 2 5" xfId="31328" xr:uid="{00000000-0005-0000-0000-00009A7A0000}"/>
    <cellStyle name="Input 6 2 2 2 6" xfId="31329" xr:uid="{00000000-0005-0000-0000-00009B7A0000}"/>
    <cellStyle name="Input 6 2 2 3" xfId="31330" xr:uid="{00000000-0005-0000-0000-00009C7A0000}"/>
    <cellStyle name="Input 6 2 2 3 2" xfId="31331" xr:uid="{00000000-0005-0000-0000-00009D7A0000}"/>
    <cellStyle name="Input 6 2 2 3 2 2" xfId="31332" xr:uid="{00000000-0005-0000-0000-00009E7A0000}"/>
    <cellStyle name="Input 6 2 2 3 2 3" xfId="31333" xr:uid="{00000000-0005-0000-0000-00009F7A0000}"/>
    <cellStyle name="Input 6 2 2 3 2 4" xfId="31334" xr:uid="{00000000-0005-0000-0000-0000A07A0000}"/>
    <cellStyle name="Input 6 2 2 3 3" xfId="31335" xr:uid="{00000000-0005-0000-0000-0000A17A0000}"/>
    <cellStyle name="Input 6 2 2 3 3 2" xfId="31336" xr:uid="{00000000-0005-0000-0000-0000A27A0000}"/>
    <cellStyle name="Input 6 2 2 3 3 3" xfId="31337" xr:uid="{00000000-0005-0000-0000-0000A37A0000}"/>
    <cellStyle name="Input 6 2 2 3 3 4" xfId="31338" xr:uid="{00000000-0005-0000-0000-0000A47A0000}"/>
    <cellStyle name="Input 6 2 2 3 4" xfId="31339" xr:uid="{00000000-0005-0000-0000-0000A57A0000}"/>
    <cellStyle name="Input 6 2 2 3 5" xfId="31340" xr:uid="{00000000-0005-0000-0000-0000A67A0000}"/>
    <cellStyle name="Input 6 2 2 3 6" xfId="31341" xr:uid="{00000000-0005-0000-0000-0000A77A0000}"/>
    <cellStyle name="Input 6 2 2 4" xfId="31342" xr:uid="{00000000-0005-0000-0000-0000A87A0000}"/>
    <cellStyle name="Input 6 2 2 5" xfId="31343" xr:uid="{00000000-0005-0000-0000-0000A97A0000}"/>
    <cellStyle name="Input 6 2 2 6" xfId="31344" xr:uid="{00000000-0005-0000-0000-0000AA7A0000}"/>
    <cellStyle name="Input 6 2 3" xfId="31345" xr:uid="{00000000-0005-0000-0000-0000AB7A0000}"/>
    <cellStyle name="Input 6 2 4" xfId="31346" xr:uid="{00000000-0005-0000-0000-0000AC7A0000}"/>
    <cellStyle name="Input 6 3" xfId="31347" xr:uid="{00000000-0005-0000-0000-0000AD7A0000}"/>
    <cellStyle name="Input 6 3 2" xfId="31348" xr:uid="{00000000-0005-0000-0000-0000AE7A0000}"/>
    <cellStyle name="Input 6 3 2 2" xfId="31349" xr:uid="{00000000-0005-0000-0000-0000AF7A0000}"/>
    <cellStyle name="Input 6 3 2 2 2" xfId="31350" xr:uid="{00000000-0005-0000-0000-0000B07A0000}"/>
    <cellStyle name="Input 6 3 2 2 2 2" xfId="31351" xr:uid="{00000000-0005-0000-0000-0000B17A0000}"/>
    <cellStyle name="Input 6 3 2 2 2 3" xfId="31352" xr:uid="{00000000-0005-0000-0000-0000B27A0000}"/>
    <cellStyle name="Input 6 3 2 2 2 4" xfId="31353" xr:uid="{00000000-0005-0000-0000-0000B37A0000}"/>
    <cellStyle name="Input 6 3 2 2 3" xfId="31354" xr:uid="{00000000-0005-0000-0000-0000B47A0000}"/>
    <cellStyle name="Input 6 3 2 2 3 2" xfId="31355" xr:uid="{00000000-0005-0000-0000-0000B57A0000}"/>
    <cellStyle name="Input 6 3 2 2 3 3" xfId="31356" xr:uid="{00000000-0005-0000-0000-0000B67A0000}"/>
    <cellStyle name="Input 6 3 2 2 3 4" xfId="31357" xr:uid="{00000000-0005-0000-0000-0000B77A0000}"/>
    <cellStyle name="Input 6 3 2 2 4" xfId="31358" xr:uid="{00000000-0005-0000-0000-0000B87A0000}"/>
    <cellStyle name="Input 6 3 2 2 5" xfId="31359" xr:uid="{00000000-0005-0000-0000-0000B97A0000}"/>
    <cellStyle name="Input 6 3 2 2 6" xfId="31360" xr:uid="{00000000-0005-0000-0000-0000BA7A0000}"/>
    <cellStyle name="Input 6 3 2 3" xfId="31361" xr:uid="{00000000-0005-0000-0000-0000BB7A0000}"/>
    <cellStyle name="Input 6 3 2 3 2" xfId="31362" xr:uid="{00000000-0005-0000-0000-0000BC7A0000}"/>
    <cellStyle name="Input 6 3 2 3 2 2" xfId="31363" xr:uid="{00000000-0005-0000-0000-0000BD7A0000}"/>
    <cellStyle name="Input 6 3 2 3 2 3" xfId="31364" xr:uid="{00000000-0005-0000-0000-0000BE7A0000}"/>
    <cellStyle name="Input 6 3 2 3 2 4" xfId="31365" xr:uid="{00000000-0005-0000-0000-0000BF7A0000}"/>
    <cellStyle name="Input 6 3 2 3 3" xfId="31366" xr:uid="{00000000-0005-0000-0000-0000C07A0000}"/>
    <cellStyle name="Input 6 3 2 3 3 2" xfId="31367" xr:uid="{00000000-0005-0000-0000-0000C17A0000}"/>
    <cellStyle name="Input 6 3 2 3 3 3" xfId="31368" xr:uid="{00000000-0005-0000-0000-0000C27A0000}"/>
    <cellStyle name="Input 6 3 2 3 3 4" xfId="31369" xr:uid="{00000000-0005-0000-0000-0000C37A0000}"/>
    <cellStyle name="Input 6 3 2 3 4" xfId="31370" xr:uid="{00000000-0005-0000-0000-0000C47A0000}"/>
    <cellStyle name="Input 6 3 2 3 5" xfId="31371" xr:uid="{00000000-0005-0000-0000-0000C57A0000}"/>
    <cellStyle name="Input 6 3 2 3 6" xfId="31372" xr:uid="{00000000-0005-0000-0000-0000C67A0000}"/>
    <cellStyle name="Input 6 3 2 4" xfId="31373" xr:uid="{00000000-0005-0000-0000-0000C77A0000}"/>
    <cellStyle name="Input 6 3 2 5" xfId="31374" xr:uid="{00000000-0005-0000-0000-0000C87A0000}"/>
    <cellStyle name="Input 6 3 2 6" xfId="31375" xr:uid="{00000000-0005-0000-0000-0000C97A0000}"/>
    <cellStyle name="Input 6 3 3" xfId="31376" xr:uid="{00000000-0005-0000-0000-0000CA7A0000}"/>
    <cellStyle name="Input 6 3 4" xfId="31377" xr:uid="{00000000-0005-0000-0000-0000CB7A0000}"/>
    <cellStyle name="Input 6 4" xfId="31378" xr:uid="{00000000-0005-0000-0000-0000CC7A0000}"/>
    <cellStyle name="Input 6 4 2" xfId="31379" xr:uid="{00000000-0005-0000-0000-0000CD7A0000}"/>
    <cellStyle name="Input 6 4 2 2" xfId="31380" xr:uid="{00000000-0005-0000-0000-0000CE7A0000}"/>
    <cellStyle name="Input 6 4 2 2 2" xfId="31381" xr:uid="{00000000-0005-0000-0000-0000CF7A0000}"/>
    <cellStyle name="Input 6 4 2 2 2 2" xfId="31382" xr:uid="{00000000-0005-0000-0000-0000D07A0000}"/>
    <cellStyle name="Input 6 4 2 2 2 3" xfId="31383" xr:uid="{00000000-0005-0000-0000-0000D17A0000}"/>
    <cellStyle name="Input 6 4 2 2 2 4" xfId="31384" xr:uid="{00000000-0005-0000-0000-0000D27A0000}"/>
    <cellStyle name="Input 6 4 2 2 3" xfId="31385" xr:uid="{00000000-0005-0000-0000-0000D37A0000}"/>
    <cellStyle name="Input 6 4 2 2 3 2" xfId="31386" xr:uid="{00000000-0005-0000-0000-0000D47A0000}"/>
    <cellStyle name="Input 6 4 2 2 3 3" xfId="31387" xr:uid="{00000000-0005-0000-0000-0000D57A0000}"/>
    <cellStyle name="Input 6 4 2 2 3 4" xfId="31388" xr:uid="{00000000-0005-0000-0000-0000D67A0000}"/>
    <cellStyle name="Input 6 4 2 2 4" xfId="31389" xr:uid="{00000000-0005-0000-0000-0000D77A0000}"/>
    <cellStyle name="Input 6 4 2 2 5" xfId="31390" xr:uid="{00000000-0005-0000-0000-0000D87A0000}"/>
    <cellStyle name="Input 6 4 2 2 6" xfId="31391" xr:uid="{00000000-0005-0000-0000-0000D97A0000}"/>
    <cellStyle name="Input 6 4 2 3" xfId="31392" xr:uid="{00000000-0005-0000-0000-0000DA7A0000}"/>
    <cellStyle name="Input 6 4 2 3 2" xfId="31393" xr:uid="{00000000-0005-0000-0000-0000DB7A0000}"/>
    <cellStyle name="Input 6 4 2 3 2 2" xfId="31394" xr:uid="{00000000-0005-0000-0000-0000DC7A0000}"/>
    <cellStyle name="Input 6 4 2 3 2 3" xfId="31395" xr:uid="{00000000-0005-0000-0000-0000DD7A0000}"/>
    <cellStyle name="Input 6 4 2 3 2 4" xfId="31396" xr:uid="{00000000-0005-0000-0000-0000DE7A0000}"/>
    <cellStyle name="Input 6 4 2 3 3" xfId="31397" xr:uid="{00000000-0005-0000-0000-0000DF7A0000}"/>
    <cellStyle name="Input 6 4 2 3 3 2" xfId="31398" xr:uid="{00000000-0005-0000-0000-0000E07A0000}"/>
    <cellStyle name="Input 6 4 2 3 3 3" xfId="31399" xr:uid="{00000000-0005-0000-0000-0000E17A0000}"/>
    <cellStyle name="Input 6 4 2 3 3 4" xfId="31400" xr:uid="{00000000-0005-0000-0000-0000E27A0000}"/>
    <cellStyle name="Input 6 4 2 3 4" xfId="31401" xr:uid="{00000000-0005-0000-0000-0000E37A0000}"/>
    <cellStyle name="Input 6 4 2 3 5" xfId="31402" xr:uid="{00000000-0005-0000-0000-0000E47A0000}"/>
    <cellStyle name="Input 6 4 2 3 6" xfId="31403" xr:uid="{00000000-0005-0000-0000-0000E57A0000}"/>
    <cellStyle name="Input 6 4 2 4" xfId="31404" xr:uid="{00000000-0005-0000-0000-0000E67A0000}"/>
    <cellStyle name="Input 6 4 2 5" xfId="31405" xr:uid="{00000000-0005-0000-0000-0000E77A0000}"/>
    <cellStyle name="Input 6 4 2 6" xfId="31406" xr:uid="{00000000-0005-0000-0000-0000E87A0000}"/>
    <cellStyle name="Input 6 4 3" xfId="31407" xr:uid="{00000000-0005-0000-0000-0000E97A0000}"/>
    <cellStyle name="Input 6 4 4" xfId="31408" xr:uid="{00000000-0005-0000-0000-0000EA7A0000}"/>
    <cellStyle name="Input 6 5" xfId="31409" xr:uid="{00000000-0005-0000-0000-0000EB7A0000}"/>
    <cellStyle name="Input 6 5 2" xfId="31410" xr:uid="{00000000-0005-0000-0000-0000EC7A0000}"/>
    <cellStyle name="Input 6 5 2 2" xfId="31411" xr:uid="{00000000-0005-0000-0000-0000ED7A0000}"/>
    <cellStyle name="Input 6 5 2 2 2" xfId="31412" xr:uid="{00000000-0005-0000-0000-0000EE7A0000}"/>
    <cellStyle name="Input 6 5 2 2 2 2" xfId="31413" xr:uid="{00000000-0005-0000-0000-0000EF7A0000}"/>
    <cellStyle name="Input 6 5 2 2 2 3" xfId="31414" xr:uid="{00000000-0005-0000-0000-0000F07A0000}"/>
    <cellStyle name="Input 6 5 2 2 2 4" xfId="31415" xr:uid="{00000000-0005-0000-0000-0000F17A0000}"/>
    <cellStyle name="Input 6 5 2 2 3" xfId="31416" xr:uid="{00000000-0005-0000-0000-0000F27A0000}"/>
    <cellStyle name="Input 6 5 2 2 3 2" xfId="31417" xr:uid="{00000000-0005-0000-0000-0000F37A0000}"/>
    <cellStyle name="Input 6 5 2 2 3 3" xfId="31418" xr:uid="{00000000-0005-0000-0000-0000F47A0000}"/>
    <cellStyle name="Input 6 5 2 2 3 4" xfId="31419" xr:uid="{00000000-0005-0000-0000-0000F57A0000}"/>
    <cellStyle name="Input 6 5 2 2 4" xfId="31420" xr:uid="{00000000-0005-0000-0000-0000F67A0000}"/>
    <cellStyle name="Input 6 5 2 2 5" xfId="31421" xr:uid="{00000000-0005-0000-0000-0000F77A0000}"/>
    <cellStyle name="Input 6 5 2 2 6" xfId="31422" xr:uid="{00000000-0005-0000-0000-0000F87A0000}"/>
    <cellStyle name="Input 6 5 2 3" xfId="31423" xr:uid="{00000000-0005-0000-0000-0000F97A0000}"/>
    <cellStyle name="Input 6 5 2 3 2" xfId="31424" xr:uid="{00000000-0005-0000-0000-0000FA7A0000}"/>
    <cellStyle name="Input 6 5 2 3 2 2" xfId="31425" xr:uid="{00000000-0005-0000-0000-0000FB7A0000}"/>
    <cellStyle name="Input 6 5 2 3 2 3" xfId="31426" xr:uid="{00000000-0005-0000-0000-0000FC7A0000}"/>
    <cellStyle name="Input 6 5 2 3 2 4" xfId="31427" xr:uid="{00000000-0005-0000-0000-0000FD7A0000}"/>
    <cellStyle name="Input 6 5 2 3 3" xfId="31428" xr:uid="{00000000-0005-0000-0000-0000FE7A0000}"/>
    <cellStyle name="Input 6 5 2 3 3 2" xfId="31429" xr:uid="{00000000-0005-0000-0000-0000FF7A0000}"/>
    <cellStyle name="Input 6 5 2 3 3 3" xfId="31430" xr:uid="{00000000-0005-0000-0000-0000007B0000}"/>
    <cellStyle name="Input 6 5 2 3 3 4" xfId="31431" xr:uid="{00000000-0005-0000-0000-0000017B0000}"/>
    <cellStyle name="Input 6 5 2 3 4" xfId="31432" xr:uid="{00000000-0005-0000-0000-0000027B0000}"/>
    <cellStyle name="Input 6 5 2 3 5" xfId="31433" xr:uid="{00000000-0005-0000-0000-0000037B0000}"/>
    <cellStyle name="Input 6 5 2 3 6" xfId="31434" xr:uid="{00000000-0005-0000-0000-0000047B0000}"/>
    <cellStyle name="Input 6 5 2 4" xfId="31435" xr:uid="{00000000-0005-0000-0000-0000057B0000}"/>
    <cellStyle name="Input 6 5 2 5" xfId="31436" xr:uid="{00000000-0005-0000-0000-0000067B0000}"/>
    <cellStyle name="Input 6 5 2 6" xfId="31437" xr:uid="{00000000-0005-0000-0000-0000077B0000}"/>
    <cellStyle name="Input 6 5 3" xfId="31438" xr:uid="{00000000-0005-0000-0000-0000087B0000}"/>
    <cellStyle name="Input 6 5 4" xfId="31439" xr:uid="{00000000-0005-0000-0000-0000097B0000}"/>
    <cellStyle name="Input 6 6" xfId="31440" xr:uid="{00000000-0005-0000-0000-00000A7B0000}"/>
    <cellStyle name="Input 6 6 2" xfId="31441" xr:uid="{00000000-0005-0000-0000-00000B7B0000}"/>
    <cellStyle name="Input 6 6 2 2" xfId="31442" xr:uid="{00000000-0005-0000-0000-00000C7B0000}"/>
    <cellStyle name="Input 6 6 2 2 2" xfId="31443" xr:uid="{00000000-0005-0000-0000-00000D7B0000}"/>
    <cellStyle name="Input 6 6 2 2 3" xfId="31444" xr:uid="{00000000-0005-0000-0000-00000E7B0000}"/>
    <cellStyle name="Input 6 6 2 2 4" xfId="31445" xr:uid="{00000000-0005-0000-0000-00000F7B0000}"/>
    <cellStyle name="Input 6 6 2 3" xfId="31446" xr:uid="{00000000-0005-0000-0000-0000107B0000}"/>
    <cellStyle name="Input 6 6 2 3 2" xfId="31447" xr:uid="{00000000-0005-0000-0000-0000117B0000}"/>
    <cellStyle name="Input 6 6 2 3 3" xfId="31448" xr:uid="{00000000-0005-0000-0000-0000127B0000}"/>
    <cellStyle name="Input 6 6 2 3 4" xfId="31449" xr:uid="{00000000-0005-0000-0000-0000137B0000}"/>
    <cellStyle name="Input 6 6 2 4" xfId="31450" xr:uid="{00000000-0005-0000-0000-0000147B0000}"/>
    <cellStyle name="Input 6 6 2 5" xfId="31451" xr:uid="{00000000-0005-0000-0000-0000157B0000}"/>
    <cellStyle name="Input 6 6 2 6" xfId="31452" xr:uid="{00000000-0005-0000-0000-0000167B0000}"/>
    <cellStyle name="Input 6 6 3" xfId="31453" xr:uid="{00000000-0005-0000-0000-0000177B0000}"/>
    <cellStyle name="Input 6 6 3 2" xfId="31454" xr:uid="{00000000-0005-0000-0000-0000187B0000}"/>
    <cellStyle name="Input 6 6 3 2 2" xfId="31455" xr:uid="{00000000-0005-0000-0000-0000197B0000}"/>
    <cellStyle name="Input 6 6 3 2 3" xfId="31456" xr:uid="{00000000-0005-0000-0000-00001A7B0000}"/>
    <cellStyle name="Input 6 6 3 2 4" xfId="31457" xr:uid="{00000000-0005-0000-0000-00001B7B0000}"/>
    <cellStyle name="Input 6 6 3 3" xfId="31458" xr:uid="{00000000-0005-0000-0000-00001C7B0000}"/>
    <cellStyle name="Input 6 6 3 3 2" xfId="31459" xr:uid="{00000000-0005-0000-0000-00001D7B0000}"/>
    <cellStyle name="Input 6 6 3 3 3" xfId="31460" xr:uid="{00000000-0005-0000-0000-00001E7B0000}"/>
    <cellStyle name="Input 6 6 3 3 4" xfId="31461" xr:uid="{00000000-0005-0000-0000-00001F7B0000}"/>
    <cellStyle name="Input 6 6 3 4" xfId="31462" xr:uid="{00000000-0005-0000-0000-0000207B0000}"/>
    <cellStyle name="Input 6 6 3 5" xfId="31463" xr:uid="{00000000-0005-0000-0000-0000217B0000}"/>
    <cellStyle name="Input 6 6 3 6" xfId="31464" xr:uid="{00000000-0005-0000-0000-0000227B0000}"/>
    <cellStyle name="Input 6 6 4" xfId="31465" xr:uid="{00000000-0005-0000-0000-0000237B0000}"/>
    <cellStyle name="Input 6 6 4 2" xfId="31466" xr:uid="{00000000-0005-0000-0000-0000247B0000}"/>
    <cellStyle name="Input 6 6 4 3" xfId="31467" xr:uid="{00000000-0005-0000-0000-0000257B0000}"/>
    <cellStyle name="Input 6 6 4 4" xfId="31468" xr:uid="{00000000-0005-0000-0000-0000267B0000}"/>
    <cellStyle name="Input 6 6 5" xfId="31469" xr:uid="{00000000-0005-0000-0000-0000277B0000}"/>
    <cellStyle name="Input 6 6 6" xfId="31470" xr:uid="{00000000-0005-0000-0000-0000287B0000}"/>
    <cellStyle name="Input 6 7" xfId="31471" xr:uid="{00000000-0005-0000-0000-0000297B0000}"/>
    <cellStyle name="Input 6 7 2" xfId="31472" xr:uid="{00000000-0005-0000-0000-00002A7B0000}"/>
    <cellStyle name="Input 6 7 2 2" xfId="31473" xr:uid="{00000000-0005-0000-0000-00002B7B0000}"/>
    <cellStyle name="Input 6 7 2 2 2" xfId="31474" xr:uid="{00000000-0005-0000-0000-00002C7B0000}"/>
    <cellStyle name="Input 6 7 2 2 3" xfId="31475" xr:uid="{00000000-0005-0000-0000-00002D7B0000}"/>
    <cellStyle name="Input 6 7 2 2 4" xfId="31476" xr:uid="{00000000-0005-0000-0000-00002E7B0000}"/>
    <cellStyle name="Input 6 7 2 3" xfId="31477" xr:uid="{00000000-0005-0000-0000-00002F7B0000}"/>
    <cellStyle name="Input 6 7 2 3 2" xfId="31478" xr:uid="{00000000-0005-0000-0000-0000307B0000}"/>
    <cellStyle name="Input 6 7 2 3 3" xfId="31479" xr:uid="{00000000-0005-0000-0000-0000317B0000}"/>
    <cellStyle name="Input 6 7 2 3 4" xfId="31480" xr:uid="{00000000-0005-0000-0000-0000327B0000}"/>
    <cellStyle name="Input 6 7 2 4" xfId="31481" xr:uid="{00000000-0005-0000-0000-0000337B0000}"/>
    <cellStyle name="Input 6 7 2 5" xfId="31482" xr:uid="{00000000-0005-0000-0000-0000347B0000}"/>
    <cellStyle name="Input 6 7 2 6" xfId="31483" xr:uid="{00000000-0005-0000-0000-0000357B0000}"/>
    <cellStyle name="Input 6 7 3" xfId="31484" xr:uid="{00000000-0005-0000-0000-0000367B0000}"/>
    <cellStyle name="Input 6 7 3 2" xfId="31485" xr:uid="{00000000-0005-0000-0000-0000377B0000}"/>
    <cellStyle name="Input 6 7 3 2 2" xfId="31486" xr:uid="{00000000-0005-0000-0000-0000387B0000}"/>
    <cellStyle name="Input 6 7 3 2 3" xfId="31487" xr:uid="{00000000-0005-0000-0000-0000397B0000}"/>
    <cellStyle name="Input 6 7 3 2 4" xfId="31488" xr:uid="{00000000-0005-0000-0000-00003A7B0000}"/>
    <cellStyle name="Input 6 7 3 3" xfId="31489" xr:uid="{00000000-0005-0000-0000-00003B7B0000}"/>
    <cellStyle name="Input 6 7 3 3 2" xfId="31490" xr:uid="{00000000-0005-0000-0000-00003C7B0000}"/>
    <cellStyle name="Input 6 7 3 3 3" xfId="31491" xr:uid="{00000000-0005-0000-0000-00003D7B0000}"/>
    <cellStyle name="Input 6 7 3 3 4" xfId="31492" xr:uid="{00000000-0005-0000-0000-00003E7B0000}"/>
    <cellStyle name="Input 6 7 3 4" xfId="31493" xr:uid="{00000000-0005-0000-0000-00003F7B0000}"/>
    <cellStyle name="Input 6 7 3 5" xfId="31494" xr:uid="{00000000-0005-0000-0000-0000407B0000}"/>
    <cellStyle name="Input 6 7 3 6" xfId="31495" xr:uid="{00000000-0005-0000-0000-0000417B0000}"/>
    <cellStyle name="Input 6 7 4" xfId="31496" xr:uid="{00000000-0005-0000-0000-0000427B0000}"/>
    <cellStyle name="Input 6 7 4 2" xfId="31497" xr:uid="{00000000-0005-0000-0000-0000437B0000}"/>
    <cellStyle name="Input 6 7 4 3" xfId="31498" xr:uid="{00000000-0005-0000-0000-0000447B0000}"/>
    <cellStyle name="Input 6 7 4 4" xfId="31499" xr:uid="{00000000-0005-0000-0000-0000457B0000}"/>
    <cellStyle name="Input 6 7 5" xfId="31500" xr:uid="{00000000-0005-0000-0000-0000467B0000}"/>
    <cellStyle name="Input 6 7 6" xfId="31501" xr:uid="{00000000-0005-0000-0000-0000477B0000}"/>
    <cellStyle name="Input 6 8" xfId="31502" xr:uid="{00000000-0005-0000-0000-0000487B0000}"/>
    <cellStyle name="Input 6 8 2" xfId="31503" xr:uid="{00000000-0005-0000-0000-0000497B0000}"/>
    <cellStyle name="Input 6 8 2 2" xfId="31504" xr:uid="{00000000-0005-0000-0000-00004A7B0000}"/>
    <cellStyle name="Input 6 8 2 2 2" xfId="31505" xr:uid="{00000000-0005-0000-0000-00004B7B0000}"/>
    <cellStyle name="Input 6 8 2 2 3" xfId="31506" xr:uid="{00000000-0005-0000-0000-00004C7B0000}"/>
    <cellStyle name="Input 6 8 2 2 4" xfId="31507" xr:uid="{00000000-0005-0000-0000-00004D7B0000}"/>
    <cellStyle name="Input 6 8 2 3" xfId="31508" xr:uid="{00000000-0005-0000-0000-00004E7B0000}"/>
    <cellStyle name="Input 6 8 2 3 2" xfId="31509" xr:uid="{00000000-0005-0000-0000-00004F7B0000}"/>
    <cellStyle name="Input 6 8 2 3 3" xfId="31510" xr:uid="{00000000-0005-0000-0000-0000507B0000}"/>
    <cellStyle name="Input 6 8 2 3 4" xfId="31511" xr:uid="{00000000-0005-0000-0000-0000517B0000}"/>
    <cellStyle name="Input 6 8 2 4" xfId="31512" xr:uid="{00000000-0005-0000-0000-0000527B0000}"/>
    <cellStyle name="Input 6 8 2 5" xfId="31513" xr:uid="{00000000-0005-0000-0000-0000537B0000}"/>
    <cellStyle name="Input 6 8 2 6" xfId="31514" xr:uid="{00000000-0005-0000-0000-0000547B0000}"/>
    <cellStyle name="Input 6 8 3" xfId="31515" xr:uid="{00000000-0005-0000-0000-0000557B0000}"/>
    <cellStyle name="Input 6 8 3 2" xfId="31516" xr:uid="{00000000-0005-0000-0000-0000567B0000}"/>
    <cellStyle name="Input 6 8 3 2 2" xfId="31517" xr:uid="{00000000-0005-0000-0000-0000577B0000}"/>
    <cellStyle name="Input 6 8 3 2 3" xfId="31518" xr:uid="{00000000-0005-0000-0000-0000587B0000}"/>
    <cellStyle name="Input 6 8 3 2 4" xfId="31519" xr:uid="{00000000-0005-0000-0000-0000597B0000}"/>
    <cellStyle name="Input 6 8 3 3" xfId="31520" xr:uid="{00000000-0005-0000-0000-00005A7B0000}"/>
    <cellStyle name="Input 6 8 3 3 2" xfId="31521" xr:uid="{00000000-0005-0000-0000-00005B7B0000}"/>
    <cellStyle name="Input 6 8 3 3 3" xfId="31522" xr:uid="{00000000-0005-0000-0000-00005C7B0000}"/>
    <cellStyle name="Input 6 8 3 3 4" xfId="31523" xr:uid="{00000000-0005-0000-0000-00005D7B0000}"/>
    <cellStyle name="Input 6 8 3 4" xfId="31524" xr:uid="{00000000-0005-0000-0000-00005E7B0000}"/>
    <cellStyle name="Input 6 8 3 5" xfId="31525" xr:uid="{00000000-0005-0000-0000-00005F7B0000}"/>
    <cellStyle name="Input 6 8 3 6" xfId="31526" xr:uid="{00000000-0005-0000-0000-0000607B0000}"/>
    <cellStyle name="Input 6 8 4" xfId="31527" xr:uid="{00000000-0005-0000-0000-0000617B0000}"/>
    <cellStyle name="Input 6 8 4 2" xfId="31528" xr:uid="{00000000-0005-0000-0000-0000627B0000}"/>
    <cellStyle name="Input 6 8 4 3" xfId="31529" xr:uid="{00000000-0005-0000-0000-0000637B0000}"/>
    <cellStyle name="Input 6 8 4 4" xfId="31530" xr:uid="{00000000-0005-0000-0000-0000647B0000}"/>
    <cellStyle name="Input 6 8 5" xfId="31531" xr:uid="{00000000-0005-0000-0000-0000657B0000}"/>
    <cellStyle name="Input 6 8 6" xfId="31532" xr:uid="{00000000-0005-0000-0000-0000667B0000}"/>
    <cellStyle name="Input 6 9" xfId="31533" xr:uid="{00000000-0005-0000-0000-0000677B0000}"/>
    <cellStyle name="Input 6 9 2" xfId="31534" xr:uid="{00000000-0005-0000-0000-0000687B0000}"/>
    <cellStyle name="Input 6 9 2 2" xfId="31535" xr:uid="{00000000-0005-0000-0000-0000697B0000}"/>
    <cellStyle name="Input 6 9 2 2 2" xfId="31536" xr:uid="{00000000-0005-0000-0000-00006A7B0000}"/>
    <cellStyle name="Input 6 9 2 2 3" xfId="31537" xr:uid="{00000000-0005-0000-0000-00006B7B0000}"/>
    <cellStyle name="Input 6 9 2 2 4" xfId="31538" xr:uid="{00000000-0005-0000-0000-00006C7B0000}"/>
    <cellStyle name="Input 6 9 2 3" xfId="31539" xr:uid="{00000000-0005-0000-0000-00006D7B0000}"/>
    <cellStyle name="Input 6 9 2 3 2" xfId="31540" xr:uid="{00000000-0005-0000-0000-00006E7B0000}"/>
    <cellStyle name="Input 6 9 2 3 3" xfId="31541" xr:uid="{00000000-0005-0000-0000-00006F7B0000}"/>
    <cellStyle name="Input 6 9 2 3 4" xfId="31542" xr:uid="{00000000-0005-0000-0000-0000707B0000}"/>
    <cellStyle name="Input 6 9 2 4" xfId="31543" xr:uid="{00000000-0005-0000-0000-0000717B0000}"/>
    <cellStyle name="Input 6 9 2 5" xfId="31544" xr:uid="{00000000-0005-0000-0000-0000727B0000}"/>
    <cellStyle name="Input 6 9 2 6" xfId="31545" xr:uid="{00000000-0005-0000-0000-0000737B0000}"/>
    <cellStyle name="Input 6 9 3" xfId="31546" xr:uid="{00000000-0005-0000-0000-0000747B0000}"/>
    <cellStyle name="Input 6 9 3 2" xfId="31547" xr:uid="{00000000-0005-0000-0000-0000757B0000}"/>
    <cellStyle name="Input 6 9 3 2 2" xfId="31548" xr:uid="{00000000-0005-0000-0000-0000767B0000}"/>
    <cellStyle name="Input 6 9 3 2 3" xfId="31549" xr:uid="{00000000-0005-0000-0000-0000777B0000}"/>
    <cellStyle name="Input 6 9 3 2 4" xfId="31550" xr:uid="{00000000-0005-0000-0000-0000787B0000}"/>
    <cellStyle name="Input 6 9 3 3" xfId="31551" xr:uid="{00000000-0005-0000-0000-0000797B0000}"/>
    <cellStyle name="Input 6 9 3 3 2" xfId="31552" xr:uid="{00000000-0005-0000-0000-00007A7B0000}"/>
    <cellStyle name="Input 6 9 3 3 3" xfId="31553" xr:uid="{00000000-0005-0000-0000-00007B7B0000}"/>
    <cellStyle name="Input 6 9 3 3 4" xfId="31554" xr:uid="{00000000-0005-0000-0000-00007C7B0000}"/>
    <cellStyle name="Input 6 9 3 4" xfId="31555" xr:uid="{00000000-0005-0000-0000-00007D7B0000}"/>
    <cellStyle name="Input 6 9 3 5" xfId="31556" xr:uid="{00000000-0005-0000-0000-00007E7B0000}"/>
    <cellStyle name="Input 6 9 3 6" xfId="31557" xr:uid="{00000000-0005-0000-0000-00007F7B0000}"/>
    <cellStyle name="Input 6 9 4" xfId="31558" xr:uid="{00000000-0005-0000-0000-0000807B0000}"/>
    <cellStyle name="Input 6 9 4 2" xfId="31559" xr:uid="{00000000-0005-0000-0000-0000817B0000}"/>
    <cellStyle name="Input 6 9 4 3" xfId="31560" xr:uid="{00000000-0005-0000-0000-0000827B0000}"/>
    <cellStyle name="Input 6 9 4 4" xfId="31561" xr:uid="{00000000-0005-0000-0000-0000837B0000}"/>
    <cellStyle name="Input 6 9 5" xfId="31562" xr:uid="{00000000-0005-0000-0000-0000847B0000}"/>
    <cellStyle name="Input 6 9 6" xfId="31563" xr:uid="{00000000-0005-0000-0000-0000857B0000}"/>
    <cellStyle name="Input 7" xfId="31564" xr:uid="{00000000-0005-0000-0000-0000867B0000}"/>
    <cellStyle name="Input 7 10" xfId="31565" xr:uid="{00000000-0005-0000-0000-0000877B0000}"/>
    <cellStyle name="Input 7 10 2" xfId="31566" xr:uid="{00000000-0005-0000-0000-0000887B0000}"/>
    <cellStyle name="Input 7 10 2 2" xfId="31567" xr:uid="{00000000-0005-0000-0000-0000897B0000}"/>
    <cellStyle name="Input 7 10 2 2 2" xfId="31568" xr:uid="{00000000-0005-0000-0000-00008A7B0000}"/>
    <cellStyle name="Input 7 10 2 2 3" xfId="31569" xr:uid="{00000000-0005-0000-0000-00008B7B0000}"/>
    <cellStyle name="Input 7 10 2 2 4" xfId="31570" xr:uid="{00000000-0005-0000-0000-00008C7B0000}"/>
    <cellStyle name="Input 7 10 2 3" xfId="31571" xr:uid="{00000000-0005-0000-0000-00008D7B0000}"/>
    <cellStyle name="Input 7 10 2 3 2" xfId="31572" xr:uid="{00000000-0005-0000-0000-00008E7B0000}"/>
    <cellStyle name="Input 7 10 2 3 3" xfId="31573" xr:uid="{00000000-0005-0000-0000-00008F7B0000}"/>
    <cellStyle name="Input 7 10 2 3 4" xfId="31574" xr:uid="{00000000-0005-0000-0000-0000907B0000}"/>
    <cellStyle name="Input 7 10 2 4" xfId="31575" xr:uid="{00000000-0005-0000-0000-0000917B0000}"/>
    <cellStyle name="Input 7 10 2 5" xfId="31576" xr:uid="{00000000-0005-0000-0000-0000927B0000}"/>
    <cellStyle name="Input 7 10 2 6" xfId="31577" xr:uid="{00000000-0005-0000-0000-0000937B0000}"/>
    <cellStyle name="Input 7 10 3" xfId="31578" xr:uid="{00000000-0005-0000-0000-0000947B0000}"/>
    <cellStyle name="Input 7 10 3 2" xfId="31579" xr:uid="{00000000-0005-0000-0000-0000957B0000}"/>
    <cellStyle name="Input 7 10 3 2 2" xfId="31580" xr:uid="{00000000-0005-0000-0000-0000967B0000}"/>
    <cellStyle name="Input 7 10 3 2 3" xfId="31581" xr:uid="{00000000-0005-0000-0000-0000977B0000}"/>
    <cellStyle name="Input 7 10 3 2 4" xfId="31582" xr:uid="{00000000-0005-0000-0000-0000987B0000}"/>
    <cellStyle name="Input 7 10 3 3" xfId="31583" xr:uid="{00000000-0005-0000-0000-0000997B0000}"/>
    <cellStyle name="Input 7 10 3 3 2" xfId="31584" xr:uid="{00000000-0005-0000-0000-00009A7B0000}"/>
    <cellStyle name="Input 7 10 3 3 3" xfId="31585" xr:uid="{00000000-0005-0000-0000-00009B7B0000}"/>
    <cellStyle name="Input 7 10 3 3 4" xfId="31586" xr:uid="{00000000-0005-0000-0000-00009C7B0000}"/>
    <cellStyle name="Input 7 10 3 4" xfId="31587" xr:uid="{00000000-0005-0000-0000-00009D7B0000}"/>
    <cellStyle name="Input 7 10 3 5" xfId="31588" xr:uid="{00000000-0005-0000-0000-00009E7B0000}"/>
    <cellStyle name="Input 7 10 3 6" xfId="31589" xr:uid="{00000000-0005-0000-0000-00009F7B0000}"/>
    <cellStyle name="Input 7 10 4" xfId="31590" xr:uid="{00000000-0005-0000-0000-0000A07B0000}"/>
    <cellStyle name="Input 7 10 5" xfId="31591" xr:uid="{00000000-0005-0000-0000-0000A17B0000}"/>
    <cellStyle name="Input 7 10 6" xfId="31592" xr:uid="{00000000-0005-0000-0000-0000A27B0000}"/>
    <cellStyle name="Input 7 11" xfId="31593" xr:uid="{00000000-0005-0000-0000-0000A37B0000}"/>
    <cellStyle name="Input 7 12" xfId="31594" xr:uid="{00000000-0005-0000-0000-0000A47B0000}"/>
    <cellStyle name="Input 7 2" xfId="31595" xr:uid="{00000000-0005-0000-0000-0000A57B0000}"/>
    <cellStyle name="Input 7 2 2" xfId="31596" xr:uid="{00000000-0005-0000-0000-0000A67B0000}"/>
    <cellStyle name="Input 7 2 2 2" xfId="31597" xr:uid="{00000000-0005-0000-0000-0000A77B0000}"/>
    <cellStyle name="Input 7 2 2 2 2" xfId="31598" xr:uid="{00000000-0005-0000-0000-0000A87B0000}"/>
    <cellStyle name="Input 7 2 2 2 2 2" xfId="31599" xr:uid="{00000000-0005-0000-0000-0000A97B0000}"/>
    <cellStyle name="Input 7 2 2 2 2 3" xfId="31600" xr:uid="{00000000-0005-0000-0000-0000AA7B0000}"/>
    <cellStyle name="Input 7 2 2 2 2 4" xfId="31601" xr:uid="{00000000-0005-0000-0000-0000AB7B0000}"/>
    <cellStyle name="Input 7 2 2 2 3" xfId="31602" xr:uid="{00000000-0005-0000-0000-0000AC7B0000}"/>
    <cellStyle name="Input 7 2 2 2 3 2" xfId="31603" xr:uid="{00000000-0005-0000-0000-0000AD7B0000}"/>
    <cellStyle name="Input 7 2 2 2 3 3" xfId="31604" xr:uid="{00000000-0005-0000-0000-0000AE7B0000}"/>
    <cellStyle name="Input 7 2 2 2 3 4" xfId="31605" xr:uid="{00000000-0005-0000-0000-0000AF7B0000}"/>
    <cellStyle name="Input 7 2 2 2 4" xfId="31606" xr:uid="{00000000-0005-0000-0000-0000B07B0000}"/>
    <cellStyle name="Input 7 2 2 2 5" xfId="31607" xr:uid="{00000000-0005-0000-0000-0000B17B0000}"/>
    <cellStyle name="Input 7 2 2 2 6" xfId="31608" xr:uid="{00000000-0005-0000-0000-0000B27B0000}"/>
    <cellStyle name="Input 7 2 2 3" xfId="31609" xr:uid="{00000000-0005-0000-0000-0000B37B0000}"/>
    <cellStyle name="Input 7 2 2 3 2" xfId="31610" xr:uid="{00000000-0005-0000-0000-0000B47B0000}"/>
    <cellStyle name="Input 7 2 2 3 2 2" xfId="31611" xr:uid="{00000000-0005-0000-0000-0000B57B0000}"/>
    <cellStyle name="Input 7 2 2 3 2 3" xfId="31612" xr:uid="{00000000-0005-0000-0000-0000B67B0000}"/>
    <cellStyle name="Input 7 2 2 3 2 4" xfId="31613" xr:uid="{00000000-0005-0000-0000-0000B77B0000}"/>
    <cellStyle name="Input 7 2 2 3 3" xfId="31614" xr:uid="{00000000-0005-0000-0000-0000B87B0000}"/>
    <cellStyle name="Input 7 2 2 3 3 2" xfId="31615" xr:uid="{00000000-0005-0000-0000-0000B97B0000}"/>
    <cellStyle name="Input 7 2 2 3 3 3" xfId="31616" xr:uid="{00000000-0005-0000-0000-0000BA7B0000}"/>
    <cellStyle name="Input 7 2 2 3 3 4" xfId="31617" xr:uid="{00000000-0005-0000-0000-0000BB7B0000}"/>
    <cellStyle name="Input 7 2 2 3 4" xfId="31618" xr:uid="{00000000-0005-0000-0000-0000BC7B0000}"/>
    <cellStyle name="Input 7 2 2 3 5" xfId="31619" xr:uid="{00000000-0005-0000-0000-0000BD7B0000}"/>
    <cellStyle name="Input 7 2 2 3 6" xfId="31620" xr:uid="{00000000-0005-0000-0000-0000BE7B0000}"/>
    <cellStyle name="Input 7 2 2 4" xfId="31621" xr:uid="{00000000-0005-0000-0000-0000BF7B0000}"/>
    <cellStyle name="Input 7 2 2 5" xfId="31622" xr:uid="{00000000-0005-0000-0000-0000C07B0000}"/>
    <cellStyle name="Input 7 2 2 6" xfId="31623" xr:uid="{00000000-0005-0000-0000-0000C17B0000}"/>
    <cellStyle name="Input 7 2 3" xfId="31624" xr:uid="{00000000-0005-0000-0000-0000C27B0000}"/>
    <cellStyle name="Input 7 2 4" xfId="31625" xr:uid="{00000000-0005-0000-0000-0000C37B0000}"/>
    <cellStyle name="Input 7 3" xfId="31626" xr:uid="{00000000-0005-0000-0000-0000C47B0000}"/>
    <cellStyle name="Input 7 3 2" xfId="31627" xr:uid="{00000000-0005-0000-0000-0000C57B0000}"/>
    <cellStyle name="Input 7 3 2 2" xfId="31628" xr:uid="{00000000-0005-0000-0000-0000C67B0000}"/>
    <cellStyle name="Input 7 3 2 2 2" xfId="31629" xr:uid="{00000000-0005-0000-0000-0000C77B0000}"/>
    <cellStyle name="Input 7 3 2 2 2 2" xfId="31630" xr:uid="{00000000-0005-0000-0000-0000C87B0000}"/>
    <cellStyle name="Input 7 3 2 2 2 3" xfId="31631" xr:uid="{00000000-0005-0000-0000-0000C97B0000}"/>
    <cellStyle name="Input 7 3 2 2 2 4" xfId="31632" xr:uid="{00000000-0005-0000-0000-0000CA7B0000}"/>
    <cellStyle name="Input 7 3 2 2 3" xfId="31633" xr:uid="{00000000-0005-0000-0000-0000CB7B0000}"/>
    <cellStyle name="Input 7 3 2 2 3 2" xfId="31634" xr:uid="{00000000-0005-0000-0000-0000CC7B0000}"/>
    <cellStyle name="Input 7 3 2 2 3 3" xfId="31635" xr:uid="{00000000-0005-0000-0000-0000CD7B0000}"/>
    <cellStyle name="Input 7 3 2 2 3 4" xfId="31636" xr:uid="{00000000-0005-0000-0000-0000CE7B0000}"/>
    <cellStyle name="Input 7 3 2 2 4" xfId="31637" xr:uid="{00000000-0005-0000-0000-0000CF7B0000}"/>
    <cellStyle name="Input 7 3 2 2 5" xfId="31638" xr:uid="{00000000-0005-0000-0000-0000D07B0000}"/>
    <cellStyle name="Input 7 3 2 2 6" xfId="31639" xr:uid="{00000000-0005-0000-0000-0000D17B0000}"/>
    <cellStyle name="Input 7 3 2 3" xfId="31640" xr:uid="{00000000-0005-0000-0000-0000D27B0000}"/>
    <cellStyle name="Input 7 3 2 3 2" xfId="31641" xr:uid="{00000000-0005-0000-0000-0000D37B0000}"/>
    <cellStyle name="Input 7 3 2 3 2 2" xfId="31642" xr:uid="{00000000-0005-0000-0000-0000D47B0000}"/>
    <cellStyle name="Input 7 3 2 3 2 3" xfId="31643" xr:uid="{00000000-0005-0000-0000-0000D57B0000}"/>
    <cellStyle name="Input 7 3 2 3 2 4" xfId="31644" xr:uid="{00000000-0005-0000-0000-0000D67B0000}"/>
    <cellStyle name="Input 7 3 2 3 3" xfId="31645" xr:uid="{00000000-0005-0000-0000-0000D77B0000}"/>
    <cellStyle name="Input 7 3 2 3 3 2" xfId="31646" xr:uid="{00000000-0005-0000-0000-0000D87B0000}"/>
    <cellStyle name="Input 7 3 2 3 3 3" xfId="31647" xr:uid="{00000000-0005-0000-0000-0000D97B0000}"/>
    <cellStyle name="Input 7 3 2 3 3 4" xfId="31648" xr:uid="{00000000-0005-0000-0000-0000DA7B0000}"/>
    <cellStyle name="Input 7 3 2 3 4" xfId="31649" xr:uid="{00000000-0005-0000-0000-0000DB7B0000}"/>
    <cellStyle name="Input 7 3 2 3 5" xfId="31650" xr:uid="{00000000-0005-0000-0000-0000DC7B0000}"/>
    <cellStyle name="Input 7 3 2 3 6" xfId="31651" xr:uid="{00000000-0005-0000-0000-0000DD7B0000}"/>
    <cellStyle name="Input 7 3 2 4" xfId="31652" xr:uid="{00000000-0005-0000-0000-0000DE7B0000}"/>
    <cellStyle name="Input 7 3 2 5" xfId="31653" xr:uid="{00000000-0005-0000-0000-0000DF7B0000}"/>
    <cellStyle name="Input 7 3 2 6" xfId="31654" xr:uid="{00000000-0005-0000-0000-0000E07B0000}"/>
    <cellStyle name="Input 7 3 3" xfId="31655" xr:uid="{00000000-0005-0000-0000-0000E17B0000}"/>
    <cellStyle name="Input 7 3 4" xfId="31656" xr:uid="{00000000-0005-0000-0000-0000E27B0000}"/>
    <cellStyle name="Input 7 4" xfId="31657" xr:uid="{00000000-0005-0000-0000-0000E37B0000}"/>
    <cellStyle name="Input 7 4 2" xfId="31658" xr:uid="{00000000-0005-0000-0000-0000E47B0000}"/>
    <cellStyle name="Input 7 4 2 2" xfId="31659" xr:uid="{00000000-0005-0000-0000-0000E57B0000}"/>
    <cellStyle name="Input 7 4 2 2 2" xfId="31660" xr:uid="{00000000-0005-0000-0000-0000E67B0000}"/>
    <cellStyle name="Input 7 4 2 2 2 2" xfId="31661" xr:uid="{00000000-0005-0000-0000-0000E77B0000}"/>
    <cellStyle name="Input 7 4 2 2 2 3" xfId="31662" xr:uid="{00000000-0005-0000-0000-0000E87B0000}"/>
    <cellStyle name="Input 7 4 2 2 2 4" xfId="31663" xr:uid="{00000000-0005-0000-0000-0000E97B0000}"/>
    <cellStyle name="Input 7 4 2 2 3" xfId="31664" xr:uid="{00000000-0005-0000-0000-0000EA7B0000}"/>
    <cellStyle name="Input 7 4 2 2 3 2" xfId="31665" xr:uid="{00000000-0005-0000-0000-0000EB7B0000}"/>
    <cellStyle name="Input 7 4 2 2 3 3" xfId="31666" xr:uid="{00000000-0005-0000-0000-0000EC7B0000}"/>
    <cellStyle name="Input 7 4 2 2 3 4" xfId="31667" xr:uid="{00000000-0005-0000-0000-0000ED7B0000}"/>
    <cellStyle name="Input 7 4 2 2 4" xfId="31668" xr:uid="{00000000-0005-0000-0000-0000EE7B0000}"/>
    <cellStyle name="Input 7 4 2 2 5" xfId="31669" xr:uid="{00000000-0005-0000-0000-0000EF7B0000}"/>
    <cellStyle name="Input 7 4 2 2 6" xfId="31670" xr:uid="{00000000-0005-0000-0000-0000F07B0000}"/>
    <cellStyle name="Input 7 4 2 3" xfId="31671" xr:uid="{00000000-0005-0000-0000-0000F17B0000}"/>
    <cellStyle name="Input 7 4 2 3 2" xfId="31672" xr:uid="{00000000-0005-0000-0000-0000F27B0000}"/>
    <cellStyle name="Input 7 4 2 3 2 2" xfId="31673" xr:uid="{00000000-0005-0000-0000-0000F37B0000}"/>
    <cellStyle name="Input 7 4 2 3 2 3" xfId="31674" xr:uid="{00000000-0005-0000-0000-0000F47B0000}"/>
    <cellStyle name="Input 7 4 2 3 2 4" xfId="31675" xr:uid="{00000000-0005-0000-0000-0000F57B0000}"/>
    <cellStyle name="Input 7 4 2 3 3" xfId="31676" xr:uid="{00000000-0005-0000-0000-0000F67B0000}"/>
    <cellStyle name="Input 7 4 2 3 3 2" xfId="31677" xr:uid="{00000000-0005-0000-0000-0000F77B0000}"/>
    <cellStyle name="Input 7 4 2 3 3 3" xfId="31678" xr:uid="{00000000-0005-0000-0000-0000F87B0000}"/>
    <cellStyle name="Input 7 4 2 3 3 4" xfId="31679" xr:uid="{00000000-0005-0000-0000-0000F97B0000}"/>
    <cellStyle name="Input 7 4 2 3 4" xfId="31680" xr:uid="{00000000-0005-0000-0000-0000FA7B0000}"/>
    <cellStyle name="Input 7 4 2 3 5" xfId="31681" xr:uid="{00000000-0005-0000-0000-0000FB7B0000}"/>
    <cellStyle name="Input 7 4 2 3 6" xfId="31682" xr:uid="{00000000-0005-0000-0000-0000FC7B0000}"/>
    <cellStyle name="Input 7 4 2 4" xfId="31683" xr:uid="{00000000-0005-0000-0000-0000FD7B0000}"/>
    <cellStyle name="Input 7 4 2 5" xfId="31684" xr:uid="{00000000-0005-0000-0000-0000FE7B0000}"/>
    <cellStyle name="Input 7 4 2 6" xfId="31685" xr:uid="{00000000-0005-0000-0000-0000FF7B0000}"/>
    <cellStyle name="Input 7 4 3" xfId="31686" xr:uid="{00000000-0005-0000-0000-0000007C0000}"/>
    <cellStyle name="Input 7 4 4" xfId="31687" xr:uid="{00000000-0005-0000-0000-0000017C0000}"/>
    <cellStyle name="Input 7 5" xfId="31688" xr:uid="{00000000-0005-0000-0000-0000027C0000}"/>
    <cellStyle name="Input 7 5 2" xfId="31689" xr:uid="{00000000-0005-0000-0000-0000037C0000}"/>
    <cellStyle name="Input 7 5 2 2" xfId="31690" xr:uid="{00000000-0005-0000-0000-0000047C0000}"/>
    <cellStyle name="Input 7 5 2 2 2" xfId="31691" xr:uid="{00000000-0005-0000-0000-0000057C0000}"/>
    <cellStyle name="Input 7 5 2 2 2 2" xfId="31692" xr:uid="{00000000-0005-0000-0000-0000067C0000}"/>
    <cellStyle name="Input 7 5 2 2 2 3" xfId="31693" xr:uid="{00000000-0005-0000-0000-0000077C0000}"/>
    <cellStyle name="Input 7 5 2 2 2 4" xfId="31694" xr:uid="{00000000-0005-0000-0000-0000087C0000}"/>
    <cellStyle name="Input 7 5 2 2 3" xfId="31695" xr:uid="{00000000-0005-0000-0000-0000097C0000}"/>
    <cellStyle name="Input 7 5 2 2 3 2" xfId="31696" xr:uid="{00000000-0005-0000-0000-00000A7C0000}"/>
    <cellStyle name="Input 7 5 2 2 3 3" xfId="31697" xr:uid="{00000000-0005-0000-0000-00000B7C0000}"/>
    <cellStyle name="Input 7 5 2 2 3 4" xfId="31698" xr:uid="{00000000-0005-0000-0000-00000C7C0000}"/>
    <cellStyle name="Input 7 5 2 2 4" xfId="31699" xr:uid="{00000000-0005-0000-0000-00000D7C0000}"/>
    <cellStyle name="Input 7 5 2 2 5" xfId="31700" xr:uid="{00000000-0005-0000-0000-00000E7C0000}"/>
    <cellStyle name="Input 7 5 2 2 6" xfId="31701" xr:uid="{00000000-0005-0000-0000-00000F7C0000}"/>
    <cellStyle name="Input 7 5 2 3" xfId="31702" xr:uid="{00000000-0005-0000-0000-0000107C0000}"/>
    <cellStyle name="Input 7 5 2 3 2" xfId="31703" xr:uid="{00000000-0005-0000-0000-0000117C0000}"/>
    <cellStyle name="Input 7 5 2 3 2 2" xfId="31704" xr:uid="{00000000-0005-0000-0000-0000127C0000}"/>
    <cellStyle name="Input 7 5 2 3 2 3" xfId="31705" xr:uid="{00000000-0005-0000-0000-0000137C0000}"/>
    <cellStyle name="Input 7 5 2 3 2 4" xfId="31706" xr:uid="{00000000-0005-0000-0000-0000147C0000}"/>
    <cellStyle name="Input 7 5 2 3 3" xfId="31707" xr:uid="{00000000-0005-0000-0000-0000157C0000}"/>
    <cellStyle name="Input 7 5 2 3 3 2" xfId="31708" xr:uid="{00000000-0005-0000-0000-0000167C0000}"/>
    <cellStyle name="Input 7 5 2 3 3 3" xfId="31709" xr:uid="{00000000-0005-0000-0000-0000177C0000}"/>
    <cellStyle name="Input 7 5 2 3 3 4" xfId="31710" xr:uid="{00000000-0005-0000-0000-0000187C0000}"/>
    <cellStyle name="Input 7 5 2 3 4" xfId="31711" xr:uid="{00000000-0005-0000-0000-0000197C0000}"/>
    <cellStyle name="Input 7 5 2 3 5" xfId="31712" xr:uid="{00000000-0005-0000-0000-00001A7C0000}"/>
    <cellStyle name="Input 7 5 2 3 6" xfId="31713" xr:uid="{00000000-0005-0000-0000-00001B7C0000}"/>
    <cellStyle name="Input 7 5 2 4" xfId="31714" xr:uid="{00000000-0005-0000-0000-00001C7C0000}"/>
    <cellStyle name="Input 7 5 2 5" xfId="31715" xr:uid="{00000000-0005-0000-0000-00001D7C0000}"/>
    <cellStyle name="Input 7 5 2 6" xfId="31716" xr:uid="{00000000-0005-0000-0000-00001E7C0000}"/>
    <cellStyle name="Input 7 5 3" xfId="31717" xr:uid="{00000000-0005-0000-0000-00001F7C0000}"/>
    <cellStyle name="Input 7 5 4" xfId="31718" xr:uid="{00000000-0005-0000-0000-0000207C0000}"/>
    <cellStyle name="Input 7 6" xfId="31719" xr:uid="{00000000-0005-0000-0000-0000217C0000}"/>
    <cellStyle name="Input 7 6 2" xfId="31720" xr:uid="{00000000-0005-0000-0000-0000227C0000}"/>
    <cellStyle name="Input 7 6 2 2" xfId="31721" xr:uid="{00000000-0005-0000-0000-0000237C0000}"/>
    <cellStyle name="Input 7 6 2 2 2" xfId="31722" xr:uid="{00000000-0005-0000-0000-0000247C0000}"/>
    <cellStyle name="Input 7 6 2 2 3" xfId="31723" xr:uid="{00000000-0005-0000-0000-0000257C0000}"/>
    <cellStyle name="Input 7 6 2 2 4" xfId="31724" xr:uid="{00000000-0005-0000-0000-0000267C0000}"/>
    <cellStyle name="Input 7 6 2 3" xfId="31725" xr:uid="{00000000-0005-0000-0000-0000277C0000}"/>
    <cellStyle name="Input 7 6 2 3 2" xfId="31726" xr:uid="{00000000-0005-0000-0000-0000287C0000}"/>
    <cellStyle name="Input 7 6 2 3 3" xfId="31727" xr:uid="{00000000-0005-0000-0000-0000297C0000}"/>
    <cellStyle name="Input 7 6 2 3 4" xfId="31728" xr:uid="{00000000-0005-0000-0000-00002A7C0000}"/>
    <cellStyle name="Input 7 6 2 4" xfId="31729" xr:uid="{00000000-0005-0000-0000-00002B7C0000}"/>
    <cellStyle name="Input 7 6 2 5" xfId="31730" xr:uid="{00000000-0005-0000-0000-00002C7C0000}"/>
    <cellStyle name="Input 7 6 2 6" xfId="31731" xr:uid="{00000000-0005-0000-0000-00002D7C0000}"/>
    <cellStyle name="Input 7 6 3" xfId="31732" xr:uid="{00000000-0005-0000-0000-00002E7C0000}"/>
    <cellStyle name="Input 7 6 3 2" xfId="31733" xr:uid="{00000000-0005-0000-0000-00002F7C0000}"/>
    <cellStyle name="Input 7 6 3 2 2" xfId="31734" xr:uid="{00000000-0005-0000-0000-0000307C0000}"/>
    <cellStyle name="Input 7 6 3 2 3" xfId="31735" xr:uid="{00000000-0005-0000-0000-0000317C0000}"/>
    <cellStyle name="Input 7 6 3 2 4" xfId="31736" xr:uid="{00000000-0005-0000-0000-0000327C0000}"/>
    <cellStyle name="Input 7 6 3 3" xfId="31737" xr:uid="{00000000-0005-0000-0000-0000337C0000}"/>
    <cellStyle name="Input 7 6 3 3 2" xfId="31738" xr:uid="{00000000-0005-0000-0000-0000347C0000}"/>
    <cellStyle name="Input 7 6 3 3 3" xfId="31739" xr:uid="{00000000-0005-0000-0000-0000357C0000}"/>
    <cellStyle name="Input 7 6 3 3 4" xfId="31740" xr:uid="{00000000-0005-0000-0000-0000367C0000}"/>
    <cellStyle name="Input 7 6 3 4" xfId="31741" xr:uid="{00000000-0005-0000-0000-0000377C0000}"/>
    <cellStyle name="Input 7 6 3 5" xfId="31742" xr:uid="{00000000-0005-0000-0000-0000387C0000}"/>
    <cellStyle name="Input 7 6 3 6" xfId="31743" xr:uid="{00000000-0005-0000-0000-0000397C0000}"/>
    <cellStyle name="Input 7 6 4" xfId="31744" xr:uid="{00000000-0005-0000-0000-00003A7C0000}"/>
    <cellStyle name="Input 7 6 4 2" xfId="31745" xr:uid="{00000000-0005-0000-0000-00003B7C0000}"/>
    <cellStyle name="Input 7 6 4 3" xfId="31746" xr:uid="{00000000-0005-0000-0000-00003C7C0000}"/>
    <cellStyle name="Input 7 6 4 4" xfId="31747" xr:uid="{00000000-0005-0000-0000-00003D7C0000}"/>
    <cellStyle name="Input 7 6 5" xfId="31748" xr:uid="{00000000-0005-0000-0000-00003E7C0000}"/>
    <cellStyle name="Input 7 6 6" xfId="31749" xr:uid="{00000000-0005-0000-0000-00003F7C0000}"/>
    <cellStyle name="Input 7 7" xfId="31750" xr:uid="{00000000-0005-0000-0000-0000407C0000}"/>
    <cellStyle name="Input 7 7 2" xfId="31751" xr:uid="{00000000-0005-0000-0000-0000417C0000}"/>
    <cellStyle name="Input 7 7 2 2" xfId="31752" xr:uid="{00000000-0005-0000-0000-0000427C0000}"/>
    <cellStyle name="Input 7 7 2 2 2" xfId="31753" xr:uid="{00000000-0005-0000-0000-0000437C0000}"/>
    <cellStyle name="Input 7 7 2 2 3" xfId="31754" xr:uid="{00000000-0005-0000-0000-0000447C0000}"/>
    <cellStyle name="Input 7 7 2 2 4" xfId="31755" xr:uid="{00000000-0005-0000-0000-0000457C0000}"/>
    <cellStyle name="Input 7 7 2 3" xfId="31756" xr:uid="{00000000-0005-0000-0000-0000467C0000}"/>
    <cellStyle name="Input 7 7 2 3 2" xfId="31757" xr:uid="{00000000-0005-0000-0000-0000477C0000}"/>
    <cellStyle name="Input 7 7 2 3 3" xfId="31758" xr:uid="{00000000-0005-0000-0000-0000487C0000}"/>
    <cellStyle name="Input 7 7 2 3 4" xfId="31759" xr:uid="{00000000-0005-0000-0000-0000497C0000}"/>
    <cellStyle name="Input 7 7 2 4" xfId="31760" xr:uid="{00000000-0005-0000-0000-00004A7C0000}"/>
    <cellStyle name="Input 7 7 2 5" xfId="31761" xr:uid="{00000000-0005-0000-0000-00004B7C0000}"/>
    <cellStyle name="Input 7 7 2 6" xfId="31762" xr:uid="{00000000-0005-0000-0000-00004C7C0000}"/>
    <cellStyle name="Input 7 7 3" xfId="31763" xr:uid="{00000000-0005-0000-0000-00004D7C0000}"/>
    <cellStyle name="Input 7 7 3 2" xfId="31764" xr:uid="{00000000-0005-0000-0000-00004E7C0000}"/>
    <cellStyle name="Input 7 7 3 2 2" xfId="31765" xr:uid="{00000000-0005-0000-0000-00004F7C0000}"/>
    <cellStyle name="Input 7 7 3 2 3" xfId="31766" xr:uid="{00000000-0005-0000-0000-0000507C0000}"/>
    <cellStyle name="Input 7 7 3 2 4" xfId="31767" xr:uid="{00000000-0005-0000-0000-0000517C0000}"/>
    <cellStyle name="Input 7 7 3 3" xfId="31768" xr:uid="{00000000-0005-0000-0000-0000527C0000}"/>
    <cellStyle name="Input 7 7 3 3 2" xfId="31769" xr:uid="{00000000-0005-0000-0000-0000537C0000}"/>
    <cellStyle name="Input 7 7 3 3 3" xfId="31770" xr:uid="{00000000-0005-0000-0000-0000547C0000}"/>
    <cellStyle name="Input 7 7 3 3 4" xfId="31771" xr:uid="{00000000-0005-0000-0000-0000557C0000}"/>
    <cellStyle name="Input 7 7 3 4" xfId="31772" xr:uid="{00000000-0005-0000-0000-0000567C0000}"/>
    <cellStyle name="Input 7 7 3 5" xfId="31773" xr:uid="{00000000-0005-0000-0000-0000577C0000}"/>
    <cellStyle name="Input 7 7 3 6" xfId="31774" xr:uid="{00000000-0005-0000-0000-0000587C0000}"/>
    <cellStyle name="Input 7 7 4" xfId="31775" xr:uid="{00000000-0005-0000-0000-0000597C0000}"/>
    <cellStyle name="Input 7 7 4 2" xfId="31776" xr:uid="{00000000-0005-0000-0000-00005A7C0000}"/>
    <cellStyle name="Input 7 7 4 3" xfId="31777" xr:uid="{00000000-0005-0000-0000-00005B7C0000}"/>
    <cellStyle name="Input 7 7 4 4" xfId="31778" xr:uid="{00000000-0005-0000-0000-00005C7C0000}"/>
    <cellStyle name="Input 7 7 5" xfId="31779" xr:uid="{00000000-0005-0000-0000-00005D7C0000}"/>
    <cellStyle name="Input 7 7 6" xfId="31780" xr:uid="{00000000-0005-0000-0000-00005E7C0000}"/>
    <cellStyle name="Input 7 8" xfId="31781" xr:uid="{00000000-0005-0000-0000-00005F7C0000}"/>
    <cellStyle name="Input 7 8 2" xfId="31782" xr:uid="{00000000-0005-0000-0000-0000607C0000}"/>
    <cellStyle name="Input 7 8 2 2" xfId="31783" xr:uid="{00000000-0005-0000-0000-0000617C0000}"/>
    <cellStyle name="Input 7 8 2 2 2" xfId="31784" xr:uid="{00000000-0005-0000-0000-0000627C0000}"/>
    <cellStyle name="Input 7 8 2 2 3" xfId="31785" xr:uid="{00000000-0005-0000-0000-0000637C0000}"/>
    <cellStyle name="Input 7 8 2 2 4" xfId="31786" xr:uid="{00000000-0005-0000-0000-0000647C0000}"/>
    <cellStyle name="Input 7 8 2 3" xfId="31787" xr:uid="{00000000-0005-0000-0000-0000657C0000}"/>
    <cellStyle name="Input 7 8 2 3 2" xfId="31788" xr:uid="{00000000-0005-0000-0000-0000667C0000}"/>
    <cellStyle name="Input 7 8 2 3 3" xfId="31789" xr:uid="{00000000-0005-0000-0000-0000677C0000}"/>
    <cellStyle name="Input 7 8 2 3 4" xfId="31790" xr:uid="{00000000-0005-0000-0000-0000687C0000}"/>
    <cellStyle name="Input 7 8 2 4" xfId="31791" xr:uid="{00000000-0005-0000-0000-0000697C0000}"/>
    <cellStyle name="Input 7 8 2 5" xfId="31792" xr:uid="{00000000-0005-0000-0000-00006A7C0000}"/>
    <cellStyle name="Input 7 8 2 6" xfId="31793" xr:uid="{00000000-0005-0000-0000-00006B7C0000}"/>
    <cellStyle name="Input 7 8 3" xfId="31794" xr:uid="{00000000-0005-0000-0000-00006C7C0000}"/>
    <cellStyle name="Input 7 8 3 2" xfId="31795" xr:uid="{00000000-0005-0000-0000-00006D7C0000}"/>
    <cellStyle name="Input 7 8 3 2 2" xfId="31796" xr:uid="{00000000-0005-0000-0000-00006E7C0000}"/>
    <cellStyle name="Input 7 8 3 2 3" xfId="31797" xr:uid="{00000000-0005-0000-0000-00006F7C0000}"/>
    <cellStyle name="Input 7 8 3 2 4" xfId="31798" xr:uid="{00000000-0005-0000-0000-0000707C0000}"/>
    <cellStyle name="Input 7 8 3 3" xfId="31799" xr:uid="{00000000-0005-0000-0000-0000717C0000}"/>
    <cellStyle name="Input 7 8 3 3 2" xfId="31800" xr:uid="{00000000-0005-0000-0000-0000727C0000}"/>
    <cellStyle name="Input 7 8 3 3 3" xfId="31801" xr:uid="{00000000-0005-0000-0000-0000737C0000}"/>
    <cellStyle name="Input 7 8 3 3 4" xfId="31802" xr:uid="{00000000-0005-0000-0000-0000747C0000}"/>
    <cellStyle name="Input 7 8 3 4" xfId="31803" xr:uid="{00000000-0005-0000-0000-0000757C0000}"/>
    <cellStyle name="Input 7 8 3 5" xfId="31804" xr:uid="{00000000-0005-0000-0000-0000767C0000}"/>
    <cellStyle name="Input 7 8 3 6" xfId="31805" xr:uid="{00000000-0005-0000-0000-0000777C0000}"/>
    <cellStyle name="Input 7 8 4" xfId="31806" xr:uid="{00000000-0005-0000-0000-0000787C0000}"/>
    <cellStyle name="Input 7 8 4 2" xfId="31807" xr:uid="{00000000-0005-0000-0000-0000797C0000}"/>
    <cellStyle name="Input 7 8 4 3" xfId="31808" xr:uid="{00000000-0005-0000-0000-00007A7C0000}"/>
    <cellStyle name="Input 7 8 4 4" xfId="31809" xr:uid="{00000000-0005-0000-0000-00007B7C0000}"/>
    <cellStyle name="Input 7 8 5" xfId="31810" xr:uid="{00000000-0005-0000-0000-00007C7C0000}"/>
    <cellStyle name="Input 7 8 6" xfId="31811" xr:uid="{00000000-0005-0000-0000-00007D7C0000}"/>
    <cellStyle name="Input 7 9" xfId="31812" xr:uid="{00000000-0005-0000-0000-00007E7C0000}"/>
    <cellStyle name="Input 7 9 2" xfId="31813" xr:uid="{00000000-0005-0000-0000-00007F7C0000}"/>
    <cellStyle name="Input 7 9 2 2" xfId="31814" xr:uid="{00000000-0005-0000-0000-0000807C0000}"/>
    <cellStyle name="Input 7 9 2 2 2" xfId="31815" xr:uid="{00000000-0005-0000-0000-0000817C0000}"/>
    <cellStyle name="Input 7 9 2 2 3" xfId="31816" xr:uid="{00000000-0005-0000-0000-0000827C0000}"/>
    <cellStyle name="Input 7 9 2 2 4" xfId="31817" xr:uid="{00000000-0005-0000-0000-0000837C0000}"/>
    <cellStyle name="Input 7 9 2 3" xfId="31818" xr:uid="{00000000-0005-0000-0000-0000847C0000}"/>
    <cellStyle name="Input 7 9 2 3 2" xfId="31819" xr:uid="{00000000-0005-0000-0000-0000857C0000}"/>
    <cellStyle name="Input 7 9 2 3 3" xfId="31820" xr:uid="{00000000-0005-0000-0000-0000867C0000}"/>
    <cellStyle name="Input 7 9 2 3 4" xfId="31821" xr:uid="{00000000-0005-0000-0000-0000877C0000}"/>
    <cellStyle name="Input 7 9 2 4" xfId="31822" xr:uid="{00000000-0005-0000-0000-0000887C0000}"/>
    <cellStyle name="Input 7 9 2 5" xfId="31823" xr:uid="{00000000-0005-0000-0000-0000897C0000}"/>
    <cellStyle name="Input 7 9 2 6" xfId="31824" xr:uid="{00000000-0005-0000-0000-00008A7C0000}"/>
    <cellStyle name="Input 7 9 3" xfId="31825" xr:uid="{00000000-0005-0000-0000-00008B7C0000}"/>
    <cellStyle name="Input 7 9 3 2" xfId="31826" xr:uid="{00000000-0005-0000-0000-00008C7C0000}"/>
    <cellStyle name="Input 7 9 3 2 2" xfId="31827" xr:uid="{00000000-0005-0000-0000-00008D7C0000}"/>
    <cellStyle name="Input 7 9 3 2 3" xfId="31828" xr:uid="{00000000-0005-0000-0000-00008E7C0000}"/>
    <cellStyle name="Input 7 9 3 2 4" xfId="31829" xr:uid="{00000000-0005-0000-0000-00008F7C0000}"/>
    <cellStyle name="Input 7 9 3 3" xfId="31830" xr:uid="{00000000-0005-0000-0000-0000907C0000}"/>
    <cellStyle name="Input 7 9 3 3 2" xfId="31831" xr:uid="{00000000-0005-0000-0000-0000917C0000}"/>
    <cellStyle name="Input 7 9 3 3 3" xfId="31832" xr:uid="{00000000-0005-0000-0000-0000927C0000}"/>
    <cellStyle name="Input 7 9 3 3 4" xfId="31833" xr:uid="{00000000-0005-0000-0000-0000937C0000}"/>
    <cellStyle name="Input 7 9 3 4" xfId="31834" xr:uid="{00000000-0005-0000-0000-0000947C0000}"/>
    <cellStyle name="Input 7 9 3 5" xfId="31835" xr:uid="{00000000-0005-0000-0000-0000957C0000}"/>
    <cellStyle name="Input 7 9 3 6" xfId="31836" xr:uid="{00000000-0005-0000-0000-0000967C0000}"/>
    <cellStyle name="Input 7 9 4" xfId="31837" xr:uid="{00000000-0005-0000-0000-0000977C0000}"/>
    <cellStyle name="Input 7 9 4 2" xfId="31838" xr:uid="{00000000-0005-0000-0000-0000987C0000}"/>
    <cellStyle name="Input 7 9 4 3" xfId="31839" xr:uid="{00000000-0005-0000-0000-0000997C0000}"/>
    <cellStyle name="Input 7 9 4 4" xfId="31840" xr:uid="{00000000-0005-0000-0000-00009A7C0000}"/>
    <cellStyle name="Input 7 9 5" xfId="31841" xr:uid="{00000000-0005-0000-0000-00009B7C0000}"/>
    <cellStyle name="Input 7 9 6" xfId="31842" xr:uid="{00000000-0005-0000-0000-00009C7C0000}"/>
    <cellStyle name="Input 8" xfId="31843" xr:uid="{00000000-0005-0000-0000-00009D7C0000}"/>
    <cellStyle name="Input 8 10" xfId="31844" xr:uid="{00000000-0005-0000-0000-00009E7C0000}"/>
    <cellStyle name="Input 8 10 2" xfId="31845" xr:uid="{00000000-0005-0000-0000-00009F7C0000}"/>
    <cellStyle name="Input 8 10 2 2" xfId="31846" xr:uid="{00000000-0005-0000-0000-0000A07C0000}"/>
    <cellStyle name="Input 8 10 2 2 2" xfId="31847" xr:uid="{00000000-0005-0000-0000-0000A17C0000}"/>
    <cellStyle name="Input 8 10 2 2 3" xfId="31848" xr:uid="{00000000-0005-0000-0000-0000A27C0000}"/>
    <cellStyle name="Input 8 10 2 2 4" xfId="31849" xr:uid="{00000000-0005-0000-0000-0000A37C0000}"/>
    <cellStyle name="Input 8 10 2 3" xfId="31850" xr:uid="{00000000-0005-0000-0000-0000A47C0000}"/>
    <cellStyle name="Input 8 10 2 3 2" xfId="31851" xr:uid="{00000000-0005-0000-0000-0000A57C0000}"/>
    <cellStyle name="Input 8 10 2 3 3" xfId="31852" xr:uid="{00000000-0005-0000-0000-0000A67C0000}"/>
    <cellStyle name="Input 8 10 2 3 4" xfId="31853" xr:uid="{00000000-0005-0000-0000-0000A77C0000}"/>
    <cellStyle name="Input 8 10 2 4" xfId="31854" xr:uid="{00000000-0005-0000-0000-0000A87C0000}"/>
    <cellStyle name="Input 8 10 2 5" xfId="31855" xr:uid="{00000000-0005-0000-0000-0000A97C0000}"/>
    <cellStyle name="Input 8 10 2 6" xfId="31856" xr:uid="{00000000-0005-0000-0000-0000AA7C0000}"/>
    <cellStyle name="Input 8 10 3" xfId="31857" xr:uid="{00000000-0005-0000-0000-0000AB7C0000}"/>
    <cellStyle name="Input 8 10 3 2" xfId="31858" xr:uid="{00000000-0005-0000-0000-0000AC7C0000}"/>
    <cellStyle name="Input 8 10 3 2 2" xfId="31859" xr:uid="{00000000-0005-0000-0000-0000AD7C0000}"/>
    <cellStyle name="Input 8 10 3 2 3" xfId="31860" xr:uid="{00000000-0005-0000-0000-0000AE7C0000}"/>
    <cellStyle name="Input 8 10 3 2 4" xfId="31861" xr:uid="{00000000-0005-0000-0000-0000AF7C0000}"/>
    <cellStyle name="Input 8 10 3 3" xfId="31862" xr:uid="{00000000-0005-0000-0000-0000B07C0000}"/>
    <cellStyle name="Input 8 10 3 3 2" xfId="31863" xr:uid="{00000000-0005-0000-0000-0000B17C0000}"/>
    <cellStyle name="Input 8 10 3 3 3" xfId="31864" xr:uid="{00000000-0005-0000-0000-0000B27C0000}"/>
    <cellStyle name="Input 8 10 3 3 4" xfId="31865" xr:uid="{00000000-0005-0000-0000-0000B37C0000}"/>
    <cellStyle name="Input 8 10 3 4" xfId="31866" xr:uid="{00000000-0005-0000-0000-0000B47C0000}"/>
    <cellStyle name="Input 8 10 3 5" xfId="31867" xr:uid="{00000000-0005-0000-0000-0000B57C0000}"/>
    <cellStyle name="Input 8 10 3 6" xfId="31868" xr:uid="{00000000-0005-0000-0000-0000B67C0000}"/>
    <cellStyle name="Input 8 10 4" xfId="31869" xr:uid="{00000000-0005-0000-0000-0000B77C0000}"/>
    <cellStyle name="Input 8 10 5" xfId="31870" xr:uid="{00000000-0005-0000-0000-0000B87C0000}"/>
    <cellStyle name="Input 8 10 6" xfId="31871" xr:uid="{00000000-0005-0000-0000-0000B97C0000}"/>
    <cellStyle name="Input 8 11" xfId="31872" xr:uid="{00000000-0005-0000-0000-0000BA7C0000}"/>
    <cellStyle name="Input 8 12" xfId="31873" xr:uid="{00000000-0005-0000-0000-0000BB7C0000}"/>
    <cellStyle name="Input 8 2" xfId="31874" xr:uid="{00000000-0005-0000-0000-0000BC7C0000}"/>
    <cellStyle name="Input 8 2 2" xfId="31875" xr:uid="{00000000-0005-0000-0000-0000BD7C0000}"/>
    <cellStyle name="Input 8 2 2 2" xfId="31876" xr:uid="{00000000-0005-0000-0000-0000BE7C0000}"/>
    <cellStyle name="Input 8 2 2 2 2" xfId="31877" xr:uid="{00000000-0005-0000-0000-0000BF7C0000}"/>
    <cellStyle name="Input 8 2 2 2 2 2" xfId="31878" xr:uid="{00000000-0005-0000-0000-0000C07C0000}"/>
    <cellStyle name="Input 8 2 2 2 2 3" xfId="31879" xr:uid="{00000000-0005-0000-0000-0000C17C0000}"/>
    <cellStyle name="Input 8 2 2 2 2 4" xfId="31880" xr:uid="{00000000-0005-0000-0000-0000C27C0000}"/>
    <cellStyle name="Input 8 2 2 2 3" xfId="31881" xr:uid="{00000000-0005-0000-0000-0000C37C0000}"/>
    <cellStyle name="Input 8 2 2 2 3 2" xfId="31882" xr:uid="{00000000-0005-0000-0000-0000C47C0000}"/>
    <cellStyle name="Input 8 2 2 2 3 3" xfId="31883" xr:uid="{00000000-0005-0000-0000-0000C57C0000}"/>
    <cellStyle name="Input 8 2 2 2 3 4" xfId="31884" xr:uid="{00000000-0005-0000-0000-0000C67C0000}"/>
    <cellStyle name="Input 8 2 2 2 4" xfId="31885" xr:uid="{00000000-0005-0000-0000-0000C77C0000}"/>
    <cellStyle name="Input 8 2 2 2 5" xfId="31886" xr:uid="{00000000-0005-0000-0000-0000C87C0000}"/>
    <cellStyle name="Input 8 2 2 2 6" xfId="31887" xr:uid="{00000000-0005-0000-0000-0000C97C0000}"/>
    <cellStyle name="Input 8 2 2 3" xfId="31888" xr:uid="{00000000-0005-0000-0000-0000CA7C0000}"/>
    <cellStyle name="Input 8 2 2 3 2" xfId="31889" xr:uid="{00000000-0005-0000-0000-0000CB7C0000}"/>
    <cellStyle name="Input 8 2 2 3 2 2" xfId="31890" xr:uid="{00000000-0005-0000-0000-0000CC7C0000}"/>
    <cellStyle name="Input 8 2 2 3 2 3" xfId="31891" xr:uid="{00000000-0005-0000-0000-0000CD7C0000}"/>
    <cellStyle name="Input 8 2 2 3 2 4" xfId="31892" xr:uid="{00000000-0005-0000-0000-0000CE7C0000}"/>
    <cellStyle name="Input 8 2 2 3 3" xfId="31893" xr:uid="{00000000-0005-0000-0000-0000CF7C0000}"/>
    <cellStyle name="Input 8 2 2 3 3 2" xfId="31894" xr:uid="{00000000-0005-0000-0000-0000D07C0000}"/>
    <cellStyle name="Input 8 2 2 3 3 3" xfId="31895" xr:uid="{00000000-0005-0000-0000-0000D17C0000}"/>
    <cellStyle name="Input 8 2 2 3 3 4" xfId="31896" xr:uid="{00000000-0005-0000-0000-0000D27C0000}"/>
    <cellStyle name="Input 8 2 2 3 4" xfId="31897" xr:uid="{00000000-0005-0000-0000-0000D37C0000}"/>
    <cellStyle name="Input 8 2 2 3 5" xfId="31898" xr:uid="{00000000-0005-0000-0000-0000D47C0000}"/>
    <cellStyle name="Input 8 2 2 3 6" xfId="31899" xr:uid="{00000000-0005-0000-0000-0000D57C0000}"/>
    <cellStyle name="Input 8 2 2 4" xfId="31900" xr:uid="{00000000-0005-0000-0000-0000D67C0000}"/>
    <cellStyle name="Input 8 2 2 5" xfId="31901" xr:uid="{00000000-0005-0000-0000-0000D77C0000}"/>
    <cellStyle name="Input 8 2 2 6" xfId="31902" xr:uid="{00000000-0005-0000-0000-0000D87C0000}"/>
    <cellStyle name="Input 8 2 3" xfId="31903" xr:uid="{00000000-0005-0000-0000-0000D97C0000}"/>
    <cellStyle name="Input 8 2 4" xfId="31904" xr:uid="{00000000-0005-0000-0000-0000DA7C0000}"/>
    <cellStyle name="Input 8 3" xfId="31905" xr:uid="{00000000-0005-0000-0000-0000DB7C0000}"/>
    <cellStyle name="Input 8 3 2" xfId="31906" xr:uid="{00000000-0005-0000-0000-0000DC7C0000}"/>
    <cellStyle name="Input 8 3 2 2" xfId="31907" xr:uid="{00000000-0005-0000-0000-0000DD7C0000}"/>
    <cellStyle name="Input 8 3 2 2 2" xfId="31908" xr:uid="{00000000-0005-0000-0000-0000DE7C0000}"/>
    <cellStyle name="Input 8 3 2 2 2 2" xfId="31909" xr:uid="{00000000-0005-0000-0000-0000DF7C0000}"/>
    <cellStyle name="Input 8 3 2 2 2 3" xfId="31910" xr:uid="{00000000-0005-0000-0000-0000E07C0000}"/>
    <cellStyle name="Input 8 3 2 2 2 4" xfId="31911" xr:uid="{00000000-0005-0000-0000-0000E17C0000}"/>
    <cellStyle name="Input 8 3 2 2 3" xfId="31912" xr:uid="{00000000-0005-0000-0000-0000E27C0000}"/>
    <cellStyle name="Input 8 3 2 2 3 2" xfId="31913" xr:uid="{00000000-0005-0000-0000-0000E37C0000}"/>
    <cellStyle name="Input 8 3 2 2 3 3" xfId="31914" xr:uid="{00000000-0005-0000-0000-0000E47C0000}"/>
    <cellStyle name="Input 8 3 2 2 3 4" xfId="31915" xr:uid="{00000000-0005-0000-0000-0000E57C0000}"/>
    <cellStyle name="Input 8 3 2 2 4" xfId="31916" xr:uid="{00000000-0005-0000-0000-0000E67C0000}"/>
    <cellStyle name="Input 8 3 2 2 5" xfId="31917" xr:uid="{00000000-0005-0000-0000-0000E77C0000}"/>
    <cellStyle name="Input 8 3 2 2 6" xfId="31918" xr:uid="{00000000-0005-0000-0000-0000E87C0000}"/>
    <cellStyle name="Input 8 3 2 3" xfId="31919" xr:uid="{00000000-0005-0000-0000-0000E97C0000}"/>
    <cellStyle name="Input 8 3 2 3 2" xfId="31920" xr:uid="{00000000-0005-0000-0000-0000EA7C0000}"/>
    <cellStyle name="Input 8 3 2 3 2 2" xfId="31921" xr:uid="{00000000-0005-0000-0000-0000EB7C0000}"/>
    <cellStyle name="Input 8 3 2 3 2 3" xfId="31922" xr:uid="{00000000-0005-0000-0000-0000EC7C0000}"/>
    <cellStyle name="Input 8 3 2 3 2 4" xfId="31923" xr:uid="{00000000-0005-0000-0000-0000ED7C0000}"/>
    <cellStyle name="Input 8 3 2 3 3" xfId="31924" xr:uid="{00000000-0005-0000-0000-0000EE7C0000}"/>
    <cellStyle name="Input 8 3 2 3 3 2" xfId="31925" xr:uid="{00000000-0005-0000-0000-0000EF7C0000}"/>
    <cellStyle name="Input 8 3 2 3 3 3" xfId="31926" xr:uid="{00000000-0005-0000-0000-0000F07C0000}"/>
    <cellStyle name="Input 8 3 2 3 3 4" xfId="31927" xr:uid="{00000000-0005-0000-0000-0000F17C0000}"/>
    <cellStyle name="Input 8 3 2 3 4" xfId="31928" xr:uid="{00000000-0005-0000-0000-0000F27C0000}"/>
    <cellStyle name="Input 8 3 2 3 5" xfId="31929" xr:uid="{00000000-0005-0000-0000-0000F37C0000}"/>
    <cellStyle name="Input 8 3 2 3 6" xfId="31930" xr:uid="{00000000-0005-0000-0000-0000F47C0000}"/>
    <cellStyle name="Input 8 3 2 4" xfId="31931" xr:uid="{00000000-0005-0000-0000-0000F57C0000}"/>
    <cellStyle name="Input 8 3 2 5" xfId="31932" xr:uid="{00000000-0005-0000-0000-0000F67C0000}"/>
    <cellStyle name="Input 8 3 2 6" xfId="31933" xr:uid="{00000000-0005-0000-0000-0000F77C0000}"/>
    <cellStyle name="Input 8 3 3" xfId="31934" xr:uid="{00000000-0005-0000-0000-0000F87C0000}"/>
    <cellStyle name="Input 8 3 4" xfId="31935" xr:uid="{00000000-0005-0000-0000-0000F97C0000}"/>
    <cellStyle name="Input 8 4" xfId="31936" xr:uid="{00000000-0005-0000-0000-0000FA7C0000}"/>
    <cellStyle name="Input 8 4 2" xfId="31937" xr:uid="{00000000-0005-0000-0000-0000FB7C0000}"/>
    <cellStyle name="Input 8 4 2 2" xfId="31938" xr:uid="{00000000-0005-0000-0000-0000FC7C0000}"/>
    <cellStyle name="Input 8 4 2 2 2" xfId="31939" xr:uid="{00000000-0005-0000-0000-0000FD7C0000}"/>
    <cellStyle name="Input 8 4 2 2 2 2" xfId="31940" xr:uid="{00000000-0005-0000-0000-0000FE7C0000}"/>
    <cellStyle name="Input 8 4 2 2 2 3" xfId="31941" xr:uid="{00000000-0005-0000-0000-0000FF7C0000}"/>
    <cellStyle name="Input 8 4 2 2 2 4" xfId="31942" xr:uid="{00000000-0005-0000-0000-0000007D0000}"/>
    <cellStyle name="Input 8 4 2 2 3" xfId="31943" xr:uid="{00000000-0005-0000-0000-0000017D0000}"/>
    <cellStyle name="Input 8 4 2 2 3 2" xfId="31944" xr:uid="{00000000-0005-0000-0000-0000027D0000}"/>
    <cellStyle name="Input 8 4 2 2 3 3" xfId="31945" xr:uid="{00000000-0005-0000-0000-0000037D0000}"/>
    <cellStyle name="Input 8 4 2 2 3 4" xfId="31946" xr:uid="{00000000-0005-0000-0000-0000047D0000}"/>
    <cellStyle name="Input 8 4 2 2 4" xfId="31947" xr:uid="{00000000-0005-0000-0000-0000057D0000}"/>
    <cellStyle name="Input 8 4 2 2 5" xfId="31948" xr:uid="{00000000-0005-0000-0000-0000067D0000}"/>
    <cellStyle name="Input 8 4 2 2 6" xfId="31949" xr:uid="{00000000-0005-0000-0000-0000077D0000}"/>
    <cellStyle name="Input 8 4 2 3" xfId="31950" xr:uid="{00000000-0005-0000-0000-0000087D0000}"/>
    <cellStyle name="Input 8 4 2 3 2" xfId="31951" xr:uid="{00000000-0005-0000-0000-0000097D0000}"/>
    <cellStyle name="Input 8 4 2 3 2 2" xfId="31952" xr:uid="{00000000-0005-0000-0000-00000A7D0000}"/>
    <cellStyle name="Input 8 4 2 3 2 3" xfId="31953" xr:uid="{00000000-0005-0000-0000-00000B7D0000}"/>
    <cellStyle name="Input 8 4 2 3 2 4" xfId="31954" xr:uid="{00000000-0005-0000-0000-00000C7D0000}"/>
    <cellStyle name="Input 8 4 2 3 3" xfId="31955" xr:uid="{00000000-0005-0000-0000-00000D7D0000}"/>
    <cellStyle name="Input 8 4 2 3 3 2" xfId="31956" xr:uid="{00000000-0005-0000-0000-00000E7D0000}"/>
    <cellStyle name="Input 8 4 2 3 3 3" xfId="31957" xr:uid="{00000000-0005-0000-0000-00000F7D0000}"/>
    <cellStyle name="Input 8 4 2 3 3 4" xfId="31958" xr:uid="{00000000-0005-0000-0000-0000107D0000}"/>
    <cellStyle name="Input 8 4 2 3 4" xfId="31959" xr:uid="{00000000-0005-0000-0000-0000117D0000}"/>
    <cellStyle name="Input 8 4 2 3 5" xfId="31960" xr:uid="{00000000-0005-0000-0000-0000127D0000}"/>
    <cellStyle name="Input 8 4 2 3 6" xfId="31961" xr:uid="{00000000-0005-0000-0000-0000137D0000}"/>
    <cellStyle name="Input 8 4 2 4" xfId="31962" xr:uid="{00000000-0005-0000-0000-0000147D0000}"/>
    <cellStyle name="Input 8 4 2 5" xfId="31963" xr:uid="{00000000-0005-0000-0000-0000157D0000}"/>
    <cellStyle name="Input 8 4 2 6" xfId="31964" xr:uid="{00000000-0005-0000-0000-0000167D0000}"/>
    <cellStyle name="Input 8 4 3" xfId="31965" xr:uid="{00000000-0005-0000-0000-0000177D0000}"/>
    <cellStyle name="Input 8 4 4" xfId="31966" xr:uid="{00000000-0005-0000-0000-0000187D0000}"/>
    <cellStyle name="Input 8 5" xfId="31967" xr:uid="{00000000-0005-0000-0000-0000197D0000}"/>
    <cellStyle name="Input 8 5 2" xfId="31968" xr:uid="{00000000-0005-0000-0000-00001A7D0000}"/>
    <cellStyle name="Input 8 5 2 2" xfId="31969" xr:uid="{00000000-0005-0000-0000-00001B7D0000}"/>
    <cellStyle name="Input 8 5 2 2 2" xfId="31970" xr:uid="{00000000-0005-0000-0000-00001C7D0000}"/>
    <cellStyle name="Input 8 5 2 2 2 2" xfId="31971" xr:uid="{00000000-0005-0000-0000-00001D7D0000}"/>
    <cellStyle name="Input 8 5 2 2 2 3" xfId="31972" xr:uid="{00000000-0005-0000-0000-00001E7D0000}"/>
    <cellStyle name="Input 8 5 2 2 2 4" xfId="31973" xr:uid="{00000000-0005-0000-0000-00001F7D0000}"/>
    <cellStyle name="Input 8 5 2 2 3" xfId="31974" xr:uid="{00000000-0005-0000-0000-0000207D0000}"/>
    <cellStyle name="Input 8 5 2 2 3 2" xfId="31975" xr:uid="{00000000-0005-0000-0000-0000217D0000}"/>
    <cellStyle name="Input 8 5 2 2 3 3" xfId="31976" xr:uid="{00000000-0005-0000-0000-0000227D0000}"/>
    <cellStyle name="Input 8 5 2 2 3 4" xfId="31977" xr:uid="{00000000-0005-0000-0000-0000237D0000}"/>
    <cellStyle name="Input 8 5 2 2 4" xfId="31978" xr:uid="{00000000-0005-0000-0000-0000247D0000}"/>
    <cellStyle name="Input 8 5 2 2 5" xfId="31979" xr:uid="{00000000-0005-0000-0000-0000257D0000}"/>
    <cellStyle name="Input 8 5 2 2 6" xfId="31980" xr:uid="{00000000-0005-0000-0000-0000267D0000}"/>
    <cellStyle name="Input 8 5 2 3" xfId="31981" xr:uid="{00000000-0005-0000-0000-0000277D0000}"/>
    <cellStyle name="Input 8 5 2 3 2" xfId="31982" xr:uid="{00000000-0005-0000-0000-0000287D0000}"/>
    <cellStyle name="Input 8 5 2 3 2 2" xfId="31983" xr:uid="{00000000-0005-0000-0000-0000297D0000}"/>
    <cellStyle name="Input 8 5 2 3 2 3" xfId="31984" xr:uid="{00000000-0005-0000-0000-00002A7D0000}"/>
    <cellStyle name="Input 8 5 2 3 2 4" xfId="31985" xr:uid="{00000000-0005-0000-0000-00002B7D0000}"/>
    <cellStyle name="Input 8 5 2 3 3" xfId="31986" xr:uid="{00000000-0005-0000-0000-00002C7D0000}"/>
    <cellStyle name="Input 8 5 2 3 3 2" xfId="31987" xr:uid="{00000000-0005-0000-0000-00002D7D0000}"/>
    <cellStyle name="Input 8 5 2 3 3 3" xfId="31988" xr:uid="{00000000-0005-0000-0000-00002E7D0000}"/>
    <cellStyle name="Input 8 5 2 3 3 4" xfId="31989" xr:uid="{00000000-0005-0000-0000-00002F7D0000}"/>
    <cellStyle name="Input 8 5 2 3 4" xfId="31990" xr:uid="{00000000-0005-0000-0000-0000307D0000}"/>
    <cellStyle name="Input 8 5 2 3 5" xfId="31991" xr:uid="{00000000-0005-0000-0000-0000317D0000}"/>
    <cellStyle name="Input 8 5 2 3 6" xfId="31992" xr:uid="{00000000-0005-0000-0000-0000327D0000}"/>
    <cellStyle name="Input 8 5 2 4" xfId="31993" xr:uid="{00000000-0005-0000-0000-0000337D0000}"/>
    <cellStyle name="Input 8 5 2 5" xfId="31994" xr:uid="{00000000-0005-0000-0000-0000347D0000}"/>
    <cellStyle name="Input 8 5 2 6" xfId="31995" xr:uid="{00000000-0005-0000-0000-0000357D0000}"/>
    <cellStyle name="Input 8 5 3" xfId="31996" xr:uid="{00000000-0005-0000-0000-0000367D0000}"/>
    <cellStyle name="Input 8 5 4" xfId="31997" xr:uid="{00000000-0005-0000-0000-0000377D0000}"/>
    <cellStyle name="Input 8 6" xfId="31998" xr:uid="{00000000-0005-0000-0000-0000387D0000}"/>
    <cellStyle name="Input 8 6 2" xfId="31999" xr:uid="{00000000-0005-0000-0000-0000397D0000}"/>
    <cellStyle name="Input 8 6 2 2" xfId="32000" xr:uid="{00000000-0005-0000-0000-00003A7D0000}"/>
    <cellStyle name="Input 8 6 2 2 2" xfId="32001" xr:uid="{00000000-0005-0000-0000-00003B7D0000}"/>
    <cellStyle name="Input 8 6 2 2 3" xfId="32002" xr:uid="{00000000-0005-0000-0000-00003C7D0000}"/>
    <cellStyle name="Input 8 6 2 2 4" xfId="32003" xr:uid="{00000000-0005-0000-0000-00003D7D0000}"/>
    <cellStyle name="Input 8 6 2 3" xfId="32004" xr:uid="{00000000-0005-0000-0000-00003E7D0000}"/>
    <cellStyle name="Input 8 6 2 3 2" xfId="32005" xr:uid="{00000000-0005-0000-0000-00003F7D0000}"/>
    <cellStyle name="Input 8 6 2 3 3" xfId="32006" xr:uid="{00000000-0005-0000-0000-0000407D0000}"/>
    <cellStyle name="Input 8 6 2 3 4" xfId="32007" xr:uid="{00000000-0005-0000-0000-0000417D0000}"/>
    <cellStyle name="Input 8 6 2 4" xfId="32008" xr:uid="{00000000-0005-0000-0000-0000427D0000}"/>
    <cellStyle name="Input 8 6 2 5" xfId="32009" xr:uid="{00000000-0005-0000-0000-0000437D0000}"/>
    <cellStyle name="Input 8 6 2 6" xfId="32010" xr:uid="{00000000-0005-0000-0000-0000447D0000}"/>
    <cellStyle name="Input 8 6 3" xfId="32011" xr:uid="{00000000-0005-0000-0000-0000457D0000}"/>
    <cellStyle name="Input 8 6 3 2" xfId="32012" xr:uid="{00000000-0005-0000-0000-0000467D0000}"/>
    <cellStyle name="Input 8 6 3 2 2" xfId="32013" xr:uid="{00000000-0005-0000-0000-0000477D0000}"/>
    <cellStyle name="Input 8 6 3 2 3" xfId="32014" xr:uid="{00000000-0005-0000-0000-0000487D0000}"/>
    <cellStyle name="Input 8 6 3 2 4" xfId="32015" xr:uid="{00000000-0005-0000-0000-0000497D0000}"/>
    <cellStyle name="Input 8 6 3 3" xfId="32016" xr:uid="{00000000-0005-0000-0000-00004A7D0000}"/>
    <cellStyle name="Input 8 6 3 3 2" xfId="32017" xr:uid="{00000000-0005-0000-0000-00004B7D0000}"/>
    <cellStyle name="Input 8 6 3 3 3" xfId="32018" xr:uid="{00000000-0005-0000-0000-00004C7D0000}"/>
    <cellStyle name="Input 8 6 3 3 4" xfId="32019" xr:uid="{00000000-0005-0000-0000-00004D7D0000}"/>
    <cellStyle name="Input 8 6 3 4" xfId="32020" xr:uid="{00000000-0005-0000-0000-00004E7D0000}"/>
    <cellStyle name="Input 8 6 3 5" xfId="32021" xr:uid="{00000000-0005-0000-0000-00004F7D0000}"/>
    <cellStyle name="Input 8 6 3 6" xfId="32022" xr:uid="{00000000-0005-0000-0000-0000507D0000}"/>
    <cellStyle name="Input 8 6 4" xfId="32023" xr:uid="{00000000-0005-0000-0000-0000517D0000}"/>
    <cellStyle name="Input 8 6 4 2" xfId="32024" xr:uid="{00000000-0005-0000-0000-0000527D0000}"/>
    <cellStyle name="Input 8 6 4 3" xfId="32025" xr:uid="{00000000-0005-0000-0000-0000537D0000}"/>
    <cellStyle name="Input 8 6 4 4" xfId="32026" xr:uid="{00000000-0005-0000-0000-0000547D0000}"/>
    <cellStyle name="Input 8 6 5" xfId="32027" xr:uid="{00000000-0005-0000-0000-0000557D0000}"/>
    <cellStyle name="Input 8 6 6" xfId="32028" xr:uid="{00000000-0005-0000-0000-0000567D0000}"/>
    <cellStyle name="Input 8 7" xfId="32029" xr:uid="{00000000-0005-0000-0000-0000577D0000}"/>
    <cellStyle name="Input 8 7 2" xfId="32030" xr:uid="{00000000-0005-0000-0000-0000587D0000}"/>
    <cellStyle name="Input 8 7 2 2" xfId="32031" xr:uid="{00000000-0005-0000-0000-0000597D0000}"/>
    <cellStyle name="Input 8 7 2 2 2" xfId="32032" xr:uid="{00000000-0005-0000-0000-00005A7D0000}"/>
    <cellStyle name="Input 8 7 2 2 3" xfId="32033" xr:uid="{00000000-0005-0000-0000-00005B7D0000}"/>
    <cellStyle name="Input 8 7 2 2 4" xfId="32034" xr:uid="{00000000-0005-0000-0000-00005C7D0000}"/>
    <cellStyle name="Input 8 7 2 3" xfId="32035" xr:uid="{00000000-0005-0000-0000-00005D7D0000}"/>
    <cellStyle name="Input 8 7 2 3 2" xfId="32036" xr:uid="{00000000-0005-0000-0000-00005E7D0000}"/>
    <cellStyle name="Input 8 7 2 3 3" xfId="32037" xr:uid="{00000000-0005-0000-0000-00005F7D0000}"/>
    <cellStyle name="Input 8 7 2 3 4" xfId="32038" xr:uid="{00000000-0005-0000-0000-0000607D0000}"/>
    <cellStyle name="Input 8 7 2 4" xfId="32039" xr:uid="{00000000-0005-0000-0000-0000617D0000}"/>
    <cellStyle name="Input 8 7 2 5" xfId="32040" xr:uid="{00000000-0005-0000-0000-0000627D0000}"/>
    <cellStyle name="Input 8 7 2 6" xfId="32041" xr:uid="{00000000-0005-0000-0000-0000637D0000}"/>
    <cellStyle name="Input 8 7 3" xfId="32042" xr:uid="{00000000-0005-0000-0000-0000647D0000}"/>
    <cellStyle name="Input 8 7 3 2" xfId="32043" xr:uid="{00000000-0005-0000-0000-0000657D0000}"/>
    <cellStyle name="Input 8 7 3 2 2" xfId="32044" xr:uid="{00000000-0005-0000-0000-0000667D0000}"/>
    <cellStyle name="Input 8 7 3 2 3" xfId="32045" xr:uid="{00000000-0005-0000-0000-0000677D0000}"/>
    <cellStyle name="Input 8 7 3 2 4" xfId="32046" xr:uid="{00000000-0005-0000-0000-0000687D0000}"/>
    <cellStyle name="Input 8 7 3 3" xfId="32047" xr:uid="{00000000-0005-0000-0000-0000697D0000}"/>
    <cellStyle name="Input 8 7 3 3 2" xfId="32048" xr:uid="{00000000-0005-0000-0000-00006A7D0000}"/>
    <cellStyle name="Input 8 7 3 3 3" xfId="32049" xr:uid="{00000000-0005-0000-0000-00006B7D0000}"/>
    <cellStyle name="Input 8 7 3 3 4" xfId="32050" xr:uid="{00000000-0005-0000-0000-00006C7D0000}"/>
    <cellStyle name="Input 8 7 3 4" xfId="32051" xr:uid="{00000000-0005-0000-0000-00006D7D0000}"/>
    <cellStyle name="Input 8 7 3 5" xfId="32052" xr:uid="{00000000-0005-0000-0000-00006E7D0000}"/>
    <cellStyle name="Input 8 7 3 6" xfId="32053" xr:uid="{00000000-0005-0000-0000-00006F7D0000}"/>
    <cellStyle name="Input 8 7 4" xfId="32054" xr:uid="{00000000-0005-0000-0000-0000707D0000}"/>
    <cellStyle name="Input 8 7 4 2" xfId="32055" xr:uid="{00000000-0005-0000-0000-0000717D0000}"/>
    <cellStyle name="Input 8 7 4 3" xfId="32056" xr:uid="{00000000-0005-0000-0000-0000727D0000}"/>
    <cellStyle name="Input 8 7 4 4" xfId="32057" xr:uid="{00000000-0005-0000-0000-0000737D0000}"/>
    <cellStyle name="Input 8 7 5" xfId="32058" xr:uid="{00000000-0005-0000-0000-0000747D0000}"/>
    <cellStyle name="Input 8 7 6" xfId="32059" xr:uid="{00000000-0005-0000-0000-0000757D0000}"/>
    <cellStyle name="Input 8 8" xfId="32060" xr:uid="{00000000-0005-0000-0000-0000767D0000}"/>
    <cellStyle name="Input 8 8 2" xfId="32061" xr:uid="{00000000-0005-0000-0000-0000777D0000}"/>
    <cellStyle name="Input 8 8 2 2" xfId="32062" xr:uid="{00000000-0005-0000-0000-0000787D0000}"/>
    <cellStyle name="Input 8 8 2 2 2" xfId="32063" xr:uid="{00000000-0005-0000-0000-0000797D0000}"/>
    <cellStyle name="Input 8 8 2 2 3" xfId="32064" xr:uid="{00000000-0005-0000-0000-00007A7D0000}"/>
    <cellStyle name="Input 8 8 2 2 4" xfId="32065" xr:uid="{00000000-0005-0000-0000-00007B7D0000}"/>
    <cellStyle name="Input 8 8 2 3" xfId="32066" xr:uid="{00000000-0005-0000-0000-00007C7D0000}"/>
    <cellStyle name="Input 8 8 2 3 2" xfId="32067" xr:uid="{00000000-0005-0000-0000-00007D7D0000}"/>
    <cellStyle name="Input 8 8 2 3 3" xfId="32068" xr:uid="{00000000-0005-0000-0000-00007E7D0000}"/>
    <cellStyle name="Input 8 8 2 3 4" xfId="32069" xr:uid="{00000000-0005-0000-0000-00007F7D0000}"/>
    <cellStyle name="Input 8 8 2 4" xfId="32070" xr:uid="{00000000-0005-0000-0000-0000807D0000}"/>
    <cellStyle name="Input 8 8 2 5" xfId="32071" xr:uid="{00000000-0005-0000-0000-0000817D0000}"/>
    <cellStyle name="Input 8 8 2 6" xfId="32072" xr:uid="{00000000-0005-0000-0000-0000827D0000}"/>
    <cellStyle name="Input 8 8 3" xfId="32073" xr:uid="{00000000-0005-0000-0000-0000837D0000}"/>
    <cellStyle name="Input 8 8 3 2" xfId="32074" xr:uid="{00000000-0005-0000-0000-0000847D0000}"/>
    <cellStyle name="Input 8 8 3 2 2" xfId="32075" xr:uid="{00000000-0005-0000-0000-0000857D0000}"/>
    <cellStyle name="Input 8 8 3 2 3" xfId="32076" xr:uid="{00000000-0005-0000-0000-0000867D0000}"/>
    <cellStyle name="Input 8 8 3 2 4" xfId="32077" xr:uid="{00000000-0005-0000-0000-0000877D0000}"/>
    <cellStyle name="Input 8 8 3 3" xfId="32078" xr:uid="{00000000-0005-0000-0000-0000887D0000}"/>
    <cellStyle name="Input 8 8 3 3 2" xfId="32079" xr:uid="{00000000-0005-0000-0000-0000897D0000}"/>
    <cellStyle name="Input 8 8 3 3 3" xfId="32080" xr:uid="{00000000-0005-0000-0000-00008A7D0000}"/>
    <cellStyle name="Input 8 8 3 3 4" xfId="32081" xr:uid="{00000000-0005-0000-0000-00008B7D0000}"/>
    <cellStyle name="Input 8 8 3 4" xfId="32082" xr:uid="{00000000-0005-0000-0000-00008C7D0000}"/>
    <cellStyle name="Input 8 8 3 5" xfId="32083" xr:uid="{00000000-0005-0000-0000-00008D7D0000}"/>
    <cellStyle name="Input 8 8 3 6" xfId="32084" xr:uid="{00000000-0005-0000-0000-00008E7D0000}"/>
    <cellStyle name="Input 8 8 4" xfId="32085" xr:uid="{00000000-0005-0000-0000-00008F7D0000}"/>
    <cellStyle name="Input 8 8 4 2" xfId="32086" xr:uid="{00000000-0005-0000-0000-0000907D0000}"/>
    <cellStyle name="Input 8 8 4 3" xfId="32087" xr:uid="{00000000-0005-0000-0000-0000917D0000}"/>
    <cellStyle name="Input 8 8 4 4" xfId="32088" xr:uid="{00000000-0005-0000-0000-0000927D0000}"/>
    <cellStyle name="Input 8 8 5" xfId="32089" xr:uid="{00000000-0005-0000-0000-0000937D0000}"/>
    <cellStyle name="Input 8 8 6" xfId="32090" xr:uid="{00000000-0005-0000-0000-0000947D0000}"/>
    <cellStyle name="Input 8 9" xfId="32091" xr:uid="{00000000-0005-0000-0000-0000957D0000}"/>
    <cellStyle name="Input 8 9 2" xfId="32092" xr:uid="{00000000-0005-0000-0000-0000967D0000}"/>
    <cellStyle name="Input 8 9 2 2" xfId="32093" xr:uid="{00000000-0005-0000-0000-0000977D0000}"/>
    <cellStyle name="Input 8 9 2 2 2" xfId="32094" xr:uid="{00000000-0005-0000-0000-0000987D0000}"/>
    <cellStyle name="Input 8 9 2 2 3" xfId="32095" xr:uid="{00000000-0005-0000-0000-0000997D0000}"/>
    <cellStyle name="Input 8 9 2 2 4" xfId="32096" xr:uid="{00000000-0005-0000-0000-00009A7D0000}"/>
    <cellStyle name="Input 8 9 2 3" xfId="32097" xr:uid="{00000000-0005-0000-0000-00009B7D0000}"/>
    <cellStyle name="Input 8 9 2 3 2" xfId="32098" xr:uid="{00000000-0005-0000-0000-00009C7D0000}"/>
    <cellStyle name="Input 8 9 2 3 3" xfId="32099" xr:uid="{00000000-0005-0000-0000-00009D7D0000}"/>
    <cellStyle name="Input 8 9 2 3 4" xfId="32100" xr:uid="{00000000-0005-0000-0000-00009E7D0000}"/>
    <cellStyle name="Input 8 9 2 4" xfId="32101" xr:uid="{00000000-0005-0000-0000-00009F7D0000}"/>
    <cellStyle name="Input 8 9 2 5" xfId="32102" xr:uid="{00000000-0005-0000-0000-0000A07D0000}"/>
    <cellStyle name="Input 8 9 2 6" xfId="32103" xr:uid="{00000000-0005-0000-0000-0000A17D0000}"/>
    <cellStyle name="Input 8 9 3" xfId="32104" xr:uid="{00000000-0005-0000-0000-0000A27D0000}"/>
    <cellStyle name="Input 8 9 3 2" xfId="32105" xr:uid="{00000000-0005-0000-0000-0000A37D0000}"/>
    <cellStyle name="Input 8 9 3 2 2" xfId="32106" xr:uid="{00000000-0005-0000-0000-0000A47D0000}"/>
    <cellStyle name="Input 8 9 3 2 3" xfId="32107" xr:uid="{00000000-0005-0000-0000-0000A57D0000}"/>
    <cellStyle name="Input 8 9 3 2 4" xfId="32108" xr:uid="{00000000-0005-0000-0000-0000A67D0000}"/>
    <cellStyle name="Input 8 9 3 3" xfId="32109" xr:uid="{00000000-0005-0000-0000-0000A77D0000}"/>
    <cellStyle name="Input 8 9 3 3 2" xfId="32110" xr:uid="{00000000-0005-0000-0000-0000A87D0000}"/>
    <cellStyle name="Input 8 9 3 3 3" xfId="32111" xr:uid="{00000000-0005-0000-0000-0000A97D0000}"/>
    <cellStyle name="Input 8 9 3 3 4" xfId="32112" xr:uid="{00000000-0005-0000-0000-0000AA7D0000}"/>
    <cellStyle name="Input 8 9 3 4" xfId="32113" xr:uid="{00000000-0005-0000-0000-0000AB7D0000}"/>
    <cellStyle name="Input 8 9 3 5" xfId="32114" xr:uid="{00000000-0005-0000-0000-0000AC7D0000}"/>
    <cellStyle name="Input 8 9 3 6" xfId="32115" xr:uid="{00000000-0005-0000-0000-0000AD7D0000}"/>
    <cellStyle name="Input 8 9 4" xfId="32116" xr:uid="{00000000-0005-0000-0000-0000AE7D0000}"/>
    <cellStyle name="Input 8 9 4 2" xfId="32117" xr:uid="{00000000-0005-0000-0000-0000AF7D0000}"/>
    <cellStyle name="Input 8 9 4 3" xfId="32118" xr:uid="{00000000-0005-0000-0000-0000B07D0000}"/>
    <cellStyle name="Input 8 9 4 4" xfId="32119" xr:uid="{00000000-0005-0000-0000-0000B17D0000}"/>
    <cellStyle name="Input 8 9 5" xfId="32120" xr:uid="{00000000-0005-0000-0000-0000B27D0000}"/>
    <cellStyle name="Input 8 9 6" xfId="32121" xr:uid="{00000000-0005-0000-0000-0000B37D0000}"/>
    <cellStyle name="Input 9" xfId="32122" xr:uid="{00000000-0005-0000-0000-0000B47D0000}"/>
    <cellStyle name="Input 9 10" xfId="32123" xr:uid="{00000000-0005-0000-0000-0000B57D0000}"/>
    <cellStyle name="Input 9 10 2" xfId="32124" xr:uid="{00000000-0005-0000-0000-0000B67D0000}"/>
    <cellStyle name="Input 9 10 2 2" xfId="32125" xr:uid="{00000000-0005-0000-0000-0000B77D0000}"/>
    <cellStyle name="Input 9 10 2 2 2" xfId="32126" xr:uid="{00000000-0005-0000-0000-0000B87D0000}"/>
    <cellStyle name="Input 9 10 2 2 3" xfId="32127" xr:uid="{00000000-0005-0000-0000-0000B97D0000}"/>
    <cellStyle name="Input 9 10 2 2 4" xfId="32128" xr:uid="{00000000-0005-0000-0000-0000BA7D0000}"/>
    <cellStyle name="Input 9 10 2 3" xfId="32129" xr:uid="{00000000-0005-0000-0000-0000BB7D0000}"/>
    <cellStyle name="Input 9 10 2 3 2" xfId="32130" xr:uid="{00000000-0005-0000-0000-0000BC7D0000}"/>
    <cellStyle name="Input 9 10 2 3 3" xfId="32131" xr:uid="{00000000-0005-0000-0000-0000BD7D0000}"/>
    <cellStyle name="Input 9 10 2 3 4" xfId="32132" xr:uid="{00000000-0005-0000-0000-0000BE7D0000}"/>
    <cellStyle name="Input 9 10 2 4" xfId="32133" xr:uid="{00000000-0005-0000-0000-0000BF7D0000}"/>
    <cellStyle name="Input 9 10 2 5" xfId="32134" xr:uid="{00000000-0005-0000-0000-0000C07D0000}"/>
    <cellStyle name="Input 9 10 2 6" xfId="32135" xr:uid="{00000000-0005-0000-0000-0000C17D0000}"/>
    <cellStyle name="Input 9 10 3" xfId="32136" xr:uid="{00000000-0005-0000-0000-0000C27D0000}"/>
    <cellStyle name="Input 9 10 3 2" xfId="32137" xr:uid="{00000000-0005-0000-0000-0000C37D0000}"/>
    <cellStyle name="Input 9 10 3 2 2" xfId="32138" xr:uid="{00000000-0005-0000-0000-0000C47D0000}"/>
    <cellStyle name="Input 9 10 3 2 3" xfId="32139" xr:uid="{00000000-0005-0000-0000-0000C57D0000}"/>
    <cellStyle name="Input 9 10 3 2 4" xfId="32140" xr:uid="{00000000-0005-0000-0000-0000C67D0000}"/>
    <cellStyle name="Input 9 10 3 3" xfId="32141" xr:uid="{00000000-0005-0000-0000-0000C77D0000}"/>
    <cellStyle name="Input 9 10 3 3 2" xfId="32142" xr:uid="{00000000-0005-0000-0000-0000C87D0000}"/>
    <cellStyle name="Input 9 10 3 3 3" xfId="32143" xr:uid="{00000000-0005-0000-0000-0000C97D0000}"/>
    <cellStyle name="Input 9 10 3 3 4" xfId="32144" xr:uid="{00000000-0005-0000-0000-0000CA7D0000}"/>
    <cellStyle name="Input 9 10 3 4" xfId="32145" xr:uid="{00000000-0005-0000-0000-0000CB7D0000}"/>
    <cellStyle name="Input 9 10 3 5" xfId="32146" xr:uid="{00000000-0005-0000-0000-0000CC7D0000}"/>
    <cellStyle name="Input 9 10 3 6" xfId="32147" xr:uid="{00000000-0005-0000-0000-0000CD7D0000}"/>
    <cellStyle name="Input 9 10 4" xfId="32148" xr:uid="{00000000-0005-0000-0000-0000CE7D0000}"/>
    <cellStyle name="Input 9 10 5" xfId="32149" xr:uid="{00000000-0005-0000-0000-0000CF7D0000}"/>
    <cellStyle name="Input 9 10 6" xfId="32150" xr:uid="{00000000-0005-0000-0000-0000D07D0000}"/>
    <cellStyle name="Input 9 11" xfId="32151" xr:uid="{00000000-0005-0000-0000-0000D17D0000}"/>
    <cellStyle name="Input 9 12" xfId="32152" xr:uid="{00000000-0005-0000-0000-0000D27D0000}"/>
    <cellStyle name="Input 9 2" xfId="32153" xr:uid="{00000000-0005-0000-0000-0000D37D0000}"/>
    <cellStyle name="Input 9 2 2" xfId="32154" xr:uid="{00000000-0005-0000-0000-0000D47D0000}"/>
    <cellStyle name="Input 9 2 2 2" xfId="32155" xr:uid="{00000000-0005-0000-0000-0000D57D0000}"/>
    <cellStyle name="Input 9 2 2 2 2" xfId="32156" xr:uid="{00000000-0005-0000-0000-0000D67D0000}"/>
    <cellStyle name="Input 9 2 2 2 2 2" xfId="32157" xr:uid="{00000000-0005-0000-0000-0000D77D0000}"/>
    <cellStyle name="Input 9 2 2 2 2 3" xfId="32158" xr:uid="{00000000-0005-0000-0000-0000D87D0000}"/>
    <cellStyle name="Input 9 2 2 2 2 4" xfId="32159" xr:uid="{00000000-0005-0000-0000-0000D97D0000}"/>
    <cellStyle name="Input 9 2 2 2 3" xfId="32160" xr:uid="{00000000-0005-0000-0000-0000DA7D0000}"/>
    <cellStyle name="Input 9 2 2 2 3 2" xfId="32161" xr:uid="{00000000-0005-0000-0000-0000DB7D0000}"/>
    <cellStyle name="Input 9 2 2 2 3 3" xfId="32162" xr:uid="{00000000-0005-0000-0000-0000DC7D0000}"/>
    <cellStyle name="Input 9 2 2 2 3 4" xfId="32163" xr:uid="{00000000-0005-0000-0000-0000DD7D0000}"/>
    <cellStyle name="Input 9 2 2 2 4" xfId="32164" xr:uid="{00000000-0005-0000-0000-0000DE7D0000}"/>
    <cellStyle name="Input 9 2 2 2 5" xfId="32165" xr:uid="{00000000-0005-0000-0000-0000DF7D0000}"/>
    <cellStyle name="Input 9 2 2 2 6" xfId="32166" xr:uid="{00000000-0005-0000-0000-0000E07D0000}"/>
    <cellStyle name="Input 9 2 2 3" xfId="32167" xr:uid="{00000000-0005-0000-0000-0000E17D0000}"/>
    <cellStyle name="Input 9 2 2 3 2" xfId="32168" xr:uid="{00000000-0005-0000-0000-0000E27D0000}"/>
    <cellStyle name="Input 9 2 2 3 2 2" xfId="32169" xr:uid="{00000000-0005-0000-0000-0000E37D0000}"/>
    <cellStyle name="Input 9 2 2 3 2 3" xfId="32170" xr:uid="{00000000-0005-0000-0000-0000E47D0000}"/>
    <cellStyle name="Input 9 2 2 3 2 4" xfId="32171" xr:uid="{00000000-0005-0000-0000-0000E57D0000}"/>
    <cellStyle name="Input 9 2 2 3 3" xfId="32172" xr:uid="{00000000-0005-0000-0000-0000E67D0000}"/>
    <cellStyle name="Input 9 2 2 3 3 2" xfId="32173" xr:uid="{00000000-0005-0000-0000-0000E77D0000}"/>
    <cellStyle name="Input 9 2 2 3 3 3" xfId="32174" xr:uid="{00000000-0005-0000-0000-0000E87D0000}"/>
    <cellStyle name="Input 9 2 2 3 3 4" xfId="32175" xr:uid="{00000000-0005-0000-0000-0000E97D0000}"/>
    <cellStyle name="Input 9 2 2 3 4" xfId="32176" xr:uid="{00000000-0005-0000-0000-0000EA7D0000}"/>
    <cellStyle name="Input 9 2 2 3 5" xfId="32177" xr:uid="{00000000-0005-0000-0000-0000EB7D0000}"/>
    <cellStyle name="Input 9 2 2 3 6" xfId="32178" xr:uid="{00000000-0005-0000-0000-0000EC7D0000}"/>
    <cellStyle name="Input 9 2 2 4" xfId="32179" xr:uid="{00000000-0005-0000-0000-0000ED7D0000}"/>
    <cellStyle name="Input 9 2 2 5" xfId="32180" xr:uid="{00000000-0005-0000-0000-0000EE7D0000}"/>
    <cellStyle name="Input 9 2 2 6" xfId="32181" xr:uid="{00000000-0005-0000-0000-0000EF7D0000}"/>
    <cellStyle name="Input 9 2 3" xfId="32182" xr:uid="{00000000-0005-0000-0000-0000F07D0000}"/>
    <cellStyle name="Input 9 2 4" xfId="32183" xr:uid="{00000000-0005-0000-0000-0000F17D0000}"/>
    <cellStyle name="Input 9 3" xfId="32184" xr:uid="{00000000-0005-0000-0000-0000F27D0000}"/>
    <cellStyle name="Input 9 3 2" xfId="32185" xr:uid="{00000000-0005-0000-0000-0000F37D0000}"/>
    <cellStyle name="Input 9 3 2 2" xfId="32186" xr:uid="{00000000-0005-0000-0000-0000F47D0000}"/>
    <cellStyle name="Input 9 3 2 2 2" xfId="32187" xr:uid="{00000000-0005-0000-0000-0000F57D0000}"/>
    <cellStyle name="Input 9 3 2 2 2 2" xfId="32188" xr:uid="{00000000-0005-0000-0000-0000F67D0000}"/>
    <cellStyle name="Input 9 3 2 2 2 3" xfId="32189" xr:uid="{00000000-0005-0000-0000-0000F77D0000}"/>
    <cellStyle name="Input 9 3 2 2 2 4" xfId="32190" xr:uid="{00000000-0005-0000-0000-0000F87D0000}"/>
    <cellStyle name="Input 9 3 2 2 3" xfId="32191" xr:uid="{00000000-0005-0000-0000-0000F97D0000}"/>
    <cellStyle name="Input 9 3 2 2 3 2" xfId="32192" xr:uid="{00000000-0005-0000-0000-0000FA7D0000}"/>
    <cellStyle name="Input 9 3 2 2 3 3" xfId="32193" xr:uid="{00000000-0005-0000-0000-0000FB7D0000}"/>
    <cellStyle name="Input 9 3 2 2 3 4" xfId="32194" xr:uid="{00000000-0005-0000-0000-0000FC7D0000}"/>
    <cellStyle name="Input 9 3 2 2 4" xfId="32195" xr:uid="{00000000-0005-0000-0000-0000FD7D0000}"/>
    <cellStyle name="Input 9 3 2 2 5" xfId="32196" xr:uid="{00000000-0005-0000-0000-0000FE7D0000}"/>
    <cellStyle name="Input 9 3 2 2 6" xfId="32197" xr:uid="{00000000-0005-0000-0000-0000FF7D0000}"/>
    <cellStyle name="Input 9 3 2 3" xfId="32198" xr:uid="{00000000-0005-0000-0000-0000007E0000}"/>
    <cellStyle name="Input 9 3 2 3 2" xfId="32199" xr:uid="{00000000-0005-0000-0000-0000017E0000}"/>
    <cellStyle name="Input 9 3 2 3 2 2" xfId="32200" xr:uid="{00000000-0005-0000-0000-0000027E0000}"/>
    <cellStyle name="Input 9 3 2 3 2 3" xfId="32201" xr:uid="{00000000-0005-0000-0000-0000037E0000}"/>
    <cellStyle name="Input 9 3 2 3 2 4" xfId="32202" xr:uid="{00000000-0005-0000-0000-0000047E0000}"/>
    <cellStyle name="Input 9 3 2 3 3" xfId="32203" xr:uid="{00000000-0005-0000-0000-0000057E0000}"/>
    <cellStyle name="Input 9 3 2 3 3 2" xfId="32204" xr:uid="{00000000-0005-0000-0000-0000067E0000}"/>
    <cellStyle name="Input 9 3 2 3 3 3" xfId="32205" xr:uid="{00000000-0005-0000-0000-0000077E0000}"/>
    <cellStyle name="Input 9 3 2 3 3 4" xfId="32206" xr:uid="{00000000-0005-0000-0000-0000087E0000}"/>
    <cellStyle name="Input 9 3 2 3 4" xfId="32207" xr:uid="{00000000-0005-0000-0000-0000097E0000}"/>
    <cellStyle name="Input 9 3 2 3 5" xfId="32208" xr:uid="{00000000-0005-0000-0000-00000A7E0000}"/>
    <cellStyle name="Input 9 3 2 3 6" xfId="32209" xr:uid="{00000000-0005-0000-0000-00000B7E0000}"/>
    <cellStyle name="Input 9 3 2 4" xfId="32210" xr:uid="{00000000-0005-0000-0000-00000C7E0000}"/>
    <cellStyle name="Input 9 3 2 5" xfId="32211" xr:uid="{00000000-0005-0000-0000-00000D7E0000}"/>
    <cellStyle name="Input 9 3 2 6" xfId="32212" xr:uid="{00000000-0005-0000-0000-00000E7E0000}"/>
    <cellStyle name="Input 9 3 3" xfId="32213" xr:uid="{00000000-0005-0000-0000-00000F7E0000}"/>
    <cellStyle name="Input 9 3 4" xfId="32214" xr:uid="{00000000-0005-0000-0000-0000107E0000}"/>
    <cellStyle name="Input 9 4" xfId="32215" xr:uid="{00000000-0005-0000-0000-0000117E0000}"/>
    <cellStyle name="Input 9 4 2" xfId="32216" xr:uid="{00000000-0005-0000-0000-0000127E0000}"/>
    <cellStyle name="Input 9 4 2 2" xfId="32217" xr:uid="{00000000-0005-0000-0000-0000137E0000}"/>
    <cellStyle name="Input 9 4 2 2 2" xfId="32218" xr:uid="{00000000-0005-0000-0000-0000147E0000}"/>
    <cellStyle name="Input 9 4 2 2 2 2" xfId="32219" xr:uid="{00000000-0005-0000-0000-0000157E0000}"/>
    <cellStyle name="Input 9 4 2 2 2 3" xfId="32220" xr:uid="{00000000-0005-0000-0000-0000167E0000}"/>
    <cellStyle name="Input 9 4 2 2 2 4" xfId="32221" xr:uid="{00000000-0005-0000-0000-0000177E0000}"/>
    <cellStyle name="Input 9 4 2 2 3" xfId="32222" xr:uid="{00000000-0005-0000-0000-0000187E0000}"/>
    <cellStyle name="Input 9 4 2 2 3 2" xfId="32223" xr:uid="{00000000-0005-0000-0000-0000197E0000}"/>
    <cellStyle name="Input 9 4 2 2 3 3" xfId="32224" xr:uid="{00000000-0005-0000-0000-00001A7E0000}"/>
    <cellStyle name="Input 9 4 2 2 3 4" xfId="32225" xr:uid="{00000000-0005-0000-0000-00001B7E0000}"/>
    <cellStyle name="Input 9 4 2 2 4" xfId="32226" xr:uid="{00000000-0005-0000-0000-00001C7E0000}"/>
    <cellStyle name="Input 9 4 2 2 5" xfId="32227" xr:uid="{00000000-0005-0000-0000-00001D7E0000}"/>
    <cellStyle name="Input 9 4 2 2 6" xfId="32228" xr:uid="{00000000-0005-0000-0000-00001E7E0000}"/>
    <cellStyle name="Input 9 4 2 3" xfId="32229" xr:uid="{00000000-0005-0000-0000-00001F7E0000}"/>
    <cellStyle name="Input 9 4 2 3 2" xfId="32230" xr:uid="{00000000-0005-0000-0000-0000207E0000}"/>
    <cellStyle name="Input 9 4 2 3 2 2" xfId="32231" xr:uid="{00000000-0005-0000-0000-0000217E0000}"/>
    <cellStyle name="Input 9 4 2 3 2 3" xfId="32232" xr:uid="{00000000-0005-0000-0000-0000227E0000}"/>
    <cellStyle name="Input 9 4 2 3 2 4" xfId="32233" xr:uid="{00000000-0005-0000-0000-0000237E0000}"/>
    <cellStyle name="Input 9 4 2 3 3" xfId="32234" xr:uid="{00000000-0005-0000-0000-0000247E0000}"/>
    <cellStyle name="Input 9 4 2 3 3 2" xfId="32235" xr:uid="{00000000-0005-0000-0000-0000257E0000}"/>
    <cellStyle name="Input 9 4 2 3 3 3" xfId="32236" xr:uid="{00000000-0005-0000-0000-0000267E0000}"/>
    <cellStyle name="Input 9 4 2 3 3 4" xfId="32237" xr:uid="{00000000-0005-0000-0000-0000277E0000}"/>
    <cellStyle name="Input 9 4 2 3 4" xfId="32238" xr:uid="{00000000-0005-0000-0000-0000287E0000}"/>
    <cellStyle name="Input 9 4 2 3 5" xfId="32239" xr:uid="{00000000-0005-0000-0000-0000297E0000}"/>
    <cellStyle name="Input 9 4 2 3 6" xfId="32240" xr:uid="{00000000-0005-0000-0000-00002A7E0000}"/>
    <cellStyle name="Input 9 4 2 4" xfId="32241" xr:uid="{00000000-0005-0000-0000-00002B7E0000}"/>
    <cellStyle name="Input 9 4 2 5" xfId="32242" xr:uid="{00000000-0005-0000-0000-00002C7E0000}"/>
    <cellStyle name="Input 9 4 2 6" xfId="32243" xr:uid="{00000000-0005-0000-0000-00002D7E0000}"/>
    <cellStyle name="Input 9 4 3" xfId="32244" xr:uid="{00000000-0005-0000-0000-00002E7E0000}"/>
    <cellStyle name="Input 9 4 4" xfId="32245" xr:uid="{00000000-0005-0000-0000-00002F7E0000}"/>
    <cellStyle name="Input 9 5" xfId="32246" xr:uid="{00000000-0005-0000-0000-0000307E0000}"/>
    <cellStyle name="Input 9 5 2" xfId="32247" xr:uid="{00000000-0005-0000-0000-0000317E0000}"/>
    <cellStyle name="Input 9 5 2 2" xfId="32248" xr:uid="{00000000-0005-0000-0000-0000327E0000}"/>
    <cellStyle name="Input 9 5 2 2 2" xfId="32249" xr:uid="{00000000-0005-0000-0000-0000337E0000}"/>
    <cellStyle name="Input 9 5 2 2 2 2" xfId="32250" xr:uid="{00000000-0005-0000-0000-0000347E0000}"/>
    <cellStyle name="Input 9 5 2 2 2 3" xfId="32251" xr:uid="{00000000-0005-0000-0000-0000357E0000}"/>
    <cellStyle name="Input 9 5 2 2 2 4" xfId="32252" xr:uid="{00000000-0005-0000-0000-0000367E0000}"/>
    <cellStyle name="Input 9 5 2 2 3" xfId="32253" xr:uid="{00000000-0005-0000-0000-0000377E0000}"/>
    <cellStyle name="Input 9 5 2 2 3 2" xfId="32254" xr:uid="{00000000-0005-0000-0000-0000387E0000}"/>
    <cellStyle name="Input 9 5 2 2 3 3" xfId="32255" xr:uid="{00000000-0005-0000-0000-0000397E0000}"/>
    <cellStyle name="Input 9 5 2 2 3 4" xfId="32256" xr:uid="{00000000-0005-0000-0000-00003A7E0000}"/>
    <cellStyle name="Input 9 5 2 2 4" xfId="32257" xr:uid="{00000000-0005-0000-0000-00003B7E0000}"/>
    <cellStyle name="Input 9 5 2 2 5" xfId="32258" xr:uid="{00000000-0005-0000-0000-00003C7E0000}"/>
    <cellStyle name="Input 9 5 2 2 6" xfId="32259" xr:uid="{00000000-0005-0000-0000-00003D7E0000}"/>
    <cellStyle name="Input 9 5 2 3" xfId="32260" xr:uid="{00000000-0005-0000-0000-00003E7E0000}"/>
    <cellStyle name="Input 9 5 2 3 2" xfId="32261" xr:uid="{00000000-0005-0000-0000-00003F7E0000}"/>
    <cellStyle name="Input 9 5 2 3 2 2" xfId="32262" xr:uid="{00000000-0005-0000-0000-0000407E0000}"/>
    <cellStyle name="Input 9 5 2 3 2 3" xfId="32263" xr:uid="{00000000-0005-0000-0000-0000417E0000}"/>
    <cellStyle name="Input 9 5 2 3 2 4" xfId="32264" xr:uid="{00000000-0005-0000-0000-0000427E0000}"/>
    <cellStyle name="Input 9 5 2 3 3" xfId="32265" xr:uid="{00000000-0005-0000-0000-0000437E0000}"/>
    <cellStyle name="Input 9 5 2 3 3 2" xfId="32266" xr:uid="{00000000-0005-0000-0000-0000447E0000}"/>
    <cellStyle name="Input 9 5 2 3 3 3" xfId="32267" xr:uid="{00000000-0005-0000-0000-0000457E0000}"/>
    <cellStyle name="Input 9 5 2 3 3 4" xfId="32268" xr:uid="{00000000-0005-0000-0000-0000467E0000}"/>
    <cellStyle name="Input 9 5 2 3 4" xfId="32269" xr:uid="{00000000-0005-0000-0000-0000477E0000}"/>
    <cellStyle name="Input 9 5 2 3 5" xfId="32270" xr:uid="{00000000-0005-0000-0000-0000487E0000}"/>
    <cellStyle name="Input 9 5 2 3 6" xfId="32271" xr:uid="{00000000-0005-0000-0000-0000497E0000}"/>
    <cellStyle name="Input 9 5 2 4" xfId="32272" xr:uid="{00000000-0005-0000-0000-00004A7E0000}"/>
    <cellStyle name="Input 9 5 2 5" xfId="32273" xr:uid="{00000000-0005-0000-0000-00004B7E0000}"/>
    <cellStyle name="Input 9 5 2 6" xfId="32274" xr:uid="{00000000-0005-0000-0000-00004C7E0000}"/>
    <cellStyle name="Input 9 5 3" xfId="32275" xr:uid="{00000000-0005-0000-0000-00004D7E0000}"/>
    <cellStyle name="Input 9 5 4" xfId="32276" xr:uid="{00000000-0005-0000-0000-00004E7E0000}"/>
    <cellStyle name="Input 9 6" xfId="32277" xr:uid="{00000000-0005-0000-0000-00004F7E0000}"/>
    <cellStyle name="Input 9 6 2" xfId="32278" xr:uid="{00000000-0005-0000-0000-0000507E0000}"/>
    <cellStyle name="Input 9 6 2 2" xfId="32279" xr:uid="{00000000-0005-0000-0000-0000517E0000}"/>
    <cellStyle name="Input 9 6 2 2 2" xfId="32280" xr:uid="{00000000-0005-0000-0000-0000527E0000}"/>
    <cellStyle name="Input 9 6 2 2 3" xfId="32281" xr:uid="{00000000-0005-0000-0000-0000537E0000}"/>
    <cellStyle name="Input 9 6 2 2 4" xfId="32282" xr:uid="{00000000-0005-0000-0000-0000547E0000}"/>
    <cellStyle name="Input 9 6 2 3" xfId="32283" xr:uid="{00000000-0005-0000-0000-0000557E0000}"/>
    <cellStyle name="Input 9 6 2 3 2" xfId="32284" xr:uid="{00000000-0005-0000-0000-0000567E0000}"/>
    <cellStyle name="Input 9 6 2 3 3" xfId="32285" xr:uid="{00000000-0005-0000-0000-0000577E0000}"/>
    <cellStyle name="Input 9 6 2 3 4" xfId="32286" xr:uid="{00000000-0005-0000-0000-0000587E0000}"/>
    <cellStyle name="Input 9 6 2 4" xfId="32287" xr:uid="{00000000-0005-0000-0000-0000597E0000}"/>
    <cellStyle name="Input 9 6 2 5" xfId="32288" xr:uid="{00000000-0005-0000-0000-00005A7E0000}"/>
    <cellStyle name="Input 9 6 2 6" xfId="32289" xr:uid="{00000000-0005-0000-0000-00005B7E0000}"/>
    <cellStyle name="Input 9 6 3" xfId="32290" xr:uid="{00000000-0005-0000-0000-00005C7E0000}"/>
    <cellStyle name="Input 9 6 3 2" xfId="32291" xr:uid="{00000000-0005-0000-0000-00005D7E0000}"/>
    <cellStyle name="Input 9 6 3 2 2" xfId="32292" xr:uid="{00000000-0005-0000-0000-00005E7E0000}"/>
    <cellStyle name="Input 9 6 3 2 3" xfId="32293" xr:uid="{00000000-0005-0000-0000-00005F7E0000}"/>
    <cellStyle name="Input 9 6 3 2 4" xfId="32294" xr:uid="{00000000-0005-0000-0000-0000607E0000}"/>
    <cellStyle name="Input 9 6 3 3" xfId="32295" xr:uid="{00000000-0005-0000-0000-0000617E0000}"/>
    <cellStyle name="Input 9 6 3 3 2" xfId="32296" xr:uid="{00000000-0005-0000-0000-0000627E0000}"/>
    <cellStyle name="Input 9 6 3 3 3" xfId="32297" xr:uid="{00000000-0005-0000-0000-0000637E0000}"/>
    <cellStyle name="Input 9 6 3 3 4" xfId="32298" xr:uid="{00000000-0005-0000-0000-0000647E0000}"/>
    <cellStyle name="Input 9 6 3 4" xfId="32299" xr:uid="{00000000-0005-0000-0000-0000657E0000}"/>
    <cellStyle name="Input 9 6 3 5" xfId="32300" xr:uid="{00000000-0005-0000-0000-0000667E0000}"/>
    <cellStyle name="Input 9 6 3 6" xfId="32301" xr:uid="{00000000-0005-0000-0000-0000677E0000}"/>
    <cellStyle name="Input 9 6 4" xfId="32302" xr:uid="{00000000-0005-0000-0000-0000687E0000}"/>
    <cellStyle name="Input 9 6 4 2" xfId="32303" xr:uid="{00000000-0005-0000-0000-0000697E0000}"/>
    <cellStyle name="Input 9 6 4 3" xfId="32304" xr:uid="{00000000-0005-0000-0000-00006A7E0000}"/>
    <cellStyle name="Input 9 6 4 4" xfId="32305" xr:uid="{00000000-0005-0000-0000-00006B7E0000}"/>
    <cellStyle name="Input 9 6 5" xfId="32306" xr:uid="{00000000-0005-0000-0000-00006C7E0000}"/>
    <cellStyle name="Input 9 6 6" xfId="32307" xr:uid="{00000000-0005-0000-0000-00006D7E0000}"/>
    <cellStyle name="Input 9 7" xfId="32308" xr:uid="{00000000-0005-0000-0000-00006E7E0000}"/>
    <cellStyle name="Input 9 7 2" xfId="32309" xr:uid="{00000000-0005-0000-0000-00006F7E0000}"/>
    <cellStyle name="Input 9 7 2 2" xfId="32310" xr:uid="{00000000-0005-0000-0000-0000707E0000}"/>
    <cellStyle name="Input 9 7 2 2 2" xfId="32311" xr:uid="{00000000-0005-0000-0000-0000717E0000}"/>
    <cellStyle name="Input 9 7 2 2 3" xfId="32312" xr:uid="{00000000-0005-0000-0000-0000727E0000}"/>
    <cellStyle name="Input 9 7 2 2 4" xfId="32313" xr:uid="{00000000-0005-0000-0000-0000737E0000}"/>
    <cellStyle name="Input 9 7 2 3" xfId="32314" xr:uid="{00000000-0005-0000-0000-0000747E0000}"/>
    <cellStyle name="Input 9 7 2 3 2" xfId="32315" xr:uid="{00000000-0005-0000-0000-0000757E0000}"/>
    <cellStyle name="Input 9 7 2 3 3" xfId="32316" xr:uid="{00000000-0005-0000-0000-0000767E0000}"/>
    <cellStyle name="Input 9 7 2 3 4" xfId="32317" xr:uid="{00000000-0005-0000-0000-0000777E0000}"/>
    <cellStyle name="Input 9 7 2 4" xfId="32318" xr:uid="{00000000-0005-0000-0000-0000787E0000}"/>
    <cellStyle name="Input 9 7 2 5" xfId="32319" xr:uid="{00000000-0005-0000-0000-0000797E0000}"/>
    <cellStyle name="Input 9 7 2 6" xfId="32320" xr:uid="{00000000-0005-0000-0000-00007A7E0000}"/>
    <cellStyle name="Input 9 7 3" xfId="32321" xr:uid="{00000000-0005-0000-0000-00007B7E0000}"/>
    <cellStyle name="Input 9 7 3 2" xfId="32322" xr:uid="{00000000-0005-0000-0000-00007C7E0000}"/>
    <cellStyle name="Input 9 7 3 2 2" xfId="32323" xr:uid="{00000000-0005-0000-0000-00007D7E0000}"/>
    <cellStyle name="Input 9 7 3 2 3" xfId="32324" xr:uid="{00000000-0005-0000-0000-00007E7E0000}"/>
    <cellStyle name="Input 9 7 3 2 4" xfId="32325" xr:uid="{00000000-0005-0000-0000-00007F7E0000}"/>
    <cellStyle name="Input 9 7 3 3" xfId="32326" xr:uid="{00000000-0005-0000-0000-0000807E0000}"/>
    <cellStyle name="Input 9 7 3 3 2" xfId="32327" xr:uid="{00000000-0005-0000-0000-0000817E0000}"/>
    <cellStyle name="Input 9 7 3 3 3" xfId="32328" xr:uid="{00000000-0005-0000-0000-0000827E0000}"/>
    <cellStyle name="Input 9 7 3 3 4" xfId="32329" xr:uid="{00000000-0005-0000-0000-0000837E0000}"/>
    <cellStyle name="Input 9 7 3 4" xfId="32330" xr:uid="{00000000-0005-0000-0000-0000847E0000}"/>
    <cellStyle name="Input 9 7 3 5" xfId="32331" xr:uid="{00000000-0005-0000-0000-0000857E0000}"/>
    <cellStyle name="Input 9 7 3 6" xfId="32332" xr:uid="{00000000-0005-0000-0000-0000867E0000}"/>
    <cellStyle name="Input 9 7 4" xfId="32333" xr:uid="{00000000-0005-0000-0000-0000877E0000}"/>
    <cellStyle name="Input 9 7 4 2" xfId="32334" xr:uid="{00000000-0005-0000-0000-0000887E0000}"/>
    <cellStyle name="Input 9 7 4 3" xfId="32335" xr:uid="{00000000-0005-0000-0000-0000897E0000}"/>
    <cellStyle name="Input 9 7 4 4" xfId="32336" xr:uid="{00000000-0005-0000-0000-00008A7E0000}"/>
    <cellStyle name="Input 9 7 5" xfId="32337" xr:uid="{00000000-0005-0000-0000-00008B7E0000}"/>
    <cellStyle name="Input 9 7 6" xfId="32338" xr:uid="{00000000-0005-0000-0000-00008C7E0000}"/>
    <cellStyle name="Input 9 8" xfId="32339" xr:uid="{00000000-0005-0000-0000-00008D7E0000}"/>
    <cellStyle name="Input 9 8 2" xfId="32340" xr:uid="{00000000-0005-0000-0000-00008E7E0000}"/>
    <cellStyle name="Input 9 8 2 2" xfId="32341" xr:uid="{00000000-0005-0000-0000-00008F7E0000}"/>
    <cellStyle name="Input 9 8 2 2 2" xfId="32342" xr:uid="{00000000-0005-0000-0000-0000907E0000}"/>
    <cellStyle name="Input 9 8 2 2 3" xfId="32343" xr:uid="{00000000-0005-0000-0000-0000917E0000}"/>
    <cellStyle name="Input 9 8 2 2 4" xfId="32344" xr:uid="{00000000-0005-0000-0000-0000927E0000}"/>
    <cellStyle name="Input 9 8 2 3" xfId="32345" xr:uid="{00000000-0005-0000-0000-0000937E0000}"/>
    <cellStyle name="Input 9 8 2 3 2" xfId="32346" xr:uid="{00000000-0005-0000-0000-0000947E0000}"/>
    <cellStyle name="Input 9 8 2 3 3" xfId="32347" xr:uid="{00000000-0005-0000-0000-0000957E0000}"/>
    <cellStyle name="Input 9 8 2 3 4" xfId="32348" xr:uid="{00000000-0005-0000-0000-0000967E0000}"/>
    <cellStyle name="Input 9 8 2 4" xfId="32349" xr:uid="{00000000-0005-0000-0000-0000977E0000}"/>
    <cellStyle name="Input 9 8 2 5" xfId="32350" xr:uid="{00000000-0005-0000-0000-0000987E0000}"/>
    <cellStyle name="Input 9 8 2 6" xfId="32351" xr:uid="{00000000-0005-0000-0000-0000997E0000}"/>
    <cellStyle name="Input 9 8 3" xfId="32352" xr:uid="{00000000-0005-0000-0000-00009A7E0000}"/>
    <cellStyle name="Input 9 8 3 2" xfId="32353" xr:uid="{00000000-0005-0000-0000-00009B7E0000}"/>
    <cellStyle name="Input 9 8 3 2 2" xfId="32354" xr:uid="{00000000-0005-0000-0000-00009C7E0000}"/>
    <cellStyle name="Input 9 8 3 2 3" xfId="32355" xr:uid="{00000000-0005-0000-0000-00009D7E0000}"/>
    <cellStyle name="Input 9 8 3 2 4" xfId="32356" xr:uid="{00000000-0005-0000-0000-00009E7E0000}"/>
    <cellStyle name="Input 9 8 3 3" xfId="32357" xr:uid="{00000000-0005-0000-0000-00009F7E0000}"/>
    <cellStyle name="Input 9 8 3 3 2" xfId="32358" xr:uid="{00000000-0005-0000-0000-0000A07E0000}"/>
    <cellStyle name="Input 9 8 3 3 3" xfId="32359" xr:uid="{00000000-0005-0000-0000-0000A17E0000}"/>
    <cellStyle name="Input 9 8 3 3 4" xfId="32360" xr:uid="{00000000-0005-0000-0000-0000A27E0000}"/>
    <cellStyle name="Input 9 8 3 4" xfId="32361" xr:uid="{00000000-0005-0000-0000-0000A37E0000}"/>
    <cellStyle name="Input 9 8 3 5" xfId="32362" xr:uid="{00000000-0005-0000-0000-0000A47E0000}"/>
    <cellStyle name="Input 9 8 3 6" xfId="32363" xr:uid="{00000000-0005-0000-0000-0000A57E0000}"/>
    <cellStyle name="Input 9 8 4" xfId="32364" xr:uid="{00000000-0005-0000-0000-0000A67E0000}"/>
    <cellStyle name="Input 9 8 4 2" xfId="32365" xr:uid="{00000000-0005-0000-0000-0000A77E0000}"/>
    <cellStyle name="Input 9 8 4 3" xfId="32366" xr:uid="{00000000-0005-0000-0000-0000A87E0000}"/>
    <cellStyle name="Input 9 8 4 4" xfId="32367" xr:uid="{00000000-0005-0000-0000-0000A97E0000}"/>
    <cellStyle name="Input 9 8 5" xfId="32368" xr:uid="{00000000-0005-0000-0000-0000AA7E0000}"/>
    <cellStyle name="Input 9 8 6" xfId="32369" xr:uid="{00000000-0005-0000-0000-0000AB7E0000}"/>
    <cellStyle name="Input 9 9" xfId="32370" xr:uid="{00000000-0005-0000-0000-0000AC7E0000}"/>
    <cellStyle name="Input 9 9 2" xfId="32371" xr:uid="{00000000-0005-0000-0000-0000AD7E0000}"/>
    <cellStyle name="Input 9 9 2 2" xfId="32372" xr:uid="{00000000-0005-0000-0000-0000AE7E0000}"/>
    <cellStyle name="Input 9 9 2 2 2" xfId="32373" xr:uid="{00000000-0005-0000-0000-0000AF7E0000}"/>
    <cellStyle name="Input 9 9 2 2 3" xfId="32374" xr:uid="{00000000-0005-0000-0000-0000B07E0000}"/>
    <cellStyle name="Input 9 9 2 2 4" xfId="32375" xr:uid="{00000000-0005-0000-0000-0000B17E0000}"/>
    <cellStyle name="Input 9 9 2 3" xfId="32376" xr:uid="{00000000-0005-0000-0000-0000B27E0000}"/>
    <cellStyle name="Input 9 9 2 3 2" xfId="32377" xr:uid="{00000000-0005-0000-0000-0000B37E0000}"/>
    <cellStyle name="Input 9 9 2 3 3" xfId="32378" xr:uid="{00000000-0005-0000-0000-0000B47E0000}"/>
    <cellStyle name="Input 9 9 2 3 4" xfId="32379" xr:uid="{00000000-0005-0000-0000-0000B57E0000}"/>
    <cellStyle name="Input 9 9 2 4" xfId="32380" xr:uid="{00000000-0005-0000-0000-0000B67E0000}"/>
    <cellStyle name="Input 9 9 2 5" xfId="32381" xr:uid="{00000000-0005-0000-0000-0000B77E0000}"/>
    <cellStyle name="Input 9 9 2 6" xfId="32382" xr:uid="{00000000-0005-0000-0000-0000B87E0000}"/>
    <cellStyle name="Input 9 9 3" xfId="32383" xr:uid="{00000000-0005-0000-0000-0000B97E0000}"/>
    <cellStyle name="Input 9 9 3 2" xfId="32384" xr:uid="{00000000-0005-0000-0000-0000BA7E0000}"/>
    <cellStyle name="Input 9 9 3 2 2" xfId="32385" xr:uid="{00000000-0005-0000-0000-0000BB7E0000}"/>
    <cellStyle name="Input 9 9 3 2 3" xfId="32386" xr:uid="{00000000-0005-0000-0000-0000BC7E0000}"/>
    <cellStyle name="Input 9 9 3 2 4" xfId="32387" xr:uid="{00000000-0005-0000-0000-0000BD7E0000}"/>
    <cellStyle name="Input 9 9 3 3" xfId="32388" xr:uid="{00000000-0005-0000-0000-0000BE7E0000}"/>
    <cellStyle name="Input 9 9 3 3 2" xfId="32389" xr:uid="{00000000-0005-0000-0000-0000BF7E0000}"/>
    <cellStyle name="Input 9 9 3 3 3" xfId="32390" xr:uid="{00000000-0005-0000-0000-0000C07E0000}"/>
    <cellStyle name="Input 9 9 3 3 4" xfId="32391" xr:uid="{00000000-0005-0000-0000-0000C17E0000}"/>
    <cellStyle name="Input 9 9 3 4" xfId="32392" xr:uid="{00000000-0005-0000-0000-0000C27E0000}"/>
    <cellStyle name="Input 9 9 3 5" xfId="32393" xr:uid="{00000000-0005-0000-0000-0000C37E0000}"/>
    <cellStyle name="Input 9 9 3 6" xfId="32394" xr:uid="{00000000-0005-0000-0000-0000C47E0000}"/>
    <cellStyle name="Input 9 9 4" xfId="32395" xr:uid="{00000000-0005-0000-0000-0000C57E0000}"/>
    <cellStyle name="Input 9 9 4 2" xfId="32396" xr:uid="{00000000-0005-0000-0000-0000C67E0000}"/>
    <cellStyle name="Input 9 9 4 3" xfId="32397" xr:uid="{00000000-0005-0000-0000-0000C77E0000}"/>
    <cellStyle name="Input 9 9 4 4" xfId="32398" xr:uid="{00000000-0005-0000-0000-0000C87E0000}"/>
    <cellStyle name="Input 9 9 5" xfId="32399" xr:uid="{00000000-0005-0000-0000-0000C97E0000}"/>
    <cellStyle name="Input 9 9 6" xfId="32400" xr:uid="{00000000-0005-0000-0000-0000CA7E0000}"/>
    <cellStyle name="Input Cells" xfId="32401" xr:uid="{00000000-0005-0000-0000-0000CB7E0000}"/>
    <cellStyle name="Input Cells 10" xfId="32402" xr:uid="{00000000-0005-0000-0000-0000CC7E0000}"/>
    <cellStyle name="Input Cells 11" xfId="32403" xr:uid="{00000000-0005-0000-0000-0000CD7E0000}"/>
    <cellStyle name="Input Cells 12" xfId="32404" xr:uid="{00000000-0005-0000-0000-0000CE7E0000}"/>
    <cellStyle name="Input Cells 13" xfId="32405" xr:uid="{00000000-0005-0000-0000-0000CF7E0000}"/>
    <cellStyle name="Input Cells 14" xfId="32406" xr:uid="{00000000-0005-0000-0000-0000D07E0000}"/>
    <cellStyle name="Input Cells 15" xfId="32407" xr:uid="{00000000-0005-0000-0000-0000D17E0000}"/>
    <cellStyle name="Input Cells 16" xfId="32408" xr:uid="{00000000-0005-0000-0000-0000D27E0000}"/>
    <cellStyle name="Input Cells 17" xfId="32409" xr:uid="{00000000-0005-0000-0000-0000D37E0000}"/>
    <cellStyle name="Input Cells 18" xfId="32410" xr:uid="{00000000-0005-0000-0000-0000D47E0000}"/>
    <cellStyle name="Input Cells 19" xfId="32411" xr:uid="{00000000-0005-0000-0000-0000D57E0000}"/>
    <cellStyle name="Input Cells 2" xfId="32412" xr:uid="{00000000-0005-0000-0000-0000D67E0000}"/>
    <cellStyle name="Input Cells 20" xfId="32413" xr:uid="{00000000-0005-0000-0000-0000D77E0000}"/>
    <cellStyle name="Input Cells 21" xfId="32414" xr:uid="{00000000-0005-0000-0000-0000D87E0000}"/>
    <cellStyle name="Input Cells 3" xfId="32415" xr:uid="{00000000-0005-0000-0000-0000D97E0000}"/>
    <cellStyle name="Input Cells 4" xfId="32416" xr:uid="{00000000-0005-0000-0000-0000DA7E0000}"/>
    <cellStyle name="Input Cells 5" xfId="32417" xr:uid="{00000000-0005-0000-0000-0000DB7E0000}"/>
    <cellStyle name="Input Cells 6" xfId="32418" xr:uid="{00000000-0005-0000-0000-0000DC7E0000}"/>
    <cellStyle name="Input Cells 7" xfId="32419" xr:uid="{00000000-0005-0000-0000-0000DD7E0000}"/>
    <cellStyle name="Input Cells 8" xfId="32420" xr:uid="{00000000-0005-0000-0000-0000DE7E0000}"/>
    <cellStyle name="Input Cells 9" xfId="32421" xr:uid="{00000000-0005-0000-0000-0000DF7E0000}"/>
    <cellStyle name="InputData" xfId="32422" xr:uid="{00000000-0005-0000-0000-0000E07E0000}"/>
    <cellStyle name="InputTag" xfId="32423" xr:uid="{00000000-0005-0000-0000-0000E17E0000}"/>
    <cellStyle name="InputTime" xfId="32424" xr:uid="{00000000-0005-0000-0000-0000E27E0000}"/>
    <cellStyle name="Kg." xfId="58831" xr:uid="{00000000-0005-0000-0000-0000E37E0000}"/>
    <cellStyle name="Kg./m³" xfId="58832" xr:uid="{00000000-0005-0000-0000-0000E47E0000}"/>
    <cellStyle name="Kg-m" xfId="58833" xr:uid="{00000000-0005-0000-0000-0000E57E0000}"/>
    <cellStyle name="Kilos" xfId="58834" xr:uid="{00000000-0005-0000-0000-0000E67E0000}"/>
    <cellStyle name="Km/gal" xfId="58835" xr:uid="{00000000-0005-0000-0000-0000E77E0000}"/>
    <cellStyle name="Km/hr" xfId="58836" xr:uid="{00000000-0005-0000-0000-0000E87E0000}"/>
    <cellStyle name="l/hr" xfId="58837" xr:uid="{00000000-0005-0000-0000-0000E97E0000}"/>
    <cellStyle name="Linked Cell 2" xfId="32426" xr:uid="{00000000-0005-0000-0000-0000EA7E0000}"/>
    <cellStyle name="Linked Cells" xfId="32427" xr:uid="{00000000-0005-0000-0000-0000EB7E0000}"/>
    <cellStyle name="Linked Cells 10" xfId="32428" xr:uid="{00000000-0005-0000-0000-0000EC7E0000}"/>
    <cellStyle name="Linked Cells 11" xfId="32429" xr:uid="{00000000-0005-0000-0000-0000ED7E0000}"/>
    <cellStyle name="Linked Cells 12" xfId="32430" xr:uid="{00000000-0005-0000-0000-0000EE7E0000}"/>
    <cellStyle name="Linked Cells 13" xfId="32431" xr:uid="{00000000-0005-0000-0000-0000EF7E0000}"/>
    <cellStyle name="Linked Cells 14" xfId="32432" xr:uid="{00000000-0005-0000-0000-0000F07E0000}"/>
    <cellStyle name="Linked Cells 15" xfId="32433" xr:uid="{00000000-0005-0000-0000-0000F17E0000}"/>
    <cellStyle name="Linked Cells 16" xfId="32434" xr:uid="{00000000-0005-0000-0000-0000F27E0000}"/>
    <cellStyle name="Linked Cells 17" xfId="32435" xr:uid="{00000000-0005-0000-0000-0000F37E0000}"/>
    <cellStyle name="Linked Cells 18" xfId="32436" xr:uid="{00000000-0005-0000-0000-0000F47E0000}"/>
    <cellStyle name="Linked Cells 19" xfId="32437" xr:uid="{00000000-0005-0000-0000-0000F57E0000}"/>
    <cellStyle name="Linked Cells 2" xfId="32438" xr:uid="{00000000-0005-0000-0000-0000F67E0000}"/>
    <cellStyle name="Linked Cells 20" xfId="32439" xr:uid="{00000000-0005-0000-0000-0000F77E0000}"/>
    <cellStyle name="Linked Cells 21" xfId="32440" xr:uid="{00000000-0005-0000-0000-0000F87E0000}"/>
    <cellStyle name="Linked Cells 3" xfId="32441" xr:uid="{00000000-0005-0000-0000-0000F97E0000}"/>
    <cellStyle name="Linked Cells 4" xfId="32442" xr:uid="{00000000-0005-0000-0000-0000FA7E0000}"/>
    <cellStyle name="Linked Cells 5" xfId="32443" xr:uid="{00000000-0005-0000-0000-0000FB7E0000}"/>
    <cellStyle name="Linked Cells 6" xfId="32444" xr:uid="{00000000-0005-0000-0000-0000FC7E0000}"/>
    <cellStyle name="Linked Cells 7" xfId="32445" xr:uid="{00000000-0005-0000-0000-0000FD7E0000}"/>
    <cellStyle name="Linked Cells 8" xfId="32446" xr:uid="{00000000-0005-0000-0000-0000FE7E0000}"/>
    <cellStyle name="Linked Cells 9" xfId="32447" xr:uid="{00000000-0005-0000-0000-0000FF7E0000}"/>
    <cellStyle name="Litros" xfId="58838" xr:uid="{00000000-0005-0000-0000-0000007F0000}"/>
    <cellStyle name="m" xfId="58839" xr:uid="{00000000-0005-0000-0000-0000017F0000}"/>
    <cellStyle name="m/m" xfId="58840" xr:uid="{00000000-0005-0000-0000-0000027F0000}"/>
    <cellStyle name="m²" xfId="58841" xr:uid="{00000000-0005-0000-0000-0000037F0000}"/>
    <cellStyle name="m³" xfId="58842" xr:uid="{00000000-0005-0000-0000-0000047F0000}"/>
    <cellStyle name="Milimetros" xfId="58843" xr:uid="{00000000-0005-0000-0000-0000057F0000}"/>
    <cellStyle name="Millares" xfId="1" builtinId="3"/>
    <cellStyle name="Millares [0] 2" xfId="58774" xr:uid="{00000000-0005-0000-0000-0000077F0000}"/>
    <cellStyle name="Millares 10" xfId="32448" xr:uid="{00000000-0005-0000-0000-0000087F0000}"/>
    <cellStyle name="Millares 10 2" xfId="32449" xr:uid="{00000000-0005-0000-0000-0000097F0000}"/>
    <cellStyle name="Millares 11" xfId="32450" xr:uid="{00000000-0005-0000-0000-00000A7F0000}"/>
    <cellStyle name="Millares 11 2" xfId="32451" xr:uid="{00000000-0005-0000-0000-00000B7F0000}"/>
    <cellStyle name="Millares 12" xfId="32452" xr:uid="{00000000-0005-0000-0000-00000C7F0000}"/>
    <cellStyle name="Millares 12 2" xfId="32453" xr:uid="{00000000-0005-0000-0000-00000D7F0000}"/>
    <cellStyle name="Millares 12 3" xfId="32454" xr:uid="{00000000-0005-0000-0000-00000E7F0000}"/>
    <cellStyle name="Millares 13" xfId="32455" xr:uid="{00000000-0005-0000-0000-00000F7F0000}"/>
    <cellStyle name="Millares 13 2" xfId="32456" xr:uid="{00000000-0005-0000-0000-0000107F0000}"/>
    <cellStyle name="Millares 13 3" xfId="32457" xr:uid="{00000000-0005-0000-0000-0000117F0000}"/>
    <cellStyle name="Millares 14" xfId="32458" xr:uid="{00000000-0005-0000-0000-0000127F0000}"/>
    <cellStyle name="Millares 14 2" xfId="32459" xr:uid="{00000000-0005-0000-0000-0000137F0000}"/>
    <cellStyle name="Millares 14 3" xfId="32460" xr:uid="{00000000-0005-0000-0000-0000147F0000}"/>
    <cellStyle name="Millares 15" xfId="32461" xr:uid="{00000000-0005-0000-0000-0000157F0000}"/>
    <cellStyle name="Millares 16" xfId="32462" xr:uid="{00000000-0005-0000-0000-0000167F0000}"/>
    <cellStyle name="Millares 17" xfId="32463" xr:uid="{00000000-0005-0000-0000-0000177F0000}"/>
    <cellStyle name="Millares 18" xfId="32464" xr:uid="{00000000-0005-0000-0000-0000187F0000}"/>
    <cellStyle name="Millares 18 2" xfId="32465" xr:uid="{00000000-0005-0000-0000-0000197F0000}"/>
    <cellStyle name="Millares 19" xfId="26" xr:uid="{00000000-0005-0000-0000-00001A7F0000}"/>
    <cellStyle name="Millares 2" xfId="16" xr:uid="{00000000-0005-0000-0000-00001B7F0000}"/>
    <cellStyle name="Millares 2 10" xfId="32467" xr:uid="{00000000-0005-0000-0000-00001C7F0000}"/>
    <cellStyle name="Millares 2 10 2" xfId="32468" xr:uid="{00000000-0005-0000-0000-00001D7F0000}"/>
    <cellStyle name="Millares 2 11" xfId="32469" xr:uid="{00000000-0005-0000-0000-00001E7F0000}"/>
    <cellStyle name="Millares 2 11 2" xfId="32470" xr:uid="{00000000-0005-0000-0000-00001F7F0000}"/>
    <cellStyle name="Millares 2 12" xfId="32471" xr:uid="{00000000-0005-0000-0000-0000207F0000}"/>
    <cellStyle name="Millares 2 12 2" xfId="32472" xr:uid="{00000000-0005-0000-0000-0000217F0000}"/>
    <cellStyle name="Millares 2 13" xfId="32473" xr:uid="{00000000-0005-0000-0000-0000227F0000}"/>
    <cellStyle name="Millares 2 13 2" xfId="32474" xr:uid="{00000000-0005-0000-0000-0000237F0000}"/>
    <cellStyle name="Millares 2 14" xfId="32475" xr:uid="{00000000-0005-0000-0000-0000247F0000}"/>
    <cellStyle name="Millares 2 14 2" xfId="32476" xr:uid="{00000000-0005-0000-0000-0000257F0000}"/>
    <cellStyle name="Millares 2 15" xfId="32477" xr:uid="{00000000-0005-0000-0000-0000267F0000}"/>
    <cellStyle name="Millares 2 15 2" xfId="32478" xr:uid="{00000000-0005-0000-0000-0000277F0000}"/>
    <cellStyle name="Millares 2 16" xfId="32479" xr:uid="{00000000-0005-0000-0000-0000287F0000}"/>
    <cellStyle name="Millares 2 16 2" xfId="32480" xr:uid="{00000000-0005-0000-0000-0000297F0000}"/>
    <cellStyle name="Millares 2 17" xfId="32481" xr:uid="{00000000-0005-0000-0000-00002A7F0000}"/>
    <cellStyle name="Millares 2 17 2" xfId="32482" xr:uid="{00000000-0005-0000-0000-00002B7F0000}"/>
    <cellStyle name="Millares 2 18" xfId="32483" xr:uid="{00000000-0005-0000-0000-00002C7F0000}"/>
    <cellStyle name="Millares 2 18 2" xfId="32484" xr:uid="{00000000-0005-0000-0000-00002D7F0000}"/>
    <cellStyle name="Millares 2 19" xfId="32485" xr:uid="{00000000-0005-0000-0000-00002E7F0000}"/>
    <cellStyle name="Millares 2 19 2" xfId="32486" xr:uid="{00000000-0005-0000-0000-00002F7F0000}"/>
    <cellStyle name="Millares 2 2" xfId="11" xr:uid="{00000000-0005-0000-0000-0000307F0000}"/>
    <cellStyle name="Millares 2 2 10" xfId="32488" xr:uid="{00000000-0005-0000-0000-0000317F0000}"/>
    <cellStyle name="Millares 2 2 10 2" xfId="32489" xr:uid="{00000000-0005-0000-0000-0000327F0000}"/>
    <cellStyle name="Millares 2 2 11" xfId="32490" xr:uid="{00000000-0005-0000-0000-0000337F0000}"/>
    <cellStyle name="Millares 2 2 11 2" xfId="32491" xr:uid="{00000000-0005-0000-0000-0000347F0000}"/>
    <cellStyle name="Millares 2 2 12" xfId="32492" xr:uid="{00000000-0005-0000-0000-0000357F0000}"/>
    <cellStyle name="Millares 2 2 12 2" xfId="32493" xr:uid="{00000000-0005-0000-0000-0000367F0000}"/>
    <cellStyle name="Millares 2 2 13" xfId="32494" xr:uid="{00000000-0005-0000-0000-0000377F0000}"/>
    <cellStyle name="Millares 2 2 13 2" xfId="32495" xr:uid="{00000000-0005-0000-0000-0000387F0000}"/>
    <cellStyle name="Millares 2 2 14" xfId="32496" xr:uid="{00000000-0005-0000-0000-0000397F0000}"/>
    <cellStyle name="Millares 2 2 14 2" xfId="32497" xr:uid="{00000000-0005-0000-0000-00003A7F0000}"/>
    <cellStyle name="Millares 2 2 15" xfId="32498" xr:uid="{00000000-0005-0000-0000-00003B7F0000}"/>
    <cellStyle name="Millares 2 2 15 2" xfId="32499" xr:uid="{00000000-0005-0000-0000-00003C7F0000}"/>
    <cellStyle name="Millares 2 2 16" xfId="32500" xr:uid="{00000000-0005-0000-0000-00003D7F0000}"/>
    <cellStyle name="Millares 2 2 16 2" xfId="32501" xr:uid="{00000000-0005-0000-0000-00003E7F0000}"/>
    <cellStyle name="Millares 2 2 17" xfId="32502" xr:uid="{00000000-0005-0000-0000-00003F7F0000}"/>
    <cellStyle name="Millares 2 2 17 2" xfId="32503" xr:uid="{00000000-0005-0000-0000-0000407F0000}"/>
    <cellStyle name="Millares 2 2 18" xfId="32504" xr:uid="{00000000-0005-0000-0000-0000417F0000}"/>
    <cellStyle name="Millares 2 2 19" xfId="32505" xr:uid="{00000000-0005-0000-0000-0000427F0000}"/>
    <cellStyle name="Millares 2 2 2" xfId="32506" xr:uid="{00000000-0005-0000-0000-0000437F0000}"/>
    <cellStyle name="Millares 2 2 2 2" xfId="32507" xr:uid="{00000000-0005-0000-0000-0000447F0000}"/>
    <cellStyle name="Millares 2 2 20" xfId="32487" xr:uid="{00000000-0005-0000-0000-0000457F0000}"/>
    <cellStyle name="Millares 2 2 3" xfId="32508" xr:uid="{00000000-0005-0000-0000-0000467F0000}"/>
    <cellStyle name="Millares 2 2 3 2" xfId="32509" xr:uid="{00000000-0005-0000-0000-0000477F0000}"/>
    <cellStyle name="Millares 2 2 4" xfId="32510" xr:uid="{00000000-0005-0000-0000-0000487F0000}"/>
    <cellStyle name="Millares 2 2 4 2" xfId="32511" xr:uid="{00000000-0005-0000-0000-0000497F0000}"/>
    <cellStyle name="Millares 2 2 5" xfId="32512" xr:uid="{00000000-0005-0000-0000-00004A7F0000}"/>
    <cellStyle name="Millares 2 2 5 2" xfId="32513" xr:uid="{00000000-0005-0000-0000-00004B7F0000}"/>
    <cellStyle name="Millares 2 2 6" xfId="32514" xr:uid="{00000000-0005-0000-0000-00004C7F0000}"/>
    <cellStyle name="Millares 2 2 6 2" xfId="32515" xr:uid="{00000000-0005-0000-0000-00004D7F0000}"/>
    <cellStyle name="Millares 2 2 7" xfId="32516" xr:uid="{00000000-0005-0000-0000-00004E7F0000}"/>
    <cellStyle name="Millares 2 2 7 2" xfId="32517" xr:uid="{00000000-0005-0000-0000-00004F7F0000}"/>
    <cellStyle name="Millares 2 2 8" xfId="32518" xr:uid="{00000000-0005-0000-0000-0000507F0000}"/>
    <cellStyle name="Millares 2 2 8 2" xfId="32519" xr:uid="{00000000-0005-0000-0000-0000517F0000}"/>
    <cellStyle name="Millares 2 2 9" xfId="32520" xr:uid="{00000000-0005-0000-0000-0000527F0000}"/>
    <cellStyle name="Millares 2 2 9 2" xfId="32521" xr:uid="{00000000-0005-0000-0000-0000537F0000}"/>
    <cellStyle name="Millares 2 20" xfId="32522" xr:uid="{00000000-0005-0000-0000-0000547F0000}"/>
    <cellStyle name="Millares 2 20 2" xfId="32523" xr:uid="{00000000-0005-0000-0000-0000557F0000}"/>
    <cellStyle name="Millares 2 21" xfId="32524" xr:uid="{00000000-0005-0000-0000-0000567F0000}"/>
    <cellStyle name="Millares 2 21 2" xfId="32525" xr:uid="{00000000-0005-0000-0000-0000577F0000}"/>
    <cellStyle name="Millares 2 22" xfId="32526" xr:uid="{00000000-0005-0000-0000-0000587F0000}"/>
    <cellStyle name="Millares 2 22 2" xfId="32527" xr:uid="{00000000-0005-0000-0000-0000597F0000}"/>
    <cellStyle name="Millares 2 23" xfId="32528" xr:uid="{00000000-0005-0000-0000-00005A7F0000}"/>
    <cellStyle name="Millares 2 23 2" xfId="32529" xr:uid="{00000000-0005-0000-0000-00005B7F0000}"/>
    <cellStyle name="Millares 2 24" xfId="32530" xr:uid="{00000000-0005-0000-0000-00005C7F0000}"/>
    <cellStyle name="Millares 2 24 2" xfId="32531" xr:uid="{00000000-0005-0000-0000-00005D7F0000}"/>
    <cellStyle name="Millares 2 25" xfId="32532" xr:uid="{00000000-0005-0000-0000-00005E7F0000}"/>
    <cellStyle name="Millares 2 25 2" xfId="32533" xr:uid="{00000000-0005-0000-0000-00005F7F0000}"/>
    <cellStyle name="Millares 2 26" xfId="32534" xr:uid="{00000000-0005-0000-0000-0000607F0000}"/>
    <cellStyle name="Millares 2 26 2" xfId="32535" xr:uid="{00000000-0005-0000-0000-0000617F0000}"/>
    <cellStyle name="Millares 2 27" xfId="32536" xr:uid="{00000000-0005-0000-0000-0000627F0000}"/>
    <cellStyle name="Millares 2 27 2" xfId="32537" xr:uid="{00000000-0005-0000-0000-0000637F0000}"/>
    <cellStyle name="Millares 2 28" xfId="32538" xr:uid="{00000000-0005-0000-0000-0000647F0000}"/>
    <cellStyle name="Millares 2 28 2" xfId="32539" xr:uid="{00000000-0005-0000-0000-0000657F0000}"/>
    <cellStyle name="Millares 2 29" xfId="32540" xr:uid="{00000000-0005-0000-0000-0000667F0000}"/>
    <cellStyle name="Millares 2 29 2" xfId="32541" xr:uid="{00000000-0005-0000-0000-0000677F0000}"/>
    <cellStyle name="Millares 2 3" xfId="21" xr:uid="{00000000-0005-0000-0000-0000687F0000}"/>
    <cellStyle name="Millares 2 3 2" xfId="32543" xr:uid="{00000000-0005-0000-0000-0000697F0000}"/>
    <cellStyle name="Millares 2 3 2 2" xfId="32544" xr:uid="{00000000-0005-0000-0000-00006A7F0000}"/>
    <cellStyle name="Millares 2 3 3" xfId="32545" xr:uid="{00000000-0005-0000-0000-00006B7F0000}"/>
    <cellStyle name="Millares 2 3 4" xfId="32546" xr:uid="{00000000-0005-0000-0000-00006C7F0000}"/>
    <cellStyle name="Millares 2 3 5" xfId="32542" xr:uid="{00000000-0005-0000-0000-00006D7F0000}"/>
    <cellStyle name="Millares 2 30" xfId="32547" xr:uid="{00000000-0005-0000-0000-00006E7F0000}"/>
    <cellStyle name="Millares 2 30 2" xfId="32548" xr:uid="{00000000-0005-0000-0000-00006F7F0000}"/>
    <cellStyle name="Millares 2 31" xfId="32549" xr:uid="{00000000-0005-0000-0000-0000707F0000}"/>
    <cellStyle name="Millares 2 31 2" xfId="32550" xr:uid="{00000000-0005-0000-0000-0000717F0000}"/>
    <cellStyle name="Millares 2 32" xfId="32551" xr:uid="{00000000-0005-0000-0000-0000727F0000}"/>
    <cellStyle name="Millares 2 32 2" xfId="32552" xr:uid="{00000000-0005-0000-0000-0000737F0000}"/>
    <cellStyle name="Millares 2 33" xfId="32553" xr:uid="{00000000-0005-0000-0000-0000747F0000}"/>
    <cellStyle name="Millares 2 33 2" xfId="32554" xr:uid="{00000000-0005-0000-0000-0000757F0000}"/>
    <cellStyle name="Millares 2 34" xfId="32555" xr:uid="{00000000-0005-0000-0000-0000767F0000}"/>
    <cellStyle name="Millares 2 34 2" xfId="32556" xr:uid="{00000000-0005-0000-0000-0000777F0000}"/>
    <cellStyle name="Millares 2 35" xfId="32557" xr:uid="{00000000-0005-0000-0000-0000787F0000}"/>
    <cellStyle name="Millares 2 35 2" xfId="32558" xr:uid="{00000000-0005-0000-0000-0000797F0000}"/>
    <cellStyle name="Millares 2 36" xfId="32559" xr:uid="{00000000-0005-0000-0000-00007A7F0000}"/>
    <cellStyle name="Millares 2 36 2" xfId="32560" xr:uid="{00000000-0005-0000-0000-00007B7F0000}"/>
    <cellStyle name="Millares 2 37" xfId="32561" xr:uid="{00000000-0005-0000-0000-00007C7F0000}"/>
    <cellStyle name="Millares 2 37 2" xfId="32562" xr:uid="{00000000-0005-0000-0000-00007D7F0000}"/>
    <cellStyle name="Millares 2 38" xfId="32563" xr:uid="{00000000-0005-0000-0000-00007E7F0000}"/>
    <cellStyle name="Millares 2 38 2" xfId="32564" xr:uid="{00000000-0005-0000-0000-00007F7F0000}"/>
    <cellStyle name="Millares 2 39" xfId="32565" xr:uid="{00000000-0005-0000-0000-0000807F0000}"/>
    <cellStyle name="Millares 2 4" xfId="32566" xr:uid="{00000000-0005-0000-0000-0000817F0000}"/>
    <cellStyle name="Millares 2 4 2" xfId="32567" xr:uid="{00000000-0005-0000-0000-0000827F0000}"/>
    <cellStyle name="Millares 2 4 2 2" xfId="32568" xr:uid="{00000000-0005-0000-0000-0000837F0000}"/>
    <cellStyle name="Millares 2 4 3" xfId="32569" xr:uid="{00000000-0005-0000-0000-0000847F0000}"/>
    <cellStyle name="Millares 2 40" xfId="32570" xr:uid="{00000000-0005-0000-0000-0000857F0000}"/>
    <cellStyle name="Millares 2 41" xfId="32571" xr:uid="{00000000-0005-0000-0000-0000867F0000}"/>
    <cellStyle name="Millares 2 42" xfId="32572" xr:uid="{00000000-0005-0000-0000-0000877F0000}"/>
    <cellStyle name="Millares 2 43" xfId="58823" xr:uid="{00000000-0005-0000-0000-0000887F0000}"/>
    <cellStyle name="Millares 2 44" xfId="32466" xr:uid="{00000000-0005-0000-0000-0000897F0000}"/>
    <cellStyle name="Millares 2 5" xfId="32573" xr:uid="{00000000-0005-0000-0000-00008A7F0000}"/>
    <cellStyle name="Millares 2 5 2" xfId="32574" xr:uid="{00000000-0005-0000-0000-00008B7F0000}"/>
    <cellStyle name="Millares 2 5 3" xfId="32575" xr:uid="{00000000-0005-0000-0000-00008C7F0000}"/>
    <cellStyle name="Millares 2 6" xfId="32576" xr:uid="{00000000-0005-0000-0000-00008D7F0000}"/>
    <cellStyle name="Millares 2 6 2" xfId="32577" xr:uid="{00000000-0005-0000-0000-00008E7F0000}"/>
    <cellStyle name="Millares 2 7" xfId="32578" xr:uid="{00000000-0005-0000-0000-00008F7F0000}"/>
    <cellStyle name="Millares 2 7 2" xfId="32579" xr:uid="{00000000-0005-0000-0000-0000907F0000}"/>
    <cellStyle name="Millares 2 8" xfId="32580" xr:uid="{00000000-0005-0000-0000-0000917F0000}"/>
    <cellStyle name="Millares 2 8 2" xfId="32581" xr:uid="{00000000-0005-0000-0000-0000927F0000}"/>
    <cellStyle name="Millares 2 9" xfId="32582" xr:uid="{00000000-0005-0000-0000-0000937F0000}"/>
    <cellStyle name="Millares 2 9 2" xfId="32583" xr:uid="{00000000-0005-0000-0000-0000947F0000}"/>
    <cellStyle name="Millares 20" xfId="32584" xr:uid="{00000000-0005-0000-0000-0000957F0000}"/>
    <cellStyle name="Millares 21" xfId="32585" xr:uid="{00000000-0005-0000-0000-0000967F0000}"/>
    <cellStyle name="Millares 22" xfId="58712" xr:uid="{00000000-0005-0000-0000-0000977F0000}"/>
    <cellStyle name="Millares 22 2" xfId="58713" xr:uid="{00000000-0005-0000-0000-0000987F0000}"/>
    <cellStyle name="Millares 23" xfId="58884" xr:uid="{00000000-0005-0000-0000-0000997F0000}"/>
    <cellStyle name="Millares 24" xfId="58889" xr:uid="{00000000-0005-0000-0000-00009A7F0000}"/>
    <cellStyle name="Millares 25" xfId="58892" xr:uid="{00000000-0005-0000-0000-00009B7F0000}"/>
    <cellStyle name="Millares 26" xfId="58898" xr:uid="{00000000-0005-0000-0000-00009C7F0000}"/>
    <cellStyle name="Millares 27" xfId="58707" xr:uid="{00000000-0005-0000-0000-00009D7F0000}"/>
    <cellStyle name="Millares 28" xfId="58918" xr:uid="{00000000-0005-0000-0000-00009E7F0000}"/>
    <cellStyle name="Millares 3" xfId="14" xr:uid="{00000000-0005-0000-0000-00009F7F0000}"/>
    <cellStyle name="Millares 3 2" xfId="32587" xr:uid="{00000000-0005-0000-0000-0000A07F0000}"/>
    <cellStyle name="Millares 3 2 2" xfId="32588" xr:uid="{00000000-0005-0000-0000-0000A17F0000}"/>
    <cellStyle name="Millares 3 2 3" xfId="32589" xr:uid="{00000000-0005-0000-0000-0000A27F0000}"/>
    <cellStyle name="Millares 3 3" xfId="32590" xr:uid="{00000000-0005-0000-0000-0000A37F0000}"/>
    <cellStyle name="Millares 3 3 2" xfId="32591" xr:uid="{00000000-0005-0000-0000-0000A47F0000}"/>
    <cellStyle name="Millares 3 3 3" xfId="32592" xr:uid="{00000000-0005-0000-0000-0000A57F0000}"/>
    <cellStyle name="Millares 3 4" xfId="32593" xr:uid="{00000000-0005-0000-0000-0000A67F0000}"/>
    <cellStyle name="Millares 3 4 2" xfId="32594" xr:uid="{00000000-0005-0000-0000-0000A77F0000}"/>
    <cellStyle name="Millares 3 5" xfId="32595" xr:uid="{00000000-0005-0000-0000-0000A87F0000}"/>
    <cellStyle name="Millares 3 6" xfId="32596" xr:uid="{00000000-0005-0000-0000-0000A97F0000}"/>
    <cellStyle name="Millares 3 7" xfId="32597" xr:uid="{00000000-0005-0000-0000-0000AA7F0000}"/>
    <cellStyle name="Millares 3 8" xfId="32586" xr:uid="{00000000-0005-0000-0000-0000AB7F0000}"/>
    <cellStyle name="Millares 4" xfId="32598" xr:uid="{00000000-0005-0000-0000-0000AC7F0000}"/>
    <cellStyle name="Millares 4 2" xfId="32599" xr:uid="{00000000-0005-0000-0000-0000AD7F0000}"/>
    <cellStyle name="Millares 4 2 2" xfId="32600" xr:uid="{00000000-0005-0000-0000-0000AE7F0000}"/>
    <cellStyle name="Millares 4 2 3" xfId="32601" xr:uid="{00000000-0005-0000-0000-0000AF7F0000}"/>
    <cellStyle name="Millares 4 3" xfId="32602" xr:uid="{00000000-0005-0000-0000-0000B07F0000}"/>
    <cellStyle name="Millares 4 4" xfId="32603" xr:uid="{00000000-0005-0000-0000-0000B17F0000}"/>
    <cellStyle name="Millares 4 5" xfId="32604" xr:uid="{00000000-0005-0000-0000-0000B27F0000}"/>
    <cellStyle name="Millares 5" xfId="32605" xr:uid="{00000000-0005-0000-0000-0000B37F0000}"/>
    <cellStyle name="Millares 5 2" xfId="32606" xr:uid="{00000000-0005-0000-0000-0000B47F0000}"/>
    <cellStyle name="Millares 5 2 2" xfId="32607" xr:uid="{00000000-0005-0000-0000-0000B57F0000}"/>
    <cellStyle name="Millares 5 2 3" xfId="32608" xr:uid="{00000000-0005-0000-0000-0000B67F0000}"/>
    <cellStyle name="Millares 5 3" xfId="32609" xr:uid="{00000000-0005-0000-0000-0000B77F0000}"/>
    <cellStyle name="Millares 5 3 2" xfId="32610" xr:uid="{00000000-0005-0000-0000-0000B87F0000}"/>
    <cellStyle name="Millares 5 4" xfId="32611" xr:uid="{00000000-0005-0000-0000-0000B97F0000}"/>
    <cellStyle name="Millares 5 5" xfId="32612" xr:uid="{00000000-0005-0000-0000-0000BA7F0000}"/>
    <cellStyle name="Millares 6" xfId="32613" xr:uid="{00000000-0005-0000-0000-0000BB7F0000}"/>
    <cellStyle name="Millares 6 2" xfId="32614" xr:uid="{00000000-0005-0000-0000-0000BC7F0000}"/>
    <cellStyle name="Millares 6 2 2" xfId="32615" xr:uid="{00000000-0005-0000-0000-0000BD7F0000}"/>
    <cellStyle name="Millares 6 2 3" xfId="32616" xr:uid="{00000000-0005-0000-0000-0000BE7F0000}"/>
    <cellStyle name="Millares 6 3" xfId="32617" xr:uid="{00000000-0005-0000-0000-0000BF7F0000}"/>
    <cellStyle name="Millares 7" xfId="32618" xr:uid="{00000000-0005-0000-0000-0000C07F0000}"/>
    <cellStyle name="Millares 7 2" xfId="32619" xr:uid="{00000000-0005-0000-0000-0000C17F0000}"/>
    <cellStyle name="Millares 7 3" xfId="32620" xr:uid="{00000000-0005-0000-0000-0000C27F0000}"/>
    <cellStyle name="Millares 73" xfId="32621" xr:uid="{00000000-0005-0000-0000-0000C37F0000}"/>
    <cellStyle name="Millares 73 2" xfId="32622" xr:uid="{00000000-0005-0000-0000-0000C47F0000}"/>
    <cellStyle name="Millares 73 3" xfId="32623" xr:uid="{00000000-0005-0000-0000-0000C57F0000}"/>
    <cellStyle name="Millares 74" xfId="32624" xr:uid="{00000000-0005-0000-0000-0000C67F0000}"/>
    <cellStyle name="Millares 75" xfId="32625" xr:uid="{00000000-0005-0000-0000-0000C77F0000}"/>
    <cellStyle name="Millares 8" xfId="32626" xr:uid="{00000000-0005-0000-0000-0000C87F0000}"/>
    <cellStyle name="Millares 8 2" xfId="32627" xr:uid="{00000000-0005-0000-0000-0000C97F0000}"/>
    <cellStyle name="Millares 8 3" xfId="32628" xr:uid="{00000000-0005-0000-0000-0000CA7F0000}"/>
    <cellStyle name="Millares 9" xfId="32629" xr:uid="{00000000-0005-0000-0000-0000CB7F0000}"/>
    <cellStyle name="Millares 9 2" xfId="32630" xr:uid="{00000000-0005-0000-0000-0000CC7F0000}"/>
    <cellStyle name="Millares 9 3" xfId="32631" xr:uid="{00000000-0005-0000-0000-0000CD7F0000}"/>
    <cellStyle name="Millares Sangría" xfId="32632" xr:uid="{00000000-0005-0000-0000-0000CE7F0000}"/>
    <cellStyle name="Millares Sangría 1" xfId="32633" xr:uid="{00000000-0005-0000-0000-0000CF7F0000}"/>
    <cellStyle name="Milliers [0]_!!!GO" xfId="32634" xr:uid="{00000000-0005-0000-0000-0000D07F0000}"/>
    <cellStyle name="Milliers_!!!GO" xfId="32635" xr:uid="{00000000-0005-0000-0000-0000D17F0000}"/>
    <cellStyle name="Millones" xfId="58844" xr:uid="{00000000-0005-0000-0000-0000D27F0000}"/>
    <cellStyle name="Millones (0)" xfId="58845" xr:uid="{00000000-0005-0000-0000-0000D37F0000}"/>
    <cellStyle name="Moneda 2" xfId="32636" xr:uid="{00000000-0005-0000-0000-0000D47F0000}"/>
    <cellStyle name="Moneda 2 2" xfId="32637" xr:uid="{00000000-0005-0000-0000-0000D57F0000}"/>
    <cellStyle name="Moneda 2 3" xfId="32638" xr:uid="{00000000-0005-0000-0000-0000D67F0000}"/>
    <cellStyle name="Moneda 3" xfId="32639" xr:uid="{00000000-0005-0000-0000-0000D77F0000}"/>
    <cellStyle name="Moneda 3 2" xfId="32640" xr:uid="{00000000-0005-0000-0000-0000D87F0000}"/>
    <cellStyle name="Moneda centrado" xfId="58846" xr:uid="{00000000-0005-0000-0000-0000D97F0000}"/>
    <cellStyle name="Monétaire [0]_!!!GO" xfId="32641" xr:uid="{00000000-0005-0000-0000-0000DA7F0000}"/>
    <cellStyle name="Monétaire_!!!GO" xfId="32642" xr:uid="{00000000-0005-0000-0000-0000DB7F0000}"/>
    <cellStyle name="Neutral" xfId="31" builtinId="28" customBuiltin="1"/>
    <cellStyle name="Neutral 2" xfId="32643" xr:uid="{00000000-0005-0000-0000-0000DD7F0000}"/>
    <cellStyle name="Neutral 3" xfId="32644" xr:uid="{00000000-0005-0000-0000-0000DE7F0000}"/>
    <cellStyle name="Neutral 4" xfId="32645" xr:uid="{00000000-0005-0000-0000-0000DF7F0000}"/>
    <cellStyle name="Neutral 5" xfId="32646" xr:uid="{00000000-0005-0000-0000-0000E07F0000}"/>
    <cellStyle name="Neutral 6" xfId="32647" xr:uid="{00000000-0005-0000-0000-0000E17F0000}"/>
    <cellStyle name="Neutral 7" xfId="32648" xr:uid="{00000000-0005-0000-0000-0000E27F0000}"/>
    <cellStyle name="No-definido" xfId="58775" xr:uid="{00000000-0005-0000-0000-0000E37F0000}"/>
    <cellStyle name="Normal" xfId="0" builtinId="0"/>
    <cellStyle name="Normal - Style1" xfId="32649" xr:uid="{00000000-0005-0000-0000-0000E57F0000}"/>
    <cellStyle name="Normal - Style1 10" xfId="32650" xr:uid="{00000000-0005-0000-0000-0000E67F0000}"/>
    <cellStyle name="Normal - Style1 10 10" xfId="32651" xr:uid="{00000000-0005-0000-0000-0000E77F0000}"/>
    <cellStyle name="Normal - Style1 10 2" xfId="32652" xr:uid="{00000000-0005-0000-0000-0000E87F0000}"/>
    <cellStyle name="Normal - Style1 10 2 2" xfId="32653" xr:uid="{00000000-0005-0000-0000-0000E97F0000}"/>
    <cellStyle name="Normal - Style1 10 3" xfId="32654" xr:uid="{00000000-0005-0000-0000-0000EA7F0000}"/>
    <cellStyle name="Normal - Style1 10 3 2" xfId="32655" xr:uid="{00000000-0005-0000-0000-0000EB7F0000}"/>
    <cellStyle name="Normal - Style1 10 4" xfId="32656" xr:uid="{00000000-0005-0000-0000-0000EC7F0000}"/>
    <cellStyle name="Normal - Style1 10 4 2" xfId="32657" xr:uid="{00000000-0005-0000-0000-0000ED7F0000}"/>
    <cellStyle name="Normal - Style1 10 5" xfId="32658" xr:uid="{00000000-0005-0000-0000-0000EE7F0000}"/>
    <cellStyle name="Normal - Style1 10 5 2" xfId="32659" xr:uid="{00000000-0005-0000-0000-0000EF7F0000}"/>
    <cellStyle name="Normal - Style1 10 6" xfId="32660" xr:uid="{00000000-0005-0000-0000-0000F07F0000}"/>
    <cellStyle name="Normal - Style1 10 6 2" xfId="32661" xr:uid="{00000000-0005-0000-0000-0000F17F0000}"/>
    <cellStyle name="Normal - Style1 10 7" xfId="32662" xr:uid="{00000000-0005-0000-0000-0000F27F0000}"/>
    <cellStyle name="Normal - Style1 10 7 2" xfId="32663" xr:uid="{00000000-0005-0000-0000-0000F37F0000}"/>
    <cellStyle name="Normal - Style1 10 8" xfId="32664" xr:uid="{00000000-0005-0000-0000-0000F47F0000}"/>
    <cellStyle name="Normal - Style1 10 8 2" xfId="32665" xr:uid="{00000000-0005-0000-0000-0000F57F0000}"/>
    <cellStyle name="Normal - Style1 10 9" xfId="32666" xr:uid="{00000000-0005-0000-0000-0000F67F0000}"/>
    <cellStyle name="Normal - Style1 10 9 2" xfId="32667" xr:uid="{00000000-0005-0000-0000-0000F77F0000}"/>
    <cellStyle name="Normal - Style1 11" xfId="32668" xr:uid="{00000000-0005-0000-0000-0000F87F0000}"/>
    <cellStyle name="Normal - Style1 11 10" xfId="32669" xr:uid="{00000000-0005-0000-0000-0000F97F0000}"/>
    <cellStyle name="Normal - Style1 11 2" xfId="32670" xr:uid="{00000000-0005-0000-0000-0000FA7F0000}"/>
    <cellStyle name="Normal - Style1 11 2 2" xfId="32671" xr:uid="{00000000-0005-0000-0000-0000FB7F0000}"/>
    <cellStyle name="Normal - Style1 11 3" xfId="32672" xr:uid="{00000000-0005-0000-0000-0000FC7F0000}"/>
    <cellStyle name="Normal - Style1 11 3 2" xfId="32673" xr:uid="{00000000-0005-0000-0000-0000FD7F0000}"/>
    <cellStyle name="Normal - Style1 11 4" xfId="32674" xr:uid="{00000000-0005-0000-0000-0000FE7F0000}"/>
    <cellStyle name="Normal - Style1 11 4 2" xfId="32675" xr:uid="{00000000-0005-0000-0000-0000FF7F0000}"/>
    <cellStyle name="Normal - Style1 11 5" xfId="32676" xr:uid="{00000000-0005-0000-0000-000000800000}"/>
    <cellStyle name="Normal - Style1 11 5 2" xfId="32677" xr:uid="{00000000-0005-0000-0000-000001800000}"/>
    <cellStyle name="Normal - Style1 11 6" xfId="32678" xr:uid="{00000000-0005-0000-0000-000002800000}"/>
    <cellStyle name="Normal - Style1 11 6 2" xfId="32679" xr:uid="{00000000-0005-0000-0000-000003800000}"/>
    <cellStyle name="Normal - Style1 11 7" xfId="32680" xr:uid="{00000000-0005-0000-0000-000004800000}"/>
    <cellStyle name="Normal - Style1 11 7 2" xfId="32681" xr:uid="{00000000-0005-0000-0000-000005800000}"/>
    <cellStyle name="Normal - Style1 11 8" xfId="32682" xr:uid="{00000000-0005-0000-0000-000006800000}"/>
    <cellStyle name="Normal - Style1 11 8 2" xfId="32683" xr:uid="{00000000-0005-0000-0000-000007800000}"/>
    <cellStyle name="Normal - Style1 11 9" xfId="32684" xr:uid="{00000000-0005-0000-0000-000008800000}"/>
    <cellStyle name="Normal - Style1 11 9 2" xfId="32685" xr:uid="{00000000-0005-0000-0000-000009800000}"/>
    <cellStyle name="Normal - Style1 12" xfId="32686" xr:uid="{00000000-0005-0000-0000-00000A800000}"/>
    <cellStyle name="Normal - Style1 12 10" xfId="32687" xr:uid="{00000000-0005-0000-0000-00000B800000}"/>
    <cellStyle name="Normal - Style1 12 2" xfId="32688" xr:uid="{00000000-0005-0000-0000-00000C800000}"/>
    <cellStyle name="Normal - Style1 12 2 2" xfId="32689" xr:uid="{00000000-0005-0000-0000-00000D800000}"/>
    <cellStyle name="Normal - Style1 12 3" xfId="32690" xr:uid="{00000000-0005-0000-0000-00000E800000}"/>
    <cellStyle name="Normal - Style1 12 3 2" xfId="32691" xr:uid="{00000000-0005-0000-0000-00000F800000}"/>
    <cellStyle name="Normal - Style1 12 4" xfId="32692" xr:uid="{00000000-0005-0000-0000-000010800000}"/>
    <cellStyle name="Normal - Style1 12 4 2" xfId="32693" xr:uid="{00000000-0005-0000-0000-000011800000}"/>
    <cellStyle name="Normal - Style1 12 5" xfId="32694" xr:uid="{00000000-0005-0000-0000-000012800000}"/>
    <cellStyle name="Normal - Style1 12 5 2" xfId="32695" xr:uid="{00000000-0005-0000-0000-000013800000}"/>
    <cellStyle name="Normal - Style1 12 6" xfId="32696" xr:uid="{00000000-0005-0000-0000-000014800000}"/>
    <cellStyle name="Normal - Style1 12 6 2" xfId="32697" xr:uid="{00000000-0005-0000-0000-000015800000}"/>
    <cellStyle name="Normal - Style1 12 7" xfId="32698" xr:uid="{00000000-0005-0000-0000-000016800000}"/>
    <cellStyle name="Normal - Style1 12 7 2" xfId="32699" xr:uid="{00000000-0005-0000-0000-000017800000}"/>
    <cellStyle name="Normal - Style1 12 8" xfId="32700" xr:uid="{00000000-0005-0000-0000-000018800000}"/>
    <cellStyle name="Normal - Style1 12 8 2" xfId="32701" xr:uid="{00000000-0005-0000-0000-000019800000}"/>
    <cellStyle name="Normal - Style1 12 9" xfId="32702" xr:uid="{00000000-0005-0000-0000-00001A800000}"/>
    <cellStyle name="Normal - Style1 12 9 2" xfId="32703" xr:uid="{00000000-0005-0000-0000-00001B800000}"/>
    <cellStyle name="Normal - Style1 13" xfId="32704" xr:uid="{00000000-0005-0000-0000-00001C800000}"/>
    <cellStyle name="Normal - Style1 13 10" xfId="32705" xr:uid="{00000000-0005-0000-0000-00001D800000}"/>
    <cellStyle name="Normal - Style1 13 2" xfId="32706" xr:uid="{00000000-0005-0000-0000-00001E800000}"/>
    <cellStyle name="Normal - Style1 13 2 2" xfId="32707" xr:uid="{00000000-0005-0000-0000-00001F800000}"/>
    <cellStyle name="Normal - Style1 13 3" xfId="32708" xr:uid="{00000000-0005-0000-0000-000020800000}"/>
    <cellStyle name="Normal - Style1 13 3 2" xfId="32709" xr:uid="{00000000-0005-0000-0000-000021800000}"/>
    <cellStyle name="Normal - Style1 13 4" xfId="32710" xr:uid="{00000000-0005-0000-0000-000022800000}"/>
    <cellStyle name="Normal - Style1 13 4 2" xfId="32711" xr:uid="{00000000-0005-0000-0000-000023800000}"/>
    <cellStyle name="Normal - Style1 13 5" xfId="32712" xr:uid="{00000000-0005-0000-0000-000024800000}"/>
    <cellStyle name="Normal - Style1 13 5 2" xfId="32713" xr:uid="{00000000-0005-0000-0000-000025800000}"/>
    <cellStyle name="Normal - Style1 13 6" xfId="32714" xr:uid="{00000000-0005-0000-0000-000026800000}"/>
    <cellStyle name="Normal - Style1 13 6 2" xfId="32715" xr:uid="{00000000-0005-0000-0000-000027800000}"/>
    <cellStyle name="Normal - Style1 13 7" xfId="32716" xr:uid="{00000000-0005-0000-0000-000028800000}"/>
    <cellStyle name="Normal - Style1 13 7 2" xfId="32717" xr:uid="{00000000-0005-0000-0000-000029800000}"/>
    <cellStyle name="Normal - Style1 13 8" xfId="32718" xr:uid="{00000000-0005-0000-0000-00002A800000}"/>
    <cellStyle name="Normal - Style1 13 8 2" xfId="32719" xr:uid="{00000000-0005-0000-0000-00002B800000}"/>
    <cellStyle name="Normal - Style1 13 9" xfId="32720" xr:uid="{00000000-0005-0000-0000-00002C800000}"/>
    <cellStyle name="Normal - Style1 13 9 2" xfId="32721" xr:uid="{00000000-0005-0000-0000-00002D800000}"/>
    <cellStyle name="Normal - Style1 14" xfId="32722" xr:uid="{00000000-0005-0000-0000-00002E800000}"/>
    <cellStyle name="Normal - Style1 14 10" xfId="32723" xr:uid="{00000000-0005-0000-0000-00002F800000}"/>
    <cellStyle name="Normal - Style1 14 2" xfId="32724" xr:uid="{00000000-0005-0000-0000-000030800000}"/>
    <cellStyle name="Normal - Style1 14 2 2" xfId="32725" xr:uid="{00000000-0005-0000-0000-000031800000}"/>
    <cellStyle name="Normal - Style1 14 3" xfId="32726" xr:uid="{00000000-0005-0000-0000-000032800000}"/>
    <cellStyle name="Normal - Style1 14 3 2" xfId="32727" xr:uid="{00000000-0005-0000-0000-000033800000}"/>
    <cellStyle name="Normal - Style1 14 4" xfId="32728" xr:uid="{00000000-0005-0000-0000-000034800000}"/>
    <cellStyle name="Normal - Style1 14 4 2" xfId="32729" xr:uid="{00000000-0005-0000-0000-000035800000}"/>
    <cellStyle name="Normal - Style1 14 5" xfId="32730" xr:uid="{00000000-0005-0000-0000-000036800000}"/>
    <cellStyle name="Normal - Style1 14 5 2" xfId="32731" xr:uid="{00000000-0005-0000-0000-000037800000}"/>
    <cellStyle name="Normal - Style1 14 6" xfId="32732" xr:uid="{00000000-0005-0000-0000-000038800000}"/>
    <cellStyle name="Normal - Style1 14 6 2" xfId="32733" xr:uid="{00000000-0005-0000-0000-000039800000}"/>
    <cellStyle name="Normal - Style1 14 7" xfId="32734" xr:uid="{00000000-0005-0000-0000-00003A800000}"/>
    <cellStyle name="Normal - Style1 14 7 2" xfId="32735" xr:uid="{00000000-0005-0000-0000-00003B800000}"/>
    <cellStyle name="Normal - Style1 14 8" xfId="32736" xr:uid="{00000000-0005-0000-0000-00003C800000}"/>
    <cellStyle name="Normal - Style1 14 8 2" xfId="32737" xr:uid="{00000000-0005-0000-0000-00003D800000}"/>
    <cellStyle name="Normal - Style1 14 9" xfId="32738" xr:uid="{00000000-0005-0000-0000-00003E800000}"/>
    <cellStyle name="Normal - Style1 14 9 2" xfId="32739" xr:uid="{00000000-0005-0000-0000-00003F800000}"/>
    <cellStyle name="Normal - Style1 15" xfId="32740" xr:uid="{00000000-0005-0000-0000-000040800000}"/>
    <cellStyle name="Normal - Style1 15 10" xfId="32741" xr:uid="{00000000-0005-0000-0000-000041800000}"/>
    <cellStyle name="Normal - Style1 15 2" xfId="32742" xr:uid="{00000000-0005-0000-0000-000042800000}"/>
    <cellStyle name="Normal - Style1 15 2 2" xfId="32743" xr:uid="{00000000-0005-0000-0000-000043800000}"/>
    <cellStyle name="Normal - Style1 15 3" xfId="32744" xr:uid="{00000000-0005-0000-0000-000044800000}"/>
    <cellStyle name="Normal - Style1 15 3 2" xfId="32745" xr:uid="{00000000-0005-0000-0000-000045800000}"/>
    <cellStyle name="Normal - Style1 15 4" xfId="32746" xr:uid="{00000000-0005-0000-0000-000046800000}"/>
    <cellStyle name="Normal - Style1 15 4 2" xfId="32747" xr:uid="{00000000-0005-0000-0000-000047800000}"/>
    <cellStyle name="Normal - Style1 15 5" xfId="32748" xr:uid="{00000000-0005-0000-0000-000048800000}"/>
    <cellStyle name="Normal - Style1 15 5 2" xfId="32749" xr:uid="{00000000-0005-0000-0000-000049800000}"/>
    <cellStyle name="Normal - Style1 15 6" xfId="32750" xr:uid="{00000000-0005-0000-0000-00004A800000}"/>
    <cellStyle name="Normal - Style1 15 6 2" xfId="32751" xr:uid="{00000000-0005-0000-0000-00004B800000}"/>
    <cellStyle name="Normal - Style1 15 7" xfId="32752" xr:uid="{00000000-0005-0000-0000-00004C800000}"/>
    <cellStyle name="Normal - Style1 15 7 2" xfId="32753" xr:uid="{00000000-0005-0000-0000-00004D800000}"/>
    <cellStyle name="Normal - Style1 15 8" xfId="32754" xr:uid="{00000000-0005-0000-0000-00004E800000}"/>
    <cellStyle name="Normal - Style1 15 8 2" xfId="32755" xr:uid="{00000000-0005-0000-0000-00004F800000}"/>
    <cellStyle name="Normal - Style1 15 9" xfId="32756" xr:uid="{00000000-0005-0000-0000-000050800000}"/>
    <cellStyle name="Normal - Style1 15 9 2" xfId="32757" xr:uid="{00000000-0005-0000-0000-000051800000}"/>
    <cellStyle name="Normal - Style1 16" xfId="32758" xr:uid="{00000000-0005-0000-0000-000052800000}"/>
    <cellStyle name="Normal - Style1 16 10" xfId="32759" xr:uid="{00000000-0005-0000-0000-000053800000}"/>
    <cellStyle name="Normal - Style1 16 2" xfId="32760" xr:uid="{00000000-0005-0000-0000-000054800000}"/>
    <cellStyle name="Normal - Style1 16 2 2" xfId="32761" xr:uid="{00000000-0005-0000-0000-000055800000}"/>
    <cellStyle name="Normal - Style1 16 3" xfId="32762" xr:uid="{00000000-0005-0000-0000-000056800000}"/>
    <cellStyle name="Normal - Style1 16 3 2" xfId="32763" xr:uid="{00000000-0005-0000-0000-000057800000}"/>
    <cellStyle name="Normal - Style1 16 4" xfId="32764" xr:uid="{00000000-0005-0000-0000-000058800000}"/>
    <cellStyle name="Normal - Style1 16 4 2" xfId="32765" xr:uid="{00000000-0005-0000-0000-000059800000}"/>
    <cellStyle name="Normal - Style1 16 5" xfId="32766" xr:uid="{00000000-0005-0000-0000-00005A800000}"/>
    <cellStyle name="Normal - Style1 16 5 2" xfId="32767" xr:uid="{00000000-0005-0000-0000-00005B800000}"/>
    <cellStyle name="Normal - Style1 16 6" xfId="32768" xr:uid="{00000000-0005-0000-0000-00005C800000}"/>
    <cellStyle name="Normal - Style1 16 6 2" xfId="32769" xr:uid="{00000000-0005-0000-0000-00005D800000}"/>
    <cellStyle name="Normal - Style1 16 7" xfId="32770" xr:uid="{00000000-0005-0000-0000-00005E800000}"/>
    <cellStyle name="Normal - Style1 16 7 2" xfId="32771" xr:uid="{00000000-0005-0000-0000-00005F800000}"/>
    <cellStyle name="Normal - Style1 16 8" xfId="32772" xr:uid="{00000000-0005-0000-0000-000060800000}"/>
    <cellStyle name="Normal - Style1 16 8 2" xfId="32773" xr:uid="{00000000-0005-0000-0000-000061800000}"/>
    <cellStyle name="Normal - Style1 16 9" xfId="32774" xr:uid="{00000000-0005-0000-0000-000062800000}"/>
    <cellStyle name="Normal - Style1 16 9 2" xfId="32775" xr:uid="{00000000-0005-0000-0000-000063800000}"/>
    <cellStyle name="Normal - Style1 17" xfId="32776" xr:uid="{00000000-0005-0000-0000-000064800000}"/>
    <cellStyle name="Normal - Style1 17 10" xfId="32777" xr:uid="{00000000-0005-0000-0000-000065800000}"/>
    <cellStyle name="Normal - Style1 17 2" xfId="32778" xr:uid="{00000000-0005-0000-0000-000066800000}"/>
    <cellStyle name="Normal - Style1 17 2 2" xfId="32779" xr:uid="{00000000-0005-0000-0000-000067800000}"/>
    <cellStyle name="Normal - Style1 17 3" xfId="32780" xr:uid="{00000000-0005-0000-0000-000068800000}"/>
    <cellStyle name="Normal - Style1 17 3 2" xfId="32781" xr:uid="{00000000-0005-0000-0000-000069800000}"/>
    <cellStyle name="Normal - Style1 17 4" xfId="32782" xr:uid="{00000000-0005-0000-0000-00006A800000}"/>
    <cellStyle name="Normal - Style1 17 4 2" xfId="32783" xr:uid="{00000000-0005-0000-0000-00006B800000}"/>
    <cellStyle name="Normal - Style1 17 5" xfId="32784" xr:uid="{00000000-0005-0000-0000-00006C800000}"/>
    <cellStyle name="Normal - Style1 17 5 2" xfId="32785" xr:uid="{00000000-0005-0000-0000-00006D800000}"/>
    <cellStyle name="Normal - Style1 17 6" xfId="32786" xr:uid="{00000000-0005-0000-0000-00006E800000}"/>
    <cellStyle name="Normal - Style1 17 6 2" xfId="32787" xr:uid="{00000000-0005-0000-0000-00006F800000}"/>
    <cellStyle name="Normal - Style1 17 7" xfId="32788" xr:uid="{00000000-0005-0000-0000-000070800000}"/>
    <cellStyle name="Normal - Style1 17 7 2" xfId="32789" xr:uid="{00000000-0005-0000-0000-000071800000}"/>
    <cellStyle name="Normal - Style1 17 8" xfId="32790" xr:uid="{00000000-0005-0000-0000-000072800000}"/>
    <cellStyle name="Normal - Style1 17 8 2" xfId="32791" xr:uid="{00000000-0005-0000-0000-000073800000}"/>
    <cellStyle name="Normal - Style1 17 9" xfId="32792" xr:uid="{00000000-0005-0000-0000-000074800000}"/>
    <cellStyle name="Normal - Style1 17 9 2" xfId="32793" xr:uid="{00000000-0005-0000-0000-000075800000}"/>
    <cellStyle name="Normal - Style1 18" xfId="32794" xr:uid="{00000000-0005-0000-0000-000076800000}"/>
    <cellStyle name="Normal - Style1 18 10" xfId="32795" xr:uid="{00000000-0005-0000-0000-000077800000}"/>
    <cellStyle name="Normal - Style1 18 2" xfId="32796" xr:uid="{00000000-0005-0000-0000-000078800000}"/>
    <cellStyle name="Normal - Style1 18 2 2" xfId="32797" xr:uid="{00000000-0005-0000-0000-000079800000}"/>
    <cellStyle name="Normal - Style1 18 3" xfId="32798" xr:uid="{00000000-0005-0000-0000-00007A800000}"/>
    <cellStyle name="Normal - Style1 18 3 2" xfId="32799" xr:uid="{00000000-0005-0000-0000-00007B800000}"/>
    <cellStyle name="Normal - Style1 18 4" xfId="32800" xr:uid="{00000000-0005-0000-0000-00007C800000}"/>
    <cellStyle name="Normal - Style1 18 4 2" xfId="32801" xr:uid="{00000000-0005-0000-0000-00007D800000}"/>
    <cellStyle name="Normal - Style1 18 5" xfId="32802" xr:uid="{00000000-0005-0000-0000-00007E800000}"/>
    <cellStyle name="Normal - Style1 18 5 2" xfId="32803" xr:uid="{00000000-0005-0000-0000-00007F800000}"/>
    <cellStyle name="Normal - Style1 18 6" xfId="32804" xr:uid="{00000000-0005-0000-0000-000080800000}"/>
    <cellStyle name="Normal - Style1 18 6 2" xfId="32805" xr:uid="{00000000-0005-0000-0000-000081800000}"/>
    <cellStyle name="Normal - Style1 18 7" xfId="32806" xr:uid="{00000000-0005-0000-0000-000082800000}"/>
    <cellStyle name="Normal - Style1 18 7 2" xfId="32807" xr:uid="{00000000-0005-0000-0000-000083800000}"/>
    <cellStyle name="Normal - Style1 18 8" xfId="32808" xr:uid="{00000000-0005-0000-0000-000084800000}"/>
    <cellStyle name="Normal - Style1 18 8 2" xfId="32809" xr:uid="{00000000-0005-0000-0000-000085800000}"/>
    <cellStyle name="Normal - Style1 18 9" xfId="32810" xr:uid="{00000000-0005-0000-0000-000086800000}"/>
    <cellStyle name="Normal - Style1 18 9 2" xfId="32811" xr:uid="{00000000-0005-0000-0000-000087800000}"/>
    <cellStyle name="Normal - Style1 19" xfId="32812" xr:uid="{00000000-0005-0000-0000-000088800000}"/>
    <cellStyle name="Normal - Style1 19 10" xfId="32813" xr:uid="{00000000-0005-0000-0000-000089800000}"/>
    <cellStyle name="Normal - Style1 19 2" xfId="32814" xr:uid="{00000000-0005-0000-0000-00008A800000}"/>
    <cellStyle name="Normal - Style1 19 2 2" xfId="32815" xr:uid="{00000000-0005-0000-0000-00008B800000}"/>
    <cellStyle name="Normal - Style1 19 3" xfId="32816" xr:uid="{00000000-0005-0000-0000-00008C800000}"/>
    <cellStyle name="Normal - Style1 19 3 2" xfId="32817" xr:uid="{00000000-0005-0000-0000-00008D800000}"/>
    <cellStyle name="Normal - Style1 19 4" xfId="32818" xr:uid="{00000000-0005-0000-0000-00008E800000}"/>
    <cellStyle name="Normal - Style1 19 4 2" xfId="32819" xr:uid="{00000000-0005-0000-0000-00008F800000}"/>
    <cellStyle name="Normal - Style1 19 5" xfId="32820" xr:uid="{00000000-0005-0000-0000-000090800000}"/>
    <cellStyle name="Normal - Style1 19 5 2" xfId="32821" xr:uid="{00000000-0005-0000-0000-000091800000}"/>
    <cellStyle name="Normal - Style1 19 6" xfId="32822" xr:uid="{00000000-0005-0000-0000-000092800000}"/>
    <cellStyle name="Normal - Style1 19 6 2" xfId="32823" xr:uid="{00000000-0005-0000-0000-000093800000}"/>
    <cellStyle name="Normal - Style1 19 7" xfId="32824" xr:uid="{00000000-0005-0000-0000-000094800000}"/>
    <cellStyle name="Normal - Style1 19 7 2" xfId="32825" xr:uid="{00000000-0005-0000-0000-000095800000}"/>
    <cellStyle name="Normal - Style1 19 8" xfId="32826" xr:uid="{00000000-0005-0000-0000-000096800000}"/>
    <cellStyle name="Normal - Style1 19 8 2" xfId="32827" xr:uid="{00000000-0005-0000-0000-000097800000}"/>
    <cellStyle name="Normal - Style1 19 9" xfId="32828" xr:uid="{00000000-0005-0000-0000-000098800000}"/>
    <cellStyle name="Normal - Style1 19 9 2" xfId="32829" xr:uid="{00000000-0005-0000-0000-000099800000}"/>
    <cellStyle name="Normal - Style1 2" xfId="32830" xr:uid="{00000000-0005-0000-0000-00009A800000}"/>
    <cellStyle name="Normal - Style1 2 10" xfId="32831" xr:uid="{00000000-0005-0000-0000-00009B800000}"/>
    <cellStyle name="Normal - Style1 2 2" xfId="32832" xr:uid="{00000000-0005-0000-0000-00009C800000}"/>
    <cellStyle name="Normal - Style1 2 2 2" xfId="32833" xr:uid="{00000000-0005-0000-0000-00009D800000}"/>
    <cellStyle name="Normal - Style1 2 3" xfId="32834" xr:uid="{00000000-0005-0000-0000-00009E800000}"/>
    <cellStyle name="Normal - Style1 2 3 2" xfId="32835" xr:uid="{00000000-0005-0000-0000-00009F800000}"/>
    <cellStyle name="Normal - Style1 2 4" xfId="32836" xr:uid="{00000000-0005-0000-0000-0000A0800000}"/>
    <cellStyle name="Normal - Style1 2 4 2" xfId="32837" xr:uid="{00000000-0005-0000-0000-0000A1800000}"/>
    <cellStyle name="Normal - Style1 2 5" xfId="32838" xr:uid="{00000000-0005-0000-0000-0000A2800000}"/>
    <cellStyle name="Normal - Style1 2 5 2" xfId="32839" xr:uid="{00000000-0005-0000-0000-0000A3800000}"/>
    <cellStyle name="Normal - Style1 2 6" xfId="32840" xr:uid="{00000000-0005-0000-0000-0000A4800000}"/>
    <cellStyle name="Normal - Style1 2 6 2" xfId="32841" xr:uid="{00000000-0005-0000-0000-0000A5800000}"/>
    <cellStyle name="Normal - Style1 2 7" xfId="32842" xr:uid="{00000000-0005-0000-0000-0000A6800000}"/>
    <cellStyle name="Normal - Style1 2 7 2" xfId="32843" xr:uid="{00000000-0005-0000-0000-0000A7800000}"/>
    <cellStyle name="Normal - Style1 2 8" xfId="32844" xr:uid="{00000000-0005-0000-0000-0000A8800000}"/>
    <cellStyle name="Normal - Style1 2 8 2" xfId="32845" xr:uid="{00000000-0005-0000-0000-0000A9800000}"/>
    <cellStyle name="Normal - Style1 2 9" xfId="32846" xr:uid="{00000000-0005-0000-0000-0000AA800000}"/>
    <cellStyle name="Normal - Style1 2 9 2" xfId="32847" xr:uid="{00000000-0005-0000-0000-0000AB800000}"/>
    <cellStyle name="Normal - Style1 20" xfId="32848" xr:uid="{00000000-0005-0000-0000-0000AC800000}"/>
    <cellStyle name="Normal - Style1 20 10" xfId="32849" xr:uid="{00000000-0005-0000-0000-0000AD800000}"/>
    <cellStyle name="Normal - Style1 20 2" xfId="32850" xr:uid="{00000000-0005-0000-0000-0000AE800000}"/>
    <cellStyle name="Normal - Style1 20 2 2" xfId="32851" xr:uid="{00000000-0005-0000-0000-0000AF800000}"/>
    <cellStyle name="Normal - Style1 20 3" xfId="32852" xr:uid="{00000000-0005-0000-0000-0000B0800000}"/>
    <cellStyle name="Normal - Style1 20 3 2" xfId="32853" xr:uid="{00000000-0005-0000-0000-0000B1800000}"/>
    <cellStyle name="Normal - Style1 20 4" xfId="32854" xr:uid="{00000000-0005-0000-0000-0000B2800000}"/>
    <cellStyle name="Normal - Style1 20 4 2" xfId="32855" xr:uid="{00000000-0005-0000-0000-0000B3800000}"/>
    <cellStyle name="Normal - Style1 20 5" xfId="32856" xr:uid="{00000000-0005-0000-0000-0000B4800000}"/>
    <cellStyle name="Normal - Style1 20 5 2" xfId="32857" xr:uid="{00000000-0005-0000-0000-0000B5800000}"/>
    <cellStyle name="Normal - Style1 20 6" xfId="32858" xr:uid="{00000000-0005-0000-0000-0000B6800000}"/>
    <cellStyle name="Normal - Style1 20 6 2" xfId="32859" xr:uid="{00000000-0005-0000-0000-0000B7800000}"/>
    <cellStyle name="Normal - Style1 20 7" xfId="32860" xr:uid="{00000000-0005-0000-0000-0000B8800000}"/>
    <cellStyle name="Normal - Style1 20 7 2" xfId="32861" xr:uid="{00000000-0005-0000-0000-0000B9800000}"/>
    <cellStyle name="Normal - Style1 20 8" xfId="32862" xr:uid="{00000000-0005-0000-0000-0000BA800000}"/>
    <cellStyle name="Normal - Style1 20 8 2" xfId="32863" xr:uid="{00000000-0005-0000-0000-0000BB800000}"/>
    <cellStyle name="Normal - Style1 20 9" xfId="32864" xr:uid="{00000000-0005-0000-0000-0000BC800000}"/>
    <cellStyle name="Normal - Style1 20 9 2" xfId="32865" xr:uid="{00000000-0005-0000-0000-0000BD800000}"/>
    <cellStyle name="Normal - Style1 21" xfId="32866" xr:uid="{00000000-0005-0000-0000-0000BE800000}"/>
    <cellStyle name="Normal - Style1 21 10" xfId="32867" xr:uid="{00000000-0005-0000-0000-0000BF800000}"/>
    <cellStyle name="Normal - Style1 21 2" xfId="32868" xr:uid="{00000000-0005-0000-0000-0000C0800000}"/>
    <cellStyle name="Normal - Style1 21 2 2" xfId="32869" xr:uid="{00000000-0005-0000-0000-0000C1800000}"/>
    <cellStyle name="Normal - Style1 21 3" xfId="32870" xr:uid="{00000000-0005-0000-0000-0000C2800000}"/>
    <cellStyle name="Normal - Style1 21 3 2" xfId="32871" xr:uid="{00000000-0005-0000-0000-0000C3800000}"/>
    <cellStyle name="Normal - Style1 21 4" xfId="32872" xr:uid="{00000000-0005-0000-0000-0000C4800000}"/>
    <cellStyle name="Normal - Style1 21 4 2" xfId="32873" xr:uid="{00000000-0005-0000-0000-0000C5800000}"/>
    <cellStyle name="Normal - Style1 21 5" xfId="32874" xr:uid="{00000000-0005-0000-0000-0000C6800000}"/>
    <cellStyle name="Normal - Style1 21 5 2" xfId="32875" xr:uid="{00000000-0005-0000-0000-0000C7800000}"/>
    <cellStyle name="Normal - Style1 21 6" xfId="32876" xr:uid="{00000000-0005-0000-0000-0000C8800000}"/>
    <cellStyle name="Normal - Style1 21 6 2" xfId="32877" xr:uid="{00000000-0005-0000-0000-0000C9800000}"/>
    <cellStyle name="Normal - Style1 21 7" xfId="32878" xr:uid="{00000000-0005-0000-0000-0000CA800000}"/>
    <cellStyle name="Normal - Style1 21 7 2" xfId="32879" xr:uid="{00000000-0005-0000-0000-0000CB800000}"/>
    <cellStyle name="Normal - Style1 21 8" xfId="32880" xr:uid="{00000000-0005-0000-0000-0000CC800000}"/>
    <cellStyle name="Normal - Style1 21 8 2" xfId="32881" xr:uid="{00000000-0005-0000-0000-0000CD800000}"/>
    <cellStyle name="Normal - Style1 21 9" xfId="32882" xr:uid="{00000000-0005-0000-0000-0000CE800000}"/>
    <cellStyle name="Normal - Style1 21 9 2" xfId="32883" xr:uid="{00000000-0005-0000-0000-0000CF800000}"/>
    <cellStyle name="Normal - Style1 22" xfId="32884" xr:uid="{00000000-0005-0000-0000-0000D0800000}"/>
    <cellStyle name="Normal - Style1 23" xfId="32885" xr:uid="{00000000-0005-0000-0000-0000D1800000}"/>
    <cellStyle name="Normal - Style1 3" xfId="32886" xr:uid="{00000000-0005-0000-0000-0000D2800000}"/>
    <cellStyle name="Normal - Style1 3 10" xfId="32887" xr:uid="{00000000-0005-0000-0000-0000D3800000}"/>
    <cellStyle name="Normal - Style1 3 2" xfId="32888" xr:uid="{00000000-0005-0000-0000-0000D4800000}"/>
    <cellStyle name="Normal - Style1 3 2 2" xfId="32889" xr:uid="{00000000-0005-0000-0000-0000D5800000}"/>
    <cellStyle name="Normal - Style1 3 3" xfId="32890" xr:uid="{00000000-0005-0000-0000-0000D6800000}"/>
    <cellStyle name="Normal - Style1 3 3 2" xfId="32891" xr:uid="{00000000-0005-0000-0000-0000D7800000}"/>
    <cellStyle name="Normal - Style1 3 4" xfId="32892" xr:uid="{00000000-0005-0000-0000-0000D8800000}"/>
    <cellStyle name="Normal - Style1 3 4 2" xfId="32893" xr:uid="{00000000-0005-0000-0000-0000D9800000}"/>
    <cellStyle name="Normal - Style1 3 5" xfId="32894" xr:uid="{00000000-0005-0000-0000-0000DA800000}"/>
    <cellStyle name="Normal - Style1 3 5 2" xfId="32895" xr:uid="{00000000-0005-0000-0000-0000DB800000}"/>
    <cellStyle name="Normal - Style1 3 6" xfId="32896" xr:uid="{00000000-0005-0000-0000-0000DC800000}"/>
    <cellStyle name="Normal - Style1 3 6 2" xfId="32897" xr:uid="{00000000-0005-0000-0000-0000DD800000}"/>
    <cellStyle name="Normal - Style1 3 7" xfId="32898" xr:uid="{00000000-0005-0000-0000-0000DE800000}"/>
    <cellStyle name="Normal - Style1 3 7 2" xfId="32899" xr:uid="{00000000-0005-0000-0000-0000DF800000}"/>
    <cellStyle name="Normal - Style1 3 8" xfId="32900" xr:uid="{00000000-0005-0000-0000-0000E0800000}"/>
    <cellStyle name="Normal - Style1 3 8 2" xfId="32901" xr:uid="{00000000-0005-0000-0000-0000E1800000}"/>
    <cellStyle name="Normal - Style1 3 9" xfId="32902" xr:uid="{00000000-0005-0000-0000-0000E2800000}"/>
    <cellStyle name="Normal - Style1 3 9 2" xfId="32903" xr:uid="{00000000-0005-0000-0000-0000E3800000}"/>
    <cellStyle name="Normal - Style1 4" xfId="32904" xr:uid="{00000000-0005-0000-0000-0000E4800000}"/>
    <cellStyle name="Normal - Style1 4 10" xfId="32905" xr:uid="{00000000-0005-0000-0000-0000E5800000}"/>
    <cellStyle name="Normal - Style1 4 2" xfId="32906" xr:uid="{00000000-0005-0000-0000-0000E6800000}"/>
    <cellStyle name="Normal - Style1 4 2 2" xfId="32907" xr:uid="{00000000-0005-0000-0000-0000E7800000}"/>
    <cellStyle name="Normal - Style1 4 3" xfId="32908" xr:uid="{00000000-0005-0000-0000-0000E8800000}"/>
    <cellStyle name="Normal - Style1 4 3 2" xfId="32909" xr:uid="{00000000-0005-0000-0000-0000E9800000}"/>
    <cellStyle name="Normal - Style1 4 4" xfId="32910" xr:uid="{00000000-0005-0000-0000-0000EA800000}"/>
    <cellStyle name="Normal - Style1 4 4 2" xfId="32911" xr:uid="{00000000-0005-0000-0000-0000EB800000}"/>
    <cellStyle name="Normal - Style1 4 5" xfId="32912" xr:uid="{00000000-0005-0000-0000-0000EC800000}"/>
    <cellStyle name="Normal - Style1 4 5 2" xfId="32913" xr:uid="{00000000-0005-0000-0000-0000ED800000}"/>
    <cellStyle name="Normal - Style1 4 6" xfId="32914" xr:uid="{00000000-0005-0000-0000-0000EE800000}"/>
    <cellStyle name="Normal - Style1 4 6 2" xfId="32915" xr:uid="{00000000-0005-0000-0000-0000EF800000}"/>
    <cellStyle name="Normal - Style1 4 7" xfId="32916" xr:uid="{00000000-0005-0000-0000-0000F0800000}"/>
    <cellStyle name="Normal - Style1 4 7 2" xfId="32917" xr:uid="{00000000-0005-0000-0000-0000F1800000}"/>
    <cellStyle name="Normal - Style1 4 8" xfId="32918" xr:uid="{00000000-0005-0000-0000-0000F2800000}"/>
    <cellStyle name="Normal - Style1 4 8 2" xfId="32919" xr:uid="{00000000-0005-0000-0000-0000F3800000}"/>
    <cellStyle name="Normal - Style1 4 9" xfId="32920" xr:uid="{00000000-0005-0000-0000-0000F4800000}"/>
    <cellStyle name="Normal - Style1 4 9 2" xfId="32921" xr:uid="{00000000-0005-0000-0000-0000F5800000}"/>
    <cellStyle name="Normal - Style1 5" xfId="32922" xr:uid="{00000000-0005-0000-0000-0000F6800000}"/>
    <cellStyle name="Normal - Style1 5 10" xfId="32923" xr:uid="{00000000-0005-0000-0000-0000F7800000}"/>
    <cellStyle name="Normal - Style1 5 2" xfId="32924" xr:uid="{00000000-0005-0000-0000-0000F8800000}"/>
    <cellStyle name="Normal - Style1 5 2 2" xfId="32925" xr:uid="{00000000-0005-0000-0000-0000F9800000}"/>
    <cellStyle name="Normal - Style1 5 3" xfId="32926" xr:uid="{00000000-0005-0000-0000-0000FA800000}"/>
    <cellStyle name="Normal - Style1 5 3 2" xfId="32927" xr:uid="{00000000-0005-0000-0000-0000FB800000}"/>
    <cellStyle name="Normal - Style1 5 4" xfId="32928" xr:uid="{00000000-0005-0000-0000-0000FC800000}"/>
    <cellStyle name="Normal - Style1 5 4 2" xfId="32929" xr:uid="{00000000-0005-0000-0000-0000FD800000}"/>
    <cellStyle name="Normal - Style1 5 5" xfId="32930" xr:uid="{00000000-0005-0000-0000-0000FE800000}"/>
    <cellStyle name="Normal - Style1 5 5 2" xfId="32931" xr:uid="{00000000-0005-0000-0000-0000FF800000}"/>
    <cellStyle name="Normal - Style1 5 6" xfId="32932" xr:uid="{00000000-0005-0000-0000-000000810000}"/>
    <cellStyle name="Normal - Style1 5 6 2" xfId="32933" xr:uid="{00000000-0005-0000-0000-000001810000}"/>
    <cellStyle name="Normal - Style1 5 7" xfId="32934" xr:uid="{00000000-0005-0000-0000-000002810000}"/>
    <cellStyle name="Normal - Style1 5 7 2" xfId="32935" xr:uid="{00000000-0005-0000-0000-000003810000}"/>
    <cellStyle name="Normal - Style1 5 8" xfId="32936" xr:uid="{00000000-0005-0000-0000-000004810000}"/>
    <cellStyle name="Normal - Style1 5 8 2" xfId="32937" xr:uid="{00000000-0005-0000-0000-000005810000}"/>
    <cellStyle name="Normal - Style1 5 9" xfId="32938" xr:uid="{00000000-0005-0000-0000-000006810000}"/>
    <cellStyle name="Normal - Style1 5 9 2" xfId="32939" xr:uid="{00000000-0005-0000-0000-000007810000}"/>
    <cellStyle name="Normal - Style1 6" xfId="32940" xr:uid="{00000000-0005-0000-0000-000008810000}"/>
    <cellStyle name="Normal - Style1 6 10" xfId="32941" xr:uid="{00000000-0005-0000-0000-000009810000}"/>
    <cellStyle name="Normal - Style1 6 2" xfId="32942" xr:uid="{00000000-0005-0000-0000-00000A810000}"/>
    <cellStyle name="Normal - Style1 6 2 2" xfId="32943" xr:uid="{00000000-0005-0000-0000-00000B810000}"/>
    <cellStyle name="Normal - Style1 6 3" xfId="32944" xr:uid="{00000000-0005-0000-0000-00000C810000}"/>
    <cellStyle name="Normal - Style1 6 3 2" xfId="32945" xr:uid="{00000000-0005-0000-0000-00000D810000}"/>
    <cellStyle name="Normal - Style1 6 4" xfId="32946" xr:uid="{00000000-0005-0000-0000-00000E810000}"/>
    <cellStyle name="Normal - Style1 6 4 2" xfId="32947" xr:uid="{00000000-0005-0000-0000-00000F810000}"/>
    <cellStyle name="Normal - Style1 6 5" xfId="32948" xr:uid="{00000000-0005-0000-0000-000010810000}"/>
    <cellStyle name="Normal - Style1 6 5 2" xfId="32949" xr:uid="{00000000-0005-0000-0000-000011810000}"/>
    <cellStyle name="Normal - Style1 6 6" xfId="32950" xr:uid="{00000000-0005-0000-0000-000012810000}"/>
    <cellStyle name="Normal - Style1 6 6 2" xfId="32951" xr:uid="{00000000-0005-0000-0000-000013810000}"/>
    <cellStyle name="Normal - Style1 6 7" xfId="32952" xr:uid="{00000000-0005-0000-0000-000014810000}"/>
    <cellStyle name="Normal - Style1 6 7 2" xfId="32953" xr:uid="{00000000-0005-0000-0000-000015810000}"/>
    <cellStyle name="Normal - Style1 6 8" xfId="32954" xr:uid="{00000000-0005-0000-0000-000016810000}"/>
    <cellStyle name="Normal - Style1 6 8 2" xfId="32955" xr:uid="{00000000-0005-0000-0000-000017810000}"/>
    <cellStyle name="Normal - Style1 6 9" xfId="32956" xr:uid="{00000000-0005-0000-0000-000018810000}"/>
    <cellStyle name="Normal - Style1 6 9 2" xfId="32957" xr:uid="{00000000-0005-0000-0000-000019810000}"/>
    <cellStyle name="Normal - Style1 7" xfId="32958" xr:uid="{00000000-0005-0000-0000-00001A810000}"/>
    <cellStyle name="Normal - Style1 7 10" xfId="32959" xr:uid="{00000000-0005-0000-0000-00001B810000}"/>
    <cellStyle name="Normal - Style1 7 2" xfId="32960" xr:uid="{00000000-0005-0000-0000-00001C810000}"/>
    <cellStyle name="Normal - Style1 7 2 2" xfId="32961" xr:uid="{00000000-0005-0000-0000-00001D810000}"/>
    <cellStyle name="Normal - Style1 7 3" xfId="32962" xr:uid="{00000000-0005-0000-0000-00001E810000}"/>
    <cellStyle name="Normal - Style1 7 3 2" xfId="32963" xr:uid="{00000000-0005-0000-0000-00001F810000}"/>
    <cellStyle name="Normal - Style1 7 4" xfId="32964" xr:uid="{00000000-0005-0000-0000-000020810000}"/>
    <cellStyle name="Normal - Style1 7 4 2" xfId="32965" xr:uid="{00000000-0005-0000-0000-000021810000}"/>
    <cellStyle name="Normal - Style1 7 5" xfId="32966" xr:uid="{00000000-0005-0000-0000-000022810000}"/>
    <cellStyle name="Normal - Style1 7 5 2" xfId="32967" xr:uid="{00000000-0005-0000-0000-000023810000}"/>
    <cellStyle name="Normal - Style1 7 6" xfId="32968" xr:uid="{00000000-0005-0000-0000-000024810000}"/>
    <cellStyle name="Normal - Style1 7 6 2" xfId="32969" xr:uid="{00000000-0005-0000-0000-000025810000}"/>
    <cellStyle name="Normal - Style1 7 7" xfId="32970" xr:uid="{00000000-0005-0000-0000-000026810000}"/>
    <cellStyle name="Normal - Style1 7 7 2" xfId="32971" xr:uid="{00000000-0005-0000-0000-000027810000}"/>
    <cellStyle name="Normal - Style1 7 8" xfId="32972" xr:uid="{00000000-0005-0000-0000-000028810000}"/>
    <cellStyle name="Normal - Style1 7 8 2" xfId="32973" xr:uid="{00000000-0005-0000-0000-000029810000}"/>
    <cellStyle name="Normal - Style1 7 9" xfId="32974" xr:uid="{00000000-0005-0000-0000-00002A810000}"/>
    <cellStyle name="Normal - Style1 7 9 2" xfId="32975" xr:uid="{00000000-0005-0000-0000-00002B810000}"/>
    <cellStyle name="Normal - Style1 8" xfId="32976" xr:uid="{00000000-0005-0000-0000-00002C810000}"/>
    <cellStyle name="Normal - Style1 8 10" xfId="32977" xr:uid="{00000000-0005-0000-0000-00002D810000}"/>
    <cellStyle name="Normal - Style1 8 2" xfId="32978" xr:uid="{00000000-0005-0000-0000-00002E810000}"/>
    <cellStyle name="Normal - Style1 8 2 2" xfId="32979" xr:uid="{00000000-0005-0000-0000-00002F810000}"/>
    <cellStyle name="Normal - Style1 8 3" xfId="32980" xr:uid="{00000000-0005-0000-0000-000030810000}"/>
    <cellStyle name="Normal - Style1 8 3 2" xfId="32981" xr:uid="{00000000-0005-0000-0000-000031810000}"/>
    <cellStyle name="Normal - Style1 8 4" xfId="32982" xr:uid="{00000000-0005-0000-0000-000032810000}"/>
    <cellStyle name="Normal - Style1 8 4 2" xfId="32983" xr:uid="{00000000-0005-0000-0000-000033810000}"/>
    <cellStyle name="Normal - Style1 8 5" xfId="32984" xr:uid="{00000000-0005-0000-0000-000034810000}"/>
    <cellStyle name="Normal - Style1 8 5 2" xfId="32985" xr:uid="{00000000-0005-0000-0000-000035810000}"/>
    <cellStyle name="Normal - Style1 8 6" xfId="32986" xr:uid="{00000000-0005-0000-0000-000036810000}"/>
    <cellStyle name="Normal - Style1 8 6 2" xfId="32987" xr:uid="{00000000-0005-0000-0000-000037810000}"/>
    <cellStyle name="Normal - Style1 8 7" xfId="32988" xr:uid="{00000000-0005-0000-0000-000038810000}"/>
    <cellStyle name="Normal - Style1 8 7 2" xfId="32989" xr:uid="{00000000-0005-0000-0000-000039810000}"/>
    <cellStyle name="Normal - Style1 8 8" xfId="32990" xr:uid="{00000000-0005-0000-0000-00003A810000}"/>
    <cellStyle name="Normal - Style1 8 8 2" xfId="32991" xr:uid="{00000000-0005-0000-0000-00003B810000}"/>
    <cellStyle name="Normal - Style1 8 9" xfId="32992" xr:uid="{00000000-0005-0000-0000-00003C810000}"/>
    <cellStyle name="Normal - Style1 8 9 2" xfId="32993" xr:uid="{00000000-0005-0000-0000-00003D810000}"/>
    <cellStyle name="Normal - Style1 9" xfId="32994" xr:uid="{00000000-0005-0000-0000-00003E810000}"/>
    <cellStyle name="Normal - Style1 9 10" xfId="32995" xr:uid="{00000000-0005-0000-0000-00003F810000}"/>
    <cellStyle name="Normal - Style1 9 2" xfId="32996" xr:uid="{00000000-0005-0000-0000-000040810000}"/>
    <cellStyle name="Normal - Style1 9 2 2" xfId="32997" xr:uid="{00000000-0005-0000-0000-000041810000}"/>
    <cellStyle name="Normal - Style1 9 3" xfId="32998" xr:uid="{00000000-0005-0000-0000-000042810000}"/>
    <cellStyle name="Normal - Style1 9 3 2" xfId="32999" xr:uid="{00000000-0005-0000-0000-000043810000}"/>
    <cellStyle name="Normal - Style1 9 4" xfId="33000" xr:uid="{00000000-0005-0000-0000-000044810000}"/>
    <cellStyle name="Normal - Style1 9 4 2" xfId="33001" xr:uid="{00000000-0005-0000-0000-000045810000}"/>
    <cellStyle name="Normal - Style1 9 5" xfId="33002" xr:uid="{00000000-0005-0000-0000-000046810000}"/>
    <cellStyle name="Normal - Style1 9 5 2" xfId="33003" xr:uid="{00000000-0005-0000-0000-000047810000}"/>
    <cellStyle name="Normal - Style1 9 6" xfId="33004" xr:uid="{00000000-0005-0000-0000-000048810000}"/>
    <cellStyle name="Normal - Style1 9 6 2" xfId="33005" xr:uid="{00000000-0005-0000-0000-000049810000}"/>
    <cellStyle name="Normal - Style1 9 7" xfId="33006" xr:uid="{00000000-0005-0000-0000-00004A810000}"/>
    <cellStyle name="Normal - Style1 9 7 2" xfId="33007" xr:uid="{00000000-0005-0000-0000-00004B810000}"/>
    <cellStyle name="Normal - Style1 9 8" xfId="33008" xr:uid="{00000000-0005-0000-0000-00004C810000}"/>
    <cellStyle name="Normal - Style1 9 8 2" xfId="33009" xr:uid="{00000000-0005-0000-0000-00004D810000}"/>
    <cellStyle name="Normal - Style1 9 9" xfId="33010" xr:uid="{00000000-0005-0000-0000-00004E810000}"/>
    <cellStyle name="Normal - Style1 9 9 2" xfId="33011" xr:uid="{00000000-0005-0000-0000-00004F810000}"/>
    <cellStyle name="Normal 10" xfId="33012" xr:uid="{00000000-0005-0000-0000-000050810000}"/>
    <cellStyle name="Normal 10 2" xfId="33013" xr:uid="{00000000-0005-0000-0000-000051810000}"/>
    <cellStyle name="Normal 10 3" xfId="4" xr:uid="{00000000-0005-0000-0000-000052810000}"/>
    <cellStyle name="Normal 10 3 2" xfId="23" xr:uid="{00000000-0005-0000-0000-000053810000}"/>
    <cellStyle name="Normal 10 3 2 2" xfId="58895" xr:uid="{00000000-0005-0000-0000-000054810000}"/>
    <cellStyle name="Normal 10 3 3" xfId="58866" xr:uid="{00000000-0005-0000-0000-000055810000}"/>
    <cellStyle name="Normal 107" xfId="33014" xr:uid="{00000000-0005-0000-0000-000056810000}"/>
    <cellStyle name="Normal 107 10" xfId="33015" xr:uid="{00000000-0005-0000-0000-000057810000}"/>
    <cellStyle name="Normal 107 2" xfId="33016" xr:uid="{00000000-0005-0000-0000-000058810000}"/>
    <cellStyle name="Normal 107 2 2" xfId="33017" xr:uid="{00000000-0005-0000-0000-000059810000}"/>
    <cellStyle name="Normal 107 3" xfId="33018" xr:uid="{00000000-0005-0000-0000-00005A810000}"/>
    <cellStyle name="Normal 107 3 2" xfId="33019" xr:uid="{00000000-0005-0000-0000-00005B810000}"/>
    <cellStyle name="Normal 107 4" xfId="33020" xr:uid="{00000000-0005-0000-0000-00005C810000}"/>
    <cellStyle name="Normal 107 4 2" xfId="33021" xr:uid="{00000000-0005-0000-0000-00005D810000}"/>
    <cellStyle name="Normal 107 5" xfId="33022" xr:uid="{00000000-0005-0000-0000-00005E810000}"/>
    <cellStyle name="Normal 107 5 2" xfId="33023" xr:uid="{00000000-0005-0000-0000-00005F810000}"/>
    <cellStyle name="Normal 107 6" xfId="33024" xr:uid="{00000000-0005-0000-0000-000060810000}"/>
    <cellStyle name="Normal 107 6 2" xfId="33025" xr:uid="{00000000-0005-0000-0000-000061810000}"/>
    <cellStyle name="Normal 107 7" xfId="33026" xr:uid="{00000000-0005-0000-0000-000062810000}"/>
    <cellStyle name="Normal 107 7 2" xfId="33027" xr:uid="{00000000-0005-0000-0000-000063810000}"/>
    <cellStyle name="Normal 107 8" xfId="33028" xr:uid="{00000000-0005-0000-0000-000064810000}"/>
    <cellStyle name="Normal 107 8 2" xfId="33029" xr:uid="{00000000-0005-0000-0000-000065810000}"/>
    <cellStyle name="Normal 107 9" xfId="33030" xr:uid="{00000000-0005-0000-0000-000066810000}"/>
    <cellStyle name="Normal 107 9 2" xfId="33031" xr:uid="{00000000-0005-0000-0000-000067810000}"/>
    <cellStyle name="Normal 11" xfId="33032" xr:uid="{00000000-0005-0000-0000-000068810000}"/>
    <cellStyle name="Normal 12" xfId="33033" xr:uid="{00000000-0005-0000-0000-000069810000}"/>
    <cellStyle name="Normal 12 2" xfId="33034" xr:uid="{00000000-0005-0000-0000-00006A810000}"/>
    <cellStyle name="Normal 12 2 2" xfId="33035" xr:uid="{00000000-0005-0000-0000-00006B810000}"/>
    <cellStyle name="Normal 12 3" xfId="33036" xr:uid="{00000000-0005-0000-0000-00006C810000}"/>
    <cellStyle name="Normal 127" xfId="33037" xr:uid="{00000000-0005-0000-0000-00006D810000}"/>
    <cellStyle name="Normal 128" xfId="33038" xr:uid="{00000000-0005-0000-0000-00006E810000}"/>
    <cellStyle name="Normal 13" xfId="33039" xr:uid="{00000000-0005-0000-0000-00006F810000}"/>
    <cellStyle name="Normal 13 2" xfId="33040" xr:uid="{00000000-0005-0000-0000-000070810000}"/>
    <cellStyle name="Normal 14" xfId="33041" xr:uid="{00000000-0005-0000-0000-000071810000}"/>
    <cellStyle name="Normal 14 2" xfId="33042" xr:uid="{00000000-0005-0000-0000-000072810000}"/>
    <cellStyle name="Normal 15" xfId="33043" xr:uid="{00000000-0005-0000-0000-000073810000}"/>
    <cellStyle name="Normal 15 2" xfId="33044" xr:uid="{00000000-0005-0000-0000-000074810000}"/>
    <cellStyle name="Normal 16" xfId="33045" xr:uid="{00000000-0005-0000-0000-000075810000}"/>
    <cellStyle name="Normal 16 2" xfId="33046" xr:uid="{00000000-0005-0000-0000-000076810000}"/>
    <cellStyle name="Normal 17" xfId="33047" xr:uid="{00000000-0005-0000-0000-000077810000}"/>
    <cellStyle name="Normal 17 2" xfId="33048" xr:uid="{00000000-0005-0000-0000-000078810000}"/>
    <cellStyle name="Normal 18" xfId="33049" xr:uid="{00000000-0005-0000-0000-000079810000}"/>
    <cellStyle name="Normal 18 2" xfId="33050" xr:uid="{00000000-0005-0000-0000-00007A810000}"/>
    <cellStyle name="Normal 19" xfId="13" xr:uid="{00000000-0005-0000-0000-00007B810000}"/>
    <cellStyle name="Normal 19 2" xfId="33051" xr:uid="{00000000-0005-0000-0000-00007C810000}"/>
    <cellStyle name="Normal 2" xfId="2" xr:uid="{00000000-0005-0000-0000-00007D810000}"/>
    <cellStyle name="Normal 2 10" xfId="33052" xr:uid="{00000000-0005-0000-0000-00007E810000}"/>
    <cellStyle name="Normal 2 10 2" xfId="6" xr:uid="{00000000-0005-0000-0000-00007F810000}"/>
    <cellStyle name="Normal 2 10 2 2" xfId="33053" xr:uid="{00000000-0005-0000-0000-000080810000}"/>
    <cellStyle name="Normal 2 11" xfId="33054" xr:uid="{00000000-0005-0000-0000-000081810000}"/>
    <cellStyle name="Normal 2 11 2" xfId="33055" xr:uid="{00000000-0005-0000-0000-000082810000}"/>
    <cellStyle name="Normal 2 11 2 2" xfId="33056" xr:uid="{00000000-0005-0000-0000-000083810000}"/>
    <cellStyle name="Normal 2 12" xfId="33057" xr:uid="{00000000-0005-0000-0000-000084810000}"/>
    <cellStyle name="Normal 2 12 2" xfId="33058" xr:uid="{00000000-0005-0000-0000-000085810000}"/>
    <cellStyle name="Normal 2 12 3" xfId="58915" xr:uid="{00000000-0005-0000-0000-000086810000}"/>
    <cellStyle name="Normal 2 13" xfId="33059" xr:uid="{00000000-0005-0000-0000-000087810000}"/>
    <cellStyle name="Normal 2 13 2" xfId="33060" xr:uid="{00000000-0005-0000-0000-000088810000}"/>
    <cellStyle name="Normal 2 14" xfId="33061" xr:uid="{00000000-0005-0000-0000-000089810000}"/>
    <cellStyle name="Normal 2 14 2" xfId="33062" xr:uid="{00000000-0005-0000-0000-00008A810000}"/>
    <cellStyle name="Normal 2 15" xfId="33063" xr:uid="{00000000-0005-0000-0000-00008B810000}"/>
    <cellStyle name="Normal 2 15 2" xfId="33064" xr:uid="{00000000-0005-0000-0000-00008C810000}"/>
    <cellStyle name="Normal 2 16" xfId="33065" xr:uid="{00000000-0005-0000-0000-00008D810000}"/>
    <cellStyle name="Normal 2 16 2" xfId="33066" xr:uid="{00000000-0005-0000-0000-00008E810000}"/>
    <cellStyle name="Normal 2 17" xfId="33067" xr:uid="{00000000-0005-0000-0000-00008F810000}"/>
    <cellStyle name="Normal 2 17 2" xfId="33068" xr:uid="{00000000-0005-0000-0000-000090810000}"/>
    <cellStyle name="Normal 2 18" xfId="33069" xr:uid="{00000000-0005-0000-0000-000091810000}"/>
    <cellStyle name="Normal 2 18 2" xfId="33070" xr:uid="{00000000-0005-0000-0000-000092810000}"/>
    <cellStyle name="Normal 2 19" xfId="33071" xr:uid="{00000000-0005-0000-0000-000093810000}"/>
    <cellStyle name="Normal 2 19 2" xfId="33072" xr:uid="{00000000-0005-0000-0000-000094810000}"/>
    <cellStyle name="Normal 2 2" xfId="9" xr:uid="{00000000-0005-0000-0000-000095810000}"/>
    <cellStyle name="Normal 2 2 10" xfId="33074" xr:uid="{00000000-0005-0000-0000-000096810000}"/>
    <cellStyle name="Normal 2 2 10 2" xfId="33075" xr:uid="{00000000-0005-0000-0000-000097810000}"/>
    <cellStyle name="Normal 2 2 11" xfId="33076" xr:uid="{00000000-0005-0000-0000-000098810000}"/>
    <cellStyle name="Normal 2 2 11 2" xfId="33077" xr:uid="{00000000-0005-0000-0000-000099810000}"/>
    <cellStyle name="Normal 2 2 12" xfId="33078" xr:uid="{00000000-0005-0000-0000-00009A810000}"/>
    <cellStyle name="Normal 2 2 12 2" xfId="33079" xr:uid="{00000000-0005-0000-0000-00009B810000}"/>
    <cellStyle name="Normal 2 2 13" xfId="33080" xr:uid="{00000000-0005-0000-0000-00009C810000}"/>
    <cellStyle name="Normal 2 2 13 2" xfId="33081" xr:uid="{00000000-0005-0000-0000-00009D810000}"/>
    <cellStyle name="Normal 2 2 14" xfId="33082" xr:uid="{00000000-0005-0000-0000-00009E810000}"/>
    <cellStyle name="Normal 2 2 14 2" xfId="33083" xr:uid="{00000000-0005-0000-0000-00009F810000}"/>
    <cellStyle name="Normal 2 2 15" xfId="33084" xr:uid="{00000000-0005-0000-0000-0000A0810000}"/>
    <cellStyle name="Normal 2 2 15 2" xfId="33085" xr:uid="{00000000-0005-0000-0000-0000A1810000}"/>
    <cellStyle name="Normal 2 2 16" xfId="33086" xr:uid="{00000000-0005-0000-0000-0000A2810000}"/>
    <cellStyle name="Normal 2 2 16 2" xfId="33087" xr:uid="{00000000-0005-0000-0000-0000A3810000}"/>
    <cellStyle name="Normal 2 2 17" xfId="33088" xr:uid="{00000000-0005-0000-0000-0000A4810000}"/>
    <cellStyle name="Normal 2 2 17 2" xfId="33089" xr:uid="{00000000-0005-0000-0000-0000A5810000}"/>
    <cellStyle name="Normal 2 2 18" xfId="33090" xr:uid="{00000000-0005-0000-0000-0000A6810000}"/>
    <cellStyle name="Normal 2 2 18 2" xfId="33091" xr:uid="{00000000-0005-0000-0000-0000A7810000}"/>
    <cellStyle name="Normal 2 2 19" xfId="33073" xr:uid="{00000000-0005-0000-0000-0000A8810000}"/>
    <cellStyle name="Normal 2 2 2" xfId="33092" xr:uid="{00000000-0005-0000-0000-0000A9810000}"/>
    <cellStyle name="Normal 2 2 2 10" xfId="33093" xr:uid="{00000000-0005-0000-0000-0000AA810000}"/>
    <cellStyle name="Normal 2 2 2 11" xfId="33094" xr:uid="{00000000-0005-0000-0000-0000AB810000}"/>
    <cellStyle name="Normal 2 2 2 12" xfId="33095" xr:uid="{00000000-0005-0000-0000-0000AC810000}"/>
    <cellStyle name="Normal 2 2 2 13" xfId="33096" xr:uid="{00000000-0005-0000-0000-0000AD810000}"/>
    <cellStyle name="Normal 2 2 2 14" xfId="33097" xr:uid="{00000000-0005-0000-0000-0000AE810000}"/>
    <cellStyle name="Normal 2 2 2 15" xfId="33098" xr:uid="{00000000-0005-0000-0000-0000AF810000}"/>
    <cellStyle name="Normal 2 2 2 16" xfId="33099" xr:uid="{00000000-0005-0000-0000-0000B0810000}"/>
    <cellStyle name="Normal 2 2 2 16 2" xfId="33100" xr:uid="{00000000-0005-0000-0000-0000B1810000}"/>
    <cellStyle name="Normal 2 2 2 17" xfId="33101" xr:uid="{00000000-0005-0000-0000-0000B2810000}"/>
    <cellStyle name="Normal 2 2 2 2" xfId="33102" xr:uid="{00000000-0005-0000-0000-0000B3810000}"/>
    <cellStyle name="Normal 2 2 2 3" xfId="33103" xr:uid="{00000000-0005-0000-0000-0000B4810000}"/>
    <cellStyle name="Normal 2 2 2 4" xfId="33104" xr:uid="{00000000-0005-0000-0000-0000B5810000}"/>
    <cellStyle name="Normal 2 2 2 5" xfId="33105" xr:uid="{00000000-0005-0000-0000-0000B6810000}"/>
    <cellStyle name="Normal 2 2 2 6" xfId="33106" xr:uid="{00000000-0005-0000-0000-0000B7810000}"/>
    <cellStyle name="Normal 2 2 2 7" xfId="33107" xr:uid="{00000000-0005-0000-0000-0000B8810000}"/>
    <cellStyle name="Normal 2 2 2 8" xfId="33108" xr:uid="{00000000-0005-0000-0000-0000B9810000}"/>
    <cellStyle name="Normal 2 2 2 9" xfId="33109" xr:uid="{00000000-0005-0000-0000-0000BA810000}"/>
    <cellStyle name="Normal 2 2 3" xfId="33110" xr:uid="{00000000-0005-0000-0000-0000BB810000}"/>
    <cellStyle name="Normal 2 2 4" xfId="33111" xr:uid="{00000000-0005-0000-0000-0000BC810000}"/>
    <cellStyle name="Normal 2 2 5" xfId="33112" xr:uid="{00000000-0005-0000-0000-0000BD810000}"/>
    <cellStyle name="Normal 2 2 5 2" xfId="33113" xr:uid="{00000000-0005-0000-0000-0000BE810000}"/>
    <cellStyle name="Normal 2 2 6" xfId="33114" xr:uid="{00000000-0005-0000-0000-0000BF810000}"/>
    <cellStyle name="Normal 2 2 6 2" xfId="33115" xr:uid="{00000000-0005-0000-0000-0000C0810000}"/>
    <cellStyle name="Normal 2 2 7" xfId="33116" xr:uid="{00000000-0005-0000-0000-0000C1810000}"/>
    <cellStyle name="Normal 2 2 7 2" xfId="33117" xr:uid="{00000000-0005-0000-0000-0000C2810000}"/>
    <cellStyle name="Normal 2 2 8" xfId="33118" xr:uid="{00000000-0005-0000-0000-0000C3810000}"/>
    <cellStyle name="Normal 2 2 8 2" xfId="33119" xr:uid="{00000000-0005-0000-0000-0000C4810000}"/>
    <cellStyle name="Normal 2 2 9" xfId="33120" xr:uid="{00000000-0005-0000-0000-0000C5810000}"/>
    <cellStyle name="Normal 2 2 9 2" xfId="33121" xr:uid="{00000000-0005-0000-0000-0000C6810000}"/>
    <cellStyle name="Normal 2 20" xfId="33122" xr:uid="{00000000-0005-0000-0000-0000C7810000}"/>
    <cellStyle name="Normal 2 20 2" xfId="33123" xr:uid="{00000000-0005-0000-0000-0000C8810000}"/>
    <cellStyle name="Normal 2 20 2 2" xfId="33124" xr:uid="{00000000-0005-0000-0000-0000C9810000}"/>
    <cellStyle name="Normal 2 21" xfId="33125" xr:uid="{00000000-0005-0000-0000-0000CA810000}"/>
    <cellStyle name="Normal 2 21 2" xfId="33126" xr:uid="{00000000-0005-0000-0000-0000CB810000}"/>
    <cellStyle name="Normal 2 21 2 2" xfId="33127" xr:uid="{00000000-0005-0000-0000-0000CC810000}"/>
    <cellStyle name="Normal 2 22" xfId="33128" xr:uid="{00000000-0005-0000-0000-0000CD810000}"/>
    <cellStyle name="Normal 2 22 2" xfId="33129" xr:uid="{00000000-0005-0000-0000-0000CE810000}"/>
    <cellStyle name="Normal 2 22 2 2" xfId="33130" xr:uid="{00000000-0005-0000-0000-0000CF810000}"/>
    <cellStyle name="Normal 2 23" xfId="33131" xr:uid="{00000000-0005-0000-0000-0000D0810000}"/>
    <cellStyle name="Normal 2 23 2" xfId="33132" xr:uid="{00000000-0005-0000-0000-0000D1810000}"/>
    <cellStyle name="Normal 2 23 2 2" xfId="33133" xr:uid="{00000000-0005-0000-0000-0000D2810000}"/>
    <cellStyle name="Normal 2 24" xfId="33134" xr:uid="{00000000-0005-0000-0000-0000D3810000}"/>
    <cellStyle name="Normal 2 24 2" xfId="33135" xr:uid="{00000000-0005-0000-0000-0000D4810000}"/>
    <cellStyle name="Normal 2 24 2 2" xfId="33136" xr:uid="{00000000-0005-0000-0000-0000D5810000}"/>
    <cellStyle name="Normal 2 25" xfId="33137" xr:uid="{00000000-0005-0000-0000-0000D6810000}"/>
    <cellStyle name="Normal 2 25 2" xfId="33138" xr:uid="{00000000-0005-0000-0000-0000D7810000}"/>
    <cellStyle name="Normal 2 25 2 2" xfId="33139" xr:uid="{00000000-0005-0000-0000-0000D8810000}"/>
    <cellStyle name="Normal 2 26" xfId="33140" xr:uid="{00000000-0005-0000-0000-0000D9810000}"/>
    <cellStyle name="Normal 2 26 2" xfId="33141" xr:uid="{00000000-0005-0000-0000-0000DA810000}"/>
    <cellStyle name="Normal 2 26 2 2" xfId="33142" xr:uid="{00000000-0005-0000-0000-0000DB810000}"/>
    <cellStyle name="Normal 2 27" xfId="33143" xr:uid="{00000000-0005-0000-0000-0000DC810000}"/>
    <cellStyle name="Normal 2 27 2" xfId="33144" xr:uid="{00000000-0005-0000-0000-0000DD810000}"/>
    <cellStyle name="Normal 2 27 2 2" xfId="33145" xr:uid="{00000000-0005-0000-0000-0000DE810000}"/>
    <cellStyle name="Normal 2 28" xfId="33146" xr:uid="{00000000-0005-0000-0000-0000DF810000}"/>
    <cellStyle name="Normal 2 28 2" xfId="33147" xr:uid="{00000000-0005-0000-0000-0000E0810000}"/>
    <cellStyle name="Normal 2 28 2 2" xfId="33148" xr:uid="{00000000-0005-0000-0000-0000E1810000}"/>
    <cellStyle name="Normal 2 29" xfId="33149" xr:uid="{00000000-0005-0000-0000-0000E2810000}"/>
    <cellStyle name="Normal 2 29 2" xfId="33150" xr:uid="{00000000-0005-0000-0000-0000E3810000}"/>
    <cellStyle name="Normal 2 29 2 2" xfId="33151" xr:uid="{00000000-0005-0000-0000-0000E4810000}"/>
    <cellStyle name="Normal 2 3" xfId="33152" xr:uid="{00000000-0005-0000-0000-0000E5810000}"/>
    <cellStyle name="Normal 2 3 2" xfId="33153" xr:uid="{00000000-0005-0000-0000-0000E6810000}"/>
    <cellStyle name="Normal 2 3 2 2" xfId="33154" xr:uid="{00000000-0005-0000-0000-0000E7810000}"/>
    <cellStyle name="Normal 2 3 3" xfId="33155" xr:uid="{00000000-0005-0000-0000-0000E8810000}"/>
    <cellStyle name="Normal 2 3 4" xfId="33156" xr:uid="{00000000-0005-0000-0000-0000E9810000}"/>
    <cellStyle name="Normal 2 3_Combustible vehículos propios" xfId="33157" xr:uid="{00000000-0005-0000-0000-0000EA810000}"/>
    <cellStyle name="Normal 2 30" xfId="33158" xr:uid="{00000000-0005-0000-0000-0000EB810000}"/>
    <cellStyle name="Normal 2 30 2" xfId="33159" xr:uid="{00000000-0005-0000-0000-0000EC810000}"/>
    <cellStyle name="Normal 2 30 2 2" xfId="33160" xr:uid="{00000000-0005-0000-0000-0000ED810000}"/>
    <cellStyle name="Normal 2 31" xfId="33161" xr:uid="{00000000-0005-0000-0000-0000EE810000}"/>
    <cellStyle name="Normal 2 31 2" xfId="33162" xr:uid="{00000000-0005-0000-0000-0000EF810000}"/>
    <cellStyle name="Normal 2 32" xfId="33163" xr:uid="{00000000-0005-0000-0000-0000F0810000}"/>
    <cellStyle name="Normal 2 32 2" xfId="33164" xr:uid="{00000000-0005-0000-0000-0000F1810000}"/>
    <cellStyle name="Normal 2 33" xfId="33165" xr:uid="{00000000-0005-0000-0000-0000F2810000}"/>
    <cellStyle name="Normal 2 33 10" xfId="33166" xr:uid="{00000000-0005-0000-0000-0000F3810000}"/>
    <cellStyle name="Normal 2 33 11" xfId="33167" xr:uid="{00000000-0005-0000-0000-0000F4810000}"/>
    <cellStyle name="Normal 2 33 2" xfId="33168" xr:uid="{00000000-0005-0000-0000-0000F5810000}"/>
    <cellStyle name="Normal 2 33 2 2" xfId="33169" xr:uid="{00000000-0005-0000-0000-0000F6810000}"/>
    <cellStyle name="Normal 2 33 3" xfId="33170" xr:uid="{00000000-0005-0000-0000-0000F7810000}"/>
    <cellStyle name="Normal 2 33 3 2" xfId="33171" xr:uid="{00000000-0005-0000-0000-0000F8810000}"/>
    <cellStyle name="Normal 2 33 4" xfId="33172" xr:uid="{00000000-0005-0000-0000-0000F9810000}"/>
    <cellStyle name="Normal 2 33 4 2" xfId="33173" xr:uid="{00000000-0005-0000-0000-0000FA810000}"/>
    <cellStyle name="Normal 2 33 5" xfId="33174" xr:uid="{00000000-0005-0000-0000-0000FB810000}"/>
    <cellStyle name="Normal 2 33 5 2" xfId="33175" xr:uid="{00000000-0005-0000-0000-0000FC810000}"/>
    <cellStyle name="Normal 2 33 6" xfId="33176" xr:uid="{00000000-0005-0000-0000-0000FD810000}"/>
    <cellStyle name="Normal 2 33 6 2" xfId="33177" xr:uid="{00000000-0005-0000-0000-0000FE810000}"/>
    <cellStyle name="Normal 2 33 7" xfId="33178" xr:uid="{00000000-0005-0000-0000-0000FF810000}"/>
    <cellStyle name="Normal 2 33 7 2" xfId="33179" xr:uid="{00000000-0005-0000-0000-000000820000}"/>
    <cellStyle name="Normal 2 33 8" xfId="33180" xr:uid="{00000000-0005-0000-0000-000001820000}"/>
    <cellStyle name="Normal 2 33 8 2" xfId="33181" xr:uid="{00000000-0005-0000-0000-000002820000}"/>
    <cellStyle name="Normal 2 33 9" xfId="33182" xr:uid="{00000000-0005-0000-0000-000003820000}"/>
    <cellStyle name="Normal 2 33 9 2" xfId="33183" xr:uid="{00000000-0005-0000-0000-000004820000}"/>
    <cellStyle name="Normal 2 34" xfId="33184" xr:uid="{00000000-0005-0000-0000-000005820000}"/>
    <cellStyle name="Normal 2 34 10" xfId="33185" xr:uid="{00000000-0005-0000-0000-000006820000}"/>
    <cellStyle name="Normal 2 34 11" xfId="33186" xr:uid="{00000000-0005-0000-0000-000007820000}"/>
    <cellStyle name="Normal 2 34 2" xfId="33187" xr:uid="{00000000-0005-0000-0000-000008820000}"/>
    <cellStyle name="Normal 2 34 2 2" xfId="33188" xr:uid="{00000000-0005-0000-0000-000009820000}"/>
    <cellStyle name="Normal 2 34 3" xfId="33189" xr:uid="{00000000-0005-0000-0000-00000A820000}"/>
    <cellStyle name="Normal 2 34 3 2" xfId="33190" xr:uid="{00000000-0005-0000-0000-00000B820000}"/>
    <cellStyle name="Normal 2 34 4" xfId="33191" xr:uid="{00000000-0005-0000-0000-00000C820000}"/>
    <cellStyle name="Normal 2 34 4 2" xfId="33192" xr:uid="{00000000-0005-0000-0000-00000D820000}"/>
    <cellStyle name="Normal 2 34 5" xfId="33193" xr:uid="{00000000-0005-0000-0000-00000E820000}"/>
    <cellStyle name="Normal 2 34 5 2" xfId="33194" xr:uid="{00000000-0005-0000-0000-00000F820000}"/>
    <cellStyle name="Normal 2 34 6" xfId="33195" xr:uid="{00000000-0005-0000-0000-000010820000}"/>
    <cellStyle name="Normal 2 34 6 2" xfId="33196" xr:uid="{00000000-0005-0000-0000-000011820000}"/>
    <cellStyle name="Normal 2 34 7" xfId="33197" xr:uid="{00000000-0005-0000-0000-000012820000}"/>
    <cellStyle name="Normal 2 34 7 2" xfId="33198" xr:uid="{00000000-0005-0000-0000-000013820000}"/>
    <cellStyle name="Normal 2 34 8" xfId="33199" xr:uid="{00000000-0005-0000-0000-000014820000}"/>
    <cellStyle name="Normal 2 34 8 2" xfId="33200" xr:uid="{00000000-0005-0000-0000-000015820000}"/>
    <cellStyle name="Normal 2 34 9" xfId="33201" xr:uid="{00000000-0005-0000-0000-000016820000}"/>
    <cellStyle name="Normal 2 34 9 2" xfId="33202" xr:uid="{00000000-0005-0000-0000-000017820000}"/>
    <cellStyle name="Normal 2 35" xfId="33203" xr:uid="{00000000-0005-0000-0000-000018820000}"/>
    <cellStyle name="Normal 2 35 10" xfId="33204" xr:uid="{00000000-0005-0000-0000-000019820000}"/>
    <cellStyle name="Normal 2 35 11" xfId="33205" xr:uid="{00000000-0005-0000-0000-00001A820000}"/>
    <cellStyle name="Normal 2 35 2" xfId="33206" xr:uid="{00000000-0005-0000-0000-00001B820000}"/>
    <cellStyle name="Normal 2 35 2 2" xfId="33207" xr:uid="{00000000-0005-0000-0000-00001C820000}"/>
    <cellStyle name="Normal 2 35 3" xfId="33208" xr:uid="{00000000-0005-0000-0000-00001D820000}"/>
    <cellStyle name="Normal 2 35 3 2" xfId="33209" xr:uid="{00000000-0005-0000-0000-00001E820000}"/>
    <cellStyle name="Normal 2 35 4" xfId="33210" xr:uid="{00000000-0005-0000-0000-00001F820000}"/>
    <cellStyle name="Normal 2 35 4 2" xfId="33211" xr:uid="{00000000-0005-0000-0000-000020820000}"/>
    <cellStyle name="Normal 2 35 5" xfId="33212" xr:uid="{00000000-0005-0000-0000-000021820000}"/>
    <cellStyle name="Normal 2 35 5 2" xfId="33213" xr:uid="{00000000-0005-0000-0000-000022820000}"/>
    <cellStyle name="Normal 2 35 6" xfId="33214" xr:uid="{00000000-0005-0000-0000-000023820000}"/>
    <cellStyle name="Normal 2 35 6 2" xfId="33215" xr:uid="{00000000-0005-0000-0000-000024820000}"/>
    <cellStyle name="Normal 2 35 7" xfId="33216" xr:uid="{00000000-0005-0000-0000-000025820000}"/>
    <cellStyle name="Normal 2 35 7 2" xfId="33217" xr:uid="{00000000-0005-0000-0000-000026820000}"/>
    <cellStyle name="Normal 2 35 8" xfId="33218" xr:uid="{00000000-0005-0000-0000-000027820000}"/>
    <cellStyle name="Normal 2 35 8 2" xfId="33219" xr:uid="{00000000-0005-0000-0000-000028820000}"/>
    <cellStyle name="Normal 2 35 9" xfId="33220" xr:uid="{00000000-0005-0000-0000-000029820000}"/>
    <cellStyle name="Normal 2 35 9 2" xfId="33221" xr:uid="{00000000-0005-0000-0000-00002A820000}"/>
    <cellStyle name="Normal 2 36" xfId="33222" xr:uid="{00000000-0005-0000-0000-00002B820000}"/>
    <cellStyle name="Normal 2 36 10" xfId="33223" xr:uid="{00000000-0005-0000-0000-00002C820000}"/>
    <cellStyle name="Normal 2 36 11" xfId="33224" xr:uid="{00000000-0005-0000-0000-00002D820000}"/>
    <cellStyle name="Normal 2 36 2" xfId="33225" xr:uid="{00000000-0005-0000-0000-00002E820000}"/>
    <cellStyle name="Normal 2 36 2 2" xfId="33226" xr:uid="{00000000-0005-0000-0000-00002F820000}"/>
    <cellStyle name="Normal 2 36 3" xfId="33227" xr:uid="{00000000-0005-0000-0000-000030820000}"/>
    <cellStyle name="Normal 2 36 3 2" xfId="33228" xr:uid="{00000000-0005-0000-0000-000031820000}"/>
    <cellStyle name="Normal 2 36 4" xfId="33229" xr:uid="{00000000-0005-0000-0000-000032820000}"/>
    <cellStyle name="Normal 2 36 4 2" xfId="33230" xr:uid="{00000000-0005-0000-0000-000033820000}"/>
    <cellStyle name="Normal 2 36 5" xfId="33231" xr:uid="{00000000-0005-0000-0000-000034820000}"/>
    <cellStyle name="Normal 2 36 5 2" xfId="33232" xr:uid="{00000000-0005-0000-0000-000035820000}"/>
    <cellStyle name="Normal 2 36 6" xfId="33233" xr:uid="{00000000-0005-0000-0000-000036820000}"/>
    <cellStyle name="Normal 2 36 6 2" xfId="33234" xr:uid="{00000000-0005-0000-0000-000037820000}"/>
    <cellStyle name="Normal 2 36 7" xfId="33235" xr:uid="{00000000-0005-0000-0000-000038820000}"/>
    <cellStyle name="Normal 2 36 7 2" xfId="33236" xr:uid="{00000000-0005-0000-0000-000039820000}"/>
    <cellStyle name="Normal 2 36 8" xfId="33237" xr:uid="{00000000-0005-0000-0000-00003A820000}"/>
    <cellStyle name="Normal 2 36 8 2" xfId="33238" xr:uid="{00000000-0005-0000-0000-00003B820000}"/>
    <cellStyle name="Normal 2 36 9" xfId="33239" xr:uid="{00000000-0005-0000-0000-00003C820000}"/>
    <cellStyle name="Normal 2 36 9 2" xfId="33240" xr:uid="{00000000-0005-0000-0000-00003D820000}"/>
    <cellStyle name="Normal 2 37" xfId="33241" xr:uid="{00000000-0005-0000-0000-00003E820000}"/>
    <cellStyle name="Normal 2 37 10" xfId="33242" xr:uid="{00000000-0005-0000-0000-00003F820000}"/>
    <cellStyle name="Normal 2 37 11" xfId="33243" xr:uid="{00000000-0005-0000-0000-000040820000}"/>
    <cellStyle name="Normal 2 37 2" xfId="33244" xr:uid="{00000000-0005-0000-0000-000041820000}"/>
    <cellStyle name="Normal 2 37 2 2" xfId="33245" xr:uid="{00000000-0005-0000-0000-000042820000}"/>
    <cellStyle name="Normal 2 37 3" xfId="33246" xr:uid="{00000000-0005-0000-0000-000043820000}"/>
    <cellStyle name="Normal 2 37 3 2" xfId="33247" xr:uid="{00000000-0005-0000-0000-000044820000}"/>
    <cellStyle name="Normal 2 37 4" xfId="33248" xr:uid="{00000000-0005-0000-0000-000045820000}"/>
    <cellStyle name="Normal 2 37 4 2" xfId="33249" xr:uid="{00000000-0005-0000-0000-000046820000}"/>
    <cellStyle name="Normal 2 37 5" xfId="33250" xr:uid="{00000000-0005-0000-0000-000047820000}"/>
    <cellStyle name="Normal 2 37 5 2" xfId="33251" xr:uid="{00000000-0005-0000-0000-000048820000}"/>
    <cellStyle name="Normal 2 37 6" xfId="33252" xr:uid="{00000000-0005-0000-0000-000049820000}"/>
    <cellStyle name="Normal 2 37 6 2" xfId="33253" xr:uid="{00000000-0005-0000-0000-00004A820000}"/>
    <cellStyle name="Normal 2 37 7" xfId="33254" xr:uid="{00000000-0005-0000-0000-00004B820000}"/>
    <cellStyle name="Normal 2 37 7 2" xfId="33255" xr:uid="{00000000-0005-0000-0000-00004C820000}"/>
    <cellStyle name="Normal 2 37 8" xfId="33256" xr:uid="{00000000-0005-0000-0000-00004D820000}"/>
    <cellStyle name="Normal 2 37 8 2" xfId="33257" xr:uid="{00000000-0005-0000-0000-00004E820000}"/>
    <cellStyle name="Normal 2 37 9" xfId="33258" xr:uid="{00000000-0005-0000-0000-00004F820000}"/>
    <cellStyle name="Normal 2 37 9 2" xfId="33259" xr:uid="{00000000-0005-0000-0000-000050820000}"/>
    <cellStyle name="Normal 2 38" xfId="33260" xr:uid="{00000000-0005-0000-0000-000051820000}"/>
    <cellStyle name="Normal 2 38 10" xfId="33261" xr:uid="{00000000-0005-0000-0000-000052820000}"/>
    <cellStyle name="Normal 2 38 11" xfId="33262" xr:uid="{00000000-0005-0000-0000-000053820000}"/>
    <cellStyle name="Normal 2 38 2" xfId="33263" xr:uid="{00000000-0005-0000-0000-000054820000}"/>
    <cellStyle name="Normal 2 38 2 2" xfId="33264" xr:uid="{00000000-0005-0000-0000-000055820000}"/>
    <cellStyle name="Normal 2 38 3" xfId="33265" xr:uid="{00000000-0005-0000-0000-000056820000}"/>
    <cellStyle name="Normal 2 38 3 2" xfId="33266" xr:uid="{00000000-0005-0000-0000-000057820000}"/>
    <cellStyle name="Normal 2 38 4" xfId="33267" xr:uid="{00000000-0005-0000-0000-000058820000}"/>
    <cellStyle name="Normal 2 38 4 2" xfId="33268" xr:uid="{00000000-0005-0000-0000-000059820000}"/>
    <cellStyle name="Normal 2 38 5" xfId="33269" xr:uid="{00000000-0005-0000-0000-00005A820000}"/>
    <cellStyle name="Normal 2 38 5 2" xfId="33270" xr:uid="{00000000-0005-0000-0000-00005B820000}"/>
    <cellStyle name="Normal 2 38 6" xfId="33271" xr:uid="{00000000-0005-0000-0000-00005C820000}"/>
    <cellStyle name="Normal 2 38 6 2" xfId="33272" xr:uid="{00000000-0005-0000-0000-00005D820000}"/>
    <cellStyle name="Normal 2 38 7" xfId="33273" xr:uid="{00000000-0005-0000-0000-00005E820000}"/>
    <cellStyle name="Normal 2 38 7 2" xfId="33274" xr:uid="{00000000-0005-0000-0000-00005F820000}"/>
    <cellStyle name="Normal 2 38 8" xfId="33275" xr:uid="{00000000-0005-0000-0000-000060820000}"/>
    <cellStyle name="Normal 2 38 8 2" xfId="33276" xr:uid="{00000000-0005-0000-0000-000061820000}"/>
    <cellStyle name="Normal 2 38 9" xfId="33277" xr:uid="{00000000-0005-0000-0000-000062820000}"/>
    <cellStyle name="Normal 2 38 9 2" xfId="33278" xr:uid="{00000000-0005-0000-0000-000063820000}"/>
    <cellStyle name="Normal 2 39" xfId="33279" xr:uid="{00000000-0005-0000-0000-000064820000}"/>
    <cellStyle name="Normal 2 39 10" xfId="33280" xr:uid="{00000000-0005-0000-0000-000065820000}"/>
    <cellStyle name="Normal 2 39 11" xfId="33281" xr:uid="{00000000-0005-0000-0000-000066820000}"/>
    <cellStyle name="Normal 2 39 2" xfId="33282" xr:uid="{00000000-0005-0000-0000-000067820000}"/>
    <cellStyle name="Normal 2 39 2 2" xfId="33283" xr:uid="{00000000-0005-0000-0000-000068820000}"/>
    <cellStyle name="Normal 2 39 3" xfId="33284" xr:uid="{00000000-0005-0000-0000-000069820000}"/>
    <cellStyle name="Normal 2 39 3 2" xfId="33285" xr:uid="{00000000-0005-0000-0000-00006A820000}"/>
    <cellStyle name="Normal 2 39 4" xfId="33286" xr:uid="{00000000-0005-0000-0000-00006B820000}"/>
    <cellStyle name="Normal 2 39 4 2" xfId="33287" xr:uid="{00000000-0005-0000-0000-00006C820000}"/>
    <cellStyle name="Normal 2 39 5" xfId="33288" xr:uid="{00000000-0005-0000-0000-00006D820000}"/>
    <cellStyle name="Normal 2 39 5 2" xfId="33289" xr:uid="{00000000-0005-0000-0000-00006E820000}"/>
    <cellStyle name="Normal 2 39 6" xfId="33290" xr:uid="{00000000-0005-0000-0000-00006F820000}"/>
    <cellStyle name="Normal 2 39 6 2" xfId="33291" xr:uid="{00000000-0005-0000-0000-000070820000}"/>
    <cellStyle name="Normal 2 39 7" xfId="33292" xr:uid="{00000000-0005-0000-0000-000071820000}"/>
    <cellStyle name="Normal 2 39 7 2" xfId="33293" xr:uid="{00000000-0005-0000-0000-000072820000}"/>
    <cellStyle name="Normal 2 39 8" xfId="33294" xr:uid="{00000000-0005-0000-0000-000073820000}"/>
    <cellStyle name="Normal 2 39 8 2" xfId="33295" xr:uid="{00000000-0005-0000-0000-000074820000}"/>
    <cellStyle name="Normal 2 39 9" xfId="33296" xr:uid="{00000000-0005-0000-0000-000075820000}"/>
    <cellStyle name="Normal 2 39 9 2" xfId="33297" xr:uid="{00000000-0005-0000-0000-000076820000}"/>
    <cellStyle name="Normal 2 4" xfId="33298" xr:uid="{00000000-0005-0000-0000-000077820000}"/>
    <cellStyle name="Normal 2 4 2" xfId="33299" xr:uid="{00000000-0005-0000-0000-000078820000}"/>
    <cellStyle name="Normal 2 4 3" xfId="33300" xr:uid="{00000000-0005-0000-0000-000079820000}"/>
    <cellStyle name="Normal 2 4_Combustible vehículos propios" xfId="33301" xr:uid="{00000000-0005-0000-0000-00007A820000}"/>
    <cellStyle name="Normal 2 40" xfId="33302" xr:uid="{00000000-0005-0000-0000-00007B820000}"/>
    <cellStyle name="Normal 2 40 10" xfId="33303" xr:uid="{00000000-0005-0000-0000-00007C820000}"/>
    <cellStyle name="Normal 2 40 11" xfId="33304" xr:uid="{00000000-0005-0000-0000-00007D820000}"/>
    <cellStyle name="Normal 2 40 2" xfId="33305" xr:uid="{00000000-0005-0000-0000-00007E820000}"/>
    <cellStyle name="Normal 2 40 2 2" xfId="33306" xr:uid="{00000000-0005-0000-0000-00007F820000}"/>
    <cellStyle name="Normal 2 40 3" xfId="33307" xr:uid="{00000000-0005-0000-0000-000080820000}"/>
    <cellStyle name="Normal 2 40 3 2" xfId="33308" xr:uid="{00000000-0005-0000-0000-000081820000}"/>
    <cellStyle name="Normal 2 40 4" xfId="33309" xr:uid="{00000000-0005-0000-0000-000082820000}"/>
    <cellStyle name="Normal 2 40 4 2" xfId="33310" xr:uid="{00000000-0005-0000-0000-000083820000}"/>
    <cellStyle name="Normal 2 40 5" xfId="33311" xr:uid="{00000000-0005-0000-0000-000084820000}"/>
    <cellStyle name="Normal 2 40 5 2" xfId="33312" xr:uid="{00000000-0005-0000-0000-000085820000}"/>
    <cellStyle name="Normal 2 40 6" xfId="33313" xr:uid="{00000000-0005-0000-0000-000086820000}"/>
    <cellStyle name="Normal 2 40 6 2" xfId="33314" xr:uid="{00000000-0005-0000-0000-000087820000}"/>
    <cellStyle name="Normal 2 40 7" xfId="33315" xr:uid="{00000000-0005-0000-0000-000088820000}"/>
    <cellStyle name="Normal 2 40 7 2" xfId="33316" xr:uid="{00000000-0005-0000-0000-000089820000}"/>
    <cellStyle name="Normal 2 40 8" xfId="33317" xr:uid="{00000000-0005-0000-0000-00008A820000}"/>
    <cellStyle name="Normal 2 40 8 2" xfId="33318" xr:uid="{00000000-0005-0000-0000-00008B820000}"/>
    <cellStyle name="Normal 2 40 9" xfId="33319" xr:uid="{00000000-0005-0000-0000-00008C820000}"/>
    <cellStyle name="Normal 2 40 9 2" xfId="33320" xr:uid="{00000000-0005-0000-0000-00008D820000}"/>
    <cellStyle name="Normal 2 41" xfId="33321" xr:uid="{00000000-0005-0000-0000-00008E820000}"/>
    <cellStyle name="Normal 2 41 10" xfId="33322" xr:uid="{00000000-0005-0000-0000-00008F820000}"/>
    <cellStyle name="Normal 2 41 11" xfId="33323" xr:uid="{00000000-0005-0000-0000-000090820000}"/>
    <cellStyle name="Normal 2 41 2" xfId="33324" xr:uid="{00000000-0005-0000-0000-000091820000}"/>
    <cellStyle name="Normal 2 41 2 2" xfId="33325" xr:uid="{00000000-0005-0000-0000-000092820000}"/>
    <cellStyle name="Normal 2 41 3" xfId="33326" xr:uid="{00000000-0005-0000-0000-000093820000}"/>
    <cellStyle name="Normal 2 41 3 2" xfId="33327" xr:uid="{00000000-0005-0000-0000-000094820000}"/>
    <cellStyle name="Normal 2 41 4" xfId="33328" xr:uid="{00000000-0005-0000-0000-000095820000}"/>
    <cellStyle name="Normal 2 41 4 2" xfId="33329" xr:uid="{00000000-0005-0000-0000-000096820000}"/>
    <cellStyle name="Normal 2 41 5" xfId="33330" xr:uid="{00000000-0005-0000-0000-000097820000}"/>
    <cellStyle name="Normal 2 41 5 2" xfId="33331" xr:uid="{00000000-0005-0000-0000-000098820000}"/>
    <cellStyle name="Normal 2 41 6" xfId="33332" xr:uid="{00000000-0005-0000-0000-000099820000}"/>
    <cellStyle name="Normal 2 41 6 2" xfId="33333" xr:uid="{00000000-0005-0000-0000-00009A820000}"/>
    <cellStyle name="Normal 2 41 7" xfId="33334" xr:uid="{00000000-0005-0000-0000-00009B820000}"/>
    <cellStyle name="Normal 2 41 7 2" xfId="33335" xr:uid="{00000000-0005-0000-0000-00009C820000}"/>
    <cellStyle name="Normal 2 41 8" xfId="33336" xr:uid="{00000000-0005-0000-0000-00009D820000}"/>
    <cellStyle name="Normal 2 41 8 2" xfId="33337" xr:uid="{00000000-0005-0000-0000-00009E820000}"/>
    <cellStyle name="Normal 2 41 9" xfId="33338" xr:uid="{00000000-0005-0000-0000-00009F820000}"/>
    <cellStyle name="Normal 2 41 9 2" xfId="33339" xr:uid="{00000000-0005-0000-0000-0000A0820000}"/>
    <cellStyle name="Normal 2 42" xfId="33340" xr:uid="{00000000-0005-0000-0000-0000A1820000}"/>
    <cellStyle name="Normal 2 42 10" xfId="33341" xr:uid="{00000000-0005-0000-0000-0000A2820000}"/>
    <cellStyle name="Normal 2 42 11" xfId="33342" xr:uid="{00000000-0005-0000-0000-0000A3820000}"/>
    <cellStyle name="Normal 2 42 2" xfId="33343" xr:uid="{00000000-0005-0000-0000-0000A4820000}"/>
    <cellStyle name="Normal 2 42 2 2" xfId="33344" xr:uid="{00000000-0005-0000-0000-0000A5820000}"/>
    <cellStyle name="Normal 2 42 3" xfId="33345" xr:uid="{00000000-0005-0000-0000-0000A6820000}"/>
    <cellStyle name="Normal 2 42 3 2" xfId="33346" xr:uid="{00000000-0005-0000-0000-0000A7820000}"/>
    <cellStyle name="Normal 2 42 4" xfId="33347" xr:uid="{00000000-0005-0000-0000-0000A8820000}"/>
    <cellStyle name="Normal 2 42 4 2" xfId="33348" xr:uid="{00000000-0005-0000-0000-0000A9820000}"/>
    <cellStyle name="Normal 2 42 5" xfId="33349" xr:uid="{00000000-0005-0000-0000-0000AA820000}"/>
    <cellStyle name="Normal 2 42 5 2" xfId="33350" xr:uid="{00000000-0005-0000-0000-0000AB820000}"/>
    <cellStyle name="Normal 2 42 6" xfId="33351" xr:uid="{00000000-0005-0000-0000-0000AC820000}"/>
    <cellStyle name="Normal 2 42 6 2" xfId="33352" xr:uid="{00000000-0005-0000-0000-0000AD820000}"/>
    <cellStyle name="Normal 2 42 7" xfId="33353" xr:uid="{00000000-0005-0000-0000-0000AE820000}"/>
    <cellStyle name="Normal 2 42 7 2" xfId="33354" xr:uid="{00000000-0005-0000-0000-0000AF820000}"/>
    <cellStyle name="Normal 2 42 8" xfId="33355" xr:uid="{00000000-0005-0000-0000-0000B0820000}"/>
    <cellStyle name="Normal 2 42 8 2" xfId="33356" xr:uid="{00000000-0005-0000-0000-0000B1820000}"/>
    <cellStyle name="Normal 2 42 9" xfId="33357" xr:uid="{00000000-0005-0000-0000-0000B2820000}"/>
    <cellStyle name="Normal 2 42 9 2" xfId="33358" xr:uid="{00000000-0005-0000-0000-0000B3820000}"/>
    <cellStyle name="Normal 2 43" xfId="33359" xr:uid="{00000000-0005-0000-0000-0000B4820000}"/>
    <cellStyle name="Normal 2 43 10" xfId="33360" xr:uid="{00000000-0005-0000-0000-0000B5820000}"/>
    <cellStyle name="Normal 2 43 11" xfId="33361" xr:uid="{00000000-0005-0000-0000-0000B6820000}"/>
    <cellStyle name="Normal 2 43 2" xfId="33362" xr:uid="{00000000-0005-0000-0000-0000B7820000}"/>
    <cellStyle name="Normal 2 43 2 2" xfId="33363" xr:uid="{00000000-0005-0000-0000-0000B8820000}"/>
    <cellStyle name="Normal 2 43 3" xfId="33364" xr:uid="{00000000-0005-0000-0000-0000B9820000}"/>
    <cellStyle name="Normal 2 43 3 2" xfId="33365" xr:uid="{00000000-0005-0000-0000-0000BA820000}"/>
    <cellStyle name="Normal 2 43 4" xfId="33366" xr:uid="{00000000-0005-0000-0000-0000BB820000}"/>
    <cellStyle name="Normal 2 43 4 2" xfId="33367" xr:uid="{00000000-0005-0000-0000-0000BC820000}"/>
    <cellStyle name="Normal 2 43 5" xfId="33368" xr:uid="{00000000-0005-0000-0000-0000BD820000}"/>
    <cellStyle name="Normal 2 43 5 2" xfId="33369" xr:uid="{00000000-0005-0000-0000-0000BE820000}"/>
    <cellStyle name="Normal 2 43 6" xfId="33370" xr:uid="{00000000-0005-0000-0000-0000BF820000}"/>
    <cellStyle name="Normal 2 43 6 2" xfId="33371" xr:uid="{00000000-0005-0000-0000-0000C0820000}"/>
    <cellStyle name="Normal 2 43 7" xfId="33372" xr:uid="{00000000-0005-0000-0000-0000C1820000}"/>
    <cellStyle name="Normal 2 43 7 2" xfId="33373" xr:uid="{00000000-0005-0000-0000-0000C2820000}"/>
    <cellStyle name="Normal 2 43 8" xfId="33374" xr:uid="{00000000-0005-0000-0000-0000C3820000}"/>
    <cellStyle name="Normal 2 43 8 2" xfId="33375" xr:uid="{00000000-0005-0000-0000-0000C4820000}"/>
    <cellStyle name="Normal 2 43 9" xfId="33376" xr:uid="{00000000-0005-0000-0000-0000C5820000}"/>
    <cellStyle name="Normal 2 43 9 2" xfId="33377" xr:uid="{00000000-0005-0000-0000-0000C6820000}"/>
    <cellStyle name="Normal 2 44" xfId="33378" xr:uid="{00000000-0005-0000-0000-0000C7820000}"/>
    <cellStyle name="Normal 2 44 10" xfId="33379" xr:uid="{00000000-0005-0000-0000-0000C8820000}"/>
    <cellStyle name="Normal 2 44 11" xfId="33380" xr:uid="{00000000-0005-0000-0000-0000C9820000}"/>
    <cellStyle name="Normal 2 44 2" xfId="33381" xr:uid="{00000000-0005-0000-0000-0000CA820000}"/>
    <cellStyle name="Normal 2 44 2 2" xfId="33382" xr:uid="{00000000-0005-0000-0000-0000CB820000}"/>
    <cellStyle name="Normal 2 44 3" xfId="33383" xr:uid="{00000000-0005-0000-0000-0000CC820000}"/>
    <cellStyle name="Normal 2 44 3 2" xfId="33384" xr:uid="{00000000-0005-0000-0000-0000CD820000}"/>
    <cellStyle name="Normal 2 44 4" xfId="33385" xr:uid="{00000000-0005-0000-0000-0000CE820000}"/>
    <cellStyle name="Normal 2 44 4 2" xfId="33386" xr:uid="{00000000-0005-0000-0000-0000CF820000}"/>
    <cellStyle name="Normal 2 44 5" xfId="33387" xr:uid="{00000000-0005-0000-0000-0000D0820000}"/>
    <cellStyle name="Normal 2 44 5 2" xfId="33388" xr:uid="{00000000-0005-0000-0000-0000D1820000}"/>
    <cellStyle name="Normal 2 44 6" xfId="33389" xr:uid="{00000000-0005-0000-0000-0000D2820000}"/>
    <cellStyle name="Normal 2 44 6 2" xfId="33390" xr:uid="{00000000-0005-0000-0000-0000D3820000}"/>
    <cellStyle name="Normal 2 44 7" xfId="33391" xr:uid="{00000000-0005-0000-0000-0000D4820000}"/>
    <cellStyle name="Normal 2 44 7 2" xfId="33392" xr:uid="{00000000-0005-0000-0000-0000D5820000}"/>
    <cellStyle name="Normal 2 44 8" xfId="33393" xr:uid="{00000000-0005-0000-0000-0000D6820000}"/>
    <cellStyle name="Normal 2 44 8 2" xfId="33394" xr:uid="{00000000-0005-0000-0000-0000D7820000}"/>
    <cellStyle name="Normal 2 44 9" xfId="33395" xr:uid="{00000000-0005-0000-0000-0000D8820000}"/>
    <cellStyle name="Normal 2 44 9 2" xfId="33396" xr:uid="{00000000-0005-0000-0000-0000D9820000}"/>
    <cellStyle name="Normal 2 45" xfId="33397" xr:uid="{00000000-0005-0000-0000-0000DA820000}"/>
    <cellStyle name="Normal 2 45 10" xfId="33398" xr:uid="{00000000-0005-0000-0000-0000DB820000}"/>
    <cellStyle name="Normal 2 45 11" xfId="33399" xr:uid="{00000000-0005-0000-0000-0000DC820000}"/>
    <cellStyle name="Normal 2 45 2" xfId="33400" xr:uid="{00000000-0005-0000-0000-0000DD820000}"/>
    <cellStyle name="Normal 2 45 2 2" xfId="33401" xr:uid="{00000000-0005-0000-0000-0000DE820000}"/>
    <cellStyle name="Normal 2 45 3" xfId="33402" xr:uid="{00000000-0005-0000-0000-0000DF820000}"/>
    <cellStyle name="Normal 2 45 3 2" xfId="33403" xr:uid="{00000000-0005-0000-0000-0000E0820000}"/>
    <cellStyle name="Normal 2 45 4" xfId="33404" xr:uid="{00000000-0005-0000-0000-0000E1820000}"/>
    <cellStyle name="Normal 2 45 4 2" xfId="33405" xr:uid="{00000000-0005-0000-0000-0000E2820000}"/>
    <cellStyle name="Normal 2 45 5" xfId="33406" xr:uid="{00000000-0005-0000-0000-0000E3820000}"/>
    <cellStyle name="Normal 2 45 5 2" xfId="33407" xr:uid="{00000000-0005-0000-0000-0000E4820000}"/>
    <cellStyle name="Normal 2 45 6" xfId="33408" xr:uid="{00000000-0005-0000-0000-0000E5820000}"/>
    <cellStyle name="Normal 2 45 6 2" xfId="33409" xr:uid="{00000000-0005-0000-0000-0000E6820000}"/>
    <cellStyle name="Normal 2 45 7" xfId="33410" xr:uid="{00000000-0005-0000-0000-0000E7820000}"/>
    <cellStyle name="Normal 2 45 7 2" xfId="33411" xr:uid="{00000000-0005-0000-0000-0000E8820000}"/>
    <cellStyle name="Normal 2 45 8" xfId="33412" xr:uid="{00000000-0005-0000-0000-0000E9820000}"/>
    <cellStyle name="Normal 2 45 8 2" xfId="33413" xr:uid="{00000000-0005-0000-0000-0000EA820000}"/>
    <cellStyle name="Normal 2 45 9" xfId="33414" xr:uid="{00000000-0005-0000-0000-0000EB820000}"/>
    <cellStyle name="Normal 2 45 9 2" xfId="33415" xr:uid="{00000000-0005-0000-0000-0000EC820000}"/>
    <cellStyle name="Normal 2 46" xfId="33416" xr:uid="{00000000-0005-0000-0000-0000ED820000}"/>
    <cellStyle name="Normal 2 46 10" xfId="33417" xr:uid="{00000000-0005-0000-0000-0000EE820000}"/>
    <cellStyle name="Normal 2 46 11" xfId="33418" xr:uid="{00000000-0005-0000-0000-0000EF820000}"/>
    <cellStyle name="Normal 2 46 2" xfId="33419" xr:uid="{00000000-0005-0000-0000-0000F0820000}"/>
    <cellStyle name="Normal 2 46 2 2" xfId="33420" xr:uid="{00000000-0005-0000-0000-0000F1820000}"/>
    <cellStyle name="Normal 2 46 3" xfId="33421" xr:uid="{00000000-0005-0000-0000-0000F2820000}"/>
    <cellStyle name="Normal 2 46 3 2" xfId="33422" xr:uid="{00000000-0005-0000-0000-0000F3820000}"/>
    <cellStyle name="Normal 2 46 4" xfId="33423" xr:uid="{00000000-0005-0000-0000-0000F4820000}"/>
    <cellStyle name="Normal 2 46 4 2" xfId="33424" xr:uid="{00000000-0005-0000-0000-0000F5820000}"/>
    <cellStyle name="Normal 2 46 5" xfId="33425" xr:uid="{00000000-0005-0000-0000-0000F6820000}"/>
    <cellStyle name="Normal 2 46 5 2" xfId="33426" xr:uid="{00000000-0005-0000-0000-0000F7820000}"/>
    <cellStyle name="Normal 2 46 6" xfId="33427" xr:uid="{00000000-0005-0000-0000-0000F8820000}"/>
    <cellStyle name="Normal 2 46 6 2" xfId="33428" xr:uid="{00000000-0005-0000-0000-0000F9820000}"/>
    <cellStyle name="Normal 2 46 7" xfId="33429" xr:uid="{00000000-0005-0000-0000-0000FA820000}"/>
    <cellStyle name="Normal 2 46 7 2" xfId="33430" xr:uid="{00000000-0005-0000-0000-0000FB820000}"/>
    <cellStyle name="Normal 2 46 8" xfId="33431" xr:uid="{00000000-0005-0000-0000-0000FC820000}"/>
    <cellStyle name="Normal 2 46 8 2" xfId="33432" xr:uid="{00000000-0005-0000-0000-0000FD820000}"/>
    <cellStyle name="Normal 2 46 9" xfId="33433" xr:uid="{00000000-0005-0000-0000-0000FE820000}"/>
    <cellStyle name="Normal 2 46 9 2" xfId="33434" xr:uid="{00000000-0005-0000-0000-0000FF820000}"/>
    <cellStyle name="Normal 2 47" xfId="33435" xr:uid="{00000000-0005-0000-0000-000000830000}"/>
    <cellStyle name="Normal 2 47 10" xfId="33436" xr:uid="{00000000-0005-0000-0000-000001830000}"/>
    <cellStyle name="Normal 2 47 11" xfId="33437" xr:uid="{00000000-0005-0000-0000-000002830000}"/>
    <cellStyle name="Normal 2 47 2" xfId="33438" xr:uid="{00000000-0005-0000-0000-000003830000}"/>
    <cellStyle name="Normal 2 47 2 2" xfId="33439" xr:uid="{00000000-0005-0000-0000-000004830000}"/>
    <cellStyle name="Normal 2 47 3" xfId="33440" xr:uid="{00000000-0005-0000-0000-000005830000}"/>
    <cellStyle name="Normal 2 47 3 2" xfId="33441" xr:uid="{00000000-0005-0000-0000-000006830000}"/>
    <cellStyle name="Normal 2 47 4" xfId="33442" xr:uid="{00000000-0005-0000-0000-000007830000}"/>
    <cellStyle name="Normal 2 47 4 2" xfId="33443" xr:uid="{00000000-0005-0000-0000-000008830000}"/>
    <cellStyle name="Normal 2 47 5" xfId="33444" xr:uid="{00000000-0005-0000-0000-000009830000}"/>
    <cellStyle name="Normal 2 47 5 2" xfId="33445" xr:uid="{00000000-0005-0000-0000-00000A830000}"/>
    <cellStyle name="Normal 2 47 6" xfId="33446" xr:uid="{00000000-0005-0000-0000-00000B830000}"/>
    <cellStyle name="Normal 2 47 6 2" xfId="33447" xr:uid="{00000000-0005-0000-0000-00000C830000}"/>
    <cellStyle name="Normal 2 47 7" xfId="33448" xr:uid="{00000000-0005-0000-0000-00000D830000}"/>
    <cellStyle name="Normal 2 47 7 2" xfId="33449" xr:uid="{00000000-0005-0000-0000-00000E830000}"/>
    <cellStyle name="Normal 2 47 8" xfId="33450" xr:uid="{00000000-0005-0000-0000-00000F830000}"/>
    <cellStyle name="Normal 2 47 8 2" xfId="33451" xr:uid="{00000000-0005-0000-0000-000010830000}"/>
    <cellStyle name="Normal 2 47 9" xfId="33452" xr:uid="{00000000-0005-0000-0000-000011830000}"/>
    <cellStyle name="Normal 2 47 9 2" xfId="33453" xr:uid="{00000000-0005-0000-0000-000012830000}"/>
    <cellStyle name="Normal 2 48" xfId="33454" xr:uid="{00000000-0005-0000-0000-000013830000}"/>
    <cellStyle name="Normal 2 48 10" xfId="33455" xr:uid="{00000000-0005-0000-0000-000014830000}"/>
    <cellStyle name="Normal 2 48 11" xfId="33456" xr:uid="{00000000-0005-0000-0000-000015830000}"/>
    <cellStyle name="Normal 2 48 2" xfId="33457" xr:uid="{00000000-0005-0000-0000-000016830000}"/>
    <cellStyle name="Normal 2 48 2 2" xfId="33458" xr:uid="{00000000-0005-0000-0000-000017830000}"/>
    <cellStyle name="Normal 2 48 3" xfId="33459" xr:uid="{00000000-0005-0000-0000-000018830000}"/>
    <cellStyle name="Normal 2 48 3 2" xfId="33460" xr:uid="{00000000-0005-0000-0000-000019830000}"/>
    <cellStyle name="Normal 2 48 4" xfId="33461" xr:uid="{00000000-0005-0000-0000-00001A830000}"/>
    <cellStyle name="Normal 2 48 4 2" xfId="33462" xr:uid="{00000000-0005-0000-0000-00001B830000}"/>
    <cellStyle name="Normal 2 48 5" xfId="33463" xr:uid="{00000000-0005-0000-0000-00001C830000}"/>
    <cellStyle name="Normal 2 48 5 2" xfId="33464" xr:uid="{00000000-0005-0000-0000-00001D830000}"/>
    <cellStyle name="Normal 2 48 6" xfId="33465" xr:uid="{00000000-0005-0000-0000-00001E830000}"/>
    <cellStyle name="Normal 2 48 6 2" xfId="33466" xr:uid="{00000000-0005-0000-0000-00001F830000}"/>
    <cellStyle name="Normal 2 48 7" xfId="33467" xr:uid="{00000000-0005-0000-0000-000020830000}"/>
    <cellStyle name="Normal 2 48 7 2" xfId="33468" xr:uid="{00000000-0005-0000-0000-000021830000}"/>
    <cellStyle name="Normal 2 48 8" xfId="33469" xr:uid="{00000000-0005-0000-0000-000022830000}"/>
    <cellStyle name="Normal 2 48 8 2" xfId="33470" xr:uid="{00000000-0005-0000-0000-000023830000}"/>
    <cellStyle name="Normal 2 48 9" xfId="33471" xr:uid="{00000000-0005-0000-0000-000024830000}"/>
    <cellStyle name="Normal 2 48 9 2" xfId="33472" xr:uid="{00000000-0005-0000-0000-000025830000}"/>
    <cellStyle name="Normal 2 49" xfId="33473" xr:uid="{00000000-0005-0000-0000-000026830000}"/>
    <cellStyle name="Normal 2 49 10" xfId="33474" xr:uid="{00000000-0005-0000-0000-000027830000}"/>
    <cellStyle name="Normal 2 49 11" xfId="33475" xr:uid="{00000000-0005-0000-0000-000028830000}"/>
    <cellStyle name="Normal 2 49 2" xfId="33476" xr:uid="{00000000-0005-0000-0000-000029830000}"/>
    <cellStyle name="Normal 2 49 2 2" xfId="33477" xr:uid="{00000000-0005-0000-0000-00002A830000}"/>
    <cellStyle name="Normal 2 49 3" xfId="33478" xr:uid="{00000000-0005-0000-0000-00002B830000}"/>
    <cellStyle name="Normal 2 49 3 2" xfId="33479" xr:uid="{00000000-0005-0000-0000-00002C830000}"/>
    <cellStyle name="Normal 2 49 4" xfId="33480" xr:uid="{00000000-0005-0000-0000-00002D830000}"/>
    <cellStyle name="Normal 2 49 4 2" xfId="33481" xr:uid="{00000000-0005-0000-0000-00002E830000}"/>
    <cellStyle name="Normal 2 49 5" xfId="33482" xr:uid="{00000000-0005-0000-0000-00002F830000}"/>
    <cellStyle name="Normal 2 49 5 2" xfId="33483" xr:uid="{00000000-0005-0000-0000-000030830000}"/>
    <cellStyle name="Normal 2 49 6" xfId="33484" xr:uid="{00000000-0005-0000-0000-000031830000}"/>
    <cellStyle name="Normal 2 49 6 2" xfId="33485" xr:uid="{00000000-0005-0000-0000-000032830000}"/>
    <cellStyle name="Normal 2 49 7" xfId="33486" xr:uid="{00000000-0005-0000-0000-000033830000}"/>
    <cellStyle name="Normal 2 49 7 2" xfId="33487" xr:uid="{00000000-0005-0000-0000-000034830000}"/>
    <cellStyle name="Normal 2 49 8" xfId="33488" xr:uid="{00000000-0005-0000-0000-000035830000}"/>
    <cellStyle name="Normal 2 49 8 2" xfId="33489" xr:uid="{00000000-0005-0000-0000-000036830000}"/>
    <cellStyle name="Normal 2 49 9" xfId="33490" xr:uid="{00000000-0005-0000-0000-000037830000}"/>
    <cellStyle name="Normal 2 49 9 2" xfId="33491" xr:uid="{00000000-0005-0000-0000-000038830000}"/>
    <cellStyle name="Normal 2 5" xfId="33492" xr:uid="{00000000-0005-0000-0000-000039830000}"/>
    <cellStyle name="Normal 2 5 2" xfId="33493" xr:uid="{00000000-0005-0000-0000-00003A830000}"/>
    <cellStyle name="Normal 2 50" xfId="33494" xr:uid="{00000000-0005-0000-0000-00003B830000}"/>
    <cellStyle name="Normal 2 50 10" xfId="33495" xr:uid="{00000000-0005-0000-0000-00003C830000}"/>
    <cellStyle name="Normal 2 50 2" xfId="33496" xr:uid="{00000000-0005-0000-0000-00003D830000}"/>
    <cellStyle name="Normal 2 50 2 2" xfId="33497" xr:uid="{00000000-0005-0000-0000-00003E830000}"/>
    <cellStyle name="Normal 2 50 3" xfId="33498" xr:uid="{00000000-0005-0000-0000-00003F830000}"/>
    <cellStyle name="Normal 2 50 3 2" xfId="33499" xr:uid="{00000000-0005-0000-0000-000040830000}"/>
    <cellStyle name="Normal 2 50 4" xfId="33500" xr:uid="{00000000-0005-0000-0000-000041830000}"/>
    <cellStyle name="Normal 2 50 4 2" xfId="33501" xr:uid="{00000000-0005-0000-0000-000042830000}"/>
    <cellStyle name="Normal 2 50 5" xfId="33502" xr:uid="{00000000-0005-0000-0000-000043830000}"/>
    <cellStyle name="Normal 2 50 5 2" xfId="33503" xr:uid="{00000000-0005-0000-0000-000044830000}"/>
    <cellStyle name="Normal 2 50 6" xfId="33504" xr:uid="{00000000-0005-0000-0000-000045830000}"/>
    <cellStyle name="Normal 2 50 6 2" xfId="33505" xr:uid="{00000000-0005-0000-0000-000046830000}"/>
    <cellStyle name="Normal 2 50 7" xfId="33506" xr:uid="{00000000-0005-0000-0000-000047830000}"/>
    <cellStyle name="Normal 2 50 7 2" xfId="33507" xr:uid="{00000000-0005-0000-0000-000048830000}"/>
    <cellStyle name="Normal 2 50 8" xfId="33508" xr:uid="{00000000-0005-0000-0000-000049830000}"/>
    <cellStyle name="Normal 2 50 8 2" xfId="33509" xr:uid="{00000000-0005-0000-0000-00004A830000}"/>
    <cellStyle name="Normal 2 50 9" xfId="33510" xr:uid="{00000000-0005-0000-0000-00004B830000}"/>
    <cellStyle name="Normal 2 50 9 2" xfId="33511" xr:uid="{00000000-0005-0000-0000-00004C830000}"/>
    <cellStyle name="Normal 2 51" xfId="33512" xr:uid="{00000000-0005-0000-0000-00004D830000}"/>
    <cellStyle name="Normal 2 51 10" xfId="33513" xr:uid="{00000000-0005-0000-0000-00004E830000}"/>
    <cellStyle name="Normal 2 51 2" xfId="33514" xr:uid="{00000000-0005-0000-0000-00004F830000}"/>
    <cellStyle name="Normal 2 51 2 2" xfId="33515" xr:uid="{00000000-0005-0000-0000-000050830000}"/>
    <cellStyle name="Normal 2 51 3" xfId="33516" xr:uid="{00000000-0005-0000-0000-000051830000}"/>
    <cellStyle name="Normal 2 51 3 2" xfId="33517" xr:uid="{00000000-0005-0000-0000-000052830000}"/>
    <cellStyle name="Normal 2 51 4" xfId="33518" xr:uid="{00000000-0005-0000-0000-000053830000}"/>
    <cellStyle name="Normal 2 51 4 2" xfId="33519" xr:uid="{00000000-0005-0000-0000-000054830000}"/>
    <cellStyle name="Normal 2 51 5" xfId="33520" xr:uid="{00000000-0005-0000-0000-000055830000}"/>
    <cellStyle name="Normal 2 51 5 2" xfId="33521" xr:uid="{00000000-0005-0000-0000-000056830000}"/>
    <cellStyle name="Normal 2 51 6" xfId="33522" xr:uid="{00000000-0005-0000-0000-000057830000}"/>
    <cellStyle name="Normal 2 51 6 2" xfId="33523" xr:uid="{00000000-0005-0000-0000-000058830000}"/>
    <cellStyle name="Normal 2 51 7" xfId="33524" xr:uid="{00000000-0005-0000-0000-000059830000}"/>
    <cellStyle name="Normal 2 51 7 2" xfId="33525" xr:uid="{00000000-0005-0000-0000-00005A830000}"/>
    <cellStyle name="Normal 2 51 8" xfId="33526" xr:uid="{00000000-0005-0000-0000-00005B830000}"/>
    <cellStyle name="Normal 2 51 8 2" xfId="33527" xr:uid="{00000000-0005-0000-0000-00005C830000}"/>
    <cellStyle name="Normal 2 51 9" xfId="33528" xr:uid="{00000000-0005-0000-0000-00005D830000}"/>
    <cellStyle name="Normal 2 51 9 2" xfId="33529" xr:uid="{00000000-0005-0000-0000-00005E830000}"/>
    <cellStyle name="Normal 2 52" xfId="33530" xr:uid="{00000000-0005-0000-0000-00005F830000}"/>
    <cellStyle name="Normal 2 52 10" xfId="33531" xr:uid="{00000000-0005-0000-0000-000060830000}"/>
    <cellStyle name="Normal 2 52 2" xfId="33532" xr:uid="{00000000-0005-0000-0000-000061830000}"/>
    <cellStyle name="Normal 2 52 2 2" xfId="33533" xr:uid="{00000000-0005-0000-0000-000062830000}"/>
    <cellStyle name="Normal 2 52 3" xfId="33534" xr:uid="{00000000-0005-0000-0000-000063830000}"/>
    <cellStyle name="Normal 2 52 3 2" xfId="33535" xr:uid="{00000000-0005-0000-0000-000064830000}"/>
    <cellStyle name="Normal 2 52 4" xfId="33536" xr:uid="{00000000-0005-0000-0000-000065830000}"/>
    <cellStyle name="Normal 2 52 4 2" xfId="33537" xr:uid="{00000000-0005-0000-0000-000066830000}"/>
    <cellStyle name="Normal 2 52 5" xfId="33538" xr:uid="{00000000-0005-0000-0000-000067830000}"/>
    <cellStyle name="Normal 2 52 5 2" xfId="33539" xr:uid="{00000000-0005-0000-0000-000068830000}"/>
    <cellStyle name="Normal 2 52 6" xfId="33540" xr:uid="{00000000-0005-0000-0000-000069830000}"/>
    <cellStyle name="Normal 2 52 6 2" xfId="33541" xr:uid="{00000000-0005-0000-0000-00006A830000}"/>
    <cellStyle name="Normal 2 52 7" xfId="33542" xr:uid="{00000000-0005-0000-0000-00006B830000}"/>
    <cellStyle name="Normal 2 52 7 2" xfId="33543" xr:uid="{00000000-0005-0000-0000-00006C830000}"/>
    <cellStyle name="Normal 2 52 8" xfId="33544" xr:uid="{00000000-0005-0000-0000-00006D830000}"/>
    <cellStyle name="Normal 2 52 8 2" xfId="33545" xr:uid="{00000000-0005-0000-0000-00006E830000}"/>
    <cellStyle name="Normal 2 52 9" xfId="33546" xr:uid="{00000000-0005-0000-0000-00006F830000}"/>
    <cellStyle name="Normal 2 52 9 2" xfId="33547" xr:uid="{00000000-0005-0000-0000-000070830000}"/>
    <cellStyle name="Normal 2 53" xfId="33548" xr:uid="{00000000-0005-0000-0000-000071830000}"/>
    <cellStyle name="Normal 2 53 10" xfId="33549" xr:uid="{00000000-0005-0000-0000-000072830000}"/>
    <cellStyle name="Normal 2 53 2" xfId="33550" xr:uid="{00000000-0005-0000-0000-000073830000}"/>
    <cellStyle name="Normal 2 53 2 2" xfId="33551" xr:uid="{00000000-0005-0000-0000-000074830000}"/>
    <cellStyle name="Normal 2 53 3" xfId="33552" xr:uid="{00000000-0005-0000-0000-000075830000}"/>
    <cellStyle name="Normal 2 53 3 2" xfId="33553" xr:uid="{00000000-0005-0000-0000-000076830000}"/>
    <cellStyle name="Normal 2 53 4" xfId="33554" xr:uid="{00000000-0005-0000-0000-000077830000}"/>
    <cellStyle name="Normal 2 53 4 2" xfId="33555" xr:uid="{00000000-0005-0000-0000-000078830000}"/>
    <cellStyle name="Normal 2 53 5" xfId="33556" xr:uid="{00000000-0005-0000-0000-000079830000}"/>
    <cellStyle name="Normal 2 53 5 2" xfId="33557" xr:uid="{00000000-0005-0000-0000-00007A830000}"/>
    <cellStyle name="Normal 2 53 6" xfId="33558" xr:uid="{00000000-0005-0000-0000-00007B830000}"/>
    <cellStyle name="Normal 2 53 6 2" xfId="33559" xr:uid="{00000000-0005-0000-0000-00007C830000}"/>
    <cellStyle name="Normal 2 53 7" xfId="33560" xr:uid="{00000000-0005-0000-0000-00007D830000}"/>
    <cellStyle name="Normal 2 53 7 2" xfId="33561" xr:uid="{00000000-0005-0000-0000-00007E830000}"/>
    <cellStyle name="Normal 2 53 8" xfId="33562" xr:uid="{00000000-0005-0000-0000-00007F830000}"/>
    <cellStyle name="Normal 2 53 8 2" xfId="33563" xr:uid="{00000000-0005-0000-0000-000080830000}"/>
    <cellStyle name="Normal 2 53 9" xfId="33564" xr:uid="{00000000-0005-0000-0000-000081830000}"/>
    <cellStyle name="Normal 2 53 9 2" xfId="33565" xr:uid="{00000000-0005-0000-0000-000082830000}"/>
    <cellStyle name="Normal 2 54" xfId="33566" xr:uid="{00000000-0005-0000-0000-000083830000}"/>
    <cellStyle name="Normal 2 54 10" xfId="33567" xr:uid="{00000000-0005-0000-0000-000084830000}"/>
    <cellStyle name="Normal 2 54 2" xfId="33568" xr:uid="{00000000-0005-0000-0000-000085830000}"/>
    <cellStyle name="Normal 2 54 2 2" xfId="33569" xr:uid="{00000000-0005-0000-0000-000086830000}"/>
    <cellStyle name="Normal 2 54 3" xfId="33570" xr:uid="{00000000-0005-0000-0000-000087830000}"/>
    <cellStyle name="Normal 2 54 3 2" xfId="33571" xr:uid="{00000000-0005-0000-0000-000088830000}"/>
    <cellStyle name="Normal 2 54 4" xfId="33572" xr:uid="{00000000-0005-0000-0000-000089830000}"/>
    <cellStyle name="Normal 2 54 4 2" xfId="33573" xr:uid="{00000000-0005-0000-0000-00008A830000}"/>
    <cellStyle name="Normal 2 54 5" xfId="33574" xr:uid="{00000000-0005-0000-0000-00008B830000}"/>
    <cellStyle name="Normal 2 54 5 2" xfId="33575" xr:uid="{00000000-0005-0000-0000-00008C830000}"/>
    <cellStyle name="Normal 2 54 6" xfId="33576" xr:uid="{00000000-0005-0000-0000-00008D830000}"/>
    <cellStyle name="Normal 2 54 6 2" xfId="33577" xr:uid="{00000000-0005-0000-0000-00008E830000}"/>
    <cellStyle name="Normal 2 54 7" xfId="33578" xr:uid="{00000000-0005-0000-0000-00008F830000}"/>
    <cellStyle name="Normal 2 54 7 2" xfId="33579" xr:uid="{00000000-0005-0000-0000-000090830000}"/>
    <cellStyle name="Normal 2 54 8" xfId="33580" xr:uid="{00000000-0005-0000-0000-000091830000}"/>
    <cellStyle name="Normal 2 54 8 2" xfId="33581" xr:uid="{00000000-0005-0000-0000-000092830000}"/>
    <cellStyle name="Normal 2 54 9" xfId="33582" xr:uid="{00000000-0005-0000-0000-000093830000}"/>
    <cellStyle name="Normal 2 54 9 2" xfId="33583" xr:uid="{00000000-0005-0000-0000-000094830000}"/>
    <cellStyle name="Normal 2 55" xfId="33584" xr:uid="{00000000-0005-0000-0000-000095830000}"/>
    <cellStyle name="Normal 2 55 10" xfId="33585" xr:uid="{00000000-0005-0000-0000-000096830000}"/>
    <cellStyle name="Normal 2 55 2" xfId="33586" xr:uid="{00000000-0005-0000-0000-000097830000}"/>
    <cellStyle name="Normal 2 55 2 2" xfId="33587" xr:uid="{00000000-0005-0000-0000-000098830000}"/>
    <cellStyle name="Normal 2 55 3" xfId="33588" xr:uid="{00000000-0005-0000-0000-000099830000}"/>
    <cellStyle name="Normal 2 55 3 2" xfId="33589" xr:uid="{00000000-0005-0000-0000-00009A830000}"/>
    <cellStyle name="Normal 2 55 4" xfId="33590" xr:uid="{00000000-0005-0000-0000-00009B830000}"/>
    <cellStyle name="Normal 2 55 4 2" xfId="33591" xr:uid="{00000000-0005-0000-0000-00009C830000}"/>
    <cellStyle name="Normal 2 55 5" xfId="33592" xr:uid="{00000000-0005-0000-0000-00009D830000}"/>
    <cellStyle name="Normal 2 55 5 2" xfId="33593" xr:uid="{00000000-0005-0000-0000-00009E830000}"/>
    <cellStyle name="Normal 2 55 6" xfId="33594" xr:uid="{00000000-0005-0000-0000-00009F830000}"/>
    <cellStyle name="Normal 2 55 6 2" xfId="33595" xr:uid="{00000000-0005-0000-0000-0000A0830000}"/>
    <cellStyle name="Normal 2 55 7" xfId="33596" xr:uid="{00000000-0005-0000-0000-0000A1830000}"/>
    <cellStyle name="Normal 2 55 7 2" xfId="33597" xr:uid="{00000000-0005-0000-0000-0000A2830000}"/>
    <cellStyle name="Normal 2 55 8" xfId="33598" xr:uid="{00000000-0005-0000-0000-0000A3830000}"/>
    <cellStyle name="Normal 2 55 8 2" xfId="33599" xr:uid="{00000000-0005-0000-0000-0000A4830000}"/>
    <cellStyle name="Normal 2 55 9" xfId="33600" xr:uid="{00000000-0005-0000-0000-0000A5830000}"/>
    <cellStyle name="Normal 2 55 9 2" xfId="33601" xr:uid="{00000000-0005-0000-0000-0000A6830000}"/>
    <cellStyle name="Normal 2 56" xfId="33602" xr:uid="{00000000-0005-0000-0000-0000A7830000}"/>
    <cellStyle name="Normal 2 56 10" xfId="33603" xr:uid="{00000000-0005-0000-0000-0000A8830000}"/>
    <cellStyle name="Normal 2 56 2" xfId="33604" xr:uid="{00000000-0005-0000-0000-0000A9830000}"/>
    <cellStyle name="Normal 2 56 2 2" xfId="33605" xr:uid="{00000000-0005-0000-0000-0000AA830000}"/>
    <cellStyle name="Normal 2 56 3" xfId="33606" xr:uid="{00000000-0005-0000-0000-0000AB830000}"/>
    <cellStyle name="Normal 2 56 3 2" xfId="33607" xr:uid="{00000000-0005-0000-0000-0000AC830000}"/>
    <cellStyle name="Normal 2 56 4" xfId="33608" xr:uid="{00000000-0005-0000-0000-0000AD830000}"/>
    <cellStyle name="Normal 2 56 4 2" xfId="33609" xr:uid="{00000000-0005-0000-0000-0000AE830000}"/>
    <cellStyle name="Normal 2 56 5" xfId="33610" xr:uid="{00000000-0005-0000-0000-0000AF830000}"/>
    <cellStyle name="Normal 2 56 5 2" xfId="33611" xr:uid="{00000000-0005-0000-0000-0000B0830000}"/>
    <cellStyle name="Normal 2 56 6" xfId="33612" xr:uid="{00000000-0005-0000-0000-0000B1830000}"/>
    <cellStyle name="Normal 2 56 6 2" xfId="33613" xr:uid="{00000000-0005-0000-0000-0000B2830000}"/>
    <cellStyle name="Normal 2 56 7" xfId="33614" xr:uid="{00000000-0005-0000-0000-0000B3830000}"/>
    <cellStyle name="Normal 2 56 7 2" xfId="33615" xr:uid="{00000000-0005-0000-0000-0000B4830000}"/>
    <cellStyle name="Normal 2 56 8" xfId="33616" xr:uid="{00000000-0005-0000-0000-0000B5830000}"/>
    <cellStyle name="Normal 2 56 8 2" xfId="33617" xr:uid="{00000000-0005-0000-0000-0000B6830000}"/>
    <cellStyle name="Normal 2 56 9" xfId="33618" xr:uid="{00000000-0005-0000-0000-0000B7830000}"/>
    <cellStyle name="Normal 2 56 9 2" xfId="33619" xr:uid="{00000000-0005-0000-0000-0000B8830000}"/>
    <cellStyle name="Normal 2 57" xfId="33620" xr:uid="{00000000-0005-0000-0000-0000B9830000}"/>
    <cellStyle name="Normal 2 57 10" xfId="33621" xr:uid="{00000000-0005-0000-0000-0000BA830000}"/>
    <cellStyle name="Normal 2 57 2" xfId="33622" xr:uid="{00000000-0005-0000-0000-0000BB830000}"/>
    <cellStyle name="Normal 2 57 2 2" xfId="33623" xr:uid="{00000000-0005-0000-0000-0000BC830000}"/>
    <cellStyle name="Normal 2 57 3" xfId="33624" xr:uid="{00000000-0005-0000-0000-0000BD830000}"/>
    <cellStyle name="Normal 2 57 3 2" xfId="33625" xr:uid="{00000000-0005-0000-0000-0000BE830000}"/>
    <cellStyle name="Normal 2 57 4" xfId="33626" xr:uid="{00000000-0005-0000-0000-0000BF830000}"/>
    <cellStyle name="Normal 2 57 4 2" xfId="33627" xr:uid="{00000000-0005-0000-0000-0000C0830000}"/>
    <cellStyle name="Normal 2 57 5" xfId="33628" xr:uid="{00000000-0005-0000-0000-0000C1830000}"/>
    <cellStyle name="Normal 2 57 5 2" xfId="33629" xr:uid="{00000000-0005-0000-0000-0000C2830000}"/>
    <cellStyle name="Normal 2 57 6" xfId="33630" xr:uid="{00000000-0005-0000-0000-0000C3830000}"/>
    <cellStyle name="Normal 2 57 6 2" xfId="33631" xr:uid="{00000000-0005-0000-0000-0000C4830000}"/>
    <cellStyle name="Normal 2 57 7" xfId="33632" xr:uid="{00000000-0005-0000-0000-0000C5830000}"/>
    <cellStyle name="Normal 2 57 7 2" xfId="33633" xr:uid="{00000000-0005-0000-0000-0000C6830000}"/>
    <cellStyle name="Normal 2 57 8" xfId="33634" xr:uid="{00000000-0005-0000-0000-0000C7830000}"/>
    <cellStyle name="Normal 2 57 8 2" xfId="33635" xr:uid="{00000000-0005-0000-0000-0000C8830000}"/>
    <cellStyle name="Normal 2 57 9" xfId="33636" xr:uid="{00000000-0005-0000-0000-0000C9830000}"/>
    <cellStyle name="Normal 2 57 9 2" xfId="33637" xr:uid="{00000000-0005-0000-0000-0000CA830000}"/>
    <cellStyle name="Normal 2 58" xfId="33638" xr:uid="{00000000-0005-0000-0000-0000CB830000}"/>
    <cellStyle name="Normal 2 58 10" xfId="33639" xr:uid="{00000000-0005-0000-0000-0000CC830000}"/>
    <cellStyle name="Normal 2 58 2" xfId="33640" xr:uid="{00000000-0005-0000-0000-0000CD830000}"/>
    <cellStyle name="Normal 2 58 2 2" xfId="33641" xr:uid="{00000000-0005-0000-0000-0000CE830000}"/>
    <cellStyle name="Normal 2 58 3" xfId="33642" xr:uid="{00000000-0005-0000-0000-0000CF830000}"/>
    <cellStyle name="Normal 2 58 3 2" xfId="33643" xr:uid="{00000000-0005-0000-0000-0000D0830000}"/>
    <cellStyle name="Normal 2 58 4" xfId="33644" xr:uid="{00000000-0005-0000-0000-0000D1830000}"/>
    <cellStyle name="Normal 2 58 4 2" xfId="33645" xr:uid="{00000000-0005-0000-0000-0000D2830000}"/>
    <cellStyle name="Normal 2 58 5" xfId="33646" xr:uid="{00000000-0005-0000-0000-0000D3830000}"/>
    <cellStyle name="Normal 2 58 5 2" xfId="33647" xr:uid="{00000000-0005-0000-0000-0000D4830000}"/>
    <cellStyle name="Normal 2 58 6" xfId="33648" xr:uid="{00000000-0005-0000-0000-0000D5830000}"/>
    <cellStyle name="Normal 2 58 6 2" xfId="33649" xr:uid="{00000000-0005-0000-0000-0000D6830000}"/>
    <cellStyle name="Normal 2 58 7" xfId="33650" xr:uid="{00000000-0005-0000-0000-0000D7830000}"/>
    <cellStyle name="Normal 2 58 7 2" xfId="33651" xr:uid="{00000000-0005-0000-0000-0000D8830000}"/>
    <cellStyle name="Normal 2 58 8" xfId="33652" xr:uid="{00000000-0005-0000-0000-0000D9830000}"/>
    <cellStyle name="Normal 2 58 8 2" xfId="33653" xr:uid="{00000000-0005-0000-0000-0000DA830000}"/>
    <cellStyle name="Normal 2 58 9" xfId="33654" xr:uid="{00000000-0005-0000-0000-0000DB830000}"/>
    <cellStyle name="Normal 2 58 9 2" xfId="33655" xr:uid="{00000000-0005-0000-0000-0000DC830000}"/>
    <cellStyle name="Normal 2 59" xfId="33656" xr:uid="{00000000-0005-0000-0000-0000DD830000}"/>
    <cellStyle name="Normal 2 59 10" xfId="33657" xr:uid="{00000000-0005-0000-0000-0000DE830000}"/>
    <cellStyle name="Normal 2 59 2" xfId="33658" xr:uid="{00000000-0005-0000-0000-0000DF830000}"/>
    <cellStyle name="Normal 2 59 2 2" xfId="33659" xr:uid="{00000000-0005-0000-0000-0000E0830000}"/>
    <cellStyle name="Normal 2 59 3" xfId="33660" xr:uid="{00000000-0005-0000-0000-0000E1830000}"/>
    <cellStyle name="Normal 2 59 3 2" xfId="33661" xr:uid="{00000000-0005-0000-0000-0000E2830000}"/>
    <cellStyle name="Normal 2 59 4" xfId="33662" xr:uid="{00000000-0005-0000-0000-0000E3830000}"/>
    <cellStyle name="Normal 2 59 4 2" xfId="33663" xr:uid="{00000000-0005-0000-0000-0000E4830000}"/>
    <cellStyle name="Normal 2 59 5" xfId="33664" xr:uid="{00000000-0005-0000-0000-0000E5830000}"/>
    <cellStyle name="Normal 2 59 5 2" xfId="33665" xr:uid="{00000000-0005-0000-0000-0000E6830000}"/>
    <cellStyle name="Normal 2 59 6" xfId="33666" xr:uid="{00000000-0005-0000-0000-0000E7830000}"/>
    <cellStyle name="Normal 2 59 6 2" xfId="33667" xr:uid="{00000000-0005-0000-0000-0000E8830000}"/>
    <cellStyle name="Normal 2 59 7" xfId="33668" xr:uid="{00000000-0005-0000-0000-0000E9830000}"/>
    <cellStyle name="Normal 2 59 7 2" xfId="33669" xr:uid="{00000000-0005-0000-0000-0000EA830000}"/>
    <cellStyle name="Normal 2 59 8" xfId="33670" xr:uid="{00000000-0005-0000-0000-0000EB830000}"/>
    <cellStyle name="Normal 2 59 8 2" xfId="33671" xr:uid="{00000000-0005-0000-0000-0000EC830000}"/>
    <cellStyle name="Normal 2 59 9" xfId="33672" xr:uid="{00000000-0005-0000-0000-0000ED830000}"/>
    <cellStyle name="Normal 2 59 9 2" xfId="33673" xr:uid="{00000000-0005-0000-0000-0000EE830000}"/>
    <cellStyle name="Normal 2 6" xfId="33674" xr:uid="{00000000-0005-0000-0000-0000EF830000}"/>
    <cellStyle name="Normal 2 6 2" xfId="33675" xr:uid="{00000000-0005-0000-0000-0000F0830000}"/>
    <cellStyle name="Normal 2 6 2 2" xfId="33676" xr:uid="{00000000-0005-0000-0000-0000F1830000}"/>
    <cellStyle name="Normal 2 60" xfId="33677" xr:uid="{00000000-0005-0000-0000-0000F2830000}"/>
    <cellStyle name="Normal 2 60 10" xfId="33678" xr:uid="{00000000-0005-0000-0000-0000F3830000}"/>
    <cellStyle name="Normal 2 60 2" xfId="33679" xr:uid="{00000000-0005-0000-0000-0000F4830000}"/>
    <cellStyle name="Normal 2 60 2 2" xfId="33680" xr:uid="{00000000-0005-0000-0000-0000F5830000}"/>
    <cellStyle name="Normal 2 60 3" xfId="33681" xr:uid="{00000000-0005-0000-0000-0000F6830000}"/>
    <cellStyle name="Normal 2 60 3 2" xfId="33682" xr:uid="{00000000-0005-0000-0000-0000F7830000}"/>
    <cellStyle name="Normal 2 60 4" xfId="33683" xr:uid="{00000000-0005-0000-0000-0000F8830000}"/>
    <cellStyle name="Normal 2 60 4 2" xfId="33684" xr:uid="{00000000-0005-0000-0000-0000F9830000}"/>
    <cellStyle name="Normal 2 60 5" xfId="33685" xr:uid="{00000000-0005-0000-0000-0000FA830000}"/>
    <cellStyle name="Normal 2 60 5 2" xfId="33686" xr:uid="{00000000-0005-0000-0000-0000FB830000}"/>
    <cellStyle name="Normal 2 60 6" xfId="33687" xr:uid="{00000000-0005-0000-0000-0000FC830000}"/>
    <cellStyle name="Normal 2 60 6 2" xfId="33688" xr:uid="{00000000-0005-0000-0000-0000FD830000}"/>
    <cellStyle name="Normal 2 60 7" xfId="33689" xr:uid="{00000000-0005-0000-0000-0000FE830000}"/>
    <cellStyle name="Normal 2 60 7 2" xfId="33690" xr:uid="{00000000-0005-0000-0000-0000FF830000}"/>
    <cellStyle name="Normal 2 60 8" xfId="33691" xr:uid="{00000000-0005-0000-0000-000000840000}"/>
    <cellStyle name="Normal 2 60 8 2" xfId="33692" xr:uid="{00000000-0005-0000-0000-000001840000}"/>
    <cellStyle name="Normal 2 60 9" xfId="33693" xr:uid="{00000000-0005-0000-0000-000002840000}"/>
    <cellStyle name="Normal 2 60 9 2" xfId="33694" xr:uid="{00000000-0005-0000-0000-000003840000}"/>
    <cellStyle name="Normal 2 61" xfId="33695" xr:uid="{00000000-0005-0000-0000-000004840000}"/>
    <cellStyle name="Normal 2 61 10" xfId="33696" xr:uid="{00000000-0005-0000-0000-000005840000}"/>
    <cellStyle name="Normal 2 61 2" xfId="33697" xr:uid="{00000000-0005-0000-0000-000006840000}"/>
    <cellStyle name="Normal 2 61 2 2" xfId="33698" xr:uid="{00000000-0005-0000-0000-000007840000}"/>
    <cellStyle name="Normal 2 61 3" xfId="33699" xr:uid="{00000000-0005-0000-0000-000008840000}"/>
    <cellStyle name="Normal 2 61 3 2" xfId="33700" xr:uid="{00000000-0005-0000-0000-000009840000}"/>
    <cellStyle name="Normal 2 61 4" xfId="33701" xr:uid="{00000000-0005-0000-0000-00000A840000}"/>
    <cellStyle name="Normal 2 61 4 2" xfId="33702" xr:uid="{00000000-0005-0000-0000-00000B840000}"/>
    <cellStyle name="Normal 2 61 5" xfId="33703" xr:uid="{00000000-0005-0000-0000-00000C840000}"/>
    <cellStyle name="Normal 2 61 5 2" xfId="33704" xr:uid="{00000000-0005-0000-0000-00000D840000}"/>
    <cellStyle name="Normal 2 61 6" xfId="33705" xr:uid="{00000000-0005-0000-0000-00000E840000}"/>
    <cellStyle name="Normal 2 61 6 2" xfId="33706" xr:uid="{00000000-0005-0000-0000-00000F840000}"/>
    <cellStyle name="Normal 2 61 7" xfId="33707" xr:uid="{00000000-0005-0000-0000-000010840000}"/>
    <cellStyle name="Normal 2 61 7 2" xfId="33708" xr:uid="{00000000-0005-0000-0000-000011840000}"/>
    <cellStyle name="Normal 2 61 8" xfId="33709" xr:uid="{00000000-0005-0000-0000-000012840000}"/>
    <cellStyle name="Normal 2 61 8 2" xfId="33710" xr:uid="{00000000-0005-0000-0000-000013840000}"/>
    <cellStyle name="Normal 2 61 9" xfId="33711" xr:uid="{00000000-0005-0000-0000-000014840000}"/>
    <cellStyle name="Normal 2 61 9 2" xfId="33712" xr:uid="{00000000-0005-0000-0000-000015840000}"/>
    <cellStyle name="Normal 2 62" xfId="33713" xr:uid="{00000000-0005-0000-0000-000016840000}"/>
    <cellStyle name="Normal 2 62 10" xfId="33714" xr:uid="{00000000-0005-0000-0000-000017840000}"/>
    <cellStyle name="Normal 2 62 2" xfId="33715" xr:uid="{00000000-0005-0000-0000-000018840000}"/>
    <cellStyle name="Normal 2 62 2 2" xfId="33716" xr:uid="{00000000-0005-0000-0000-000019840000}"/>
    <cellStyle name="Normal 2 62 3" xfId="33717" xr:uid="{00000000-0005-0000-0000-00001A840000}"/>
    <cellStyle name="Normal 2 62 3 2" xfId="33718" xr:uid="{00000000-0005-0000-0000-00001B840000}"/>
    <cellStyle name="Normal 2 62 4" xfId="33719" xr:uid="{00000000-0005-0000-0000-00001C840000}"/>
    <cellStyle name="Normal 2 62 4 2" xfId="33720" xr:uid="{00000000-0005-0000-0000-00001D840000}"/>
    <cellStyle name="Normal 2 62 5" xfId="33721" xr:uid="{00000000-0005-0000-0000-00001E840000}"/>
    <cellStyle name="Normal 2 62 5 2" xfId="33722" xr:uid="{00000000-0005-0000-0000-00001F840000}"/>
    <cellStyle name="Normal 2 62 6" xfId="33723" xr:uid="{00000000-0005-0000-0000-000020840000}"/>
    <cellStyle name="Normal 2 62 6 2" xfId="33724" xr:uid="{00000000-0005-0000-0000-000021840000}"/>
    <cellStyle name="Normal 2 62 7" xfId="33725" xr:uid="{00000000-0005-0000-0000-000022840000}"/>
    <cellStyle name="Normal 2 62 7 2" xfId="33726" xr:uid="{00000000-0005-0000-0000-000023840000}"/>
    <cellStyle name="Normal 2 62 8" xfId="33727" xr:uid="{00000000-0005-0000-0000-000024840000}"/>
    <cellStyle name="Normal 2 62 8 2" xfId="33728" xr:uid="{00000000-0005-0000-0000-000025840000}"/>
    <cellStyle name="Normal 2 62 9" xfId="33729" xr:uid="{00000000-0005-0000-0000-000026840000}"/>
    <cellStyle name="Normal 2 62 9 2" xfId="33730" xr:uid="{00000000-0005-0000-0000-000027840000}"/>
    <cellStyle name="Normal 2 63" xfId="33731" xr:uid="{00000000-0005-0000-0000-000028840000}"/>
    <cellStyle name="Normal 2 63 10" xfId="33732" xr:uid="{00000000-0005-0000-0000-000029840000}"/>
    <cellStyle name="Normal 2 63 2" xfId="33733" xr:uid="{00000000-0005-0000-0000-00002A840000}"/>
    <cellStyle name="Normal 2 63 2 2" xfId="33734" xr:uid="{00000000-0005-0000-0000-00002B840000}"/>
    <cellStyle name="Normal 2 63 3" xfId="33735" xr:uid="{00000000-0005-0000-0000-00002C840000}"/>
    <cellStyle name="Normal 2 63 3 2" xfId="33736" xr:uid="{00000000-0005-0000-0000-00002D840000}"/>
    <cellStyle name="Normal 2 63 4" xfId="33737" xr:uid="{00000000-0005-0000-0000-00002E840000}"/>
    <cellStyle name="Normal 2 63 4 2" xfId="33738" xr:uid="{00000000-0005-0000-0000-00002F840000}"/>
    <cellStyle name="Normal 2 63 5" xfId="33739" xr:uid="{00000000-0005-0000-0000-000030840000}"/>
    <cellStyle name="Normal 2 63 5 2" xfId="33740" xr:uid="{00000000-0005-0000-0000-000031840000}"/>
    <cellStyle name="Normal 2 63 6" xfId="33741" xr:uid="{00000000-0005-0000-0000-000032840000}"/>
    <cellStyle name="Normal 2 63 6 2" xfId="33742" xr:uid="{00000000-0005-0000-0000-000033840000}"/>
    <cellStyle name="Normal 2 63 7" xfId="33743" xr:uid="{00000000-0005-0000-0000-000034840000}"/>
    <cellStyle name="Normal 2 63 7 2" xfId="33744" xr:uid="{00000000-0005-0000-0000-000035840000}"/>
    <cellStyle name="Normal 2 63 8" xfId="33745" xr:uid="{00000000-0005-0000-0000-000036840000}"/>
    <cellStyle name="Normal 2 63 8 2" xfId="33746" xr:uid="{00000000-0005-0000-0000-000037840000}"/>
    <cellStyle name="Normal 2 63 9" xfId="33747" xr:uid="{00000000-0005-0000-0000-000038840000}"/>
    <cellStyle name="Normal 2 63 9 2" xfId="33748" xr:uid="{00000000-0005-0000-0000-000039840000}"/>
    <cellStyle name="Normal 2 64" xfId="33749" xr:uid="{00000000-0005-0000-0000-00003A840000}"/>
    <cellStyle name="Normal 2 64 10" xfId="33750" xr:uid="{00000000-0005-0000-0000-00003B840000}"/>
    <cellStyle name="Normal 2 64 2" xfId="33751" xr:uid="{00000000-0005-0000-0000-00003C840000}"/>
    <cellStyle name="Normal 2 64 2 2" xfId="33752" xr:uid="{00000000-0005-0000-0000-00003D840000}"/>
    <cellStyle name="Normal 2 64 3" xfId="33753" xr:uid="{00000000-0005-0000-0000-00003E840000}"/>
    <cellStyle name="Normal 2 64 3 2" xfId="33754" xr:uid="{00000000-0005-0000-0000-00003F840000}"/>
    <cellStyle name="Normal 2 64 4" xfId="33755" xr:uid="{00000000-0005-0000-0000-000040840000}"/>
    <cellStyle name="Normal 2 64 4 2" xfId="33756" xr:uid="{00000000-0005-0000-0000-000041840000}"/>
    <cellStyle name="Normal 2 64 5" xfId="33757" xr:uid="{00000000-0005-0000-0000-000042840000}"/>
    <cellStyle name="Normal 2 64 5 2" xfId="33758" xr:uid="{00000000-0005-0000-0000-000043840000}"/>
    <cellStyle name="Normal 2 64 6" xfId="33759" xr:uid="{00000000-0005-0000-0000-000044840000}"/>
    <cellStyle name="Normal 2 64 6 2" xfId="33760" xr:uid="{00000000-0005-0000-0000-000045840000}"/>
    <cellStyle name="Normal 2 64 7" xfId="33761" xr:uid="{00000000-0005-0000-0000-000046840000}"/>
    <cellStyle name="Normal 2 64 7 2" xfId="33762" xr:uid="{00000000-0005-0000-0000-000047840000}"/>
    <cellStyle name="Normal 2 64 8" xfId="33763" xr:uid="{00000000-0005-0000-0000-000048840000}"/>
    <cellStyle name="Normal 2 64 8 2" xfId="33764" xr:uid="{00000000-0005-0000-0000-000049840000}"/>
    <cellStyle name="Normal 2 64 9" xfId="33765" xr:uid="{00000000-0005-0000-0000-00004A840000}"/>
    <cellStyle name="Normal 2 64 9 2" xfId="33766" xr:uid="{00000000-0005-0000-0000-00004B840000}"/>
    <cellStyle name="Normal 2 65" xfId="33767" xr:uid="{00000000-0005-0000-0000-00004C840000}"/>
    <cellStyle name="Normal 2 65 10" xfId="33768" xr:uid="{00000000-0005-0000-0000-00004D840000}"/>
    <cellStyle name="Normal 2 65 2" xfId="33769" xr:uid="{00000000-0005-0000-0000-00004E840000}"/>
    <cellStyle name="Normal 2 65 2 2" xfId="33770" xr:uid="{00000000-0005-0000-0000-00004F840000}"/>
    <cellStyle name="Normal 2 65 3" xfId="33771" xr:uid="{00000000-0005-0000-0000-000050840000}"/>
    <cellStyle name="Normal 2 65 3 2" xfId="33772" xr:uid="{00000000-0005-0000-0000-000051840000}"/>
    <cellStyle name="Normal 2 65 4" xfId="33773" xr:uid="{00000000-0005-0000-0000-000052840000}"/>
    <cellStyle name="Normal 2 65 4 2" xfId="33774" xr:uid="{00000000-0005-0000-0000-000053840000}"/>
    <cellStyle name="Normal 2 65 5" xfId="33775" xr:uid="{00000000-0005-0000-0000-000054840000}"/>
    <cellStyle name="Normal 2 65 5 2" xfId="33776" xr:uid="{00000000-0005-0000-0000-000055840000}"/>
    <cellStyle name="Normal 2 65 6" xfId="33777" xr:uid="{00000000-0005-0000-0000-000056840000}"/>
    <cellStyle name="Normal 2 65 6 2" xfId="33778" xr:uid="{00000000-0005-0000-0000-000057840000}"/>
    <cellStyle name="Normal 2 65 7" xfId="33779" xr:uid="{00000000-0005-0000-0000-000058840000}"/>
    <cellStyle name="Normal 2 65 7 2" xfId="33780" xr:uid="{00000000-0005-0000-0000-000059840000}"/>
    <cellStyle name="Normal 2 65 8" xfId="33781" xr:uid="{00000000-0005-0000-0000-00005A840000}"/>
    <cellStyle name="Normal 2 65 8 2" xfId="33782" xr:uid="{00000000-0005-0000-0000-00005B840000}"/>
    <cellStyle name="Normal 2 65 9" xfId="33783" xr:uid="{00000000-0005-0000-0000-00005C840000}"/>
    <cellStyle name="Normal 2 65 9 2" xfId="33784" xr:uid="{00000000-0005-0000-0000-00005D840000}"/>
    <cellStyle name="Normal 2 66" xfId="33785" xr:uid="{00000000-0005-0000-0000-00005E840000}"/>
    <cellStyle name="Normal 2 66 10" xfId="33786" xr:uid="{00000000-0005-0000-0000-00005F840000}"/>
    <cellStyle name="Normal 2 66 2" xfId="33787" xr:uid="{00000000-0005-0000-0000-000060840000}"/>
    <cellStyle name="Normal 2 66 2 2" xfId="33788" xr:uid="{00000000-0005-0000-0000-000061840000}"/>
    <cellStyle name="Normal 2 66 3" xfId="33789" xr:uid="{00000000-0005-0000-0000-000062840000}"/>
    <cellStyle name="Normal 2 66 3 2" xfId="33790" xr:uid="{00000000-0005-0000-0000-000063840000}"/>
    <cellStyle name="Normal 2 66 4" xfId="33791" xr:uid="{00000000-0005-0000-0000-000064840000}"/>
    <cellStyle name="Normal 2 66 4 2" xfId="33792" xr:uid="{00000000-0005-0000-0000-000065840000}"/>
    <cellStyle name="Normal 2 66 5" xfId="33793" xr:uid="{00000000-0005-0000-0000-000066840000}"/>
    <cellStyle name="Normal 2 66 5 2" xfId="33794" xr:uid="{00000000-0005-0000-0000-000067840000}"/>
    <cellStyle name="Normal 2 66 6" xfId="33795" xr:uid="{00000000-0005-0000-0000-000068840000}"/>
    <cellStyle name="Normal 2 66 6 2" xfId="33796" xr:uid="{00000000-0005-0000-0000-000069840000}"/>
    <cellStyle name="Normal 2 66 7" xfId="33797" xr:uid="{00000000-0005-0000-0000-00006A840000}"/>
    <cellStyle name="Normal 2 66 7 2" xfId="33798" xr:uid="{00000000-0005-0000-0000-00006B840000}"/>
    <cellStyle name="Normal 2 66 8" xfId="33799" xr:uid="{00000000-0005-0000-0000-00006C840000}"/>
    <cellStyle name="Normal 2 66 8 2" xfId="33800" xr:uid="{00000000-0005-0000-0000-00006D840000}"/>
    <cellStyle name="Normal 2 66 9" xfId="33801" xr:uid="{00000000-0005-0000-0000-00006E840000}"/>
    <cellStyle name="Normal 2 66 9 2" xfId="33802" xr:uid="{00000000-0005-0000-0000-00006F840000}"/>
    <cellStyle name="Normal 2 67" xfId="33803" xr:uid="{00000000-0005-0000-0000-000070840000}"/>
    <cellStyle name="Normal 2 67 10" xfId="33804" xr:uid="{00000000-0005-0000-0000-000071840000}"/>
    <cellStyle name="Normal 2 67 2" xfId="33805" xr:uid="{00000000-0005-0000-0000-000072840000}"/>
    <cellStyle name="Normal 2 67 2 2" xfId="33806" xr:uid="{00000000-0005-0000-0000-000073840000}"/>
    <cellStyle name="Normal 2 67 3" xfId="33807" xr:uid="{00000000-0005-0000-0000-000074840000}"/>
    <cellStyle name="Normal 2 67 3 2" xfId="33808" xr:uid="{00000000-0005-0000-0000-000075840000}"/>
    <cellStyle name="Normal 2 67 4" xfId="33809" xr:uid="{00000000-0005-0000-0000-000076840000}"/>
    <cellStyle name="Normal 2 67 4 2" xfId="33810" xr:uid="{00000000-0005-0000-0000-000077840000}"/>
    <cellStyle name="Normal 2 67 5" xfId="33811" xr:uid="{00000000-0005-0000-0000-000078840000}"/>
    <cellStyle name="Normal 2 67 5 2" xfId="33812" xr:uid="{00000000-0005-0000-0000-000079840000}"/>
    <cellStyle name="Normal 2 67 6" xfId="33813" xr:uid="{00000000-0005-0000-0000-00007A840000}"/>
    <cellStyle name="Normal 2 67 6 2" xfId="33814" xr:uid="{00000000-0005-0000-0000-00007B840000}"/>
    <cellStyle name="Normal 2 67 7" xfId="33815" xr:uid="{00000000-0005-0000-0000-00007C840000}"/>
    <cellStyle name="Normal 2 67 7 2" xfId="33816" xr:uid="{00000000-0005-0000-0000-00007D840000}"/>
    <cellStyle name="Normal 2 67 8" xfId="33817" xr:uid="{00000000-0005-0000-0000-00007E840000}"/>
    <cellStyle name="Normal 2 67 8 2" xfId="33818" xr:uid="{00000000-0005-0000-0000-00007F840000}"/>
    <cellStyle name="Normal 2 67 9" xfId="33819" xr:uid="{00000000-0005-0000-0000-000080840000}"/>
    <cellStyle name="Normal 2 67 9 2" xfId="33820" xr:uid="{00000000-0005-0000-0000-000081840000}"/>
    <cellStyle name="Normal 2 68" xfId="33821" xr:uid="{00000000-0005-0000-0000-000082840000}"/>
    <cellStyle name="Normal 2 68 10" xfId="33822" xr:uid="{00000000-0005-0000-0000-000083840000}"/>
    <cellStyle name="Normal 2 68 2" xfId="33823" xr:uid="{00000000-0005-0000-0000-000084840000}"/>
    <cellStyle name="Normal 2 68 2 2" xfId="33824" xr:uid="{00000000-0005-0000-0000-000085840000}"/>
    <cellStyle name="Normal 2 68 3" xfId="33825" xr:uid="{00000000-0005-0000-0000-000086840000}"/>
    <cellStyle name="Normal 2 68 3 2" xfId="33826" xr:uid="{00000000-0005-0000-0000-000087840000}"/>
    <cellStyle name="Normal 2 68 4" xfId="33827" xr:uid="{00000000-0005-0000-0000-000088840000}"/>
    <cellStyle name="Normal 2 68 4 2" xfId="33828" xr:uid="{00000000-0005-0000-0000-000089840000}"/>
    <cellStyle name="Normal 2 68 5" xfId="33829" xr:uid="{00000000-0005-0000-0000-00008A840000}"/>
    <cellStyle name="Normal 2 68 5 2" xfId="33830" xr:uid="{00000000-0005-0000-0000-00008B840000}"/>
    <cellStyle name="Normal 2 68 6" xfId="33831" xr:uid="{00000000-0005-0000-0000-00008C840000}"/>
    <cellStyle name="Normal 2 68 6 2" xfId="33832" xr:uid="{00000000-0005-0000-0000-00008D840000}"/>
    <cellStyle name="Normal 2 68 7" xfId="33833" xr:uid="{00000000-0005-0000-0000-00008E840000}"/>
    <cellStyle name="Normal 2 68 7 2" xfId="33834" xr:uid="{00000000-0005-0000-0000-00008F840000}"/>
    <cellStyle name="Normal 2 68 8" xfId="33835" xr:uid="{00000000-0005-0000-0000-000090840000}"/>
    <cellStyle name="Normal 2 68 8 2" xfId="33836" xr:uid="{00000000-0005-0000-0000-000091840000}"/>
    <cellStyle name="Normal 2 68 9" xfId="33837" xr:uid="{00000000-0005-0000-0000-000092840000}"/>
    <cellStyle name="Normal 2 68 9 2" xfId="33838" xr:uid="{00000000-0005-0000-0000-000093840000}"/>
    <cellStyle name="Normal 2 69" xfId="33839" xr:uid="{00000000-0005-0000-0000-000094840000}"/>
    <cellStyle name="Normal 2 69 10" xfId="33840" xr:uid="{00000000-0005-0000-0000-000095840000}"/>
    <cellStyle name="Normal 2 69 2" xfId="33841" xr:uid="{00000000-0005-0000-0000-000096840000}"/>
    <cellStyle name="Normal 2 69 2 2" xfId="33842" xr:uid="{00000000-0005-0000-0000-000097840000}"/>
    <cellStyle name="Normal 2 69 3" xfId="33843" xr:uid="{00000000-0005-0000-0000-000098840000}"/>
    <cellStyle name="Normal 2 69 3 2" xfId="33844" xr:uid="{00000000-0005-0000-0000-000099840000}"/>
    <cellStyle name="Normal 2 69 4" xfId="33845" xr:uid="{00000000-0005-0000-0000-00009A840000}"/>
    <cellStyle name="Normal 2 69 4 2" xfId="33846" xr:uid="{00000000-0005-0000-0000-00009B840000}"/>
    <cellStyle name="Normal 2 69 5" xfId="33847" xr:uid="{00000000-0005-0000-0000-00009C840000}"/>
    <cellStyle name="Normal 2 69 5 2" xfId="33848" xr:uid="{00000000-0005-0000-0000-00009D840000}"/>
    <cellStyle name="Normal 2 69 6" xfId="33849" xr:uid="{00000000-0005-0000-0000-00009E840000}"/>
    <cellStyle name="Normal 2 69 6 2" xfId="33850" xr:uid="{00000000-0005-0000-0000-00009F840000}"/>
    <cellStyle name="Normal 2 69 7" xfId="33851" xr:uid="{00000000-0005-0000-0000-0000A0840000}"/>
    <cellStyle name="Normal 2 69 7 2" xfId="33852" xr:uid="{00000000-0005-0000-0000-0000A1840000}"/>
    <cellStyle name="Normal 2 69 8" xfId="33853" xr:uid="{00000000-0005-0000-0000-0000A2840000}"/>
    <cellStyle name="Normal 2 69 8 2" xfId="33854" xr:uid="{00000000-0005-0000-0000-0000A3840000}"/>
    <cellStyle name="Normal 2 69 9" xfId="33855" xr:uid="{00000000-0005-0000-0000-0000A4840000}"/>
    <cellStyle name="Normal 2 69 9 2" xfId="33856" xr:uid="{00000000-0005-0000-0000-0000A5840000}"/>
    <cellStyle name="Normal 2 7" xfId="33857" xr:uid="{00000000-0005-0000-0000-0000A6840000}"/>
    <cellStyle name="Normal 2 7 2" xfId="33858" xr:uid="{00000000-0005-0000-0000-0000A7840000}"/>
    <cellStyle name="Normal 2 7 2 2" xfId="33859" xr:uid="{00000000-0005-0000-0000-0000A8840000}"/>
    <cellStyle name="Normal 2 70" xfId="33860" xr:uid="{00000000-0005-0000-0000-0000A9840000}"/>
    <cellStyle name="Normal 2 70 10" xfId="33861" xr:uid="{00000000-0005-0000-0000-0000AA840000}"/>
    <cellStyle name="Normal 2 70 2" xfId="33862" xr:uid="{00000000-0005-0000-0000-0000AB840000}"/>
    <cellStyle name="Normal 2 70 2 2" xfId="33863" xr:uid="{00000000-0005-0000-0000-0000AC840000}"/>
    <cellStyle name="Normal 2 70 3" xfId="33864" xr:uid="{00000000-0005-0000-0000-0000AD840000}"/>
    <cellStyle name="Normal 2 70 3 2" xfId="33865" xr:uid="{00000000-0005-0000-0000-0000AE840000}"/>
    <cellStyle name="Normal 2 70 4" xfId="33866" xr:uid="{00000000-0005-0000-0000-0000AF840000}"/>
    <cellStyle name="Normal 2 70 4 2" xfId="33867" xr:uid="{00000000-0005-0000-0000-0000B0840000}"/>
    <cellStyle name="Normal 2 70 5" xfId="33868" xr:uid="{00000000-0005-0000-0000-0000B1840000}"/>
    <cellStyle name="Normal 2 70 5 2" xfId="33869" xr:uid="{00000000-0005-0000-0000-0000B2840000}"/>
    <cellStyle name="Normal 2 70 6" xfId="33870" xr:uid="{00000000-0005-0000-0000-0000B3840000}"/>
    <cellStyle name="Normal 2 70 6 2" xfId="33871" xr:uid="{00000000-0005-0000-0000-0000B4840000}"/>
    <cellStyle name="Normal 2 70 7" xfId="33872" xr:uid="{00000000-0005-0000-0000-0000B5840000}"/>
    <cellStyle name="Normal 2 70 7 2" xfId="33873" xr:uid="{00000000-0005-0000-0000-0000B6840000}"/>
    <cellStyle name="Normal 2 70 8" xfId="33874" xr:uid="{00000000-0005-0000-0000-0000B7840000}"/>
    <cellStyle name="Normal 2 70 8 2" xfId="33875" xr:uid="{00000000-0005-0000-0000-0000B8840000}"/>
    <cellStyle name="Normal 2 70 9" xfId="33876" xr:uid="{00000000-0005-0000-0000-0000B9840000}"/>
    <cellStyle name="Normal 2 70 9 2" xfId="33877" xr:uid="{00000000-0005-0000-0000-0000BA840000}"/>
    <cellStyle name="Normal 2 71" xfId="33878" xr:uid="{00000000-0005-0000-0000-0000BB840000}"/>
    <cellStyle name="Normal 2 71 10" xfId="33879" xr:uid="{00000000-0005-0000-0000-0000BC840000}"/>
    <cellStyle name="Normal 2 71 2" xfId="33880" xr:uid="{00000000-0005-0000-0000-0000BD840000}"/>
    <cellStyle name="Normal 2 71 2 2" xfId="33881" xr:uid="{00000000-0005-0000-0000-0000BE840000}"/>
    <cellStyle name="Normal 2 71 3" xfId="33882" xr:uid="{00000000-0005-0000-0000-0000BF840000}"/>
    <cellStyle name="Normal 2 71 3 2" xfId="33883" xr:uid="{00000000-0005-0000-0000-0000C0840000}"/>
    <cellStyle name="Normal 2 71 4" xfId="33884" xr:uid="{00000000-0005-0000-0000-0000C1840000}"/>
    <cellStyle name="Normal 2 71 4 2" xfId="33885" xr:uid="{00000000-0005-0000-0000-0000C2840000}"/>
    <cellStyle name="Normal 2 71 5" xfId="33886" xr:uid="{00000000-0005-0000-0000-0000C3840000}"/>
    <cellStyle name="Normal 2 71 5 2" xfId="33887" xr:uid="{00000000-0005-0000-0000-0000C4840000}"/>
    <cellStyle name="Normal 2 71 6" xfId="33888" xr:uid="{00000000-0005-0000-0000-0000C5840000}"/>
    <cellStyle name="Normal 2 71 6 2" xfId="33889" xr:uid="{00000000-0005-0000-0000-0000C6840000}"/>
    <cellStyle name="Normal 2 71 7" xfId="33890" xr:uid="{00000000-0005-0000-0000-0000C7840000}"/>
    <cellStyle name="Normal 2 71 7 2" xfId="33891" xr:uid="{00000000-0005-0000-0000-0000C8840000}"/>
    <cellStyle name="Normal 2 71 8" xfId="33892" xr:uid="{00000000-0005-0000-0000-0000C9840000}"/>
    <cellStyle name="Normal 2 71 8 2" xfId="33893" xr:uid="{00000000-0005-0000-0000-0000CA840000}"/>
    <cellStyle name="Normal 2 71 9" xfId="33894" xr:uid="{00000000-0005-0000-0000-0000CB840000}"/>
    <cellStyle name="Normal 2 71 9 2" xfId="33895" xr:uid="{00000000-0005-0000-0000-0000CC840000}"/>
    <cellStyle name="Normal 2 72" xfId="33896" xr:uid="{00000000-0005-0000-0000-0000CD840000}"/>
    <cellStyle name="Normal 2 72 10" xfId="33897" xr:uid="{00000000-0005-0000-0000-0000CE840000}"/>
    <cellStyle name="Normal 2 72 2" xfId="33898" xr:uid="{00000000-0005-0000-0000-0000CF840000}"/>
    <cellStyle name="Normal 2 72 2 2" xfId="33899" xr:uid="{00000000-0005-0000-0000-0000D0840000}"/>
    <cellStyle name="Normal 2 72 3" xfId="33900" xr:uid="{00000000-0005-0000-0000-0000D1840000}"/>
    <cellStyle name="Normal 2 72 3 2" xfId="33901" xr:uid="{00000000-0005-0000-0000-0000D2840000}"/>
    <cellStyle name="Normal 2 72 4" xfId="33902" xr:uid="{00000000-0005-0000-0000-0000D3840000}"/>
    <cellStyle name="Normal 2 72 4 2" xfId="33903" xr:uid="{00000000-0005-0000-0000-0000D4840000}"/>
    <cellStyle name="Normal 2 72 5" xfId="33904" xr:uid="{00000000-0005-0000-0000-0000D5840000}"/>
    <cellStyle name="Normal 2 72 5 2" xfId="33905" xr:uid="{00000000-0005-0000-0000-0000D6840000}"/>
    <cellStyle name="Normal 2 72 6" xfId="33906" xr:uid="{00000000-0005-0000-0000-0000D7840000}"/>
    <cellStyle name="Normal 2 72 6 2" xfId="33907" xr:uid="{00000000-0005-0000-0000-0000D8840000}"/>
    <cellStyle name="Normal 2 72 7" xfId="33908" xr:uid="{00000000-0005-0000-0000-0000D9840000}"/>
    <cellStyle name="Normal 2 72 7 2" xfId="33909" xr:uid="{00000000-0005-0000-0000-0000DA840000}"/>
    <cellStyle name="Normal 2 72 8" xfId="33910" xr:uid="{00000000-0005-0000-0000-0000DB840000}"/>
    <cellStyle name="Normal 2 72 8 2" xfId="33911" xr:uid="{00000000-0005-0000-0000-0000DC840000}"/>
    <cellStyle name="Normal 2 72 9" xfId="33912" xr:uid="{00000000-0005-0000-0000-0000DD840000}"/>
    <cellStyle name="Normal 2 72 9 2" xfId="33913" xr:uid="{00000000-0005-0000-0000-0000DE840000}"/>
    <cellStyle name="Normal 2 73" xfId="33914" xr:uid="{00000000-0005-0000-0000-0000DF840000}"/>
    <cellStyle name="Normal 2 74" xfId="33915" xr:uid="{00000000-0005-0000-0000-0000E0840000}"/>
    <cellStyle name="Normal 2 74 2" xfId="33916" xr:uid="{00000000-0005-0000-0000-0000E1840000}"/>
    <cellStyle name="Normal 2 75" xfId="33917" xr:uid="{00000000-0005-0000-0000-0000E2840000}"/>
    <cellStyle name="Normal 2 76" xfId="33918" xr:uid="{00000000-0005-0000-0000-0000E3840000}"/>
    <cellStyle name="Normal 2 77" xfId="58822" xr:uid="{00000000-0005-0000-0000-0000E4840000}"/>
    <cellStyle name="Normal 2 78" xfId="58894" xr:uid="{00000000-0005-0000-0000-0000E5840000}"/>
    <cellStyle name="Normal 2 8" xfId="33919" xr:uid="{00000000-0005-0000-0000-0000E6840000}"/>
    <cellStyle name="Normal 2 8 2" xfId="33920" xr:uid="{00000000-0005-0000-0000-0000E7840000}"/>
    <cellStyle name="Normal 2 8 2 2" xfId="33921" xr:uid="{00000000-0005-0000-0000-0000E8840000}"/>
    <cellStyle name="Normal 2 9" xfId="33922" xr:uid="{00000000-0005-0000-0000-0000E9840000}"/>
    <cellStyle name="Normal 2 9 2" xfId="33923" xr:uid="{00000000-0005-0000-0000-0000EA840000}"/>
    <cellStyle name="Normal 2 9 2 2" xfId="33924" xr:uid="{00000000-0005-0000-0000-0000EB840000}"/>
    <cellStyle name="Normal 2_CVST3 Relacion de Equipos  Julio -2009 Tramo III" xfId="33925" xr:uid="{00000000-0005-0000-0000-0000EC840000}"/>
    <cellStyle name="Normal 20" xfId="33926" xr:uid="{00000000-0005-0000-0000-0000ED840000}"/>
    <cellStyle name="Normal 20 2" xfId="33927" xr:uid="{00000000-0005-0000-0000-0000EE840000}"/>
    <cellStyle name="Normal 21" xfId="33928" xr:uid="{00000000-0005-0000-0000-0000EF840000}"/>
    <cellStyle name="Normal 21 2" xfId="33929" xr:uid="{00000000-0005-0000-0000-0000F0840000}"/>
    <cellStyle name="Normal 22" xfId="33930" xr:uid="{00000000-0005-0000-0000-0000F1840000}"/>
    <cellStyle name="Normal 22 2" xfId="33931" xr:uid="{00000000-0005-0000-0000-0000F2840000}"/>
    <cellStyle name="Normal 22 2 2" xfId="33932" xr:uid="{00000000-0005-0000-0000-0000F3840000}"/>
    <cellStyle name="Normal 22 3" xfId="33933" xr:uid="{00000000-0005-0000-0000-0000F4840000}"/>
    <cellStyle name="Normal 23" xfId="33934" xr:uid="{00000000-0005-0000-0000-0000F5840000}"/>
    <cellStyle name="Normal 24" xfId="33935" xr:uid="{00000000-0005-0000-0000-0000F6840000}"/>
    <cellStyle name="Normal 24 2" xfId="33936" xr:uid="{00000000-0005-0000-0000-0000F7840000}"/>
    <cellStyle name="Normal 25" xfId="33937" xr:uid="{00000000-0005-0000-0000-0000F8840000}"/>
    <cellStyle name="Normal 25 2" xfId="58890" xr:uid="{00000000-0005-0000-0000-0000F9840000}"/>
    <cellStyle name="Normal 26" xfId="33938" xr:uid="{00000000-0005-0000-0000-0000FA840000}"/>
    <cellStyle name="Normal 26 2" xfId="33939" xr:uid="{00000000-0005-0000-0000-0000FB840000}"/>
    <cellStyle name="Normal 27" xfId="33940" xr:uid="{00000000-0005-0000-0000-0000FC840000}"/>
    <cellStyle name="Normal 27 2" xfId="33941" xr:uid="{00000000-0005-0000-0000-0000FD840000}"/>
    <cellStyle name="Normal 28" xfId="33942" xr:uid="{00000000-0005-0000-0000-0000FE840000}"/>
    <cellStyle name="Normal 29" xfId="33943" xr:uid="{00000000-0005-0000-0000-0000FF840000}"/>
    <cellStyle name="Normal 3" xfId="10" xr:uid="{00000000-0005-0000-0000-000000850000}"/>
    <cellStyle name="Normal 3 10" xfId="33944" xr:uid="{00000000-0005-0000-0000-000001850000}"/>
    <cellStyle name="Normal 3 10 2" xfId="33945" xr:uid="{00000000-0005-0000-0000-000002850000}"/>
    <cellStyle name="Normal 3 11" xfId="58861" xr:uid="{00000000-0005-0000-0000-000003850000}"/>
    <cellStyle name="Normal 3 12" xfId="58887" xr:uid="{00000000-0005-0000-0000-000004850000}"/>
    <cellStyle name="Normal 3 2" xfId="15" xr:uid="{00000000-0005-0000-0000-000005850000}"/>
    <cellStyle name="Normal 3 2 2" xfId="18" xr:uid="{00000000-0005-0000-0000-000006850000}"/>
    <cellStyle name="Normal 3 2 2 2" xfId="33947" xr:uid="{00000000-0005-0000-0000-000007850000}"/>
    <cellStyle name="Normal 3 2 3" xfId="33948" xr:uid="{00000000-0005-0000-0000-000008850000}"/>
    <cellStyle name="Normal 3 2 4" xfId="33946" xr:uid="{00000000-0005-0000-0000-000009850000}"/>
    <cellStyle name="Normal 3 3" xfId="33949" xr:uid="{00000000-0005-0000-0000-00000A850000}"/>
    <cellStyle name="Normal 3 4" xfId="33950" xr:uid="{00000000-0005-0000-0000-00000B850000}"/>
    <cellStyle name="Normal 3 5" xfId="33951" xr:uid="{00000000-0005-0000-0000-00000C850000}"/>
    <cellStyle name="Normal 3 6" xfId="33952" xr:uid="{00000000-0005-0000-0000-00000D850000}"/>
    <cellStyle name="Normal 3 7" xfId="33953" xr:uid="{00000000-0005-0000-0000-00000E850000}"/>
    <cellStyle name="Normal 3 8" xfId="33954" xr:uid="{00000000-0005-0000-0000-00000F850000}"/>
    <cellStyle name="Normal 3 9" xfId="33955" xr:uid="{00000000-0005-0000-0000-000010850000}"/>
    <cellStyle name="Normal 30" xfId="33956" xr:uid="{00000000-0005-0000-0000-000011850000}"/>
    <cellStyle name="Normal 31" xfId="33957" xr:uid="{00000000-0005-0000-0000-000012850000}"/>
    <cellStyle name="Normal 32" xfId="33958" xr:uid="{00000000-0005-0000-0000-000013850000}"/>
    <cellStyle name="Normal 33" xfId="33959" xr:uid="{00000000-0005-0000-0000-000014850000}"/>
    <cellStyle name="Normal 34" xfId="33960" xr:uid="{00000000-0005-0000-0000-000015850000}"/>
    <cellStyle name="Normal 35" xfId="33961" xr:uid="{00000000-0005-0000-0000-000016850000}"/>
    <cellStyle name="Normal 36" xfId="33962" xr:uid="{00000000-0005-0000-0000-000017850000}"/>
    <cellStyle name="Normal 37" xfId="33963" xr:uid="{00000000-0005-0000-0000-000018850000}"/>
    <cellStyle name="Normal 38" xfId="33964" xr:uid="{00000000-0005-0000-0000-000019850000}"/>
    <cellStyle name="Normal 39" xfId="33965" xr:uid="{00000000-0005-0000-0000-00001A850000}"/>
    <cellStyle name="Normal 39 2" xfId="58821" xr:uid="{00000000-0005-0000-0000-00001B850000}"/>
    <cellStyle name="Normal 4" xfId="5" xr:uid="{00000000-0005-0000-0000-00001C850000}"/>
    <cellStyle name="Normal 4 2" xfId="33967" xr:uid="{00000000-0005-0000-0000-00001D850000}"/>
    <cellStyle name="Normal 4 2 2" xfId="33968" xr:uid="{00000000-0005-0000-0000-00001E850000}"/>
    <cellStyle name="Normal 4 2 3" xfId="58921" xr:uid="{00000000-0005-0000-0000-00001F850000}"/>
    <cellStyle name="Normal 4 3" xfId="33969" xr:uid="{00000000-0005-0000-0000-000020850000}"/>
    <cellStyle name="Normal 4 3 2" xfId="33970" xr:uid="{00000000-0005-0000-0000-000021850000}"/>
    <cellStyle name="Normal 4 4" xfId="58776" xr:uid="{00000000-0005-0000-0000-000022850000}"/>
    <cellStyle name="Normal 4 5" xfId="33966" xr:uid="{00000000-0005-0000-0000-000023850000}"/>
    <cellStyle name="Normal 40" xfId="33971" xr:uid="{00000000-0005-0000-0000-000024850000}"/>
    <cellStyle name="Normal 41" xfId="33972" xr:uid="{00000000-0005-0000-0000-000025850000}"/>
    <cellStyle name="Normal 42" xfId="33973" xr:uid="{00000000-0005-0000-0000-000026850000}"/>
    <cellStyle name="Normal 43" xfId="33974" xr:uid="{00000000-0005-0000-0000-000027850000}"/>
    <cellStyle name="Normal 44" xfId="33975" xr:uid="{00000000-0005-0000-0000-000028850000}"/>
    <cellStyle name="Normal 45" xfId="33976" xr:uid="{00000000-0005-0000-0000-000029850000}"/>
    <cellStyle name="Normal 46" xfId="33977" xr:uid="{00000000-0005-0000-0000-00002A850000}"/>
    <cellStyle name="Normal 47" xfId="33978" xr:uid="{00000000-0005-0000-0000-00002B850000}"/>
    <cellStyle name="Normal 47 2" xfId="33979" xr:uid="{00000000-0005-0000-0000-00002C850000}"/>
    <cellStyle name="Normal 47 3" xfId="60" xr:uid="{00000000-0005-0000-0000-00002D850000}"/>
    <cellStyle name="Normal 48" xfId="33980" xr:uid="{00000000-0005-0000-0000-00002E850000}"/>
    <cellStyle name="Normal 48 2" xfId="33981" xr:uid="{00000000-0005-0000-0000-00002F850000}"/>
    <cellStyle name="Normal 48 3" xfId="33982" xr:uid="{00000000-0005-0000-0000-000030850000}"/>
    <cellStyle name="Normal 49" xfId="33983" xr:uid="{00000000-0005-0000-0000-000031850000}"/>
    <cellStyle name="Normal 49 2" xfId="33984" xr:uid="{00000000-0005-0000-0000-000032850000}"/>
    <cellStyle name="Normal 49 3" xfId="33985" xr:uid="{00000000-0005-0000-0000-000033850000}"/>
    <cellStyle name="Normal 5" xfId="22" xr:uid="{00000000-0005-0000-0000-000034850000}"/>
    <cellStyle name="Normal 5 2" xfId="7" xr:uid="{00000000-0005-0000-0000-000035850000}"/>
    <cellStyle name="Normal 5 3" xfId="33987" xr:uid="{00000000-0005-0000-0000-000036850000}"/>
    <cellStyle name="Normal 5 4" xfId="58777" xr:uid="{00000000-0005-0000-0000-000037850000}"/>
    <cellStyle name="Normal 5 5" xfId="33986" xr:uid="{00000000-0005-0000-0000-000038850000}"/>
    <cellStyle name="Normal 50" xfId="33988" xr:uid="{00000000-0005-0000-0000-000039850000}"/>
    <cellStyle name="Normal 51" xfId="33989" xr:uid="{00000000-0005-0000-0000-00003A850000}"/>
    <cellStyle name="Normal 52" xfId="33990" xr:uid="{00000000-0005-0000-0000-00003B850000}"/>
    <cellStyle name="Normal 53" xfId="24" xr:uid="{00000000-0005-0000-0000-00003C850000}"/>
    <cellStyle name="Normal 53 2" xfId="58863" xr:uid="{00000000-0005-0000-0000-00003D850000}"/>
    <cellStyle name="Normal 53 3" xfId="58709" xr:uid="{00000000-0005-0000-0000-00003E850000}"/>
    <cellStyle name="Normal 54" xfId="58710" xr:uid="{00000000-0005-0000-0000-00003F850000}"/>
    <cellStyle name="Normal 55" xfId="58714" xr:uid="{00000000-0005-0000-0000-000040850000}"/>
    <cellStyle name="Normal 56" xfId="58864" xr:uid="{00000000-0005-0000-0000-000041850000}"/>
    <cellStyle name="Normal 57" xfId="58865" xr:uid="{00000000-0005-0000-0000-000042850000}"/>
    <cellStyle name="Normal 58" xfId="33991" xr:uid="{00000000-0005-0000-0000-000043850000}"/>
    <cellStyle name="Normal 59" xfId="58867" xr:uid="{00000000-0005-0000-0000-000044850000}"/>
    <cellStyle name="Normal 6" xfId="25" xr:uid="{00000000-0005-0000-0000-000045850000}"/>
    <cellStyle name="Normal 6 2" xfId="33993" xr:uid="{00000000-0005-0000-0000-000046850000}"/>
    <cellStyle name="Normal 6 3" xfId="58778" xr:uid="{00000000-0005-0000-0000-000047850000}"/>
    <cellStyle name="Normal 6 4" xfId="33992" xr:uid="{00000000-0005-0000-0000-000048850000}"/>
    <cellStyle name="Normal 60" xfId="58869" xr:uid="{00000000-0005-0000-0000-000049850000}"/>
    <cellStyle name="Normal 61" xfId="58883" xr:uid="{00000000-0005-0000-0000-00004A850000}"/>
    <cellStyle name="Normal 62" xfId="58888" xr:uid="{00000000-0005-0000-0000-00004B850000}"/>
    <cellStyle name="Normal 63" xfId="58891" xr:uid="{00000000-0005-0000-0000-00004C850000}"/>
    <cellStyle name="Normal 64" xfId="58893" xr:uid="{00000000-0005-0000-0000-00004D850000}"/>
    <cellStyle name="Normal 65" xfId="58896" xr:uid="{00000000-0005-0000-0000-00004E850000}"/>
    <cellStyle name="Normal 66" xfId="58900" xr:uid="{00000000-0005-0000-0000-00004F850000}"/>
    <cellStyle name="Normal 67" xfId="58901" xr:uid="{00000000-0005-0000-0000-000050850000}"/>
    <cellStyle name="Normal 68" xfId="58902" xr:uid="{00000000-0005-0000-0000-000051850000}"/>
    <cellStyle name="Normal 69" xfId="58903" xr:uid="{00000000-0005-0000-0000-000052850000}"/>
    <cellStyle name="Normal 7" xfId="33994" xr:uid="{00000000-0005-0000-0000-000053850000}"/>
    <cellStyle name="Normal 7 2" xfId="33995" xr:uid="{00000000-0005-0000-0000-000054850000}"/>
    <cellStyle name="Normal 7 3" xfId="58779" xr:uid="{00000000-0005-0000-0000-000055850000}"/>
    <cellStyle name="Normal 70" xfId="58904" xr:uid="{00000000-0005-0000-0000-000056850000}"/>
    <cellStyle name="Normal 71" xfId="58905" xr:uid="{00000000-0005-0000-0000-000057850000}"/>
    <cellStyle name="Normal 72" xfId="58906" xr:uid="{00000000-0005-0000-0000-000058850000}"/>
    <cellStyle name="Normal 73" xfId="58907" xr:uid="{00000000-0005-0000-0000-000059850000}"/>
    <cellStyle name="Normal 74" xfId="58908" xr:uid="{00000000-0005-0000-0000-00005A850000}"/>
    <cellStyle name="Normal 75" xfId="58909" xr:uid="{00000000-0005-0000-0000-00005B850000}"/>
    <cellStyle name="Normal 76" xfId="58910" xr:uid="{00000000-0005-0000-0000-00005C850000}"/>
    <cellStyle name="Normal 77" xfId="58911" xr:uid="{00000000-0005-0000-0000-00005D850000}"/>
    <cellStyle name="Normal 78" xfId="58912" xr:uid="{00000000-0005-0000-0000-00005E850000}"/>
    <cellStyle name="Normal 79" xfId="58914" xr:uid="{00000000-0005-0000-0000-00005F850000}"/>
    <cellStyle name="Normal 8" xfId="33996" xr:uid="{00000000-0005-0000-0000-000060850000}"/>
    <cellStyle name="Normal 8 2" xfId="33997" xr:uid="{00000000-0005-0000-0000-000061850000}"/>
    <cellStyle name="Normal 8 3" xfId="58780" xr:uid="{00000000-0005-0000-0000-000062850000}"/>
    <cellStyle name="Normal 9" xfId="33998" xr:uid="{00000000-0005-0000-0000-000063850000}"/>
    <cellStyle name="Normal 9 2" xfId="33999" xr:uid="{00000000-0005-0000-0000-000064850000}"/>
    <cellStyle name="Normal 9 3" xfId="58781" xr:uid="{00000000-0005-0000-0000-000065850000}"/>
    <cellStyle name="Normal GHG Numbers (0.00)" xfId="34000" xr:uid="{00000000-0005-0000-0000-000066850000}"/>
    <cellStyle name="Normal GHG Textfiels Bold" xfId="34001" xr:uid="{00000000-0005-0000-0000-000067850000}"/>
    <cellStyle name="Normal GHG whole table" xfId="34002" xr:uid="{00000000-0005-0000-0000-000068850000}"/>
    <cellStyle name="Normal GHG-Shade" xfId="34003" xr:uid="{00000000-0005-0000-0000-000069850000}"/>
    <cellStyle name="Notas 2" xfId="34004" xr:uid="{00000000-0005-0000-0000-00006A850000}"/>
    <cellStyle name="Notas 2 10" xfId="34005" xr:uid="{00000000-0005-0000-0000-00006B850000}"/>
    <cellStyle name="Notas 2 10 2" xfId="34006" xr:uid="{00000000-0005-0000-0000-00006C850000}"/>
    <cellStyle name="Notas 2 10 2 2" xfId="34007" xr:uid="{00000000-0005-0000-0000-00006D850000}"/>
    <cellStyle name="Notas 2 10 2 2 2" xfId="34008" xr:uid="{00000000-0005-0000-0000-00006E850000}"/>
    <cellStyle name="Notas 2 10 2 2 3" xfId="34009" xr:uid="{00000000-0005-0000-0000-00006F850000}"/>
    <cellStyle name="Notas 2 10 2 2 4" xfId="34010" xr:uid="{00000000-0005-0000-0000-000070850000}"/>
    <cellStyle name="Notas 2 10 2 3" xfId="34011" xr:uid="{00000000-0005-0000-0000-000071850000}"/>
    <cellStyle name="Notas 2 10 2 3 2" xfId="34012" xr:uid="{00000000-0005-0000-0000-000072850000}"/>
    <cellStyle name="Notas 2 10 2 3 3" xfId="34013" xr:uid="{00000000-0005-0000-0000-000073850000}"/>
    <cellStyle name="Notas 2 10 2 3 4" xfId="34014" xr:uid="{00000000-0005-0000-0000-000074850000}"/>
    <cellStyle name="Notas 2 10 2 4" xfId="34015" xr:uid="{00000000-0005-0000-0000-000075850000}"/>
    <cellStyle name="Notas 2 10 2 5" xfId="34016" xr:uid="{00000000-0005-0000-0000-000076850000}"/>
    <cellStyle name="Notas 2 10 2 6" xfId="34017" xr:uid="{00000000-0005-0000-0000-000077850000}"/>
    <cellStyle name="Notas 2 10 3" xfId="34018" xr:uid="{00000000-0005-0000-0000-000078850000}"/>
    <cellStyle name="Notas 2 10 3 2" xfId="34019" xr:uid="{00000000-0005-0000-0000-000079850000}"/>
    <cellStyle name="Notas 2 10 3 2 2" xfId="34020" xr:uid="{00000000-0005-0000-0000-00007A850000}"/>
    <cellStyle name="Notas 2 10 3 2 3" xfId="34021" xr:uid="{00000000-0005-0000-0000-00007B850000}"/>
    <cellStyle name="Notas 2 10 3 2 4" xfId="34022" xr:uid="{00000000-0005-0000-0000-00007C850000}"/>
    <cellStyle name="Notas 2 10 3 3" xfId="34023" xr:uid="{00000000-0005-0000-0000-00007D850000}"/>
    <cellStyle name="Notas 2 10 3 3 2" xfId="34024" xr:uid="{00000000-0005-0000-0000-00007E850000}"/>
    <cellStyle name="Notas 2 10 3 3 3" xfId="34025" xr:uid="{00000000-0005-0000-0000-00007F850000}"/>
    <cellStyle name="Notas 2 10 3 3 4" xfId="34026" xr:uid="{00000000-0005-0000-0000-000080850000}"/>
    <cellStyle name="Notas 2 10 3 4" xfId="34027" xr:uid="{00000000-0005-0000-0000-000081850000}"/>
    <cellStyle name="Notas 2 10 3 5" xfId="34028" xr:uid="{00000000-0005-0000-0000-000082850000}"/>
    <cellStyle name="Notas 2 10 3 6" xfId="34029" xr:uid="{00000000-0005-0000-0000-000083850000}"/>
    <cellStyle name="Notas 2 10 4" xfId="34030" xr:uid="{00000000-0005-0000-0000-000084850000}"/>
    <cellStyle name="Notas 2 10 4 2" xfId="34031" xr:uid="{00000000-0005-0000-0000-000085850000}"/>
    <cellStyle name="Notas 2 10 4 3" xfId="34032" xr:uid="{00000000-0005-0000-0000-000086850000}"/>
    <cellStyle name="Notas 2 10 4 4" xfId="34033" xr:uid="{00000000-0005-0000-0000-000087850000}"/>
    <cellStyle name="Notas 2 10 5" xfId="34034" xr:uid="{00000000-0005-0000-0000-000088850000}"/>
    <cellStyle name="Notas 2 10 6" xfId="34035" xr:uid="{00000000-0005-0000-0000-000089850000}"/>
    <cellStyle name="Notas 2 11" xfId="34036" xr:uid="{00000000-0005-0000-0000-00008A850000}"/>
    <cellStyle name="Notas 2 11 2" xfId="34037" xr:uid="{00000000-0005-0000-0000-00008B850000}"/>
    <cellStyle name="Notas 2 11 2 2" xfId="34038" xr:uid="{00000000-0005-0000-0000-00008C850000}"/>
    <cellStyle name="Notas 2 11 2 2 2" xfId="34039" xr:uid="{00000000-0005-0000-0000-00008D850000}"/>
    <cellStyle name="Notas 2 11 2 2 3" xfId="34040" xr:uid="{00000000-0005-0000-0000-00008E850000}"/>
    <cellStyle name="Notas 2 11 2 2 4" xfId="34041" xr:uid="{00000000-0005-0000-0000-00008F850000}"/>
    <cellStyle name="Notas 2 11 2 3" xfId="34042" xr:uid="{00000000-0005-0000-0000-000090850000}"/>
    <cellStyle name="Notas 2 11 2 3 2" xfId="34043" xr:uid="{00000000-0005-0000-0000-000091850000}"/>
    <cellStyle name="Notas 2 11 2 3 3" xfId="34044" xr:uid="{00000000-0005-0000-0000-000092850000}"/>
    <cellStyle name="Notas 2 11 2 3 4" xfId="34045" xr:uid="{00000000-0005-0000-0000-000093850000}"/>
    <cellStyle name="Notas 2 11 2 4" xfId="34046" xr:uid="{00000000-0005-0000-0000-000094850000}"/>
    <cellStyle name="Notas 2 11 2 5" xfId="34047" xr:uid="{00000000-0005-0000-0000-000095850000}"/>
    <cellStyle name="Notas 2 11 2 6" xfId="34048" xr:uid="{00000000-0005-0000-0000-000096850000}"/>
    <cellStyle name="Notas 2 11 3" xfId="34049" xr:uid="{00000000-0005-0000-0000-000097850000}"/>
    <cellStyle name="Notas 2 11 3 2" xfId="34050" xr:uid="{00000000-0005-0000-0000-000098850000}"/>
    <cellStyle name="Notas 2 11 3 2 2" xfId="34051" xr:uid="{00000000-0005-0000-0000-000099850000}"/>
    <cellStyle name="Notas 2 11 3 2 3" xfId="34052" xr:uid="{00000000-0005-0000-0000-00009A850000}"/>
    <cellStyle name="Notas 2 11 3 2 4" xfId="34053" xr:uid="{00000000-0005-0000-0000-00009B850000}"/>
    <cellStyle name="Notas 2 11 3 3" xfId="34054" xr:uid="{00000000-0005-0000-0000-00009C850000}"/>
    <cellStyle name="Notas 2 11 3 3 2" xfId="34055" xr:uid="{00000000-0005-0000-0000-00009D850000}"/>
    <cellStyle name="Notas 2 11 3 3 3" xfId="34056" xr:uid="{00000000-0005-0000-0000-00009E850000}"/>
    <cellStyle name="Notas 2 11 3 3 4" xfId="34057" xr:uid="{00000000-0005-0000-0000-00009F850000}"/>
    <cellStyle name="Notas 2 11 3 4" xfId="34058" xr:uid="{00000000-0005-0000-0000-0000A0850000}"/>
    <cellStyle name="Notas 2 11 3 5" xfId="34059" xr:uid="{00000000-0005-0000-0000-0000A1850000}"/>
    <cellStyle name="Notas 2 11 3 6" xfId="34060" xr:uid="{00000000-0005-0000-0000-0000A2850000}"/>
    <cellStyle name="Notas 2 11 4" xfId="34061" xr:uid="{00000000-0005-0000-0000-0000A3850000}"/>
    <cellStyle name="Notas 2 11 4 2" xfId="34062" xr:uid="{00000000-0005-0000-0000-0000A4850000}"/>
    <cellStyle name="Notas 2 11 4 3" xfId="34063" xr:uid="{00000000-0005-0000-0000-0000A5850000}"/>
    <cellStyle name="Notas 2 11 4 4" xfId="34064" xr:uid="{00000000-0005-0000-0000-0000A6850000}"/>
    <cellStyle name="Notas 2 11 5" xfId="34065" xr:uid="{00000000-0005-0000-0000-0000A7850000}"/>
    <cellStyle name="Notas 2 11 6" xfId="34066" xr:uid="{00000000-0005-0000-0000-0000A8850000}"/>
    <cellStyle name="Notas 2 12" xfId="34067" xr:uid="{00000000-0005-0000-0000-0000A9850000}"/>
    <cellStyle name="Notas 2 12 2" xfId="34068" xr:uid="{00000000-0005-0000-0000-0000AA850000}"/>
    <cellStyle name="Notas 2 12 2 2" xfId="34069" xr:uid="{00000000-0005-0000-0000-0000AB850000}"/>
    <cellStyle name="Notas 2 12 2 2 2" xfId="34070" xr:uid="{00000000-0005-0000-0000-0000AC850000}"/>
    <cellStyle name="Notas 2 12 2 2 3" xfId="34071" xr:uid="{00000000-0005-0000-0000-0000AD850000}"/>
    <cellStyle name="Notas 2 12 2 2 4" xfId="34072" xr:uid="{00000000-0005-0000-0000-0000AE850000}"/>
    <cellStyle name="Notas 2 12 2 3" xfId="34073" xr:uid="{00000000-0005-0000-0000-0000AF850000}"/>
    <cellStyle name="Notas 2 12 2 3 2" xfId="34074" xr:uid="{00000000-0005-0000-0000-0000B0850000}"/>
    <cellStyle name="Notas 2 12 2 3 3" xfId="34075" xr:uid="{00000000-0005-0000-0000-0000B1850000}"/>
    <cellStyle name="Notas 2 12 2 3 4" xfId="34076" xr:uid="{00000000-0005-0000-0000-0000B2850000}"/>
    <cellStyle name="Notas 2 12 2 4" xfId="34077" xr:uid="{00000000-0005-0000-0000-0000B3850000}"/>
    <cellStyle name="Notas 2 12 2 5" xfId="34078" xr:uid="{00000000-0005-0000-0000-0000B4850000}"/>
    <cellStyle name="Notas 2 12 2 6" xfId="34079" xr:uid="{00000000-0005-0000-0000-0000B5850000}"/>
    <cellStyle name="Notas 2 12 3" xfId="34080" xr:uid="{00000000-0005-0000-0000-0000B6850000}"/>
    <cellStyle name="Notas 2 12 3 2" xfId="34081" xr:uid="{00000000-0005-0000-0000-0000B7850000}"/>
    <cellStyle name="Notas 2 12 3 2 2" xfId="34082" xr:uid="{00000000-0005-0000-0000-0000B8850000}"/>
    <cellStyle name="Notas 2 12 3 2 3" xfId="34083" xr:uid="{00000000-0005-0000-0000-0000B9850000}"/>
    <cellStyle name="Notas 2 12 3 2 4" xfId="34084" xr:uid="{00000000-0005-0000-0000-0000BA850000}"/>
    <cellStyle name="Notas 2 12 3 3" xfId="34085" xr:uid="{00000000-0005-0000-0000-0000BB850000}"/>
    <cellStyle name="Notas 2 12 3 3 2" xfId="34086" xr:uid="{00000000-0005-0000-0000-0000BC850000}"/>
    <cellStyle name="Notas 2 12 3 3 3" xfId="34087" xr:uid="{00000000-0005-0000-0000-0000BD850000}"/>
    <cellStyle name="Notas 2 12 3 3 4" xfId="34088" xr:uid="{00000000-0005-0000-0000-0000BE850000}"/>
    <cellStyle name="Notas 2 12 3 4" xfId="34089" xr:uid="{00000000-0005-0000-0000-0000BF850000}"/>
    <cellStyle name="Notas 2 12 3 5" xfId="34090" xr:uid="{00000000-0005-0000-0000-0000C0850000}"/>
    <cellStyle name="Notas 2 12 3 6" xfId="34091" xr:uid="{00000000-0005-0000-0000-0000C1850000}"/>
    <cellStyle name="Notas 2 12 4" xfId="34092" xr:uid="{00000000-0005-0000-0000-0000C2850000}"/>
    <cellStyle name="Notas 2 12 4 2" xfId="34093" xr:uid="{00000000-0005-0000-0000-0000C3850000}"/>
    <cellStyle name="Notas 2 12 4 3" xfId="34094" xr:uid="{00000000-0005-0000-0000-0000C4850000}"/>
    <cellStyle name="Notas 2 12 4 4" xfId="34095" xr:uid="{00000000-0005-0000-0000-0000C5850000}"/>
    <cellStyle name="Notas 2 12 5" xfId="34096" xr:uid="{00000000-0005-0000-0000-0000C6850000}"/>
    <cellStyle name="Notas 2 12 6" xfId="34097" xr:uid="{00000000-0005-0000-0000-0000C7850000}"/>
    <cellStyle name="Notas 2 13" xfId="34098" xr:uid="{00000000-0005-0000-0000-0000C8850000}"/>
    <cellStyle name="Notas 2 13 2" xfId="34099" xr:uid="{00000000-0005-0000-0000-0000C9850000}"/>
    <cellStyle name="Notas 2 13 2 2" xfId="34100" xr:uid="{00000000-0005-0000-0000-0000CA850000}"/>
    <cellStyle name="Notas 2 13 2 2 2" xfId="34101" xr:uid="{00000000-0005-0000-0000-0000CB850000}"/>
    <cellStyle name="Notas 2 13 2 2 3" xfId="34102" xr:uid="{00000000-0005-0000-0000-0000CC850000}"/>
    <cellStyle name="Notas 2 13 2 2 4" xfId="34103" xr:uid="{00000000-0005-0000-0000-0000CD850000}"/>
    <cellStyle name="Notas 2 13 2 3" xfId="34104" xr:uid="{00000000-0005-0000-0000-0000CE850000}"/>
    <cellStyle name="Notas 2 13 2 3 2" xfId="34105" xr:uid="{00000000-0005-0000-0000-0000CF850000}"/>
    <cellStyle name="Notas 2 13 2 3 3" xfId="34106" xr:uid="{00000000-0005-0000-0000-0000D0850000}"/>
    <cellStyle name="Notas 2 13 2 3 4" xfId="34107" xr:uid="{00000000-0005-0000-0000-0000D1850000}"/>
    <cellStyle name="Notas 2 13 2 4" xfId="34108" xr:uid="{00000000-0005-0000-0000-0000D2850000}"/>
    <cellStyle name="Notas 2 13 2 5" xfId="34109" xr:uid="{00000000-0005-0000-0000-0000D3850000}"/>
    <cellStyle name="Notas 2 13 2 6" xfId="34110" xr:uid="{00000000-0005-0000-0000-0000D4850000}"/>
    <cellStyle name="Notas 2 13 3" xfId="34111" xr:uid="{00000000-0005-0000-0000-0000D5850000}"/>
    <cellStyle name="Notas 2 13 3 2" xfId="34112" xr:uid="{00000000-0005-0000-0000-0000D6850000}"/>
    <cellStyle name="Notas 2 13 3 2 2" xfId="34113" xr:uid="{00000000-0005-0000-0000-0000D7850000}"/>
    <cellStyle name="Notas 2 13 3 2 3" xfId="34114" xr:uid="{00000000-0005-0000-0000-0000D8850000}"/>
    <cellStyle name="Notas 2 13 3 2 4" xfId="34115" xr:uid="{00000000-0005-0000-0000-0000D9850000}"/>
    <cellStyle name="Notas 2 13 3 3" xfId="34116" xr:uid="{00000000-0005-0000-0000-0000DA850000}"/>
    <cellStyle name="Notas 2 13 3 3 2" xfId="34117" xr:uid="{00000000-0005-0000-0000-0000DB850000}"/>
    <cellStyle name="Notas 2 13 3 3 3" xfId="34118" xr:uid="{00000000-0005-0000-0000-0000DC850000}"/>
    <cellStyle name="Notas 2 13 3 3 4" xfId="34119" xr:uid="{00000000-0005-0000-0000-0000DD850000}"/>
    <cellStyle name="Notas 2 13 3 4" xfId="34120" xr:uid="{00000000-0005-0000-0000-0000DE850000}"/>
    <cellStyle name="Notas 2 13 3 5" xfId="34121" xr:uid="{00000000-0005-0000-0000-0000DF850000}"/>
    <cellStyle name="Notas 2 13 3 6" xfId="34122" xr:uid="{00000000-0005-0000-0000-0000E0850000}"/>
    <cellStyle name="Notas 2 13 4" xfId="34123" xr:uid="{00000000-0005-0000-0000-0000E1850000}"/>
    <cellStyle name="Notas 2 13 5" xfId="34124" xr:uid="{00000000-0005-0000-0000-0000E2850000}"/>
    <cellStyle name="Notas 2 13 6" xfId="34125" xr:uid="{00000000-0005-0000-0000-0000E3850000}"/>
    <cellStyle name="Notas 2 14" xfId="34126" xr:uid="{00000000-0005-0000-0000-0000E4850000}"/>
    <cellStyle name="Notas 2 15" xfId="34127" xr:uid="{00000000-0005-0000-0000-0000E5850000}"/>
    <cellStyle name="Notas 2 2" xfId="34128" xr:uid="{00000000-0005-0000-0000-0000E6850000}"/>
    <cellStyle name="Notas 2 2 10" xfId="34129" xr:uid="{00000000-0005-0000-0000-0000E7850000}"/>
    <cellStyle name="Notas 2 2 10 2" xfId="34130" xr:uid="{00000000-0005-0000-0000-0000E8850000}"/>
    <cellStyle name="Notas 2 2 10 2 2" xfId="34131" xr:uid="{00000000-0005-0000-0000-0000E9850000}"/>
    <cellStyle name="Notas 2 2 10 2 2 2" xfId="34132" xr:uid="{00000000-0005-0000-0000-0000EA850000}"/>
    <cellStyle name="Notas 2 2 10 2 2 3" xfId="34133" xr:uid="{00000000-0005-0000-0000-0000EB850000}"/>
    <cellStyle name="Notas 2 2 10 2 2 4" xfId="34134" xr:uid="{00000000-0005-0000-0000-0000EC850000}"/>
    <cellStyle name="Notas 2 2 10 2 3" xfId="34135" xr:uid="{00000000-0005-0000-0000-0000ED850000}"/>
    <cellStyle name="Notas 2 2 10 2 3 2" xfId="34136" xr:uid="{00000000-0005-0000-0000-0000EE850000}"/>
    <cellStyle name="Notas 2 2 10 2 3 3" xfId="34137" xr:uid="{00000000-0005-0000-0000-0000EF850000}"/>
    <cellStyle name="Notas 2 2 10 2 3 4" xfId="34138" xr:uid="{00000000-0005-0000-0000-0000F0850000}"/>
    <cellStyle name="Notas 2 2 10 2 4" xfId="34139" xr:uid="{00000000-0005-0000-0000-0000F1850000}"/>
    <cellStyle name="Notas 2 2 10 2 5" xfId="34140" xr:uid="{00000000-0005-0000-0000-0000F2850000}"/>
    <cellStyle name="Notas 2 2 10 2 6" xfId="34141" xr:uid="{00000000-0005-0000-0000-0000F3850000}"/>
    <cellStyle name="Notas 2 2 10 3" xfId="34142" xr:uid="{00000000-0005-0000-0000-0000F4850000}"/>
    <cellStyle name="Notas 2 2 10 3 2" xfId="34143" xr:uid="{00000000-0005-0000-0000-0000F5850000}"/>
    <cellStyle name="Notas 2 2 10 3 2 2" xfId="34144" xr:uid="{00000000-0005-0000-0000-0000F6850000}"/>
    <cellStyle name="Notas 2 2 10 3 2 3" xfId="34145" xr:uid="{00000000-0005-0000-0000-0000F7850000}"/>
    <cellStyle name="Notas 2 2 10 3 2 4" xfId="34146" xr:uid="{00000000-0005-0000-0000-0000F8850000}"/>
    <cellStyle name="Notas 2 2 10 3 3" xfId="34147" xr:uid="{00000000-0005-0000-0000-0000F9850000}"/>
    <cellStyle name="Notas 2 2 10 3 3 2" xfId="34148" xr:uid="{00000000-0005-0000-0000-0000FA850000}"/>
    <cellStyle name="Notas 2 2 10 3 3 3" xfId="34149" xr:uid="{00000000-0005-0000-0000-0000FB850000}"/>
    <cellStyle name="Notas 2 2 10 3 3 4" xfId="34150" xr:uid="{00000000-0005-0000-0000-0000FC850000}"/>
    <cellStyle name="Notas 2 2 10 3 4" xfId="34151" xr:uid="{00000000-0005-0000-0000-0000FD850000}"/>
    <cellStyle name="Notas 2 2 10 3 5" xfId="34152" xr:uid="{00000000-0005-0000-0000-0000FE850000}"/>
    <cellStyle name="Notas 2 2 10 3 6" xfId="34153" xr:uid="{00000000-0005-0000-0000-0000FF850000}"/>
    <cellStyle name="Notas 2 2 10 4" xfId="34154" xr:uid="{00000000-0005-0000-0000-000000860000}"/>
    <cellStyle name="Notas 2 2 10 4 2" xfId="34155" xr:uid="{00000000-0005-0000-0000-000001860000}"/>
    <cellStyle name="Notas 2 2 10 4 3" xfId="34156" xr:uid="{00000000-0005-0000-0000-000002860000}"/>
    <cellStyle name="Notas 2 2 10 4 4" xfId="34157" xr:uid="{00000000-0005-0000-0000-000003860000}"/>
    <cellStyle name="Notas 2 2 10 5" xfId="34158" xr:uid="{00000000-0005-0000-0000-000004860000}"/>
    <cellStyle name="Notas 2 2 10 6" xfId="34159" xr:uid="{00000000-0005-0000-0000-000005860000}"/>
    <cellStyle name="Notas 2 2 11" xfId="34160" xr:uid="{00000000-0005-0000-0000-000006860000}"/>
    <cellStyle name="Notas 2 2 11 2" xfId="34161" xr:uid="{00000000-0005-0000-0000-000007860000}"/>
    <cellStyle name="Notas 2 2 11 2 2" xfId="34162" xr:uid="{00000000-0005-0000-0000-000008860000}"/>
    <cellStyle name="Notas 2 2 11 2 2 2" xfId="34163" xr:uid="{00000000-0005-0000-0000-000009860000}"/>
    <cellStyle name="Notas 2 2 11 2 2 3" xfId="34164" xr:uid="{00000000-0005-0000-0000-00000A860000}"/>
    <cellStyle name="Notas 2 2 11 2 2 4" xfId="34165" xr:uid="{00000000-0005-0000-0000-00000B860000}"/>
    <cellStyle name="Notas 2 2 11 2 3" xfId="34166" xr:uid="{00000000-0005-0000-0000-00000C860000}"/>
    <cellStyle name="Notas 2 2 11 2 3 2" xfId="34167" xr:uid="{00000000-0005-0000-0000-00000D860000}"/>
    <cellStyle name="Notas 2 2 11 2 3 3" xfId="34168" xr:uid="{00000000-0005-0000-0000-00000E860000}"/>
    <cellStyle name="Notas 2 2 11 2 3 4" xfId="34169" xr:uid="{00000000-0005-0000-0000-00000F860000}"/>
    <cellStyle name="Notas 2 2 11 2 4" xfId="34170" xr:uid="{00000000-0005-0000-0000-000010860000}"/>
    <cellStyle name="Notas 2 2 11 2 5" xfId="34171" xr:uid="{00000000-0005-0000-0000-000011860000}"/>
    <cellStyle name="Notas 2 2 11 2 6" xfId="34172" xr:uid="{00000000-0005-0000-0000-000012860000}"/>
    <cellStyle name="Notas 2 2 11 3" xfId="34173" xr:uid="{00000000-0005-0000-0000-000013860000}"/>
    <cellStyle name="Notas 2 2 11 3 2" xfId="34174" xr:uid="{00000000-0005-0000-0000-000014860000}"/>
    <cellStyle name="Notas 2 2 11 3 2 2" xfId="34175" xr:uid="{00000000-0005-0000-0000-000015860000}"/>
    <cellStyle name="Notas 2 2 11 3 2 3" xfId="34176" xr:uid="{00000000-0005-0000-0000-000016860000}"/>
    <cellStyle name="Notas 2 2 11 3 2 4" xfId="34177" xr:uid="{00000000-0005-0000-0000-000017860000}"/>
    <cellStyle name="Notas 2 2 11 3 3" xfId="34178" xr:uid="{00000000-0005-0000-0000-000018860000}"/>
    <cellStyle name="Notas 2 2 11 3 3 2" xfId="34179" xr:uid="{00000000-0005-0000-0000-000019860000}"/>
    <cellStyle name="Notas 2 2 11 3 3 3" xfId="34180" xr:uid="{00000000-0005-0000-0000-00001A860000}"/>
    <cellStyle name="Notas 2 2 11 3 3 4" xfId="34181" xr:uid="{00000000-0005-0000-0000-00001B860000}"/>
    <cellStyle name="Notas 2 2 11 3 4" xfId="34182" xr:uid="{00000000-0005-0000-0000-00001C860000}"/>
    <cellStyle name="Notas 2 2 11 3 5" xfId="34183" xr:uid="{00000000-0005-0000-0000-00001D860000}"/>
    <cellStyle name="Notas 2 2 11 3 6" xfId="34184" xr:uid="{00000000-0005-0000-0000-00001E860000}"/>
    <cellStyle name="Notas 2 2 11 4" xfId="34185" xr:uid="{00000000-0005-0000-0000-00001F860000}"/>
    <cellStyle name="Notas 2 2 11 4 2" xfId="34186" xr:uid="{00000000-0005-0000-0000-000020860000}"/>
    <cellStyle name="Notas 2 2 11 4 3" xfId="34187" xr:uid="{00000000-0005-0000-0000-000021860000}"/>
    <cellStyle name="Notas 2 2 11 4 4" xfId="34188" xr:uid="{00000000-0005-0000-0000-000022860000}"/>
    <cellStyle name="Notas 2 2 11 5" xfId="34189" xr:uid="{00000000-0005-0000-0000-000023860000}"/>
    <cellStyle name="Notas 2 2 11 6" xfId="34190" xr:uid="{00000000-0005-0000-0000-000024860000}"/>
    <cellStyle name="Notas 2 2 12" xfId="34191" xr:uid="{00000000-0005-0000-0000-000025860000}"/>
    <cellStyle name="Notas 2 2 12 2" xfId="34192" xr:uid="{00000000-0005-0000-0000-000026860000}"/>
    <cellStyle name="Notas 2 2 12 2 2" xfId="34193" xr:uid="{00000000-0005-0000-0000-000027860000}"/>
    <cellStyle name="Notas 2 2 12 2 2 2" xfId="34194" xr:uid="{00000000-0005-0000-0000-000028860000}"/>
    <cellStyle name="Notas 2 2 12 2 2 3" xfId="34195" xr:uid="{00000000-0005-0000-0000-000029860000}"/>
    <cellStyle name="Notas 2 2 12 2 2 4" xfId="34196" xr:uid="{00000000-0005-0000-0000-00002A860000}"/>
    <cellStyle name="Notas 2 2 12 2 3" xfId="34197" xr:uid="{00000000-0005-0000-0000-00002B860000}"/>
    <cellStyle name="Notas 2 2 12 2 3 2" xfId="34198" xr:uid="{00000000-0005-0000-0000-00002C860000}"/>
    <cellStyle name="Notas 2 2 12 2 3 3" xfId="34199" xr:uid="{00000000-0005-0000-0000-00002D860000}"/>
    <cellStyle name="Notas 2 2 12 2 3 4" xfId="34200" xr:uid="{00000000-0005-0000-0000-00002E860000}"/>
    <cellStyle name="Notas 2 2 12 2 4" xfId="34201" xr:uid="{00000000-0005-0000-0000-00002F860000}"/>
    <cellStyle name="Notas 2 2 12 2 5" xfId="34202" xr:uid="{00000000-0005-0000-0000-000030860000}"/>
    <cellStyle name="Notas 2 2 12 2 6" xfId="34203" xr:uid="{00000000-0005-0000-0000-000031860000}"/>
    <cellStyle name="Notas 2 2 12 3" xfId="34204" xr:uid="{00000000-0005-0000-0000-000032860000}"/>
    <cellStyle name="Notas 2 2 12 3 2" xfId="34205" xr:uid="{00000000-0005-0000-0000-000033860000}"/>
    <cellStyle name="Notas 2 2 12 3 2 2" xfId="34206" xr:uid="{00000000-0005-0000-0000-000034860000}"/>
    <cellStyle name="Notas 2 2 12 3 2 3" xfId="34207" xr:uid="{00000000-0005-0000-0000-000035860000}"/>
    <cellStyle name="Notas 2 2 12 3 2 4" xfId="34208" xr:uid="{00000000-0005-0000-0000-000036860000}"/>
    <cellStyle name="Notas 2 2 12 3 3" xfId="34209" xr:uid="{00000000-0005-0000-0000-000037860000}"/>
    <cellStyle name="Notas 2 2 12 3 3 2" xfId="34210" xr:uid="{00000000-0005-0000-0000-000038860000}"/>
    <cellStyle name="Notas 2 2 12 3 3 3" xfId="34211" xr:uid="{00000000-0005-0000-0000-000039860000}"/>
    <cellStyle name="Notas 2 2 12 3 3 4" xfId="34212" xr:uid="{00000000-0005-0000-0000-00003A860000}"/>
    <cellStyle name="Notas 2 2 12 3 4" xfId="34213" xr:uid="{00000000-0005-0000-0000-00003B860000}"/>
    <cellStyle name="Notas 2 2 12 3 5" xfId="34214" xr:uid="{00000000-0005-0000-0000-00003C860000}"/>
    <cellStyle name="Notas 2 2 12 3 6" xfId="34215" xr:uid="{00000000-0005-0000-0000-00003D860000}"/>
    <cellStyle name="Notas 2 2 12 4" xfId="34216" xr:uid="{00000000-0005-0000-0000-00003E860000}"/>
    <cellStyle name="Notas 2 2 12 5" xfId="34217" xr:uid="{00000000-0005-0000-0000-00003F860000}"/>
    <cellStyle name="Notas 2 2 12 6" xfId="34218" xr:uid="{00000000-0005-0000-0000-000040860000}"/>
    <cellStyle name="Notas 2 2 13" xfId="34219" xr:uid="{00000000-0005-0000-0000-000041860000}"/>
    <cellStyle name="Notas 2 2 14" xfId="34220" xr:uid="{00000000-0005-0000-0000-000042860000}"/>
    <cellStyle name="Notas 2 2 2" xfId="34221" xr:uid="{00000000-0005-0000-0000-000043860000}"/>
    <cellStyle name="Notas 2 2 2 10" xfId="34222" xr:uid="{00000000-0005-0000-0000-000044860000}"/>
    <cellStyle name="Notas 2 2 2 10 2" xfId="34223" xr:uid="{00000000-0005-0000-0000-000045860000}"/>
    <cellStyle name="Notas 2 2 2 10 2 2" xfId="34224" xr:uid="{00000000-0005-0000-0000-000046860000}"/>
    <cellStyle name="Notas 2 2 2 10 2 2 2" xfId="34225" xr:uid="{00000000-0005-0000-0000-000047860000}"/>
    <cellStyle name="Notas 2 2 2 10 2 2 3" xfId="34226" xr:uid="{00000000-0005-0000-0000-000048860000}"/>
    <cellStyle name="Notas 2 2 2 10 2 2 4" xfId="34227" xr:uid="{00000000-0005-0000-0000-000049860000}"/>
    <cellStyle name="Notas 2 2 2 10 2 3" xfId="34228" xr:uid="{00000000-0005-0000-0000-00004A860000}"/>
    <cellStyle name="Notas 2 2 2 10 2 3 2" xfId="34229" xr:uid="{00000000-0005-0000-0000-00004B860000}"/>
    <cellStyle name="Notas 2 2 2 10 2 3 3" xfId="34230" xr:uid="{00000000-0005-0000-0000-00004C860000}"/>
    <cellStyle name="Notas 2 2 2 10 2 3 4" xfId="34231" xr:uid="{00000000-0005-0000-0000-00004D860000}"/>
    <cellStyle name="Notas 2 2 2 10 2 4" xfId="34232" xr:uid="{00000000-0005-0000-0000-00004E860000}"/>
    <cellStyle name="Notas 2 2 2 10 2 5" xfId="34233" xr:uid="{00000000-0005-0000-0000-00004F860000}"/>
    <cellStyle name="Notas 2 2 2 10 2 6" xfId="34234" xr:uid="{00000000-0005-0000-0000-000050860000}"/>
    <cellStyle name="Notas 2 2 2 10 3" xfId="34235" xr:uid="{00000000-0005-0000-0000-000051860000}"/>
    <cellStyle name="Notas 2 2 2 10 3 2" xfId="34236" xr:uid="{00000000-0005-0000-0000-000052860000}"/>
    <cellStyle name="Notas 2 2 2 10 3 2 2" xfId="34237" xr:uid="{00000000-0005-0000-0000-000053860000}"/>
    <cellStyle name="Notas 2 2 2 10 3 2 3" xfId="34238" xr:uid="{00000000-0005-0000-0000-000054860000}"/>
    <cellStyle name="Notas 2 2 2 10 3 2 4" xfId="34239" xr:uid="{00000000-0005-0000-0000-000055860000}"/>
    <cellStyle name="Notas 2 2 2 10 3 3" xfId="34240" xr:uid="{00000000-0005-0000-0000-000056860000}"/>
    <cellStyle name="Notas 2 2 2 10 3 3 2" xfId="34241" xr:uid="{00000000-0005-0000-0000-000057860000}"/>
    <cellStyle name="Notas 2 2 2 10 3 3 3" xfId="34242" xr:uid="{00000000-0005-0000-0000-000058860000}"/>
    <cellStyle name="Notas 2 2 2 10 3 3 4" xfId="34243" xr:uid="{00000000-0005-0000-0000-000059860000}"/>
    <cellStyle name="Notas 2 2 2 10 3 4" xfId="34244" xr:uid="{00000000-0005-0000-0000-00005A860000}"/>
    <cellStyle name="Notas 2 2 2 10 3 5" xfId="34245" xr:uid="{00000000-0005-0000-0000-00005B860000}"/>
    <cellStyle name="Notas 2 2 2 10 3 6" xfId="34246" xr:uid="{00000000-0005-0000-0000-00005C860000}"/>
    <cellStyle name="Notas 2 2 2 10 4" xfId="34247" xr:uid="{00000000-0005-0000-0000-00005D860000}"/>
    <cellStyle name="Notas 2 2 2 10 5" xfId="34248" xr:uid="{00000000-0005-0000-0000-00005E860000}"/>
    <cellStyle name="Notas 2 2 2 10 6" xfId="34249" xr:uid="{00000000-0005-0000-0000-00005F860000}"/>
    <cellStyle name="Notas 2 2 2 11" xfId="34250" xr:uid="{00000000-0005-0000-0000-000060860000}"/>
    <cellStyle name="Notas 2 2 2 12" xfId="34251" xr:uid="{00000000-0005-0000-0000-000061860000}"/>
    <cellStyle name="Notas 2 2 2 2" xfId="34252" xr:uid="{00000000-0005-0000-0000-000062860000}"/>
    <cellStyle name="Notas 2 2 2 2 2" xfId="34253" xr:uid="{00000000-0005-0000-0000-000063860000}"/>
    <cellStyle name="Notas 2 2 2 2 2 2" xfId="34254" xr:uid="{00000000-0005-0000-0000-000064860000}"/>
    <cellStyle name="Notas 2 2 2 2 2 2 2" xfId="34255" xr:uid="{00000000-0005-0000-0000-000065860000}"/>
    <cellStyle name="Notas 2 2 2 2 2 2 2 2" xfId="34256" xr:uid="{00000000-0005-0000-0000-000066860000}"/>
    <cellStyle name="Notas 2 2 2 2 2 2 2 3" xfId="34257" xr:uid="{00000000-0005-0000-0000-000067860000}"/>
    <cellStyle name="Notas 2 2 2 2 2 2 2 4" xfId="34258" xr:uid="{00000000-0005-0000-0000-000068860000}"/>
    <cellStyle name="Notas 2 2 2 2 2 2 3" xfId="34259" xr:uid="{00000000-0005-0000-0000-000069860000}"/>
    <cellStyle name="Notas 2 2 2 2 2 2 3 2" xfId="34260" xr:uid="{00000000-0005-0000-0000-00006A860000}"/>
    <cellStyle name="Notas 2 2 2 2 2 2 3 3" xfId="34261" xr:uid="{00000000-0005-0000-0000-00006B860000}"/>
    <cellStyle name="Notas 2 2 2 2 2 2 3 4" xfId="34262" xr:uid="{00000000-0005-0000-0000-00006C860000}"/>
    <cellStyle name="Notas 2 2 2 2 2 2 4" xfId="34263" xr:uid="{00000000-0005-0000-0000-00006D860000}"/>
    <cellStyle name="Notas 2 2 2 2 2 2 5" xfId="34264" xr:uid="{00000000-0005-0000-0000-00006E860000}"/>
    <cellStyle name="Notas 2 2 2 2 2 2 6" xfId="34265" xr:uid="{00000000-0005-0000-0000-00006F860000}"/>
    <cellStyle name="Notas 2 2 2 2 2 3" xfId="34266" xr:uid="{00000000-0005-0000-0000-000070860000}"/>
    <cellStyle name="Notas 2 2 2 2 2 3 2" xfId="34267" xr:uid="{00000000-0005-0000-0000-000071860000}"/>
    <cellStyle name="Notas 2 2 2 2 2 3 2 2" xfId="34268" xr:uid="{00000000-0005-0000-0000-000072860000}"/>
    <cellStyle name="Notas 2 2 2 2 2 3 2 3" xfId="34269" xr:uid="{00000000-0005-0000-0000-000073860000}"/>
    <cellStyle name="Notas 2 2 2 2 2 3 2 4" xfId="34270" xr:uid="{00000000-0005-0000-0000-000074860000}"/>
    <cellStyle name="Notas 2 2 2 2 2 3 3" xfId="34271" xr:uid="{00000000-0005-0000-0000-000075860000}"/>
    <cellStyle name="Notas 2 2 2 2 2 3 3 2" xfId="34272" xr:uid="{00000000-0005-0000-0000-000076860000}"/>
    <cellStyle name="Notas 2 2 2 2 2 3 3 3" xfId="34273" xr:uid="{00000000-0005-0000-0000-000077860000}"/>
    <cellStyle name="Notas 2 2 2 2 2 3 3 4" xfId="34274" xr:uid="{00000000-0005-0000-0000-000078860000}"/>
    <cellStyle name="Notas 2 2 2 2 2 3 4" xfId="34275" xr:uid="{00000000-0005-0000-0000-000079860000}"/>
    <cellStyle name="Notas 2 2 2 2 2 3 5" xfId="34276" xr:uid="{00000000-0005-0000-0000-00007A860000}"/>
    <cellStyle name="Notas 2 2 2 2 2 3 6" xfId="34277" xr:uid="{00000000-0005-0000-0000-00007B860000}"/>
    <cellStyle name="Notas 2 2 2 2 2 4" xfId="34278" xr:uid="{00000000-0005-0000-0000-00007C860000}"/>
    <cellStyle name="Notas 2 2 2 2 2 5" xfId="34279" xr:uid="{00000000-0005-0000-0000-00007D860000}"/>
    <cellStyle name="Notas 2 2 2 2 2 6" xfId="34280" xr:uid="{00000000-0005-0000-0000-00007E860000}"/>
    <cellStyle name="Notas 2 2 2 2 3" xfId="34281" xr:uid="{00000000-0005-0000-0000-00007F860000}"/>
    <cellStyle name="Notas 2 2 2 2 4" xfId="34282" xr:uid="{00000000-0005-0000-0000-000080860000}"/>
    <cellStyle name="Notas 2 2 2 3" xfId="34283" xr:uid="{00000000-0005-0000-0000-000081860000}"/>
    <cellStyle name="Notas 2 2 2 3 2" xfId="34284" xr:uid="{00000000-0005-0000-0000-000082860000}"/>
    <cellStyle name="Notas 2 2 2 3 2 2" xfId="34285" xr:uid="{00000000-0005-0000-0000-000083860000}"/>
    <cellStyle name="Notas 2 2 2 3 2 2 2" xfId="34286" xr:uid="{00000000-0005-0000-0000-000084860000}"/>
    <cellStyle name="Notas 2 2 2 3 2 2 2 2" xfId="34287" xr:uid="{00000000-0005-0000-0000-000085860000}"/>
    <cellStyle name="Notas 2 2 2 3 2 2 2 3" xfId="34288" xr:uid="{00000000-0005-0000-0000-000086860000}"/>
    <cellStyle name="Notas 2 2 2 3 2 2 2 4" xfId="34289" xr:uid="{00000000-0005-0000-0000-000087860000}"/>
    <cellStyle name="Notas 2 2 2 3 2 2 3" xfId="34290" xr:uid="{00000000-0005-0000-0000-000088860000}"/>
    <cellStyle name="Notas 2 2 2 3 2 2 3 2" xfId="34291" xr:uid="{00000000-0005-0000-0000-000089860000}"/>
    <cellStyle name="Notas 2 2 2 3 2 2 3 3" xfId="34292" xr:uid="{00000000-0005-0000-0000-00008A860000}"/>
    <cellStyle name="Notas 2 2 2 3 2 2 3 4" xfId="34293" xr:uid="{00000000-0005-0000-0000-00008B860000}"/>
    <cellStyle name="Notas 2 2 2 3 2 2 4" xfId="34294" xr:uid="{00000000-0005-0000-0000-00008C860000}"/>
    <cellStyle name="Notas 2 2 2 3 2 2 5" xfId="34295" xr:uid="{00000000-0005-0000-0000-00008D860000}"/>
    <cellStyle name="Notas 2 2 2 3 2 2 6" xfId="34296" xr:uid="{00000000-0005-0000-0000-00008E860000}"/>
    <cellStyle name="Notas 2 2 2 3 2 3" xfId="34297" xr:uid="{00000000-0005-0000-0000-00008F860000}"/>
    <cellStyle name="Notas 2 2 2 3 2 3 2" xfId="34298" xr:uid="{00000000-0005-0000-0000-000090860000}"/>
    <cellStyle name="Notas 2 2 2 3 2 3 2 2" xfId="34299" xr:uid="{00000000-0005-0000-0000-000091860000}"/>
    <cellStyle name="Notas 2 2 2 3 2 3 2 3" xfId="34300" xr:uid="{00000000-0005-0000-0000-000092860000}"/>
    <cellStyle name="Notas 2 2 2 3 2 3 2 4" xfId="34301" xr:uid="{00000000-0005-0000-0000-000093860000}"/>
    <cellStyle name="Notas 2 2 2 3 2 3 3" xfId="34302" xr:uid="{00000000-0005-0000-0000-000094860000}"/>
    <cellStyle name="Notas 2 2 2 3 2 3 3 2" xfId="34303" xr:uid="{00000000-0005-0000-0000-000095860000}"/>
    <cellStyle name="Notas 2 2 2 3 2 3 3 3" xfId="34304" xr:uid="{00000000-0005-0000-0000-000096860000}"/>
    <cellStyle name="Notas 2 2 2 3 2 3 3 4" xfId="34305" xr:uid="{00000000-0005-0000-0000-000097860000}"/>
    <cellStyle name="Notas 2 2 2 3 2 3 4" xfId="34306" xr:uid="{00000000-0005-0000-0000-000098860000}"/>
    <cellStyle name="Notas 2 2 2 3 2 3 5" xfId="34307" xr:uid="{00000000-0005-0000-0000-000099860000}"/>
    <cellStyle name="Notas 2 2 2 3 2 3 6" xfId="34308" xr:uid="{00000000-0005-0000-0000-00009A860000}"/>
    <cellStyle name="Notas 2 2 2 3 2 4" xfId="34309" xr:uid="{00000000-0005-0000-0000-00009B860000}"/>
    <cellStyle name="Notas 2 2 2 3 2 5" xfId="34310" xr:uid="{00000000-0005-0000-0000-00009C860000}"/>
    <cellStyle name="Notas 2 2 2 3 2 6" xfId="34311" xr:uid="{00000000-0005-0000-0000-00009D860000}"/>
    <cellStyle name="Notas 2 2 2 3 3" xfId="34312" xr:uid="{00000000-0005-0000-0000-00009E860000}"/>
    <cellStyle name="Notas 2 2 2 3 4" xfId="34313" xr:uid="{00000000-0005-0000-0000-00009F860000}"/>
    <cellStyle name="Notas 2 2 2 4" xfId="34314" xr:uid="{00000000-0005-0000-0000-0000A0860000}"/>
    <cellStyle name="Notas 2 2 2 4 2" xfId="34315" xr:uid="{00000000-0005-0000-0000-0000A1860000}"/>
    <cellStyle name="Notas 2 2 2 4 2 2" xfId="34316" xr:uid="{00000000-0005-0000-0000-0000A2860000}"/>
    <cellStyle name="Notas 2 2 2 4 2 2 2" xfId="34317" xr:uid="{00000000-0005-0000-0000-0000A3860000}"/>
    <cellStyle name="Notas 2 2 2 4 2 2 2 2" xfId="34318" xr:uid="{00000000-0005-0000-0000-0000A4860000}"/>
    <cellStyle name="Notas 2 2 2 4 2 2 2 3" xfId="34319" xr:uid="{00000000-0005-0000-0000-0000A5860000}"/>
    <cellStyle name="Notas 2 2 2 4 2 2 2 4" xfId="34320" xr:uid="{00000000-0005-0000-0000-0000A6860000}"/>
    <cellStyle name="Notas 2 2 2 4 2 2 3" xfId="34321" xr:uid="{00000000-0005-0000-0000-0000A7860000}"/>
    <cellStyle name="Notas 2 2 2 4 2 2 3 2" xfId="34322" xr:uid="{00000000-0005-0000-0000-0000A8860000}"/>
    <cellStyle name="Notas 2 2 2 4 2 2 3 3" xfId="34323" xr:uid="{00000000-0005-0000-0000-0000A9860000}"/>
    <cellStyle name="Notas 2 2 2 4 2 2 3 4" xfId="34324" xr:uid="{00000000-0005-0000-0000-0000AA860000}"/>
    <cellStyle name="Notas 2 2 2 4 2 2 4" xfId="34325" xr:uid="{00000000-0005-0000-0000-0000AB860000}"/>
    <cellStyle name="Notas 2 2 2 4 2 2 5" xfId="34326" xr:uid="{00000000-0005-0000-0000-0000AC860000}"/>
    <cellStyle name="Notas 2 2 2 4 2 2 6" xfId="34327" xr:uid="{00000000-0005-0000-0000-0000AD860000}"/>
    <cellStyle name="Notas 2 2 2 4 2 3" xfId="34328" xr:uid="{00000000-0005-0000-0000-0000AE860000}"/>
    <cellStyle name="Notas 2 2 2 4 2 3 2" xfId="34329" xr:uid="{00000000-0005-0000-0000-0000AF860000}"/>
    <cellStyle name="Notas 2 2 2 4 2 3 2 2" xfId="34330" xr:uid="{00000000-0005-0000-0000-0000B0860000}"/>
    <cellStyle name="Notas 2 2 2 4 2 3 2 3" xfId="34331" xr:uid="{00000000-0005-0000-0000-0000B1860000}"/>
    <cellStyle name="Notas 2 2 2 4 2 3 2 4" xfId="34332" xr:uid="{00000000-0005-0000-0000-0000B2860000}"/>
    <cellStyle name="Notas 2 2 2 4 2 3 3" xfId="34333" xr:uid="{00000000-0005-0000-0000-0000B3860000}"/>
    <cellStyle name="Notas 2 2 2 4 2 3 3 2" xfId="34334" xr:uid="{00000000-0005-0000-0000-0000B4860000}"/>
    <cellStyle name="Notas 2 2 2 4 2 3 3 3" xfId="34335" xr:uid="{00000000-0005-0000-0000-0000B5860000}"/>
    <cellStyle name="Notas 2 2 2 4 2 3 3 4" xfId="34336" xr:uid="{00000000-0005-0000-0000-0000B6860000}"/>
    <cellStyle name="Notas 2 2 2 4 2 3 4" xfId="34337" xr:uid="{00000000-0005-0000-0000-0000B7860000}"/>
    <cellStyle name="Notas 2 2 2 4 2 3 5" xfId="34338" xr:uid="{00000000-0005-0000-0000-0000B8860000}"/>
    <cellStyle name="Notas 2 2 2 4 2 3 6" xfId="34339" xr:uid="{00000000-0005-0000-0000-0000B9860000}"/>
    <cellStyle name="Notas 2 2 2 4 2 4" xfId="34340" xr:uid="{00000000-0005-0000-0000-0000BA860000}"/>
    <cellStyle name="Notas 2 2 2 4 2 5" xfId="34341" xr:uid="{00000000-0005-0000-0000-0000BB860000}"/>
    <cellStyle name="Notas 2 2 2 4 2 6" xfId="34342" xr:uid="{00000000-0005-0000-0000-0000BC860000}"/>
    <cellStyle name="Notas 2 2 2 4 3" xfId="34343" xr:uid="{00000000-0005-0000-0000-0000BD860000}"/>
    <cellStyle name="Notas 2 2 2 4 4" xfId="34344" xr:uid="{00000000-0005-0000-0000-0000BE860000}"/>
    <cellStyle name="Notas 2 2 2 5" xfId="34345" xr:uid="{00000000-0005-0000-0000-0000BF860000}"/>
    <cellStyle name="Notas 2 2 2 5 2" xfId="34346" xr:uid="{00000000-0005-0000-0000-0000C0860000}"/>
    <cellStyle name="Notas 2 2 2 5 2 2" xfId="34347" xr:uid="{00000000-0005-0000-0000-0000C1860000}"/>
    <cellStyle name="Notas 2 2 2 5 2 2 2" xfId="34348" xr:uid="{00000000-0005-0000-0000-0000C2860000}"/>
    <cellStyle name="Notas 2 2 2 5 2 2 2 2" xfId="34349" xr:uid="{00000000-0005-0000-0000-0000C3860000}"/>
    <cellStyle name="Notas 2 2 2 5 2 2 2 3" xfId="34350" xr:uid="{00000000-0005-0000-0000-0000C4860000}"/>
    <cellStyle name="Notas 2 2 2 5 2 2 2 4" xfId="34351" xr:uid="{00000000-0005-0000-0000-0000C5860000}"/>
    <cellStyle name="Notas 2 2 2 5 2 2 3" xfId="34352" xr:uid="{00000000-0005-0000-0000-0000C6860000}"/>
    <cellStyle name="Notas 2 2 2 5 2 2 3 2" xfId="34353" xr:uid="{00000000-0005-0000-0000-0000C7860000}"/>
    <cellStyle name="Notas 2 2 2 5 2 2 3 3" xfId="34354" xr:uid="{00000000-0005-0000-0000-0000C8860000}"/>
    <cellStyle name="Notas 2 2 2 5 2 2 3 4" xfId="34355" xr:uid="{00000000-0005-0000-0000-0000C9860000}"/>
    <cellStyle name="Notas 2 2 2 5 2 2 4" xfId="34356" xr:uid="{00000000-0005-0000-0000-0000CA860000}"/>
    <cellStyle name="Notas 2 2 2 5 2 2 5" xfId="34357" xr:uid="{00000000-0005-0000-0000-0000CB860000}"/>
    <cellStyle name="Notas 2 2 2 5 2 2 6" xfId="34358" xr:uid="{00000000-0005-0000-0000-0000CC860000}"/>
    <cellStyle name="Notas 2 2 2 5 2 3" xfId="34359" xr:uid="{00000000-0005-0000-0000-0000CD860000}"/>
    <cellStyle name="Notas 2 2 2 5 2 3 2" xfId="34360" xr:uid="{00000000-0005-0000-0000-0000CE860000}"/>
    <cellStyle name="Notas 2 2 2 5 2 3 2 2" xfId="34361" xr:uid="{00000000-0005-0000-0000-0000CF860000}"/>
    <cellStyle name="Notas 2 2 2 5 2 3 2 3" xfId="34362" xr:uid="{00000000-0005-0000-0000-0000D0860000}"/>
    <cellStyle name="Notas 2 2 2 5 2 3 2 4" xfId="34363" xr:uid="{00000000-0005-0000-0000-0000D1860000}"/>
    <cellStyle name="Notas 2 2 2 5 2 3 3" xfId="34364" xr:uid="{00000000-0005-0000-0000-0000D2860000}"/>
    <cellStyle name="Notas 2 2 2 5 2 3 3 2" xfId="34365" xr:uid="{00000000-0005-0000-0000-0000D3860000}"/>
    <cellStyle name="Notas 2 2 2 5 2 3 3 3" xfId="34366" xr:uid="{00000000-0005-0000-0000-0000D4860000}"/>
    <cellStyle name="Notas 2 2 2 5 2 3 3 4" xfId="34367" xr:uid="{00000000-0005-0000-0000-0000D5860000}"/>
    <cellStyle name="Notas 2 2 2 5 2 3 4" xfId="34368" xr:uid="{00000000-0005-0000-0000-0000D6860000}"/>
    <cellStyle name="Notas 2 2 2 5 2 3 5" xfId="34369" xr:uid="{00000000-0005-0000-0000-0000D7860000}"/>
    <cellStyle name="Notas 2 2 2 5 2 3 6" xfId="34370" xr:uid="{00000000-0005-0000-0000-0000D8860000}"/>
    <cellStyle name="Notas 2 2 2 5 2 4" xfId="34371" xr:uid="{00000000-0005-0000-0000-0000D9860000}"/>
    <cellStyle name="Notas 2 2 2 5 2 5" xfId="34372" xr:uid="{00000000-0005-0000-0000-0000DA860000}"/>
    <cellStyle name="Notas 2 2 2 5 2 6" xfId="34373" xr:uid="{00000000-0005-0000-0000-0000DB860000}"/>
    <cellStyle name="Notas 2 2 2 5 3" xfId="34374" xr:uid="{00000000-0005-0000-0000-0000DC860000}"/>
    <cellStyle name="Notas 2 2 2 5 4" xfId="34375" xr:uid="{00000000-0005-0000-0000-0000DD860000}"/>
    <cellStyle name="Notas 2 2 2 6" xfId="34376" xr:uid="{00000000-0005-0000-0000-0000DE860000}"/>
    <cellStyle name="Notas 2 2 2 6 2" xfId="34377" xr:uid="{00000000-0005-0000-0000-0000DF860000}"/>
    <cellStyle name="Notas 2 2 2 6 2 2" xfId="34378" xr:uid="{00000000-0005-0000-0000-0000E0860000}"/>
    <cellStyle name="Notas 2 2 2 6 2 2 2" xfId="34379" xr:uid="{00000000-0005-0000-0000-0000E1860000}"/>
    <cellStyle name="Notas 2 2 2 6 2 2 3" xfId="34380" xr:uid="{00000000-0005-0000-0000-0000E2860000}"/>
    <cellStyle name="Notas 2 2 2 6 2 2 4" xfId="34381" xr:uid="{00000000-0005-0000-0000-0000E3860000}"/>
    <cellStyle name="Notas 2 2 2 6 2 3" xfId="34382" xr:uid="{00000000-0005-0000-0000-0000E4860000}"/>
    <cellStyle name="Notas 2 2 2 6 2 3 2" xfId="34383" xr:uid="{00000000-0005-0000-0000-0000E5860000}"/>
    <cellStyle name="Notas 2 2 2 6 2 3 3" xfId="34384" xr:uid="{00000000-0005-0000-0000-0000E6860000}"/>
    <cellStyle name="Notas 2 2 2 6 2 3 4" xfId="34385" xr:uid="{00000000-0005-0000-0000-0000E7860000}"/>
    <cellStyle name="Notas 2 2 2 6 2 4" xfId="34386" xr:uid="{00000000-0005-0000-0000-0000E8860000}"/>
    <cellStyle name="Notas 2 2 2 6 2 5" xfId="34387" xr:uid="{00000000-0005-0000-0000-0000E9860000}"/>
    <cellStyle name="Notas 2 2 2 6 2 6" xfId="34388" xr:uid="{00000000-0005-0000-0000-0000EA860000}"/>
    <cellStyle name="Notas 2 2 2 6 3" xfId="34389" xr:uid="{00000000-0005-0000-0000-0000EB860000}"/>
    <cellStyle name="Notas 2 2 2 6 3 2" xfId="34390" xr:uid="{00000000-0005-0000-0000-0000EC860000}"/>
    <cellStyle name="Notas 2 2 2 6 3 2 2" xfId="34391" xr:uid="{00000000-0005-0000-0000-0000ED860000}"/>
    <cellStyle name="Notas 2 2 2 6 3 2 3" xfId="34392" xr:uid="{00000000-0005-0000-0000-0000EE860000}"/>
    <cellStyle name="Notas 2 2 2 6 3 2 4" xfId="34393" xr:uid="{00000000-0005-0000-0000-0000EF860000}"/>
    <cellStyle name="Notas 2 2 2 6 3 3" xfId="34394" xr:uid="{00000000-0005-0000-0000-0000F0860000}"/>
    <cellStyle name="Notas 2 2 2 6 3 3 2" xfId="34395" xr:uid="{00000000-0005-0000-0000-0000F1860000}"/>
    <cellStyle name="Notas 2 2 2 6 3 3 3" xfId="34396" xr:uid="{00000000-0005-0000-0000-0000F2860000}"/>
    <cellStyle name="Notas 2 2 2 6 3 3 4" xfId="34397" xr:uid="{00000000-0005-0000-0000-0000F3860000}"/>
    <cellStyle name="Notas 2 2 2 6 3 4" xfId="34398" xr:uid="{00000000-0005-0000-0000-0000F4860000}"/>
    <cellStyle name="Notas 2 2 2 6 3 5" xfId="34399" xr:uid="{00000000-0005-0000-0000-0000F5860000}"/>
    <cellStyle name="Notas 2 2 2 6 3 6" xfId="34400" xr:uid="{00000000-0005-0000-0000-0000F6860000}"/>
    <cellStyle name="Notas 2 2 2 6 4" xfId="34401" xr:uid="{00000000-0005-0000-0000-0000F7860000}"/>
    <cellStyle name="Notas 2 2 2 6 4 2" xfId="34402" xr:uid="{00000000-0005-0000-0000-0000F8860000}"/>
    <cellStyle name="Notas 2 2 2 6 4 3" xfId="34403" xr:uid="{00000000-0005-0000-0000-0000F9860000}"/>
    <cellStyle name="Notas 2 2 2 6 4 4" xfId="34404" xr:uid="{00000000-0005-0000-0000-0000FA860000}"/>
    <cellStyle name="Notas 2 2 2 6 5" xfId="34405" xr:uid="{00000000-0005-0000-0000-0000FB860000}"/>
    <cellStyle name="Notas 2 2 2 6 6" xfId="34406" xr:uid="{00000000-0005-0000-0000-0000FC860000}"/>
    <cellStyle name="Notas 2 2 2 7" xfId="34407" xr:uid="{00000000-0005-0000-0000-0000FD860000}"/>
    <cellStyle name="Notas 2 2 2 7 2" xfId="34408" xr:uid="{00000000-0005-0000-0000-0000FE860000}"/>
    <cellStyle name="Notas 2 2 2 7 2 2" xfId="34409" xr:uid="{00000000-0005-0000-0000-0000FF860000}"/>
    <cellStyle name="Notas 2 2 2 7 2 2 2" xfId="34410" xr:uid="{00000000-0005-0000-0000-000000870000}"/>
    <cellStyle name="Notas 2 2 2 7 2 2 3" xfId="34411" xr:uid="{00000000-0005-0000-0000-000001870000}"/>
    <cellStyle name="Notas 2 2 2 7 2 2 4" xfId="34412" xr:uid="{00000000-0005-0000-0000-000002870000}"/>
    <cellStyle name="Notas 2 2 2 7 2 3" xfId="34413" xr:uid="{00000000-0005-0000-0000-000003870000}"/>
    <cellStyle name="Notas 2 2 2 7 2 3 2" xfId="34414" xr:uid="{00000000-0005-0000-0000-000004870000}"/>
    <cellStyle name="Notas 2 2 2 7 2 3 3" xfId="34415" xr:uid="{00000000-0005-0000-0000-000005870000}"/>
    <cellStyle name="Notas 2 2 2 7 2 3 4" xfId="34416" xr:uid="{00000000-0005-0000-0000-000006870000}"/>
    <cellStyle name="Notas 2 2 2 7 2 4" xfId="34417" xr:uid="{00000000-0005-0000-0000-000007870000}"/>
    <cellStyle name="Notas 2 2 2 7 2 5" xfId="34418" xr:uid="{00000000-0005-0000-0000-000008870000}"/>
    <cellStyle name="Notas 2 2 2 7 2 6" xfId="34419" xr:uid="{00000000-0005-0000-0000-000009870000}"/>
    <cellStyle name="Notas 2 2 2 7 3" xfId="34420" xr:uid="{00000000-0005-0000-0000-00000A870000}"/>
    <cellStyle name="Notas 2 2 2 7 3 2" xfId="34421" xr:uid="{00000000-0005-0000-0000-00000B870000}"/>
    <cellStyle name="Notas 2 2 2 7 3 2 2" xfId="34422" xr:uid="{00000000-0005-0000-0000-00000C870000}"/>
    <cellStyle name="Notas 2 2 2 7 3 2 3" xfId="34423" xr:uid="{00000000-0005-0000-0000-00000D870000}"/>
    <cellStyle name="Notas 2 2 2 7 3 2 4" xfId="34424" xr:uid="{00000000-0005-0000-0000-00000E870000}"/>
    <cellStyle name="Notas 2 2 2 7 3 3" xfId="34425" xr:uid="{00000000-0005-0000-0000-00000F870000}"/>
    <cellStyle name="Notas 2 2 2 7 3 3 2" xfId="34426" xr:uid="{00000000-0005-0000-0000-000010870000}"/>
    <cellStyle name="Notas 2 2 2 7 3 3 3" xfId="34427" xr:uid="{00000000-0005-0000-0000-000011870000}"/>
    <cellStyle name="Notas 2 2 2 7 3 3 4" xfId="34428" xr:uid="{00000000-0005-0000-0000-000012870000}"/>
    <cellStyle name="Notas 2 2 2 7 3 4" xfId="34429" xr:uid="{00000000-0005-0000-0000-000013870000}"/>
    <cellStyle name="Notas 2 2 2 7 3 5" xfId="34430" xr:uid="{00000000-0005-0000-0000-000014870000}"/>
    <cellStyle name="Notas 2 2 2 7 3 6" xfId="34431" xr:uid="{00000000-0005-0000-0000-000015870000}"/>
    <cellStyle name="Notas 2 2 2 7 4" xfId="34432" xr:uid="{00000000-0005-0000-0000-000016870000}"/>
    <cellStyle name="Notas 2 2 2 7 4 2" xfId="34433" xr:uid="{00000000-0005-0000-0000-000017870000}"/>
    <cellStyle name="Notas 2 2 2 7 4 3" xfId="34434" xr:uid="{00000000-0005-0000-0000-000018870000}"/>
    <cellStyle name="Notas 2 2 2 7 4 4" xfId="34435" xr:uid="{00000000-0005-0000-0000-000019870000}"/>
    <cellStyle name="Notas 2 2 2 7 5" xfId="34436" xr:uid="{00000000-0005-0000-0000-00001A870000}"/>
    <cellStyle name="Notas 2 2 2 7 6" xfId="34437" xr:uid="{00000000-0005-0000-0000-00001B870000}"/>
    <cellStyle name="Notas 2 2 2 8" xfId="34438" xr:uid="{00000000-0005-0000-0000-00001C870000}"/>
    <cellStyle name="Notas 2 2 2 8 2" xfId="34439" xr:uid="{00000000-0005-0000-0000-00001D870000}"/>
    <cellStyle name="Notas 2 2 2 8 2 2" xfId="34440" xr:uid="{00000000-0005-0000-0000-00001E870000}"/>
    <cellStyle name="Notas 2 2 2 8 2 2 2" xfId="34441" xr:uid="{00000000-0005-0000-0000-00001F870000}"/>
    <cellStyle name="Notas 2 2 2 8 2 2 3" xfId="34442" xr:uid="{00000000-0005-0000-0000-000020870000}"/>
    <cellStyle name="Notas 2 2 2 8 2 2 4" xfId="34443" xr:uid="{00000000-0005-0000-0000-000021870000}"/>
    <cellStyle name="Notas 2 2 2 8 2 3" xfId="34444" xr:uid="{00000000-0005-0000-0000-000022870000}"/>
    <cellStyle name="Notas 2 2 2 8 2 3 2" xfId="34445" xr:uid="{00000000-0005-0000-0000-000023870000}"/>
    <cellStyle name="Notas 2 2 2 8 2 3 3" xfId="34446" xr:uid="{00000000-0005-0000-0000-000024870000}"/>
    <cellStyle name="Notas 2 2 2 8 2 3 4" xfId="34447" xr:uid="{00000000-0005-0000-0000-000025870000}"/>
    <cellStyle name="Notas 2 2 2 8 2 4" xfId="34448" xr:uid="{00000000-0005-0000-0000-000026870000}"/>
    <cellStyle name="Notas 2 2 2 8 2 5" xfId="34449" xr:uid="{00000000-0005-0000-0000-000027870000}"/>
    <cellStyle name="Notas 2 2 2 8 2 6" xfId="34450" xr:uid="{00000000-0005-0000-0000-000028870000}"/>
    <cellStyle name="Notas 2 2 2 8 3" xfId="34451" xr:uid="{00000000-0005-0000-0000-000029870000}"/>
    <cellStyle name="Notas 2 2 2 8 3 2" xfId="34452" xr:uid="{00000000-0005-0000-0000-00002A870000}"/>
    <cellStyle name="Notas 2 2 2 8 3 2 2" xfId="34453" xr:uid="{00000000-0005-0000-0000-00002B870000}"/>
    <cellStyle name="Notas 2 2 2 8 3 2 3" xfId="34454" xr:uid="{00000000-0005-0000-0000-00002C870000}"/>
    <cellStyle name="Notas 2 2 2 8 3 2 4" xfId="34455" xr:uid="{00000000-0005-0000-0000-00002D870000}"/>
    <cellStyle name="Notas 2 2 2 8 3 3" xfId="34456" xr:uid="{00000000-0005-0000-0000-00002E870000}"/>
    <cellStyle name="Notas 2 2 2 8 3 3 2" xfId="34457" xr:uid="{00000000-0005-0000-0000-00002F870000}"/>
    <cellStyle name="Notas 2 2 2 8 3 3 3" xfId="34458" xr:uid="{00000000-0005-0000-0000-000030870000}"/>
    <cellStyle name="Notas 2 2 2 8 3 3 4" xfId="34459" xr:uid="{00000000-0005-0000-0000-000031870000}"/>
    <cellStyle name="Notas 2 2 2 8 3 4" xfId="34460" xr:uid="{00000000-0005-0000-0000-000032870000}"/>
    <cellStyle name="Notas 2 2 2 8 3 5" xfId="34461" xr:uid="{00000000-0005-0000-0000-000033870000}"/>
    <cellStyle name="Notas 2 2 2 8 3 6" xfId="34462" xr:uid="{00000000-0005-0000-0000-000034870000}"/>
    <cellStyle name="Notas 2 2 2 8 4" xfId="34463" xr:uid="{00000000-0005-0000-0000-000035870000}"/>
    <cellStyle name="Notas 2 2 2 8 4 2" xfId="34464" xr:uid="{00000000-0005-0000-0000-000036870000}"/>
    <cellStyle name="Notas 2 2 2 8 4 3" xfId="34465" xr:uid="{00000000-0005-0000-0000-000037870000}"/>
    <cellStyle name="Notas 2 2 2 8 4 4" xfId="34466" xr:uid="{00000000-0005-0000-0000-000038870000}"/>
    <cellStyle name="Notas 2 2 2 8 5" xfId="34467" xr:uid="{00000000-0005-0000-0000-000039870000}"/>
    <cellStyle name="Notas 2 2 2 8 6" xfId="34468" xr:uid="{00000000-0005-0000-0000-00003A870000}"/>
    <cellStyle name="Notas 2 2 2 9" xfId="34469" xr:uid="{00000000-0005-0000-0000-00003B870000}"/>
    <cellStyle name="Notas 2 2 2 9 2" xfId="34470" xr:uid="{00000000-0005-0000-0000-00003C870000}"/>
    <cellStyle name="Notas 2 2 2 9 2 2" xfId="34471" xr:uid="{00000000-0005-0000-0000-00003D870000}"/>
    <cellStyle name="Notas 2 2 2 9 2 2 2" xfId="34472" xr:uid="{00000000-0005-0000-0000-00003E870000}"/>
    <cellStyle name="Notas 2 2 2 9 2 2 3" xfId="34473" xr:uid="{00000000-0005-0000-0000-00003F870000}"/>
    <cellStyle name="Notas 2 2 2 9 2 2 4" xfId="34474" xr:uid="{00000000-0005-0000-0000-000040870000}"/>
    <cellStyle name="Notas 2 2 2 9 2 3" xfId="34475" xr:uid="{00000000-0005-0000-0000-000041870000}"/>
    <cellStyle name="Notas 2 2 2 9 2 3 2" xfId="34476" xr:uid="{00000000-0005-0000-0000-000042870000}"/>
    <cellStyle name="Notas 2 2 2 9 2 3 3" xfId="34477" xr:uid="{00000000-0005-0000-0000-000043870000}"/>
    <cellStyle name="Notas 2 2 2 9 2 3 4" xfId="34478" xr:uid="{00000000-0005-0000-0000-000044870000}"/>
    <cellStyle name="Notas 2 2 2 9 2 4" xfId="34479" xr:uid="{00000000-0005-0000-0000-000045870000}"/>
    <cellStyle name="Notas 2 2 2 9 2 5" xfId="34480" xr:uid="{00000000-0005-0000-0000-000046870000}"/>
    <cellStyle name="Notas 2 2 2 9 2 6" xfId="34481" xr:uid="{00000000-0005-0000-0000-000047870000}"/>
    <cellStyle name="Notas 2 2 2 9 3" xfId="34482" xr:uid="{00000000-0005-0000-0000-000048870000}"/>
    <cellStyle name="Notas 2 2 2 9 3 2" xfId="34483" xr:uid="{00000000-0005-0000-0000-000049870000}"/>
    <cellStyle name="Notas 2 2 2 9 3 2 2" xfId="34484" xr:uid="{00000000-0005-0000-0000-00004A870000}"/>
    <cellStyle name="Notas 2 2 2 9 3 2 3" xfId="34485" xr:uid="{00000000-0005-0000-0000-00004B870000}"/>
    <cellStyle name="Notas 2 2 2 9 3 2 4" xfId="34486" xr:uid="{00000000-0005-0000-0000-00004C870000}"/>
    <cellStyle name="Notas 2 2 2 9 3 3" xfId="34487" xr:uid="{00000000-0005-0000-0000-00004D870000}"/>
    <cellStyle name="Notas 2 2 2 9 3 3 2" xfId="34488" xr:uid="{00000000-0005-0000-0000-00004E870000}"/>
    <cellStyle name="Notas 2 2 2 9 3 3 3" xfId="34489" xr:uid="{00000000-0005-0000-0000-00004F870000}"/>
    <cellStyle name="Notas 2 2 2 9 3 3 4" xfId="34490" xr:uid="{00000000-0005-0000-0000-000050870000}"/>
    <cellStyle name="Notas 2 2 2 9 3 4" xfId="34491" xr:uid="{00000000-0005-0000-0000-000051870000}"/>
    <cellStyle name="Notas 2 2 2 9 3 5" xfId="34492" xr:uid="{00000000-0005-0000-0000-000052870000}"/>
    <cellStyle name="Notas 2 2 2 9 3 6" xfId="34493" xr:uid="{00000000-0005-0000-0000-000053870000}"/>
    <cellStyle name="Notas 2 2 2 9 4" xfId="34494" xr:uid="{00000000-0005-0000-0000-000054870000}"/>
    <cellStyle name="Notas 2 2 2 9 4 2" xfId="34495" xr:uid="{00000000-0005-0000-0000-000055870000}"/>
    <cellStyle name="Notas 2 2 2 9 4 3" xfId="34496" xr:uid="{00000000-0005-0000-0000-000056870000}"/>
    <cellStyle name="Notas 2 2 2 9 4 4" xfId="34497" xr:uid="{00000000-0005-0000-0000-000057870000}"/>
    <cellStyle name="Notas 2 2 2 9 5" xfId="34498" xr:uid="{00000000-0005-0000-0000-000058870000}"/>
    <cellStyle name="Notas 2 2 2 9 6" xfId="34499" xr:uid="{00000000-0005-0000-0000-000059870000}"/>
    <cellStyle name="Notas 2 2 3" xfId="34500" xr:uid="{00000000-0005-0000-0000-00005A870000}"/>
    <cellStyle name="Notas 2 2 3 10" xfId="34501" xr:uid="{00000000-0005-0000-0000-00005B870000}"/>
    <cellStyle name="Notas 2 2 3 10 2" xfId="34502" xr:uid="{00000000-0005-0000-0000-00005C870000}"/>
    <cellStyle name="Notas 2 2 3 10 2 2" xfId="34503" xr:uid="{00000000-0005-0000-0000-00005D870000}"/>
    <cellStyle name="Notas 2 2 3 10 2 2 2" xfId="34504" xr:uid="{00000000-0005-0000-0000-00005E870000}"/>
    <cellStyle name="Notas 2 2 3 10 2 2 3" xfId="34505" xr:uid="{00000000-0005-0000-0000-00005F870000}"/>
    <cellStyle name="Notas 2 2 3 10 2 2 4" xfId="34506" xr:uid="{00000000-0005-0000-0000-000060870000}"/>
    <cellStyle name="Notas 2 2 3 10 2 3" xfId="34507" xr:uid="{00000000-0005-0000-0000-000061870000}"/>
    <cellStyle name="Notas 2 2 3 10 2 3 2" xfId="34508" xr:uid="{00000000-0005-0000-0000-000062870000}"/>
    <cellStyle name="Notas 2 2 3 10 2 3 3" xfId="34509" xr:uid="{00000000-0005-0000-0000-000063870000}"/>
    <cellStyle name="Notas 2 2 3 10 2 3 4" xfId="34510" xr:uid="{00000000-0005-0000-0000-000064870000}"/>
    <cellStyle name="Notas 2 2 3 10 2 4" xfId="34511" xr:uid="{00000000-0005-0000-0000-000065870000}"/>
    <cellStyle name="Notas 2 2 3 10 2 5" xfId="34512" xr:uid="{00000000-0005-0000-0000-000066870000}"/>
    <cellStyle name="Notas 2 2 3 10 2 6" xfId="34513" xr:uid="{00000000-0005-0000-0000-000067870000}"/>
    <cellStyle name="Notas 2 2 3 10 3" xfId="34514" xr:uid="{00000000-0005-0000-0000-000068870000}"/>
    <cellStyle name="Notas 2 2 3 10 3 2" xfId="34515" xr:uid="{00000000-0005-0000-0000-000069870000}"/>
    <cellStyle name="Notas 2 2 3 10 3 2 2" xfId="34516" xr:uid="{00000000-0005-0000-0000-00006A870000}"/>
    <cellStyle name="Notas 2 2 3 10 3 2 3" xfId="34517" xr:uid="{00000000-0005-0000-0000-00006B870000}"/>
    <cellStyle name="Notas 2 2 3 10 3 2 4" xfId="34518" xr:uid="{00000000-0005-0000-0000-00006C870000}"/>
    <cellStyle name="Notas 2 2 3 10 3 3" xfId="34519" xr:uid="{00000000-0005-0000-0000-00006D870000}"/>
    <cellStyle name="Notas 2 2 3 10 3 3 2" xfId="34520" xr:uid="{00000000-0005-0000-0000-00006E870000}"/>
    <cellStyle name="Notas 2 2 3 10 3 3 3" xfId="34521" xr:uid="{00000000-0005-0000-0000-00006F870000}"/>
    <cellStyle name="Notas 2 2 3 10 3 3 4" xfId="34522" xr:uid="{00000000-0005-0000-0000-000070870000}"/>
    <cellStyle name="Notas 2 2 3 10 3 4" xfId="34523" xr:uid="{00000000-0005-0000-0000-000071870000}"/>
    <cellStyle name="Notas 2 2 3 10 3 5" xfId="34524" xr:uid="{00000000-0005-0000-0000-000072870000}"/>
    <cellStyle name="Notas 2 2 3 10 3 6" xfId="34525" xr:uid="{00000000-0005-0000-0000-000073870000}"/>
    <cellStyle name="Notas 2 2 3 10 4" xfId="34526" xr:uid="{00000000-0005-0000-0000-000074870000}"/>
    <cellStyle name="Notas 2 2 3 10 5" xfId="34527" xr:uid="{00000000-0005-0000-0000-000075870000}"/>
    <cellStyle name="Notas 2 2 3 10 6" xfId="34528" xr:uid="{00000000-0005-0000-0000-000076870000}"/>
    <cellStyle name="Notas 2 2 3 11" xfId="34529" xr:uid="{00000000-0005-0000-0000-000077870000}"/>
    <cellStyle name="Notas 2 2 3 12" xfId="34530" xr:uid="{00000000-0005-0000-0000-000078870000}"/>
    <cellStyle name="Notas 2 2 3 2" xfId="34531" xr:uid="{00000000-0005-0000-0000-000079870000}"/>
    <cellStyle name="Notas 2 2 3 2 2" xfId="34532" xr:uid="{00000000-0005-0000-0000-00007A870000}"/>
    <cellStyle name="Notas 2 2 3 2 2 2" xfId="34533" xr:uid="{00000000-0005-0000-0000-00007B870000}"/>
    <cellStyle name="Notas 2 2 3 2 2 2 2" xfId="34534" xr:uid="{00000000-0005-0000-0000-00007C870000}"/>
    <cellStyle name="Notas 2 2 3 2 2 2 2 2" xfId="34535" xr:uid="{00000000-0005-0000-0000-00007D870000}"/>
    <cellStyle name="Notas 2 2 3 2 2 2 2 3" xfId="34536" xr:uid="{00000000-0005-0000-0000-00007E870000}"/>
    <cellStyle name="Notas 2 2 3 2 2 2 2 4" xfId="34537" xr:uid="{00000000-0005-0000-0000-00007F870000}"/>
    <cellStyle name="Notas 2 2 3 2 2 2 3" xfId="34538" xr:uid="{00000000-0005-0000-0000-000080870000}"/>
    <cellStyle name="Notas 2 2 3 2 2 2 3 2" xfId="34539" xr:uid="{00000000-0005-0000-0000-000081870000}"/>
    <cellStyle name="Notas 2 2 3 2 2 2 3 3" xfId="34540" xr:uid="{00000000-0005-0000-0000-000082870000}"/>
    <cellStyle name="Notas 2 2 3 2 2 2 3 4" xfId="34541" xr:uid="{00000000-0005-0000-0000-000083870000}"/>
    <cellStyle name="Notas 2 2 3 2 2 2 4" xfId="34542" xr:uid="{00000000-0005-0000-0000-000084870000}"/>
    <cellStyle name="Notas 2 2 3 2 2 2 5" xfId="34543" xr:uid="{00000000-0005-0000-0000-000085870000}"/>
    <cellStyle name="Notas 2 2 3 2 2 2 6" xfId="34544" xr:uid="{00000000-0005-0000-0000-000086870000}"/>
    <cellStyle name="Notas 2 2 3 2 2 3" xfId="34545" xr:uid="{00000000-0005-0000-0000-000087870000}"/>
    <cellStyle name="Notas 2 2 3 2 2 3 2" xfId="34546" xr:uid="{00000000-0005-0000-0000-000088870000}"/>
    <cellStyle name="Notas 2 2 3 2 2 3 2 2" xfId="34547" xr:uid="{00000000-0005-0000-0000-000089870000}"/>
    <cellStyle name="Notas 2 2 3 2 2 3 2 3" xfId="34548" xr:uid="{00000000-0005-0000-0000-00008A870000}"/>
    <cellStyle name="Notas 2 2 3 2 2 3 2 4" xfId="34549" xr:uid="{00000000-0005-0000-0000-00008B870000}"/>
    <cellStyle name="Notas 2 2 3 2 2 3 3" xfId="34550" xr:uid="{00000000-0005-0000-0000-00008C870000}"/>
    <cellStyle name="Notas 2 2 3 2 2 3 3 2" xfId="34551" xr:uid="{00000000-0005-0000-0000-00008D870000}"/>
    <cellStyle name="Notas 2 2 3 2 2 3 3 3" xfId="34552" xr:uid="{00000000-0005-0000-0000-00008E870000}"/>
    <cellStyle name="Notas 2 2 3 2 2 3 3 4" xfId="34553" xr:uid="{00000000-0005-0000-0000-00008F870000}"/>
    <cellStyle name="Notas 2 2 3 2 2 3 4" xfId="34554" xr:uid="{00000000-0005-0000-0000-000090870000}"/>
    <cellStyle name="Notas 2 2 3 2 2 3 5" xfId="34555" xr:uid="{00000000-0005-0000-0000-000091870000}"/>
    <cellStyle name="Notas 2 2 3 2 2 3 6" xfId="34556" xr:uid="{00000000-0005-0000-0000-000092870000}"/>
    <cellStyle name="Notas 2 2 3 2 2 4" xfId="34557" xr:uid="{00000000-0005-0000-0000-000093870000}"/>
    <cellStyle name="Notas 2 2 3 2 2 5" xfId="34558" xr:uid="{00000000-0005-0000-0000-000094870000}"/>
    <cellStyle name="Notas 2 2 3 2 2 6" xfId="34559" xr:uid="{00000000-0005-0000-0000-000095870000}"/>
    <cellStyle name="Notas 2 2 3 2 3" xfId="34560" xr:uid="{00000000-0005-0000-0000-000096870000}"/>
    <cellStyle name="Notas 2 2 3 2 4" xfId="34561" xr:uid="{00000000-0005-0000-0000-000097870000}"/>
    <cellStyle name="Notas 2 2 3 3" xfId="34562" xr:uid="{00000000-0005-0000-0000-000098870000}"/>
    <cellStyle name="Notas 2 2 3 3 2" xfId="34563" xr:uid="{00000000-0005-0000-0000-000099870000}"/>
    <cellStyle name="Notas 2 2 3 3 2 2" xfId="34564" xr:uid="{00000000-0005-0000-0000-00009A870000}"/>
    <cellStyle name="Notas 2 2 3 3 2 2 2" xfId="34565" xr:uid="{00000000-0005-0000-0000-00009B870000}"/>
    <cellStyle name="Notas 2 2 3 3 2 2 2 2" xfId="34566" xr:uid="{00000000-0005-0000-0000-00009C870000}"/>
    <cellStyle name="Notas 2 2 3 3 2 2 2 3" xfId="34567" xr:uid="{00000000-0005-0000-0000-00009D870000}"/>
    <cellStyle name="Notas 2 2 3 3 2 2 2 4" xfId="34568" xr:uid="{00000000-0005-0000-0000-00009E870000}"/>
    <cellStyle name="Notas 2 2 3 3 2 2 3" xfId="34569" xr:uid="{00000000-0005-0000-0000-00009F870000}"/>
    <cellStyle name="Notas 2 2 3 3 2 2 3 2" xfId="34570" xr:uid="{00000000-0005-0000-0000-0000A0870000}"/>
    <cellStyle name="Notas 2 2 3 3 2 2 3 3" xfId="34571" xr:uid="{00000000-0005-0000-0000-0000A1870000}"/>
    <cellStyle name="Notas 2 2 3 3 2 2 3 4" xfId="34572" xr:uid="{00000000-0005-0000-0000-0000A2870000}"/>
    <cellStyle name="Notas 2 2 3 3 2 2 4" xfId="34573" xr:uid="{00000000-0005-0000-0000-0000A3870000}"/>
    <cellStyle name="Notas 2 2 3 3 2 2 5" xfId="34574" xr:uid="{00000000-0005-0000-0000-0000A4870000}"/>
    <cellStyle name="Notas 2 2 3 3 2 2 6" xfId="34575" xr:uid="{00000000-0005-0000-0000-0000A5870000}"/>
    <cellStyle name="Notas 2 2 3 3 2 3" xfId="34576" xr:uid="{00000000-0005-0000-0000-0000A6870000}"/>
    <cellStyle name="Notas 2 2 3 3 2 3 2" xfId="34577" xr:uid="{00000000-0005-0000-0000-0000A7870000}"/>
    <cellStyle name="Notas 2 2 3 3 2 3 2 2" xfId="34578" xr:uid="{00000000-0005-0000-0000-0000A8870000}"/>
    <cellStyle name="Notas 2 2 3 3 2 3 2 3" xfId="34579" xr:uid="{00000000-0005-0000-0000-0000A9870000}"/>
    <cellStyle name="Notas 2 2 3 3 2 3 2 4" xfId="34580" xr:uid="{00000000-0005-0000-0000-0000AA870000}"/>
    <cellStyle name="Notas 2 2 3 3 2 3 3" xfId="34581" xr:uid="{00000000-0005-0000-0000-0000AB870000}"/>
    <cellStyle name="Notas 2 2 3 3 2 3 3 2" xfId="34582" xr:uid="{00000000-0005-0000-0000-0000AC870000}"/>
    <cellStyle name="Notas 2 2 3 3 2 3 3 3" xfId="34583" xr:uid="{00000000-0005-0000-0000-0000AD870000}"/>
    <cellStyle name="Notas 2 2 3 3 2 3 3 4" xfId="34584" xr:uid="{00000000-0005-0000-0000-0000AE870000}"/>
    <cellStyle name="Notas 2 2 3 3 2 3 4" xfId="34585" xr:uid="{00000000-0005-0000-0000-0000AF870000}"/>
    <cellStyle name="Notas 2 2 3 3 2 3 5" xfId="34586" xr:uid="{00000000-0005-0000-0000-0000B0870000}"/>
    <cellStyle name="Notas 2 2 3 3 2 3 6" xfId="34587" xr:uid="{00000000-0005-0000-0000-0000B1870000}"/>
    <cellStyle name="Notas 2 2 3 3 2 4" xfId="34588" xr:uid="{00000000-0005-0000-0000-0000B2870000}"/>
    <cellStyle name="Notas 2 2 3 3 2 5" xfId="34589" xr:uid="{00000000-0005-0000-0000-0000B3870000}"/>
    <cellStyle name="Notas 2 2 3 3 2 6" xfId="34590" xr:uid="{00000000-0005-0000-0000-0000B4870000}"/>
    <cellStyle name="Notas 2 2 3 3 3" xfId="34591" xr:uid="{00000000-0005-0000-0000-0000B5870000}"/>
    <cellStyle name="Notas 2 2 3 3 4" xfId="34592" xr:uid="{00000000-0005-0000-0000-0000B6870000}"/>
    <cellStyle name="Notas 2 2 3 4" xfId="34593" xr:uid="{00000000-0005-0000-0000-0000B7870000}"/>
    <cellStyle name="Notas 2 2 3 4 2" xfId="34594" xr:uid="{00000000-0005-0000-0000-0000B8870000}"/>
    <cellStyle name="Notas 2 2 3 4 2 2" xfId="34595" xr:uid="{00000000-0005-0000-0000-0000B9870000}"/>
    <cellStyle name="Notas 2 2 3 4 2 2 2" xfId="34596" xr:uid="{00000000-0005-0000-0000-0000BA870000}"/>
    <cellStyle name="Notas 2 2 3 4 2 2 2 2" xfId="34597" xr:uid="{00000000-0005-0000-0000-0000BB870000}"/>
    <cellStyle name="Notas 2 2 3 4 2 2 2 3" xfId="34598" xr:uid="{00000000-0005-0000-0000-0000BC870000}"/>
    <cellStyle name="Notas 2 2 3 4 2 2 2 4" xfId="34599" xr:uid="{00000000-0005-0000-0000-0000BD870000}"/>
    <cellStyle name="Notas 2 2 3 4 2 2 3" xfId="34600" xr:uid="{00000000-0005-0000-0000-0000BE870000}"/>
    <cellStyle name="Notas 2 2 3 4 2 2 3 2" xfId="34601" xr:uid="{00000000-0005-0000-0000-0000BF870000}"/>
    <cellStyle name="Notas 2 2 3 4 2 2 3 3" xfId="34602" xr:uid="{00000000-0005-0000-0000-0000C0870000}"/>
    <cellStyle name="Notas 2 2 3 4 2 2 3 4" xfId="34603" xr:uid="{00000000-0005-0000-0000-0000C1870000}"/>
    <cellStyle name="Notas 2 2 3 4 2 2 4" xfId="34604" xr:uid="{00000000-0005-0000-0000-0000C2870000}"/>
    <cellStyle name="Notas 2 2 3 4 2 2 5" xfId="34605" xr:uid="{00000000-0005-0000-0000-0000C3870000}"/>
    <cellStyle name="Notas 2 2 3 4 2 2 6" xfId="34606" xr:uid="{00000000-0005-0000-0000-0000C4870000}"/>
    <cellStyle name="Notas 2 2 3 4 2 3" xfId="34607" xr:uid="{00000000-0005-0000-0000-0000C5870000}"/>
    <cellStyle name="Notas 2 2 3 4 2 3 2" xfId="34608" xr:uid="{00000000-0005-0000-0000-0000C6870000}"/>
    <cellStyle name="Notas 2 2 3 4 2 3 2 2" xfId="34609" xr:uid="{00000000-0005-0000-0000-0000C7870000}"/>
    <cellStyle name="Notas 2 2 3 4 2 3 2 3" xfId="34610" xr:uid="{00000000-0005-0000-0000-0000C8870000}"/>
    <cellStyle name="Notas 2 2 3 4 2 3 2 4" xfId="34611" xr:uid="{00000000-0005-0000-0000-0000C9870000}"/>
    <cellStyle name="Notas 2 2 3 4 2 3 3" xfId="34612" xr:uid="{00000000-0005-0000-0000-0000CA870000}"/>
    <cellStyle name="Notas 2 2 3 4 2 3 3 2" xfId="34613" xr:uid="{00000000-0005-0000-0000-0000CB870000}"/>
    <cellStyle name="Notas 2 2 3 4 2 3 3 3" xfId="34614" xr:uid="{00000000-0005-0000-0000-0000CC870000}"/>
    <cellStyle name="Notas 2 2 3 4 2 3 3 4" xfId="34615" xr:uid="{00000000-0005-0000-0000-0000CD870000}"/>
    <cellStyle name="Notas 2 2 3 4 2 3 4" xfId="34616" xr:uid="{00000000-0005-0000-0000-0000CE870000}"/>
    <cellStyle name="Notas 2 2 3 4 2 3 5" xfId="34617" xr:uid="{00000000-0005-0000-0000-0000CF870000}"/>
    <cellStyle name="Notas 2 2 3 4 2 3 6" xfId="34618" xr:uid="{00000000-0005-0000-0000-0000D0870000}"/>
    <cellStyle name="Notas 2 2 3 4 2 4" xfId="34619" xr:uid="{00000000-0005-0000-0000-0000D1870000}"/>
    <cellStyle name="Notas 2 2 3 4 2 5" xfId="34620" xr:uid="{00000000-0005-0000-0000-0000D2870000}"/>
    <cellStyle name="Notas 2 2 3 4 2 6" xfId="34621" xr:uid="{00000000-0005-0000-0000-0000D3870000}"/>
    <cellStyle name="Notas 2 2 3 4 3" xfId="34622" xr:uid="{00000000-0005-0000-0000-0000D4870000}"/>
    <cellStyle name="Notas 2 2 3 4 4" xfId="34623" xr:uid="{00000000-0005-0000-0000-0000D5870000}"/>
    <cellStyle name="Notas 2 2 3 5" xfId="34624" xr:uid="{00000000-0005-0000-0000-0000D6870000}"/>
    <cellStyle name="Notas 2 2 3 5 2" xfId="34625" xr:uid="{00000000-0005-0000-0000-0000D7870000}"/>
    <cellStyle name="Notas 2 2 3 5 2 2" xfId="34626" xr:uid="{00000000-0005-0000-0000-0000D8870000}"/>
    <cellStyle name="Notas 2 2 3 5 2 2 2" xfId="34627" xr:uid="{00000000-0005-0000-0000-0000D9870000}"/>
    <cellStyle name="Notas 2 2 3 5 2 2 2 2" xfId="34628" xr:uid="{00000000-0005-0000-0000-0000DA870000}"/>
    <cellStyle name="Notas 2 2 3 5 2 2 2 3" xfId="34629" xr:uid="{00000000-0005-0000-0000-0000DB870000}"/>
    <cellStyle name="Notas 2 2 3 5 2 2 2 4" xfId="34630" xr:uid="{00000000-0005-0000-0000-0000DC870000}"/>
    <cellStyle name="Notas 2 2 3 5 2 2 3" xfId="34631" xr:uid="{00000000-0005-0000-0000-0000DD870000}"/>
    <cellStyle name="Notas 2 2 3 5 2 2 3 2" xfId="34632" xr:uid="{00000000-0005-0000-0000-0000DE870000}"/>
    <cellStyle name="Notas 2 2 3 5 2 2 3 3" xfId="34633" xr:uid="{00000000-0005-0000-0000-0000DF870000}"/>
    <cellStyle name="Notas 2 2 3 5 2 2 3 4" xfId="34634" xr:uid="{00000000-0005-0000-0000-0000E0870000}"/>
    <cellStyle name="Notas 2 2 3 5 2 2 4" xfId="34635" xr:uid="{00000000-0005-0000-0000-0000E1870000}"/>
    <cellStyle name="Notas 2 2 3 5 2 2 5" xfId="34636" xr:uid="{00000000-0005-0000-0000-0000E2870000}"/>
    <cellStyle name="Notas 2 2 3 5 2 2 6" xfId="34637" xr:uid="{00000000-0005-0000-0000-0000E3870000}"/>
    <cellStyle name="Notas 2 2 3 5 2 3" xfId="34638" xr:uid="{00000000-0005-0000-0000-0000E4870000}"/>
    <cellStyle name="Notas 2 2 3 5 2 3 2" xfId="34639" xr:uid="{00000000-0005-0000-0000-0000E5870000}"/>
    <cellStyle name="Notas 2 2 3 5 2 3 2 2" xfId="34640" xr:uid="{00000000-0005-0000-0000-0000E6870000}"/>
    <cellStyle name="Notas 2 2 3 5 2 3 2 3" xfId="34641" xr:uid="{00000000-0005-0000-0000-0000E7870000}"/>
    <cellStyle name="Notas 2 2 3 5 2 3 2 4" xfId="34642" xr:uid="{00000000-0005-0000-0000-0000E8870000}"/>
    <cellStyle name="Notas 2 2 3 5 2 3 3" xfId="34643" xr:uid="{00000000-0005-0000-0000-0000E9870000}"/>
    <cellStyle name="Notas 2 2 3 5 2 3 3 2" xfId="34644" xr:uid="{00000000-0005-0000-0000-0000EA870000}"/>
    <cellStyle name="Notas 2 2 3 5 2 3 3 3" xfId="34645" xr:uid="{00000000-0005-0000-0000-0000EB870000}"/>
    <cellStyle name="Notas 2 2 3 5 2 3 3 4" xfId="34646" xr:uid="{00000000-0005-0000-0000-0000EC870000}"/>
    <cellStyle name="Notas 2 2 3 5 2 3 4" xfId="34647" xr:uid="{00000000-0005-0000-0000-0000ED870000}"/>
    <cellStyle name="Notas 2 2 3 5 2 3 5" xfId="34648" xr:uid="{00000000-0005-0000-0000-0000EE870000}"/>
    <cellStyle name="Notas 2 2 3 5 2 3 6" xfId="34649" xr:uid="{00000000-0005-0000-0000-0000EF870000}"/>
    <cellStyle name="Notas 2 2 3 5 2 4" xfId="34650" xr:uid="{00000000-0005-0000-0000-0000F0870000}"/>
    <cellStyle name="Notas 2 2 3 5 2 5" xfId="34651" xr:uid="{00000000-0005-0000-0000-0000F1870000}"/>
    <cellStyle name="Notas 2 2 3 5 2 6" xfId="34652" xr:uid="{00000000-0005-0000-0000-0000F2870000}"/>
    <cellStyle name="Notas 2 2 3 5 3" xfId="34653" xr:uid="{00000000-0005-0000-0000-0000F3870000}"/>
    <cellStyle name="Notas 2 2 3 5 4" xfId="34654" xr:uid="{00000000-0005-0000-0000-0000F4870000}"/>
    <cellStyle name="Notas 2 2 3 6" xfId="34655" xr:uid="{00000000-0005-0000-0000-0000F5870000}"/>
    <cellStyle name="Notas 2 2 3 6 2" xfId="34656" xr:uid="{00000000-0005-0000-0000-0000F6870000}"/>
    <cellStyle name="Notas 2 2 3 6 2 2" xfId="34657" xr:uid="{00000000-0005-0000-0000-0000F7870000}"/>
    <cellStyle name="Notas 2 2 3 6 2 2 2" xfId="34658" xr:uid="{00000000-0005-0000-0000-0000F8870000}"/>
    <cellStyle name="Notas 2 2 3 6 2 2 3" xfId="34659" xr:uid="{00000000-0005-0000-0000-0000F9870000}"/>
    <cellStyle name="Notas 2 2 3 6 2 2 4" xfId="34660" xr:uid="{00000000-0005-0000-0000-0000FA870000}"/>
    <cellStyle name="Notas 2 2 3 6 2 3" xfId="34661" xr:uid="{00000000-0005-0000-0000-0000FB870000}"/>
    <cellStyle name="Notas 2 2 3 6 2 3 2" xfId="34662" xr:uid="{00000000-0005-0000-0000-0000FC870000}"/>
    <cellStyle name="Notas 2 2 3 6 2 3 3" xfId="34663" xr:uid="{00000000-0005-0000-0000-0000FD870000}"/>
    <cellStyle name="Notas 2 2 3 6 2 3 4" xfId="34664" xr:uid="{00000000-0005-0000-0000-0000FE870000}"/>
    <cellStyle name="Notas 2 2 3 6 2 4" xfId="34665" xr:uid="{00000000-0005-0000-0000-0000FF870000}"/>
    <cellStyle name="Notas 2 2 3 6 2 5" xfId="34666" xr:uid="{00000000-0005-0000-0000-000000880000}"/>
    <cellStyle name="Notas 2 2 3 6 2 6" xfId="34667" xr:uid="{00000000-0005-0000-0000-000001880000}"/>
    <cellStyle name="Notas 2 2 3 6 3" xfId="34668" xr:uid="{00000000-0005-0000-0000-000002880000}"/>
    <cellStyle name="Notas 2 2 3 6 3 2" xfId="34669" xr:uid="{00000000-0005-0000-0000-000003880000}"/>
    <cellStyle name="Notas 2 2 3 6 3 2 2" xfId="34670" xr:uid="{00000000-0005-0000-0000-000004880000}"/>
    <cellStyle name="Notas 2 2 3 6 3 2 3" xfId="34671" xr:uid="{00000000-0005-0000-0000-000005880000}"/>
    <cellStyle name="Notas 2 2 3 6 3 2 4" xfId="34672" xr:uid="{00000000-0005-0000-0000-000006880000}"/>
    <cellStyle name="Notas 2 2 3 6 3 3" xfId="34673" xr:uid="{00000000-0005-0000-0000-000007880000}"/>
    <cellStyle name="Notas 2 2 3 6 3 3 2" xfId="34674" xr:uid="{00000000-0005-0000-0000-000008880000}"/>
    <cellStyle name="Notas 2 2 3 6 3 3 3" xfId="34675" xr:uid="{00000000-0005-0000-0000-000009880000}"/>
    <cellStyle name="Notas 2 2 3 6 3 3 4" xfId="34676" xr:uid="{00000000-0005-0000-0000-00000A880000}"/>
    <cellStyle name="Notas 2 2 3 6 3 4" xfId="34677" xr:uid="{00000000-0005-0000-0000-00000B880000}"/>
    <cellStyle name="Notas 2 2 3 6 3 5" xfId="34678" xr:uid="{00000000-0005-0000-0000-00000C880000}"/>
    <cellStyle name="Notas 2 2 3 6 3 6" xfId="34679" xr:uid="{00000000-0005-0000-0000-00000D880000}"/>
    <cellStyle name="Notas 2 2 3 6 4" xfId="34680" xr:uid="{00000000-0005-0000-0000-00000E880000}"/>
    <cellStyle name="Notas 2 2 3 6 4 2" xfId="34681" xr:uid="{00000000-0005-0000-0000-00000F880000}"/>
    <cellStyle name="Notas 2 2 3 6 4 3" xfId="34682" xr:uid="{00000000-0005-0000-0000-000010880000}"/>
    <cellStyle name="Notas 2 2 3 6 4 4" xfId="34683" xr:uid="{00000000-0005-0000-0000-000011880000}"/>
    <cellStyle name="Notas 2 2 3 6 5" xfId="34684" xr:uid="{00000000-0005-0000-0000-000012880000}"/>
    <cellStyle name="Notas 2 2 3 6 6" xfId="34685" xr:uid="{00000000-0005-0000-0000-000013880000}"/>
    <cellStyle name="Notas 2 2 3 7" xfId="34686" xr:uid="{00000000-0005-0000-0000-000014880000}"/>
    <cellStyle name="Notas 2 2 3 7 2" xfId="34687" xr:uid="{00000000-0005-0000-0000-000015880000}"/>
    <cellStyle name="Notas 2 2 3 7 2 2" xfId="34688" xr:uid="{00000000-0005-0000-0000-000016880000}"/>
    <cellStyle name="Notas 2 2 3 7 2 2 2" xfId="34689" xr:uid="{00000000-0005-0000-0000-000017880000}"/>
    <cellStyle name="Notas 2 2 3 7 2 2 3" xfId="34690" xr:uid="{00000000-0005-0000-0000-000018880000}"/>
    <cellStyle name="Notas 2 2 3 7 2 2 4" xfId="34691" xr:uid="{00000000-0005-0000-0000-000019880000}"/>
    <cellStyle name="Notas 2 2 3 7 2 3" xfId="34692" xr:uid="{00000000-0005-0000-0000-00001A880000}"/>
    <cellStyle name="Notas 2 2 3 7 2 3 2" xfId="34693" xr:uid="{00000000-0005-0000-0000-00001B880000}"/>
    <cellStyle name="Notas 2 2 3 7 2 3 3" xfId="34694" xr:uid="{00000000-0005-0000-0000-00001C880000}"/>
    <cellStyle name="Notas 2 2 3 7 2 3 4" xfId="34695" xr:uid="{00000000-0005-0000-0000-00001D880000}"/>
    <cellStyle name="Notas 2 2 3 7 2 4" xfId="34696" xr:uid="{00000000-0005-0000-0000-00001E880000}"/>
    <cellStyle name="Notas 2 2 3 7 2 5" xfId="34697" xr:uid="{00000000-0005-0000-0000-00001F880000}"/>
    <cellStyle name="Notas 2 2 3 7 2 6" xfId="34698" xr:uid="{00000000-0005-0000-0000-000020880000}"/>
    <cellStyle name="Notas 2 2 3 7 3" xfId="34699" xr:uid="{00000000-0005-0000-0000-000021880000}"/>
    <cellStyle name="Notas 2 2 3 7 3 2" xfId="34700" xr:uid="{00000000-0005-0000-0000-000022880000}"/>
    <cellStyle name="Notas 2 2 3 7 3 2 2" xfId="34701" xr:uid="{00000000-0005-0000-0000-000023880000}"/>
    <cellStyle name="Notas 2 2 3 7 3 2 3" xfId="34702" xr:uid="{00000000-0005-0000-0000-000024880000}"/>
    <cellStyle name="Notas 2 2 3 7 3 2 4" xfId="34703" xr:uid="{00000000-0005-0000-0000-000025880000}"/>
    <cellStyle name="Notas 2 2 3 7 3 3" xfId="34704" xr:uid="{00000000-0005-0000-0000-000026880000}"/>
    <cellStyle name="Notas 2 2 3 7 3 3 2" xfId="34705" xr:uid="{00000000-0005-0000-0000-000027880000}"/>
    <cellStyle name="Notas 2 2 3 7 3 3 3" xfId="34706" xr:uid="{00000000-0005-0000-0000-000028880000}"/>
    <cellStyle name="Notas 2 2 3 7 3 3 4" xfId="34707" xr:uid="{00000000-0005-0000-0000-000029880000}"/>
    <cellStyle name="Notas 2 2 3 7 3 4" xfId="34708" xr:uid="{00000000-0005-0000-0000-00002A880000}"/>
    <cellStyle name="Notas 2 2 3 7 3 5" xfId="34709" xr:uid="{00000000-0005-0000-0000-00002B880000}"/>
    <cellStyle name="Notas 2 2 3 7 3 6" xfId="34710" xr:uid="{00000000-0005-0000-0000-00002C880000}"/>
    <cellStyle name="Notas 2 2 3 7 4" xfId="34711" xr:uid="{00000000-0005-0000-0000-00002D880000}"/>
    <cellStyle name="Notas 2 2 3 7 4 2" xfId="34712" xr:uid="{00000000-0005-0000-0000-00002E880000}"/>
    <cellStyle name="Notas 2 2 3 7 4 3" xfId="34713" xr:uid="{00000000-0005-0000-0000-00002F880000}"/>
    <cellStyle name="Notas 2 2 3 7 4 4" xfId="34714" xr:uid="{00000000-0005-0000-0000-000030880000}"/>
    <cellStyle name="Notas 2 2 3 7 5" xfId="34715" xr:uid="{00000000-0005-0000-0000-000031880000}"/>
    <cellStyle name="Notas 2 2 3 7 6" xfId="34716" xr:uid="{00000000-0005-0000-0000-000032880000}"/>
    <cellStyle name="Notas 2 2 3 8" xfId="34717" xr:uid="{00000000-0005-0000-0000-000033880000}"/>
    <cellStyle name="Notas 2 2 3 8 2" xfId="34718" xr:uid="{00000000-0005-0000-0000-000034880000}"/>
    <cellStyle name="Notas 2 2 3 8 2 2" xfId="34719" xr:uid="{00000000-0005-0000-0000-000035880000}"/>
    <cellStyle name="Notas 2 2 3 8 2 2 2" xfId="34720" xr:uid="{00000000-0005-0000-0000-000036880000}"/>
    <cellStyle name="Notas 2 2 3 8 2 2 3" xfId="34721" xr:uid="{00000000-0005-0000-0000-000037880000}"/>
    <cellStyle name="Notas 2 2 3 8 2 2 4" xfId="34722" xr:uid="{00000000-0005-0000-0000-000038880000}"/>
    <cellStyle name="Notas 2 2 3 8 2 3" xfId="34723" xr:uid="{00000000-0005-0000-0000-000039880000}"/>
    <cellStyle name="Notas 2 2 3 8 2 3 2" xfId="34724" xr:uid="{00000000-0005-0000-0000-00003A880000}"/>
    <cellStyle name="Notas 2 2 3 8 2 3 3" xfId="34725" xr:uid="{00000000-0005-0000-0000-00003B880000}"/>
    <cellStyle name="Notas 2 2 3 8 2 3 4" xfId="34726" xr:uid="{00000000-0005-0000-0000-00003C880000}"/>
    <cellStyle name="Notas 2 2 3 8 2 4" xfId="34727" xr:uid="{00000000-0005-0000-0000-00003D880000}"/>
    <cellStyle name="Notas 2 2 3 8 2 5" xfId="34728" xr:uid="{00000000-0005-0000-0000-00003E880000}"/>
    <cellStyle name="Notas 2 2 3 8 2 6" xfId="34729" xr:uid="{00000000-0005-0000-0000-00003F880000}"/>
    <cellStyle name="Notas 2 2 3 8 3" xfId="34730" xr:uid="{00000000-0005-0000-0000-000040880000}"/>
    <cellStyle name="Notas 2 2 3 8 3 2" xfId="34731" xr:uid="{00000000-0005-0000-0000-000041880000}"/>
    <cellStyle name="Notas 2 2 3 8 3 2 2" xfId="34732" xr:uid="{00000000-0005-0000-0000-000042880000}"/>
    <cellStyle name="Notas 2 2 3 8 3 2 3" xfId="34733" xr:uid="{00000000-0005-0000-0000-000043880000}"/>
    <cellStyle name="Notas 2 2 3 8 3 2 4" xfId="34734" xr:uid="{00000000-0005-0000-0000-000044880000}"/>
    <cellStyle name="Notas 2 2 3 8 3 3" xfId="34735" xr:uid="{00000000-0005-0000-0000-000045880000}"/>
    <cellStyle name="Notas 2 2 3 8 3 3 2" xfId="34736" xr:uid="{00000000-0005-0000-0000-000046880000}"/>
    <cellStyle name="Notas 2 2 3 8 3 3 3" xfId="34737" xr:uid="{00000000-0005-0000-0000-000047880000}"/>
    <cellStyle name="Notas 2 2 3 8 3 3 4" xfId="34738" xr:uid="{00000000-0005-0000-0000-000048880000}"/>
    <cellStyle name="Notas 2 2 3 8 3 4" xfId="34739" xr:uid="{00000000-0005-0000-0000-000049880000}"/>
    <cellStyle name="Notas 2 2 3 8 3 5" xfId="34740" xr:uid="{00000000-0005-0000-0000-00004A880000}"/>
    <cellStyle name="Notas 2 2 3 8 3 6" xfId="34741" xr:uid="{00000000-0005-0000-0000-00004B880000}"/>
    <cellStyle name="Notas 2 2 3 8 4" xfId="34742" xr:uid="{00000000-0005-0000-0000-00004C880000}"/>
    <cellStyle name="Notas 2 2 3 8 4 2" xfId="34743" xr:uid="{00000000-0005-0000-0000-00004D880000}"/>
    <cellStyle name="Notas 2 2 3 8 4 3" xfId="34744" xr:uid="{00000000-0005-0000-0000-00004E880000}"/>
    <cellStyle name="Notas 2 2 3 8 4 4" xfId="34745" xr:uid="{00000000-0005-0000-0000-00004F880000}"/>
    <cellStyle name="Notas 2 2 3 8 5" xfId="34746" xr:uid="{00000000-0005-0000-0000-000050880000}"/>
    <cellStyle name="Notas 2 2 3 8 6" xfId="34747" xr:uid="{00000000-0005-0000-0000-000051880000}"/>
    <cellStyle name="Notas 2 2 3 9" xfId="34748" xr:uid="{00000000-0005-0000-0000-000052880000}"/>
    <cellStyle name="Notas 2 2 3 9 2" xfId="34749" xr:uid="{00000000-0005-0000-0000-000053880000}"/>
    <cellStyle name="Notas 2 2 3 9 2 2" xfId="34750" xr:uid="{00000000-0005-0000-0000-000054880000}"/>
    <cellStyle name="Notas 2 2 3 9 2 2 2" xfId="34751" xr:uid="{00000000-0005-0000-0000-000055880000}"/>
    <cellStyle name="Notas 2 2 3 9 2 2 3" xfId="34752" xr:uid="{00000000-0005-0000-0000-000056880000}"/>
    <cellStyle name="Notas 2 2 3 9 2 2 4" xfId="34753" xr:uid="{00000000-0005-0000-0000-000057880000}"/>
    <cellStyle name="Notas 2 2 3 9 2 3" xfId="34754" xr:uid="{00000000-0005-0000-0000-000058880000}"/>
    <cellStyle name="Notas 2 2 3 9 2 3 2" xfId="34755" xr:uid="{00000000-0005-0000-0000-000059880000}"/>
    <cellStyle name="Notas 2 2 3 9 2 3 3" xfId="34756" xr:uid="{00000000-0005-0000-0000-00005A880000}"/>
    <cellStyle name="Notas 2 2 3 9 2 3 4" xfId="34757" xr:uid="{00000000-0005-0000-0000-00005B880000}"/>
    <cellStyle name="Notas 2 2 3 9 2 4" xfId="34758" xr:uid="{00000000-0005-0000-0000-00005C880000}"/>
    <cellStyle name="Notas 2 2 3 9 2 5" xfId="34759" xr:uid="{00000000-0005-0000-0000-00005D880000}"/>
    <cellStyle name="Notas 2 2 3 9 2 6" xfId="34760" xr:uid="{00000000-0005-0000-0000-00005E880000}"/>
    <cellStyle name="Notas 2 2 3 9 3" xfId="34761" xr:uid="{00000000-0005-0000-0000-00005F880000}"/>
    <cellStyle name="Notas 2 2 3 9 3 2" xfId="34762" xr:uid="{00000000-0005-0000-0000-000060880000}"/>
    <cellStyle name="Notas 2 2 3 9 3 2 2" xfId="34763" xr:uid="{00000000-0005-0000-0000-000061880000}"/>
    <cellStyle name="Notas 2 2 3 9 3 2 3" xfId="34764" xr:uid="{00000000-0005-0000-0000-000062880000}"/>
    <cellStyle name="Notas 2 2 3 9 3 2 4" xfId="34765" xr:uid="{00000000-0005-0000-0000-000063880000}"/>
    <cellStyle name="Notas 2 2 3 9 3 3" xfId="34766" xr:uid="{00000000-0005-0000-0000-000064880000}"/>
    <cellStyle name="Notas 2 2 3 9 3 3 2" xfId="34767" xr:uid="{00000000-0005-0000-0000-000065880000}"/>
    <cellStyle name="Notas 2 2 3 9 3 3 3" xfId="34768" xr:uid="{00000000-0005-0000-0000-000066880000}"/>
    <cellStyle name="Notas 2 2 3 9 3 3 4" xfId="34769" xr:uid="{00000000-0005-0000-0000-000067880000}"/>
    <cellStyle name="Notas 2 2 3 9 3 4" xfId="34770" xr:uid="{00000000-0005-0000-0000-000068880000}"/>
    <cellStyle name="Notas 2 2 3 9 3 5" xfId="34771" xr:uid="{00000000-0005-0000-0000-000069880000}"/>
    <cellStyle name="Notas 2 2 3 9 3 6" xfId="34772" xr:uid="{00000000-0005-0000-0000-00006A880000}"/>
    <cellStyle name="Notas 2 2 3 9 4" xfId="34773" xr:uid="{00000000-0005-0000-0000-00006B880000}"/>
    <cellStyle name="Notas 2 2 3 9 4 2" xfId="34774" xr:uid="{00000000-0005-0000-0000-00006C880000}"/>
    <cellStyle name="Notas 2 2 3 9 4 3" xfId="34775" xr:uid="{00000000-0005-0000-0000-00006D880000}"/>
    <cellStyle name="Notas 2 2 3 9 4 4" xfId="34776" xr:uid="{00000000-0005-0000-0000-00006E880000}"/>
    <cellStyle name="Notas 2 2 3 9 5" xfId="34777" xr:uid="{00000000-0005-0000-0000-00006F880000}"/>
    <cellStyle name="Notas 2 2 3 9 6" xfId="34778" xr:uid="{00000000-0005-0000-0000-000070880000}"/>
    <cellStyle name="Notas 2 2 4" xfId="34779" xr:uid="{00000000-0005-0000-0000-000071880000}"/>
    <cellStyle name="Notas 2 2 4 2" xfId="34780" xr:uid="{00000000-0005-0000-0000-000072880000}"/>
    <cellStyle name="Notas 2 2 4 2 2" xfId="34781" xr:uid="{00000000-0005-0000-0000-000073880000}"/>
    <cellStyle name="Notas 2 2 4 2 2 2" xfId="34782" xr:uid="{00000000-0005-0000-0000-000074880000}"/>
    <cellStyle name="Notas 2 2 4 2 2 2 2" xfId="34783" xr:uid="{00000000-0005-0000-0000-000075880000}"/>
    <cellStyle name="Notas 2 2 4 2 2 2 3" xfId="34784" xr:uid="{00000000-0005-0000-0000-000076880000}"/>
    <cellStyle name="Notas 2 2 4 2 2 2 4" xfId="34785" xr:uid="{00000000-0005-0000-0000-000077880000}"/>
    <cellStyle name="Notas 2 2 4 2 2 3" xfId="34786" xr:uid="{00000000-0005-0000-0000-000078880000}"/>
    <cellStyle name="Notas 2 2 4 2 2 3 2" xfId="34787" xr:uid="{00000000-0005-0000-0000-000079880000}"/>
    <cellStyle name="Notas 2 2 4 2 2 3 3" xfId="34788" xr:uid="{00000000-0005-0000-0000-00007A880000}"/>
    <cellStyle name="Notas 2 2 4 2 2 3 4" xfId="34789" xr:uid="{00000000-0005-0000-0000-00007B880000}"/>
    <cellStyle name="Notas 2 2 4 2 2 4" xfId="34790" xr:uid="{00000000-0005-0000-0000-00007C880000}"/>
    <cellStyle name="Notas 2 2 4 2 2 5" xfId="34791" xr:uid="{00000000-0005-0000-0000-00007D880000}"/>
    <cellStyle name="Notas 2 2 4 2 2 6" xfId="34792" xr:uid="{00000000-0005-0000-0000-00007E880000}"/>
    <cellStyle name="Notas 2 2 4 2 3" xfId="34793" xr:uid="{00000000-0005-0000-0000-00007F880000}"/>
    <cellStyle name="Notas 2 2 4 2 3 2" xfId="34794" xr:uid="{00000000-0005-0000-0000-000080880000}"/>
    <cellStyle name="Notas 2 2 4 2 3 2 2" xfId="34795" xr:uid="{00000000-0005-0000-0000-000081880000}"/>
    <cellStyle name="Notas 2 2 4 2 3 2 3" xfId="34796" xr:uid="{00000000-0005-0000-0000-000082880000}"/>
    <cellStyle name="Notas 2 2 4 2 3 2 4" xfId="34797" xr:uid="{00000000-0005-0000-0000-000083880000}"/>
    <cellStyle name="Notas 2 2 4 2 3 3" xfId="34798" xr:uid="{00000000-0005-0000-0000-000084880000}"/>
    <cellStyle name="Notas 2 2 4 2 3 3 2" xfId="34799" xr:uid="{00000000-0005-0000-0000-000085880000}"/>
    <cellStyle name="Notas 2 2 4 2 3 3 3" xfId="34800" xr:uid="{00000000-0005-0000-0000-000086880000}"/>
    <cellStyle name="Notas 2 2 4 2 3 3 4" xfId="34801" xr:uid="{00000000-0005-0000-0000-000087880000}"/>
    <cellStyle name="Notas 2 2 4 2 3 4" xfId="34802" xr:uid="{00000000-0005-0000-0000-000088880000}"/>
    <cellStyle name="Notas 2 2 4 2 3 5" xfId="34803" xr:uid="{00000000-0005-0000-0000-000089880000}"/>
    <cellStyle name="Notas 2 2 4 2 3 6" xfId="34804" xr:uid="{00000000-0005-0000-0000-00008A880000}"/>
    <cellStyle name="Notas 2 2 4 2 4" xfId="34805" xr:uid="{00000000-0005-0000-0000-00008B880000}"/>
    <cellStyle name="Notas 2 2 4 2 5" xfId="34806" xr:uid="{00000000-0005-0000-0000-00008C880000}"/>
    <cellStyle name="Notas 2 2 4 2 6" xfId="34807" xr:uid="{00000000-0005-0000-0000-00008D880000}"/>
    <cellStyle name="Notas 2 2 4 3" xfId="34808" xr:uid="{00000000-0005-0000-0000-00008E880000}"/>
    <cellStyle name="Notas 2 2 4 4" xfId="34809" xr:uid="{00000000-0005-0000-0000-00008F880000}"/>
    <cellStyle name="Notas 2 2 5" xfId="34810" xr:uid="{00000000-0005-0000-0000-000090880000}"/>
    <cellStyle name="Notas 2 2 5 2" xfId="34811" xr:uid="{00000000-0005-0000-0000-000091880000}"/>
    <cellStyle name="Notas 2 2 5 2 2" xfId="34812" xr:uid="{00000000-0005-0000-0000-000092880000}"/>
    <cellStyle name="Notas 2 2 5 2 2 2" xfId="34813" xr:uid="{00000000-0005-0000-0000-000093880000}"/>
    <cellStyle name="Notas 2 2 5 2 2 2 2" xfId="34814" xr:uid="{00000000-0005-0000-0000-000094880000}"/>
    <cellStyle name="Notas 2 2 5 2 2 2 3" xfId="34815" xr:uid="{00000000-0005-0000-0000-000095880000}"/>
    <cellStyle name="Notas 2 2 5 2 2 2 4" xfId="34816" xr:uid="{00000000-0005-0000-0000-000096880000}"/>
    <cellStyle name="Notas 2 2 5 2 2 3" xfId="34817" xr:uid="{00000000-0005-0000-0000-000097880000}"/>
    <cellStyle name="Notas 2 2 5 2 2 3 2" xfId="34818" xr:uid="{00000000-0005-0000-0000-000098880000}"/>
    <cellStyle name="Notas 2 2 5 2 2 3 3" xfId="34819" xr:uid="{00000000-0005-0000-0000-000099880000}"/>
    <cellStyle name="Notas 2 2 5 2 2 3 4" xfId="34820" xr:uid="{00000000-0005-0000-0000-00009A880000}"/>
    <cellStyle name="Notas 2 2 5 2 2 4" xfId="34821" xr:uid="{00000000-0005-0000-0000-00009B880000}"/>
    <cellStyle name="Notas 2 2 5 2 2 5" xfId="34822" xr:uid="{00000000-0005-0000-0000-00009C880000}"/>
    <cellStyle name="Notas 2 2 5 2 2 6" xfId="34823" xr:uid="{00000000-0005-0000-0000-00009D880000}"/>
    <cellStyle name="Notas 2 2 5 2 3" xfId="34824" xr:uid="{00000000-0005-0000-0000-00009E880000}"/>
    <cellStyle name="Notas 2 2 5 2 3 2" xfId="34825" xr:uid="{00000000-0005-0000-0000-00009F880000}"/>
    <cellStyle name="Notas 2 2 5 2 3 2 2" xfId="34826" xr:uid="{00000000-0005-0000-0000-0000A0880000}"/>
    <cellStyle name="Notas 2 2 5 2 3 2 3" xfId="34827" xr:uid="{00000000-0005-0000-0000-0000A1880000}"/>
    <cellStyle name="Notas 2 2 5 2 3 2 4" xfId="34828" xr:uid="{00000000-0005-0000-0000-0000A2880000}"/>
    <cellStyle name="Notas 2 2 5 2 3 3" xfId="34829" xr:uid="{00000000-0005-0000-0000-0000A3880000}"/>
    <cellStyle name="Notas 2 2 5 2 3 3 2" xfId="34830" xr:uid="{00000000-0005-0000-0000-0000A4880000}"/>
    <cellStyle name="Notas 2 2 5 2 3 3 3" xfId="34831" xr:uid="{00000000-0005-0000-0000-0000A5880000}"/>
    <cellStyle name="Notas 2 2 5 2 3 3 4" xfId="34832" xr:uid="{00000000-0005-0000-0000-0000A6880000}"/>
    <cellStyle name="Notas 2 2 5 2 3 4" xfId="34833" xr:uid="{00000000-0005-0000-0000-0000A7880000}"/>
    <cellStyle name="Notas 2 2 5 2 3 5" xfId="34834" xr:uid="{00000000-0005-0000-0000-0000A8880000}"/>
    <cellStyle name="Notas 2 2 5 2 3 6" xfId="34835" xr:uid="{00000000-0005-0000-0000-0000A9880000}"/>
    <cellStyle name="Notas 2 2 5 2 4" xfId="34836" xr:uid="{00000000-0005-0000-0000-0000AA880000}"/>
    <cellStyle name="Notas 2 2 5 2 5" xfId="34837" xr:uid="{00000000-0005-0000-0000-0000AB880000}"/>
    <cellStyle name="Notas 2 2 5 2 6" xfId="34838" xr:uid="{00000000-0005-0000-0000-0000AC880000}"/>
    <cellStyle name="Notas 2 2 5 3" xfId="34839" xr:uid="{00000000-0005-0000-0000-0000AD880000}"/>
    <cellStyle name="Notas 2 2 5 4" xfId="34840" xr:uid="{00000000-0005-0000-0000-0000AE880000}"/>
    <cellStyle name="Notas 2 2 6" xfId="34841" xr:uid="{00000000-0005-0000-0000-0000AF880000}"/>
    <cellStyle name="Notas 2 2 6 2" xfId="34842" xr:uid="{00000000-0005-0000-0000-0000B0880000}"/>
    <cellStyle name="Notas 2 2 6 2 2" xfId="34843" xr:uid="{00000000-0005-0000-0000-0000B1880000}"/>
    <cellStyle name="Notas 2 2 6 2 2 2" xfId="34844" xr:uid="{00000000-0005-0000-0000-0000B2880000}"/>
    <cellStyle name="Notas 2 2 6 2 2 2 2" xfId="34845" xr:uid="{00000000-0005-0000-0000-0000B3880000}"/>
    <cellStyle name="Notas 2 2 6 2 2 2 3" xfId="34846" xr:uid="{00000000-0005-0000-0000-0000B4880000}"/>
    <cellStyle name="Notas 2 2 6 2 2 2 4" xfId="34847" xr:uid="{00000000-0005-0000-0000-0000B5880000}"/>
    <cellStyle name="Notas 2 2 6 2 2 3" xfId="34848" xr:uid="{00000000-0005-0000-0000-0000B6880000}"/>
    <cellStyle name="Notas 2 2 6 2 2 3 2" xfId="34849" xr:uid="{00000000-0005-0000-0000-0000B7880000}"/>
    <cellStyle name="Notas 2 2 6 2 2 3 3" xfId="34850" xr:uid="{00000000-0005-0000-0000-0000B8880000}"/>
    <cellStyle name="Notas 2 2 6 2 2 3 4" xfId="34851" xr:uid="{00000000-0005-0000-0000-0000B9880000}"/>
    <cellStyle name="Notas 2 2 6 2 2 4" xfId="34852" xr:uid="{00000000-0005-0000-0000-0000BA880000}"/>
    <cellStyle name="Notas 2 2 6 2 2 5" xfId="34853" xr:uid="{00000000-0005-0000-0000-0000BB880000}"/>
    <cellStyle name="Notas 2 2 6 2 2 6" xfId="34854" xr:uid="{00000000-0005-0000-0000-0000BC880000}"/>
    <cellStyle name="Notas 2 2 6 2 3" xfId="34855" xr:uid="{00000000-0005-0000-0000-0000BD880000}"/>
    <cellStyle name="Notas 2 2 6 2 3 2" xfId="34856" xr:uid="{00000000-0005-0000-0000-0000BE880000}"/>
    <cellStyle name="Notas 2 2 6 2 3 2 2" xfId="34857" xr:uid="{00000000-0005-0000-0000-0000BF880000}"/>
    <cellStyle name="Notas 2 2 6 2 3 2 3" xfId="34858" xr:uid="{00000000-0005-0000-0000-0000C0880000}"/>
    <cellStyle name="Notas 2 2 6 2 3 2 4" xfId="34859" xr:uid="{00000000-0005-0000-0000-0000C1880000}"/>
    <cellStyle name="Notas 2 2 6 2 3 3" xfId="34860" xr:uid="{00000000-0005-0000-0000-0000C2880000}"/>
    <cellStyle name="Notas 2 2 6 2 3 3 2" xfId="34861" xr:uid="{00000000-0005-0000-0000-0000C3880000}"/>
    <cellStyle name="Notas 2 2 6 2 3 3 3" xfId="34862" xr:uid="{00000000-0005-0000-0000-0000C4880000}"/>
    <cellStyle name="Notas 2 2 6 2 3 3 4" xfId="34863" xr:uid="{00000000-0005-0000-0000-0000C5880000}"/>
    <cellStyle name="Notas 2 2 6 2 3 4" xfId="34864" xr:uid="{00000000-0005-0000-0000-0000C6880000}"/>
    <cellStyle name="Notas 2 2 6 2 3 5" xfId="34865" xr:uid="{00000000-0005-0000-0000-0000C7880000}"/>
    <cellStyle name="Notas 2 2 6 2 3 6" xfId="34866" xr:uid="{00000000-0005-0000-0000-0000C8880000}"/>
    <cellStyle name="Notas 2 2 6 2 4" xfId="34867" xr:uid="{00000000-0005-0000-0000-0000C9880000}"/>
    <cellStyle name="Notas 2 2 6 2 5" xfId="34868" xr:uid="{00000000-0005-0000-0000-0000CA880000}"/>
    <cellStyle name="Notas 2 2 6 2 6" xfId="34869" xr:uid="{00000000-0005-0000-0000-0000CB880000}"/>
    <cellStyle name="Notas 2 2 6 3" xfId="34870" xr:uid="{00000000-0005-0000-0000-0000CC880000}"/>
    <cellStyle name="Notas 2 2 6 4" xfId="34871" xr:uid="{00000000-0005-0000-0000-0000CD880000}"/>
    <cellStyle name="Notas 2 2 7" xfId="34872" xr:uid="{00000000-0005-0000-0000-0000CE880000}"/>
    <cellStyle name="Notas 2 2 7 2" xfId="34873" xr:uid="{00000000-0005-0000-0000-0000CF880000}"/>
    <cellStyle name="Notas 2 2 7 2 2" xfId="34874" xr:uid="{00000000-0005-0000-0000-0000D0880000}"/>
    <cellStyle name="Notas 2 2 7 2 2 2" xfId="34875" xr:uid="{00000000-0005-0000-0000-0000D1880000}"/>
    <cellStyle name="Notas 2 2 7 2 2 2 2" xfId="34876" xr:uid="{00000000-0005-0000-0000-0000D2880000}"/>
    <cellStyle name="Notas 2 2 7 2 2 2 3" xfId="34877" xr:uid="{00000000-0005-0000-0000-0000D3880000}"/>
    <cellStyle name="Notas 2 2 7 2 2 2 4" xfId="34878" xr:uid="{00000000-0005-0000-0000-0000D4880000}"/>
    <cellStyle name="Notas 2 2 7 2 2 3" xfId="34879" xr:uid="{00000000-0005-0000-0000-0000D5880000}"/>
    <cellStyle name="Notas 2 2 7 2 2 3 2" xfId="34880" xr:uid="{00000000-0005-0000-0000-0000D6880000}"/>
    <cellStyle name="Notas 2 2 7 2 2 3 3" xfId="34881" xr:uid="{00000000-0005-0000-0000-0000D7880000}"/>
    <cellStyle name="Notas 2 2 7 2 2 3 4" xfId="34882" xr:uid="{00000000-0005-0000-0000-0000D8880000}"/>
    <cellStyle name="Notas 2 2 7 2 2 4" xfId="34883" xr:uid="{00000000-0005-0000-0000-0000D9880000}"/>
    <cellStyle name="Notas 2 2 7 2 2 5" xfId="34884" xr:uid="{00000000-0005-0000-0000-0000DA880000}"/>
    <cellStyle name="Notas 2 2 7 2 2 6" xfId="34885" xr:uid="{00000000-0005-0000-0000-0000DB880000}"/>
    <cellStyle name="Notas 2 2 7 2 3" xfId="34886" xr:uid="{00000000-0005-0000-0000-0000DC880000}"/>
    <cellStyle name="Notas 2 2 7 2 3 2" xfId="34887" xr:uid="{00000000-0005-0000-0000-0000DD880000}"/>
    <cellStyle name="Notas 2 2 7 2 3 2 2" xfId="34888" xr:uid="{00000000-0005-0000-0000-0000DE880000}"/>
    <cellStyle name="Notas 2 2 7 2 3 2 3" xfId="34889" xr:uid="{00000000-0005-0000-0000-0000DF880000}"/>
    <cellStyle name="Notas 2 2 7 2 3 2 4" xfId="34890" xr:uid="{00000000-0005-0000-0000-0000E0880000}"/>
    <cellStyle name="Notas 2 2 7 2 3 3" xfId="34891" xr:uid="{00000000-0005-0000-0000-0000E1880000}"/>
    <cellStyle name="Notas 2 2 7 2 3 3 2" xfId="34892" xr:uid="{00000000-0005-0000-0000-0000E2880000}"/>
    <cellStyle name="Notas 2 2 7 2 3 3 3" xfId="34893" xr:uid="{00000000-0005-0000-0000-0000E3880000}"/>
    <cellStyle name="Notas 2 2 7 2 3 3 4" xfId="34894" xr:uid="{00000000-0005-0000-0000-0000E4880000}"/>
    <cellStyle name="Notas 2 2 7 2 3 4" xfId="34895" xr:uid="{00000000-0005-0000-0000-0000E5880000}"/>
    <cellStyle name="Notas 2 2 7 2 3 5" xfId="34896" xr:uid="{00000000-0005-0000-0000-0000E6880000}"/>
    <cellStyle name="Notas 2 2 7 2 3 6" xfId="34897" xr:uid="{00000000-0005-0000-0000-0000E7880000}"/>
    <cellStyle name="Notas 2 2 7 2 4" xfId="34898" xr:uid="{00000000-0005-0000-0000-0000E8880000}"/>
    <cellStyle name="Notas 2 2 7 2 5" xfId="34899" xr:uid="{00000000-0005-0000-0000-0000E9880000}"/>
    <cellStyle name="Notas 2 2 7 2 6" xfId="34900" xr:uid="{00000000-0005-0000-0000-0000EA880000}"/>
    <cellStyle name="Notas 2 2 7 3" xfId="34901" xr:uid="{00000000-0005-0000-0000-0000EB880000}"/>
    <cellStyle name="Notas 2 2 7 4" xfId="34902" xr:uid="{00000000-0005-0000-0000-0000EC880000}"/>
    <cellStyle name="Notas 2 2 8" xfId="34903" xr:uid="{00000000-0005-0000-0000-0000ED880000}"/>
    <cellStyle name="Notas 2 2 8 2" xfId="34904" xr:uid="{00000000-0005-0000-0000-0000EE880000}"/>
    <cellStyle name="Notas 2 2 8 2 2" xfId="34905" xr:uid="{00000000-0005-0000-0000-0000EF880000}"/>
    <cellStyle name="Notas 2 2 8 2 2 2" xfId="34906" xr:uid="{00000000-0005-0000-0000-0000F0880000}"/>
    <cellStyle name="Notas 2 2 8 2 2 3" xfId="34907" xr:uid="{00000000-0005-0000-0000-0000F1880000}"/>
    <cellStyle name="Notas 2 2 8 2 2 4" xfId="34908" xr:uid="{00000000-0005-0000-0000-0000F2880000}"/>
    <cellStyle name="Notas 2 2 8 2 3" xfId="34909" xr:uid="{00000000-0005-0000-0000-0000F3880000}"/>
    <cellStyle name="Notas 2 2 8 2 3 2" xfId="34910" xr:uid="{00000000-0005-0000-0000-0000F4880000}"/>
    <cellStyle name="Notas 2 2 8 2 3 3" xfId="34911" xr:uid="{00000000-0005-0000-0000-0000F5880000}"/>
    <cellStyle name="Notas 2 2 8 2 3 4" xfId="34912" xr:uid="{00000000-0005-0000-0000-0000F6880000}"/>
    <cellStyle name="Notas 2 2 8 2 4" xfId="34913" xr:uid="{00000000-0005-0000-0000-0000F7880000}"/>
    <cellStyle name="Notas 2 2 8 2 5" xfId="34914" xr:uid="{00000000-0005-0000-0000-0000F8880000}"/>
    <cellStyle name="Notas 2 2 8 2 6" xfId="34915" xr:uid="{00000000-0005-0000-0000-0000F9880000}"/>
    <cellStyle name="Notas 2 2 8 3" xfId="34916" xr:uid="{00000000-0005-0000-0000-0000FA880000}"/>
    <cellStyle name="Notas 2 2 8 3 2" xfId="34917" xr:uid="{00000000-0005-0000-0000-0000FB880000}"/>
    <cellStyle name="Notas 2 2 8 3 2 2" xfId="34918" xr:uid="{00000000-0005-0000-0000-0000FC880000}"/>
    <cellStyle name="Notas 2 2 8 3 2 3" xfId="34919" xr:uid="{00000000-0005-0000-0000-0000FD880000}"/>
    <cellStyle name="Notas 2 2 8 3 2 4" xfId="34920" xr:uid="{00000000-0005-0000-0000-0000FE880000}"/>
    <cellStyle name="Notas 2 2 8 3 3" xfId="34921" xr:uid="{00000000-0005-0000-0000-0000FF880000}"/>
    <cellStyle name="Notas 2 2 8 3 3 2" xfId="34922" xr:uid="{00000000-0005-0000-0000-000000890000}"/>
    <cellStyle name="Notas 2 2 8 3 3 3" xfId="34923" xr:uid="{00000000-0005-0000-0000-000001890000}"/>
    <cellStyle name="Notas 2 2 8 3 3 4" xfId="34924" xr:uid="{00000000-0005-0000-0000-000002890000}"/>
    <cellStyle name="Notas 2 2 8 3 4" xfId="34925" xr:uid="{00000000-0005-0000-0000-000003890000}"/>
    <cellStyle name="Notas 2 2 8 3 5" xfId="34926" xr:uid="{00000000-0005-0000-0000-000004890000}"/>
    <cellStyle name="Notas 2 2 8 3 6" xfId="34927" xr:uid="{00000000-0005-0000-0000-000005890000}"/>
    <cellStyle name="Notas 2 2 8 4" xfId="34928" xr:uid="{00000000-0005-0000-0000-000006890000}"/>
    <cellStyle name="Notas 2 2 8 4 2" xfId="34929" xr:uid="{00000000-0005-0000-0000-000007890000}"/>
    <cellStyle name="Notas 2 2 8 4 3" xfId="34930" xr:uid="{00000000-0005-0000-0000-000008890000}"/>
    <cellStyle name="Notas 2 2 8 4 4" xfId="34931" xr:uid="{00000000-0005-0000-0000-000009890000}"/>
    <cellStyle name="Notas 2 2 8 5" xfId="34932" xr:uid="{00000000-0005-0000-0000-00000A890000}"/>
    <cellStyle name="Notas 2 2 8 6" xfId="34933" xr:uid="{00000000-0005-0000-0000-00000B890000}"/>
    <cellStyle name="Notas 2 2 9" xfId="34934" xr:uid="{00000000-0005-0000-0000-00000C890000}"/>
    <cellStyle name="Notas 2 2 9 2" xfId="34935" xr:uid="{00000000-0005-0000-0000-00000D890000}"/>
    <cellStyle name="Notas 2 2 9 2 2" xfId="34936" xr:uid="{00000000-0005-0000-0000-00000E890000}"/>
    <cellStyle name="Notas 2 2 9 2 2 2" xfId="34937" xr:uid="{00000000-0005-0000-0000-00000F890000}"/>
    <cellStyle name="Notas 2 2 9 2 2 3" xfId="34938" xr:uid="{00000000-0005-0000-0000-000010890000}"/>
    <cellStyle name="Notas 2 2 9 2 2 4" xfId="34939" xr:uid="{00000000-0005-0000-0000-000011890000}"/>
    <cellStyle name="Notas 2 2 9 2 3" xfId="34940" xr:uid="{00000000-0005-0000-0000-000012890000}"/>
    <cellStyle name="Notas 2 2 9 2 3 2" xfId="34941" xr:uid="{00000000-0005-0000-0000-000013890000}"/>
    <cellStyle name="Notas 2 2 9 2 3 3" xfId="34942" xr:uid="{00000000-0005-0000-0000-000014890000}"/>
    <cellStyle name="Notas 2 2 9 2 3 4" xfId="34943" xr:uid="{00000000-0005-0000-0000-000015890000}"/>
    <cellStyle name="Notas 2 2 9 2 4" xfId="34944" xr:uid="{00000000-0005-0000-0000-000016890000}"/>
    <cellStyle name="Notas 2 2 9 2 5" xfId="34945" xr:uid="{00000000-0005-0000-0000-000017890000}"/>
    <cellStyle name="Notas 2 2 9 2 6" xfId="34946" xr:uid="{00000000-0005-0000-0000-000018890000}"/>
    <cellStyle name="Notas 2 2 9 3" xfId="34947" xr:uid="{00000000-0005-0000-0000-000019890000}"/>
    <cellStyle name="Notas 2 2 9 3 2" xfId="34948" xr:uid="{00000000-0005-0000-0000-00001A890000}"/>
    <cellStyle name="Notas 2 2 9 3 2 2" xfId="34949" xr:uid="{00000000-0005-0000-0000-00001B890000}"/>
    <cellStyle name="Notas 2 2 9 3 2 3" xfId="34950" xr:uid="{00000000-0005-0000-0000-00001C890000}"/>
    <cellStyle name="Notas 2 2 9 3 2 4" xfId="34951" xr:uid="{00000000-0005-0000-0000-00001D890000}"/>
    <cellStyle name="Notas 2 2 9 3 3" xfId="34952" xr:uid="{00000000-0005-0000-0000-00001E890000}"/>
    <cellStyle name="Notas 2 2 9 3 3 2" xfId="34953" xr:uid="{00000000-0005-0000-0000-00001F890000}"/>
    <cellStyle name="Notas 2 2 9 3 3 3" xfId="34954" xr:uid="{00000000-0005-0000-0000-000020890000}"/>
    <cellStyle name="Notas 2 2 9 3 3 4" xfId="34955" xr:uid="{00000000-0005-0000-0000-000021890000}"/>
    <cellStyle name="Notas 2 2 9 3 4" xfId="34956" xr:uid="{00000000-0005-0000-0000-000022890000}"/>
    <cellStyle name="Notas 2 2 9 3 5" xfId="34957" xr:uid="{00000000-0005-0000-0000-000023890000}"/>
    <cellStyle name="Notas 2 2 9 3 6" xfId="34958" xr:uid="{00000000-0005-0000-0000-000024890000}"/>
    <cellStyle name="Notas 2 2 9 4" xfId="34959" xr:uid="{00000000-0005-0000-0000-000025890000}"/>
    <cellStyle name="Notas 2 2 9 4 2" xfId="34960" xr:uid="{00000000-0005-0000-0000-000026890000}"/>
    <cellStyle name="Notas 2 2 9 4 3" xfId="34961" xr:uid="{00000000-0005-0000-0000-000027890000}"/>
    <cellStyle name="Notas 2 2 9 4 4" xfId="34962" xr:uid="{00000000-0005-0000-0000-000028890000}"/>
    <cellStyle name="Notas 2 2 9 5" xfId="34963" xr:uid="{00000000-0005-0000-0000-000029890000}"/>
    <cellStyle name="Notas 2 2 9 6" xfId="34964" xr:uid="{00000000-0005-0000-0000-00002A890000}"/>
    <cellStyle name="Notas 2 3" xfId="34965" xr:uid="{00000000-0005-0000-0000-00002B890000}"/>
    <cellStyle name="Notas 2 3 10" xfId="34966" xr:uid="{00000000-0005-0000-0000-00002C890000}"/>
    <cellStyle name="Notas 2 3 10 2" xfId="34967" xr:uid="{00000000-0005-0000-0000-00002D890000}"/>
    <cellStyle name="Notas 2 3 10 2 2" xfId="34968" xr:uid="{00000000-0005-0000-0000-00002E890000}"/>
    <cellStyle name="Notas 2 3 10 2 2 2" xfId="34969" xr:uid="{00000000-0005-0000-0000-00002F890000}"/>
    <cellStyle name="Notas 2 3 10 2 2 3" xfId="34970" xr:uid="{00000000-0005-0000-0000-000030890000}"/>
    <cellStyle name="Notas 2 3 10 2 2 4" xfId="34971" xr:uid="{00000000-0005-0000-0000-000031890000}"/>
    <cellStyle name="Notas 2 3 10 2 3" xfId="34972" xr:uid="{00000000-0005-0000-0000-000032890000}"/>
    <cellStyle name="Notas 2 3 10 2 3 2" xfId="34973" xr:uid="{00000000-0005-0000-0000-000033890000}"/>
    <cellStyle name="Notas 2 3 10 2 3 3" xfId="34974" xr:uid="{00000000-0005-0000-0000-000034890000}"/>
    <cellStyle name="Notas 2 3 10 2 3 4" xfId="34975" xr:uid="{00000000-0005-0000-0000-000035890000}"/>
    <cellStyle name="Notas 2 3 10 2 4" xfId="34976" xr:uid="{00000000-0005-0000-0000-000036890000}"/>
    <cellStyle name="Notas 2 3 10 2 5" xfId="34977" xr:uid="{00000000-0005-0000-0000-000037890000}"/>
    <cellStyle name="Notas 2 3 10 2 6" xfId="34978" xr:uid="{00000000-0005-0000-0000-000038890000}"/>
    <cellStyle name="Notas 2 3 10 3" xfId="34979" xr:uid="{00000000-0005-0000-0000-000039890000}"/>
    <cellStyle name="Notas 2 3 10 3 2" xfId="34980" xr:uid="{00000000-0005-0000-0000-00003A890000}"/>
    <cellStyle name="Notas 2 3 10 3 2 2" xfId="34981" xr:uid="{00000000-0005-0000-0000-00003B890000}"/>
    <cellStyle name="Notas 2 3 10 3 2 3" xfId="34982" xr:uid="{00000000-0005-0000-0000-00003C890000}"/>
    <cellStyle name="Notas 2 3 10 3 2 4" xfId="34983" xr:uid="{00000000-0005-0000-0000-00003D890000}"/>
    <cellStyle name="Notas 2 3 10 3 3" xfId="34984" xr:uid="{00000000-0005-0000-0000-00003E890000}"/>
    <cellStyle name="Notas 2 3 10 3 3 2" xfId="34985" xr:uid="{00000000-0005-0000-0000-00003F890000}"/>
    <cellStyle name="Notas 2 3 10 3 3 3" xfId="34986" xr:uid="{00000000-0005-0000-0000-000040890000}"/>
    <cellStyle name="Notas 2 3 10 3 3 4" xfId="34987" xr:uid="{00000000-0005-0000-0000-000041890000}"/>
    <cellStyle name="Notas 2 3 10 3 4" xfId="34988" xr:uid="{00000000-0005-0000-0000-000042890000}"/>
    <cellStyle name="Notas 2 3 10 3 5" xfId="34989" xr:uid="{00000000-0005-0000-0000-000043890000}"/>
    <cellStyle name="Notas 2 3 10 3 6" xfId="34990" xr:uid="{00000000-0005-0000-0000-000044890000}"/>
    <cellStyle name="Notas 2 3 10 4" xfId="34991" xr:uid="{00000000-0005-0000-0000-000045890000}"/>
    <cellStyle name="Notas 2 3 10 5" xfId="34992" xr:uid="{00000000-0005-0000-0000-000046890000}"/>
    <cellStyle name="Notas 2 3 10 6" xfId="34993" xr:uid="{00000000-0005-0000-0000-000047890000}"/>
    <cellStyle name="Notas 2 3 11" xfId="34994" xr:uid="{00000000-0005-0000-0000-000048890000}"/>
    <cellStyle name="Notas 2 3 12" xfId="34995" xr:uid="{00000000-0005-0000-0000-000049890000}"/>
    <cellStyle name="Notas 2 3 2" xfId="34996" xr:uid="{00000000-0005-0000-0000-00004A890000}"/>
    <cellStyle name="Notas 2 3 2 2" xfId="34997" xr:uid="{00000000-0005-0000-0000-00004B890000}"/>
    <cellStyle name="Notas 2 3 2 2 2" xfId="34998" xr:uid="{00000000-0005-0000-0000-00004C890000}"/>
    <cellStyle name="Notas 2 3 2 2 2 2" xfId="34999" xr:uid="{00000000-0005-0000-0000-00004D890000}"/>
    <cellStyle name="Notas 2 3 2 2 2 2 2" xfId="35000" xr:uid="{00000000-0005-0000-0000-00004E890000}"/>
    <cellStyle name="Notas 2 3 2 2 2 2 3" xfId="35001" xr:uid="{00000000-0005-0000-0000-00004F890000}"/>
    <cellStyle name="Notas 2 3 2 2 2 2 4" xfId="35002" xr:uid="{00000000-0005-0000-0000-000050890000}"/>
    <cellStyle name="Notas 2 3 2 2 2 3" xfId="35003" xr:uid="{00000000-0005-0000-0000-000051890000}"/>
    <cellStyle name="Notas 2 3 2 2 2 3 2" xfId="35004" xr:uid="{00000000-0005-0000-0000-000052890000}"/>
    <cellStyle name="Notas 2 3 2 2 2 3 3" xfId="35005" xr:uid="{00000000-0005-0000-0000-000053890000}"/>
    <cellStyle name="Notas 2 3 2 2 2 3 4" xfId="35006" xr:uid="{00000000-0005-0000-0000-000054890000}"/>
    <cellStyle name="Notas 2 3 2 2 2 4" xfId="35007" xr:uid="{00000000-0005-0000-0000-000055890000}"/>
    <cellStyle name="Notas 2 3 2 2 2 5" xfId="35008" xr:uid="{00000000-0005-0000-0000-000056890000}"/>
    <cellStyle name="Notas 2 3 2 2 2 6" xfId="35009" xr:uid="{00000000-0005-0000-0000-000057890000}"/>
    <cellStyle name="Notas 2 3 2 2 3" xfId="35010" xr:uid="{00000000-0005-0000-0000-000058890000}"/>
    <cellStyle name="Notas 2 3 2 2 3 2" xfId="35011" xr:uid="{00000000-0005-0000-0000-000059890000}"/>
    <cellStyle name="Notas 2 3 2 2 3 2 2" xfId="35012" xr:uid="{00000000-0005-0000-0000-00005A890000}"/>
    <cellStyle name="Notas 2 3 2 2 3 2 3" xfId="35013" xr:uid="{00000000-0005-0000-0000-00005B890000}"/>
    <cellStyle name="Notas 2 3 2 2 3 2 4" xfId="35014" xr:uid="{00000000-0005-0000-0000-00005C890000}"/>
    <cellStyle name="Notas 2 3 2 2 3 3" xfId="35015" xr:uid="{00000000-0005-0000-0000-00005D890000}"/>
    <cellStyle name="Notas 2 3 2 2 3 3 2" xfId="35016" xr:uid="{00000000-0005-0000-0000-00005E890000}"/>
    <cellStyle name="Notas 2 3 2 2 3 3 3" xfId="35017" xr:uid="{00000000-0005-0000-0000-00005F890000}"/>
    <cellStyle name="Notas 2 3 2 2 3 3 4" xfId="35018" xr:uid="{00000000-0005-0000-0000-000060890000}"/>
    <cellStyle name="Notas 2 3 2 2 3 4" xfId="35019" xr:uid="{00000000-0005-0000-0000-000061890000}"/>
    <cellStyle name="Notas 2 3 2 2 3 5" xfId="35020" xr:uid="{00000000-0005-0000-0000-000062890000}"/>
    <cellStyle name="Notas 2 3 2 2 3 6" xfId="35021" xr:uid="{00000000-0005-0000-0000-000063890000}"/>
    <cellStyle name="Notas 2 3 2 2 4" xfId="35022" xr:uid="{00000000-0005-0000-0000-000064890000}"/>
    <cellStyle name="Notas 2 3 2 2 5" xfId="35023" xr:uid="{00000000-0005-0000-0000-000065890000}"/>
    <cellStyle name="Notas 2 3 2 2 6" xfId="35024" xr:uid="{00000000-0005-0000-0000-000066890000}"/>
    <cellStyle name="Notas 2 3 2 3" xfId="35025" xr:uid="{00000000-0005-0000-0000-000067890000}"/>
    <cellStyle name="Notas 2 3 2 4" xfId="35026" xr:uid="{00000000-0005-0000-0000-000068890000}"/>
    <cellStyle name="Notas 2 3 3" xfId="35027" xr:uid="{00000000-0005-0000-0000-000069890000}"/>
    <cellStyle name="Notas 2 3 3 2" xfId="35028" xr:uid="{00000000-0005-0000-0000-00006A890000}"/>
    <cellStyle name="Notas 2 3 3 2 2" xfId="35029" xr:uid="{00000000-0005-0000-0000-00006B890000}"/>
    <cellStyle name="Notas 2 3 3 2 2 2" xfId="35030" xr:uid="{00000000-0005-0000-0000-00006C890000}"/>
    <cellStyle name="Notas 2 3 3 2 2 2 2" xfId="35031" xr:uid="{00000000-0005-0000-0000-00006D890000}"/>
    <cellStyle name="Notas 2 3 3 2 2 2 3" xfId="35032" xr:uid="{00000000-0005-0000-0000-00006E890000}"/>
    <cellStyle name="Notas 2 3 3 2 2 2 4" xfId="35033" xr:uid="{00000000-0005-0000-0000-00006F890000}"/>
    <cellStyle name="Notas 2 3 3 2 2 3" xfId="35034" xr:uid="{00000000-0005-0000-0000-000070890000}"/>
    <cellStyle name="Notas 2 3 3 2 2 3 2" xfId="35035" xr:uid="{00000000-0005-0000-0000-000071890000}"/>
    <cellStyle name="Notas 2 3 3 2 2 3 3" xfId="35036" xr:uid="{00000000-0005-0000-0000-000072890000}"/>
    <cellStyle name="Notas 2 3 3 2 2 3 4" xfId="35037" xr:uid="{00000000-0005-0000-0000-000073890000}"/>
    <cellStyle name="Notas 2 3 3 2 2 4" xfId="35038" xr:uid="{00000000-0005-0000-0000-000074890000}"/>
    <cellStyle name="Notas 2 3 3 2 2 5" xfId="35039" xr:uid="{00000000-0005-0000-0000-000075890000}"/>
    <cellStyle name="Notas 2 3 3 2 2 6" xfId="35040" xr:uid="{00000000-0005-0000-0000-000076890000}"/>
    <cellStyle name="Notas 2 3 3 2 3" xfId="35041" xr:uid="{00000000-0005-0000-0000-000077890000}"/>
    <cellStyle name="Notas 2 3 3 2 3 2" xfId="35042" xr:uid="{00000000-0005-0000-0000-000078890000}"/>
    <cellStyle name="Notas 2 3 3 2 3 2 2" xfId="35043" xr:uid="{00000000-0005-0000-0000-000079890000}"/>
    <cellStyle name="Notas 2 3 3 2 3 2 3" xfId="35044" xr:uid="{00000000-0005-0000-0000-00007A890000}"/>
    <cellStyle name="Notas 2 3 3 2 3 2 4" xfId="35045" xr:uid="{00000000-0005-0000-0000-00007B890000}"/>
    <cellStyle name="Notas 2 3 3 2 3 3" xfId="35046" xr:uid="{00000000-0005-0000-0000-00007C890000}"/>
    <cellStyle name="Notas 2 3 3 2 3 3 2" xfId="35047" xr:uid="{00000000-0005-0000-0000-00007D890000}"/>
    <cellStyle name="Notas 2 3 3 2 3 3 3" xfId="35048" xr:uid="{00000000-0005-0000-0000-00007E890000}"/>
    <cellStyle name="Notas 2 3 3 2 3 3 4" xfId="35049" xr:uid="{00000000-0005-0000-0000-00007F890000}"/>
    <cellStyle name="Notas 2 3 3 2 3 4" xfId="35050" xr:uid="{00000000-0005-0000-0000-000080890000}"/>
    <cellStyle name="Notas 2 3 3 2 3 5" xfId="35051" xr:uid="{00000000-0005-0000-0000-000081890000}"/>
    <cellStyle name="Notas 2 3 3 2 3 6" xfId="35052" xr:uid="{00000000-0005-0000-0000-000082890000}"/>
    <cellStyle name="Notas 2 3 3 2 4" xfId="35053" xr:uid="{00000000-0005-0000-0000-000083890000}"/>
    <cellStyle name="Notas 2 3 3 2 5" xfId="35054" xr:uid="{00000000-0005-0000-0000-000084890000}"/>
    <cellStyle name="Notas 2 3 3 2 6" xfId="35055" xr:uid="{00000000-0005-0000-0000-000085890000}"/>
    <cellStyle name="Notas 2 3 3 3" xfId="35056" xr:uid="{00000000-0005-0000-0000-000086890000}"/>
    <cellStyle name="Notas 2 3 3 4" xfId="35057" xr:uid="{00000000-0005-0000-0000-000087890000}"/>
    <cellStyle name="Notas 2 3 4" xfId="35058" xr:uid="{00000000-0005-0000-0000-000088890000}"/>
    <cellStyle name="Notas 2 3 4 2" xfId="35059" xr:uid="{00000000-0005-0000-0000-000089890000}"/>
    <cellStyle name="Notas 2 3 4 2 2" xfId="35060" xr:uid="{00000000-0005-0000-0000-00008A890000}"/>
    <cellStyle name="Notas 2 3 4 2 2 2" xfId="35061" xr:uid="{00000000-0005-0000-0000-00008B890000}"/>
    <cellStyle name="Notas 2 3 4 2 2 2 2" xfId="35062" xr:uid="{00000000-0005-0000-0000-00008C890000}"/>
    <cellStyle name="Notas 2 3 4 2 2 2 3" xfId="35063" xr:uid="{00000000-0005-0000-0000-00008D890000}"/>
    <cellStyle name="Notas 2 3 4 2 2 2 4" xfId="35064" xr:uid="{00000000-0005-0000-0000-00008E890000}"/>
    <cellStyle name="Notas 2 3 4 2 2 3" xfId="35065" xr:uid="{00000000-0005-0000-0000-00008F890000}"/>
    <cellStyle name="Notas 2 3 4 2 2 3 2" xfId="35066" xr:uid="{00000000-0005-0000-0000-000090890000}"/>
    <cellStyle name="Notas 2 3 4 2 2 3 3" xfId="35067" xr:uid="{00000000-0005-0000-0000-000091890000}"/>
    <cellStyle name="Notas 2 3 4 2 2 3 4" xfId="35068" xr:uid="{00000000-0005-0000-0000-000092890000}"/>
    <cellStyle name="Notas 2 3 4 2 2 4" xfId="35069" xr:uid="{00000000-0005-0000-0000-000093890000}"/>
    <cellStyle name="Notas 2 3 4 2 2 5" xfId="35070" xr:uid="{00000000-0005-0000-0000-000094890000}"/>
    <cellStyle name="Notas 2 3 4 2 2 6" xfId="35071" xr:uid="{00000000-0005-0000-0000-000095890000}"/>
    <cellStyle name="Notas 2 3 4 2 3" xfId="35072" xr:uid="{00000000-0005-0000-0000-000096890000}"/>
    <cellStyle name="Notas 2 3 4 2 3 2" xfId="35073" xr:uid="{00000000-0005-0000-0000-000097890000}"/>
    <cellStyle name="Notas 2 3 4 2 3 2 2" xfId="35074" xr:uid="{00000000-0005-0000-0000-000098890000}"/>
    <cellStyle name="Notas 2 3 4 2 3 2 3" xfId="35075" xr:uid="{00000000-0005-0000-0000-000099890000}"/>
    <cellStyle name="Notas 2 3 4 2 3 2 4" xfId="35076" xr:uid="{00000000-0005-0000-0000-00009A890000}"/>
    <cellStyle name="Notas 2 3 4 2 3 3" xfId="35077" xr:uid="{00000000-0005-0000-0000-00009B890000}"/>
    <cellStyle name="Notas 2 3 4 2 3 3 2" xfId="35078" xr:uid="{00000000-0005-0000-0000-00009C890000}"/>
    <cellStyle name="Notas 2 3 4 2 3 3 3" xfId="35079" xr:uid="{00000000-0005-0000-0000-00009D890000}"/>
    <cellStyle name="Notas 2 3 4 2 3 3 4" xfId="35080" xr:uid="{00000000-0005-0000-0000-00009E890000}"/>
    <cellStyle name="Notas 2 3 4 2 3 4" xfId="35081" xr:uid="{00000000-0005-0000-0000-00009F890000}"/>
    <cellStyle name="Notas 2 3 4 2 3 5" xfId="35082" xr:uid="{00000000-0005-0000-0000-0000A0890000}"/>
    <cellStyle name="Notas 2 3 4 2 3 6" xfId="35083" xr:uid="{00000000-0005-0000-0000-0000A1890000}"/>
    <cellStyle name="Notas 2 3 4 2 4" xfId="35084" xr:uid="{00000000-0005-0000-0000-0000A2890000}"/>
    <cellStyle name="Notas 2 3 4 2 5" xfId="35085" xr:uid="{00000000-0005-0000-0000-0000A3890000}"/>
    <cellStyle name="Notas 2 3 4 2 6" xfId="35086" xr:uid="{00000000-0005-0000-0000-0000A4890000}"/>
    <cellStyle name="Notas 2 3 4 3" xfId="35087" xr:uid="{00000000-0005-0000-0000-0000A5890000}"/>
    <cellStyle name="Notas 2 3 4 4" xfId="35088" xr:uid="{00000000-0005-0000-0000-0000A6890000}"/>
    <cellStyle name="Notas 2 3 5" xfId="35089" xr:uid="{00000000-0005-0000-0000-0000A7890000}"/>
    <cellStyle name="Notas 2 3 5 2" xfId="35090" xr:uid="{00000000-0005-0000-0000-0000A8890000}"/>
    <cellStyle name="Notas 2 3 5 2 2" xfId="35091" xr:uid="{00000000-0005-0000-0000-0000A9890000}"/>
    <cellStyle name="Notas 2 3 5 2 2 2" xfId="35092" xr:uid="{00000000-0005-0000-0000-0000AA890000}"/>
    <cellStyle name="Notas 2 3 5 2 2 2 2" xfId="35093" xr:uid="{00000000-0005-0000-0000-0000AB890000}"/>
    <cellStyle name="Notas 2 3 5 2 2 2 3" xfId="35094" xr:uid="{00000000-0005-0000-0000-0000AC890000}"/>
    <cellStyle name="Notas 2 3 5 2 2 2 4" xfId="35095" xr:uid="{00000000-0005-0000-0000-0000AD890000}"/>
    <cellStyle name="Notas 2 3 5 2 2 3" xfId="35096" xr:uid="{00000000-0005-0000-0000-0000AE890000}"/>
    <cellStyle name="Notas 2 3 5 2 2 3 2" xfId="35097" xr:uid="{00000000-0005-0000-0000-0000AF890000}"/>
    <cellStyle name="Notas 2 3 5 2 2 3 3" xfId="35098" xr:uid="{00000000-0005-0000-0000-0000B0890000}"/>
    <cellStyle name="Notas 2 3 5 2 2 3 4" xfId="35099" xr:uid="{00000000-0005-0000-0000-0000B1890000}"/>
    <cellStyle name="Notas 2 3 5 2 2 4" xfId="35100" xr:uid="{00000000-0005-0000-0000-0000B2890000}"/>
    <cellStyle name="Notas 2 3 5 2 2 5" xfId="35101" xr:uid="{00000000-0005-0000-0000-0000B3890000}"/>
    <cellStyle name="Notas 2 3 5 2 2 6" xfId="35102" xr:uid="{00000000-0005-0000-0000-0000B4890000}"/>
    <cellStyle name="Notas 2 3 5 2 3" xfId="35103" xr:uid="{00000000-0005-0000-0000-0000B5890000}"/>
    <cellStyle name="Notas 2 3 5 2 3 2" xfId="35104" xr:uid="{00000000-0005-0000-0000-0000B6890000}"/>
    <cellStyle name="Notas 2 3 5 2 3 2 2" xfId="35105" xr:uid="{00000000-0005-0000-0000-0000B7890000}"/>
    <cellStyle name="Notas 2 3 5 2 3 2 3" xfId="35106" xr:uid="{00000000-0005-0000-0000-0000B8890000}"/>
    <cellStyle name="Notas 2 3 5 2 3 2 4" xfId="35107" xr:uid="{00000000-0005-0000-0000-0000B9890000}"/>
    <cellStyle name="Notas 2 3 5 2 3 3" xfId="35108" xr:uid="{00000000-0005-0000-0000-0000BA890000}"/>
    <cellStyle name="Notas 2 3 5 2 3 3 2" xfId="35109" xr:uid="{00000000-0005-0000-0000-0000BB890000}"/>
    <cellStyle name="Notas 2 3 5 2 3 3 3" xfId="35110" xr:uid="{00000000-0005-0000-0000-0000BC890000}"/>
    <cellStyle name="Notas 2 3 5 2 3 3 4" xfId="35111" xr:uid="{00000000-0005-0000-0000-0000BD890000}"/>
    <cellStyle name="Notas 2 3 5 2 3 4" xfId="35112" xr:uid="{00000000-0005-0000-0000-0000BE890000}"/>
    <cellStyle name="Notas 2 3 5 2 3 5" xfId="35113" xr:uid="{00000000-0005-0000-0000-0000BF890000}"/>
    <cellStyle name="Notas 2 3 5 2 3 6" xfId="35114" xr:uid="{00000000-0005-0000-0000-0000C0890000}"/>
    <cellStyle name="Notas 2 3 5 2 4" xfId="35115" xr:uid="{00000000-0005-0000-0000-0000C1890000}"/>
    <cellStyle name="Notas 2 3 5 2 5" xfId="35116" xr:uid="{00000000-0005-0000-0000-0000C2890000}"/>
    <cellStyle name="Notas 2 3 5 2 6" xfId="35117" xr:uid="{00000000-0005-0000-0000-0000C3890000}"/>
    <cellStyle name="Notas 2 3 5 3" xfId="35118" xr:uid="{00000000-0005-0000-0000-0000C4890000}"/>
    <cellStyle name="Notas 2 3 5 4" xfId="35119" xr:uid="{00000000-0005-0000-0000-0000C5890000}"/>
    <cellStyle name="Notas 2 3 6" xfId="35120" xr:uid="{00000000-0005-0000-0000-0000C6890000}"/>
    <cellStyle name="Notas 2 3 6 2" xfId="35121" xr:uid="{00000000-0005-0000-0000-0000C7890000}"/>
    <cellStyle name="Notas 2 3 6 2 2" xfId="35122" xr:uid="{00000000-0005-0000-0000-0000C8890000}"/>
    <cellStyle name="Notas 2 3 6 2 2 2" xfId="35123" xr:uid="{00000000-0005-0000-0000-0000C9890000}"/>
    <cellStyle name="Notas 2 3 6 2 2 3" xfId="35124" xr:uid="{00000000-0005-0000-0000-0000CA890000}"/>
    <cellStyle name="Notas 2 3 6 2 2 4" xfId="35125" xr:uid="{00000000-0005-0000-0000-0000CB890000}"/>
    <cellStyle name="Notas 2 3 6 2 3" xfId="35126" xr:uid="{00000000-0005-0000-0000-0000CC890000}"/>
    <cellStyle name="Notas 2 3 6 2 3 2" xfId="35127" xr:uid="{00000000-0005-0000-0000-0000CD890000}"/>
    <cellStyle name="Notas 2 3 6 2 3 3" xfId="35128" xr:uid="{00000000-0005-0000-0000-0000CE890000}"/>
    <cellStyle name="Notas 2 3 6 2 3 4" xfId="35129" xr:uid="{00000000-0005-0000-0000-0000CF890000}"/>
    <cellStyle name="Notas 2 3 6 2 4" xfId="35130" xr:uid="{00000000-0005-0000-0000-0000D0890000}"/>
    <cellStyle name="Notas 2 3 6 2 5" xfId="35131" xr:uid="{00000000-0005-0000-0000-0000D1890000}"/>
    <cellStyle name="Notas 2 3 6 2 6" xfId="35132" xr:uid="{00000000-0005-0000-0000-0000D2890000}"/>
    <cellStyle name="Notas 2 3 6 3" xfId="35133" xr:uid="{00000000-0005-0000-0000-0000D3890000}"/>
    <cellStyle name="Notas 2 3 6 3 2" xfId="35134" xr:uid="{00000000-0005-0000-0000-0000D4890000}"/>
    <cellStyle name="Notas 2 3 6 3 2 2" xfId="35135" xr:uid="{00000000-0005-0000-0000-0000D5890000}"/>
    <cellStyle name="Notas 2 3 6 3 2 3" xfId="35136" xr:uid="{00000000-0005-0000-0000-0000D6890000}"/>
    <cellStyle name="Notas 2 3 6 3 2 4" xfId="35137" xr:uid="{00000000-0005-0000-0000-0000D7890000}"/>
    <cellStyle name="Notas 2 3 6 3 3" xfId="35138" xr:uid="{00000000-0005-0000-0000-0000D8890000}"/>
    <cellStyle name="Notas 2 3 6 3 3 2" xfId="35139" xr:uid="{00000000-0005-0000-0000-0000D9890000}"/>
    <cellStyle name="Notas 2 3 6 3 3 3" xfId="35140" xr:uid="{00000000-0005-0000-0000-0000DA890000}"/>
    <cellStyle name="Notas 2 3 6 3 3 4" xfId="35141" xr:uid="{00000000-0005-0000-0000-0000DB890000}"/>
    <cellStyle name="Notas 2 3 6 3 4" xfId="35142" xr:uid="{00000000-0005-0000-0000-0000DC890000}"/>
    <cellStyle name="Notas 2 3 6 3 5" xfId="35143" xr:uid="{00000000-0005-0000-0000-0000DD890000}"/>
    <cellStyle name="Notas 2 3 6 3 6" xfId="35144" xr:uid="{00000000-0005-0000-0000-0000DE890000}"/>
    <cellStyle name="Notas 2 3 6 4" xfId="35145" xr:uid="{00000000-0005-0000-0000-0000DF890000}"/>
    <cellStyle name="Notas 2 3 6 4 2" xfId="35146" xr:uid="{00000000-0005-0000-0000-0000E0890000}"/>
    <cellStyle name="Notas 2 3 6 4 3" xfId="35147" xr:uid="{00000000-0005-0000-0000-0000E1890000}"/>
    <cellStyle name="Notas 2 3 6 4 4" xfId="35148" xr:uid="{00000000-0005-0000-0000-0000E2890000}"/>
    <cellStyle name="Notas 2 3 6 5" xfId="35149" xr:uid="{00000000-0005-0000-0000-0000E3890000}"/>
    <cellStyle name="Notas 2 3 6 6" xfId="35150" xr:uid="{00000000-0005-0000-0000-0000E4890000}"/>
    <cellStyle name="Notas 2 3 7" xfId="35151" xr:uid="{00000000-0005-0000-0000-0000E5890000}"/>
    <cellStyle name="Notas 2 3 7 2" xfId="35152" xr:uid="{00000000-0005-0000-0000-0000E6890000}"/>
    <cellStyle name="Notas 2 3 7 2 2" xfId="35153" xr:uid="{00000000-0005-0000-0000-0000E7890000}"/>
    <cellStyle name="Notas 2 3 7 2 2 2" xfId="35154" xr:uid="{00000000-0005-0000-0000-0000E8890000}"/>
    <cellStyle name="Notas 2 3 7 2 2 3" xfId="35155" xr:uid="{00000000-0005-0000-0000-0000E9890000}"/>
    <cellStyle name="Notas 2 3 7 2 2 4" xfId="35156" xr:uid="{00000000-0005-0000-0000-0000EA890000}"/>
    <cellStyle name="Notas 2 3 7 2 3" xfId="35157" xr:uid="{00000000-0005-0000-0000-0000EB890000}"/>
    <cellStyle name="Notas 2 3 7 2 3 2" xfId="35158" xr:uid="{00000000-0005-0000-0000-0000EC890000}"/>
    <cellStyle name="Notas 2 3 7 2 3 3" xfId="35159" xr:uid="{00000000-0005-0000-0000-0000ED890000}"/>
    <cellStyle name="Notas 2 3 7 2 3 4" xfId="35160" xr:uid="{00000000-0005-0000-0000-0000EE890000}"/>
    <cellStyle name="Notas 2 3 7 2 4" xfId="35161" xr:uid="{00000000-0005-0000-0000-0000EF890000}"/>
    <cellStyle name="Notas 2 3 7 2 5" xfId="35162" xr:uid="{00000000-0005-0000-0000-0000F0890000}"/>
    <cellStyle name="Notas 2 3 7 2 6" xfId="35163" xr:uid="{00000000-0005-0000-0000-0000F1890000}"/>
    <cellStyle name="Notas 2 3 7 3" xfId="35164" xr:uid="{00000000-0005-0000-0000-0000F2890000}"/>
    <cellStyle name="Notas 2 3 7 3 2" xfId="35165" xr:uid="{00000000-0005-0000-0000-0000F3890000}"/>
    <cellStyle name="Notas 2 3 7 3 2 2" xfId="35166" xr:uid="{00000000-0005-0000-0000-0000F4890000}"/>
    <cellStyle name="Notas 2 3 7 3 2 3" xfId="35167" xr:uid="{00000000-0005-0000-0000-0000F5890000}"/>
    <cellStyle name="Notas 2 3 7 3 2 4" xfId="35168" xr:uid="{00000000-0005-0000-0000-0000F6890000}"/>
    <cellStyle name="Notas 2 3 7 3 3" xfId="35169" xr:uid="{00000000-0005-0000-0000-0000F7890000}"/>
    <cellStyle name="Notas 2 3 7 3 3 2" xfId="35170" xr:uid="{00000000-0005-0000-0000-0000F8890000}"/>
    <cellStyle name="Notas 2 3 7 3 3 3" xfId="35171" xr:uid="{00000000-0005-0000-0000-0000F9890000}"/>
    <cellStyle name="Notas 2 3 7 3 3 4" xfId="35172" xr:uid="{00000000-0005-0000-0000-0000FA890000}"/>
    <cellStyle name="Notas 2 3 7 3 4" xfId="35173" xr:uid="{00000000-0005-0000-0000-0000FB890000}"/>
    <cellStyle name="Notas 2 3 7 3 5" xfId="35174" xr:uid="{00000000-0005-0000-0000-0000FC890000}"/>
    <cellStyle name="Notas 2 3 7 3 6" xfId="35175" xr:uid="{00000000-0005-0000-0000-0000FD890000}"/>
    <cellStyle name="Notas 2 3 7 4" xfId="35176" xr:uid="{00000000-0005-0000-0000-0000FE890000}"/>
    <cellStyle name="Notas 2 3 7 4 2" xfId="35177" xr:uid="{00000000-0005-0000-0000-0000FF890000}"/>
    <cellStyle name="Notas 2 3 7 4 3" xfId="35178" xr:uid="{00000000-0005-0000-0000-0000008A0000}"/>
    <cellStyle name="Notas 2 3 7 4 4" xfId="35179" xr:uid="{00000000-0005-0000-0000-0000018A0000}"/>
    <cellStyle name="Notas 2 3 7 5" xfId="35180" xr:uid="{00000000-0005-0000-0000-0000028A0000}"/>
    <cellStyle name="Notas 2 3 7 6" xfId="35181" xr:uid="{00000000-0005-0000-0000-0000038A0000}"/>
    <cellStyle name="Notas 2 3 8" xfId="35182" xr:uid="{00000000-0005-0000-0000-0000048A0000}"/>
    <cellStyle name="Notas 2 3 8 2" xfId="35183" xr:uid="{00000000-0005-0000-0000-0000058A0000}"/>
    <cellStyle name="Notas 2 3 8 2 2" xfId="35184" xr:uid="{00000000-0005-0000-0000-0000068A0000}"/>
    <cellStyle name="Notas 2 3 8 2 2 2" xfId="35185" xr:uid="{00000000-0005-0000-0000-0000078A0000}"/>
    <cellStyle name="Notas 2 3 8 2 2 3" xfId="35186" xr:uid="{00000000-0005-0000-0000-0000088A0000}"/>
    <cellStyle name="Notas 2 3 8 2 2 4" xfId="35187" xr:uid="{00000000-0005-0000-0000-0000098A0000}"/>
    <cellStyle name="Notas 2 3 8 2 3" xfId="35188" xr:uid="{00000000-0005-0000-0000-00000A8A0000}"/>
    <cellStyle name="Notas 2 3 8 2 3 2" xfId="35189" xr:uid="{00000000-0005-0000-0000-00000B8A0000}"/>
    <cellStyle name="Notas 2 3 8 2 3 3" xfId="35190" xr:uid="{00000000-0005-0000-0000-00000C8A0000}"/>
    <cellStyle name="Notas 2 3 8 2 3 4" xfId="35191" xr:uid="{00000000-0005-0000-0000-00000D8A0000}"/>
    <cellStyle name="Notas 2 3 8 2 4" xfId="35192" xr:uid="{00000000-0005-0000-0000-00000E8A0000}"/>
    <cellStyle name="Notas 2 3 8 2 5" xfId="35193" xr:uid="{00000000-0005-0000-0000-00000F8A0000}"/>
    <cellStyle name="Notas 2 3 8 2 6" xfId="35194" xr:uid="{00000000-0005-0000-0000-0000108A0000}"/>
    <cellStyle name="Notas 2 3 8 3" xfId="35195" xr:uid="{00000000-0005-0000-0000-0000118A0000}"/>
    <cellStyle name="Notas 2 3 8 3 2" xfId="35196" xr:uid="{00000000-0005-0000-0000-0000128A0000}"/>
    <cellStyle name="Notas 2 3 8 3 2 2" xfId="35197" xr:uid="{00000000-0005-0000-0000-0000138A0000}"/>
    <cellStyle name="Notas 2 3 8 3 2 3" xfId="35198" xr:uid="{00000000-0005-0000-0000-0000148A0000}"/>
    <cellStyle name="Notas 2 3 8 3 2 4" xfId="35199" xr:uid="{00000000-0005-0000-0000-0000158A0000}"/>
    <cellStyle name="Notas 2 3 8 3 3" xfId="35200" xr:uid="{00000000-0005-0000-0000-0000168A0000}"/>
    <cellStyle name="Notas 2 3 8 3 3 2" xfId="35201" xr:uid="{00000000-0005-0000-0000-0000178A0000}"/>
    <cellStyle name="Notas 2 3 8 3 3 3" xfId="35202" xr:uid="{00000000-0005-0000-0000-0000188A0000}"/>
    <cellStyle name="Notas 2 3 8 3 3 4" xfId="35203" xr:uid="{00000000-0005-0000-0000-0000198A0000}"/>
    <cellStyle name="Notas 2 3 8 3 4" xfId="35204" xr:uid="{00000000-0005-0000-0000-00001A8A0000}"/>
    <cellStyle name="Notas 2 3 8 3 5" xfId="35205" xr:uid="{00000000-0005-0000-0000-00001B8A0000}"/>
    <cellStyle name="Notas 2 3 8 3 6" xfId="35206" xr:uid="{00000000-0005-0000-0000-00001C8A0000}"/>
    <cellStyle name="Notas 2 3 8 4" xfId="35207" xr:uid="{00000000-0005-0000-0000-00001D8A0000}"/>
    <cellStyle name="Notas 2 3 8 4 2" xfId="35208" xr:uid="{00000000-0005-0000-0000-00001E8A0000}"/>
    <cellStyle name="Notas 2 3 8 4 3" xfId="35209" xr:uid="{00000000-0005-0000-0000-00001F8A0000}"/>
    <cellStyle name="Notas 2 3 8 4 4" xfId="35210" xr:uid="{00000000-0005-0000-0000-0000208A0000}"/>
    <cellStyle name="Notas 2 3 8 5" xfId="35211" xr:uid="{00000000-0005-0000-0000-0000218A0000}"/>
    <cellStyle name="Notas 2 3 8 6" xfId="35212" xr:uid="{00000000-0005-0000-0000-0000228A0000}"/>
    <cellStyle name="Notas 2 3 9" xfId="35213" xr:uid="{00000000-0005-0000-0000-0000238A0000}"/>
    <cellStyle name="Notas 2 3 9 2" xfId="35214" xr:uid="{00000000-0005-0000-0000-0000248A0000}"/>
    <cellStyle name="Notas 2 3 9 2 2" xfId="35215" xr:uid="{00000000-0005-0000-0000-0000258A0000}"/>
    <cellStyle name="Notas 2 3 9 2 2 2" xfId="35216" xr:uid="{00000000-0005-0000-0000-0000268A0000}"/>
    <cellStyle name="Notas 2 3 9 2 2 3" xfId="35217" xr:uid="{00000000-0005-0000-0000-0000278A0000}"/>
    <cellStyle name="Notas 2 3 9 2 2 4" xfId="35218" xr:uid="{00000000-0005-0000-0000-0000288A0000}"/>
    <cellStyle name="Notas 2 3 9 2 3" xfId="35219" xr:uid="{00000000-0005-0000-0000-0000298A0000}"/>
    <cellStyle name="Notas 2 3 9 2 3 2" xfId="35220" xr:uid="{00000000-0005-0000-0000-00002A8A0000}"/>
    <cellStyle name="Notas 2 3 9 2 3 3" xfId="35221" xr:uid="{00000000-0005-0000-0000-00002B8A0000}"/>
    <cellStyle name="Notas 2 3 9 2 3 4" xfId="35222" xr:uid="{00000000-0005-0000-0000-00002C8A0000}"/>
    <cellStyle name="Notas 2 3 9 2 4" xfId="35223" xr:uid="{00000000-0005-0000-0000-00002D8A0000}"/>
    <cellStyle name="Notas 2 3 9 2 5" xfId="35224" xr:uid="{00000000-0005-0000-0000-00002E8A0000}"/>
    <cellStyle name="Notas 2 3 9 2 6" xfId="35225" xr:uid="{00000000-0005-0000-0000-00002F8A0000}"/>
    <cellStyle name="Notas 2 3 9 3" xfId="35226" xr:uid="{00000000-0005-0000-0000-0000308A0000}"/>
    <cellStyle name="Notas 2 3 9 3 2" xfId="35227" xr:uid="{00000000-0005-0000-0000-0000318A0000}"/>
    <cellStyle name="Notas 2 3 9 3 2 2" xfId="35228" xr:uid="{00000000-0005-0000-0000-0000328A0000}"/>
    <cellStyle name="Notas 2 3 9 3 2 3" xfId="35229" xr:uid="{00000000-0005-0000-0000-0000338A0000}"/>
    <cellStyle name="Notas 2 3 9 3 2 4" xfId="35230" xr:uid="{00000000-0005-0000-0000-0000348A0000}"/>
    <cellStyle name="Notas 2 3 9 3 3" xfId="35231" xr:uid="{00000000-0005-0000-0000-0000358A0000}"/>
    <cellStyle name="Notas 2 3 9 3 3 2" xfId="35232" xr:uid="{00000000-0005-0000-0000-0000368A0000}"/>
    <cellStyle name="Notas 2 3 9 3 3 3" xfId="35233" xr:uid="{00000000-0005-0000-0000-0000378A0000}"/>
    <cellStyle name="Notas 2 3 9 3 3 4" xfId="35234" xr:uid="{00000000-0005-0000-0000-0000388A0000}"/>
    <cellStyle name="Notas 2 3 9 3 4" xfId="35235" xr:uid="{00000000-0005-0000-0000-0000398A0000}"/>
    <cellStyle name="Notas 2 3 9 3 5" xfId="35236" xr:uid="{00000000-0005-0000-0000-00003A8A0000}"/>
    <cellStyle name="Notas 2 3 9 3 6" xfId="35237" xr:uid="{00000000-0005-0000-0000-00003B8A0000}"/>
    <cellStyle name="Notas 2 3 9 4" xfId="35238" xr:uid="{00000000-0005-0000-0000-00003C8A0000}"/>
    <cellStyle name="Notas 2 3 9 4 2" xfId="35239" xr:uid="{00000000-0005-0000-0000-00003D8A0000}"/>
    <cellStyle name="Notas 2 3 9 4 3" xfId="35240" xr:uid="{00000000-0005-0000-0000-00003E8A0000}"/>
    <cellStyle name="Notas 2 3 9 4 4" xfId="35241" xr:uid="{00000000-0005-0000-0000-00003F8A0000}"/>
    <cellStyle name="Notas 2 3 9 5" xfId="35242" xr:uid="{00000000-0005-0000-0000-0000408A0000}"/>
    <cellStyle name="Notas 2 3 9 6" xfId="35243" xr:uid="{00000000-0005-0000-0000-0000418A0000}"/>
    <cellStyle name="Notas 2 4" xfId="35244" xr:uid="{00000000-0005-0000-0000-0000428A0000}"/>
    <cellStyle name="Notas 2 4 10" xfId="35245" xr:uid="{00000000-0005-0000-0000-0000438A0000}"/>
    <cellStyle name="Notas 2 4 10 2" xfId="35246" xr:uid="{00000000-0005-0000-0000-0000448A0000}"/>
    <cellStyle name="Notas 2 4 10 2 2" xfId="35247" xr:uid="{00000000-0005-0000-0000-0000458A0000}"/>
    <cellStyle name="Notas 2 4 10 2 2 2" xfId="35248" xr:uid="{00000000-0005-0000-0000-0000468A0000}"/>
    <cellStyle name="Notas 2 4 10 2 2 3" xfId="35249" xr:uid="{00000000-0005-0000-0000-0000478A0000}"/>
    <cellStyle name="Notas 2 4 10 2 2 4" xfId="35250" xr:uid="{00000000-0005-0000-0000-0000488A0000}"/>
    <cellStyle name="Notas 2 4 10 2 3" xfId="35251" xr:uid="{00000000-0005-0000-0000-0000498A0000}"/>
    <cellStyle name="Notas 2 4 10 2 3 2" xfId="35252" xr:uid="{00000000-0005-0000-0000-00004A8A0000}"/>
    <cellStyle name="Notas 2 4 10 2 3 3" xfId="35253" xr:uid="{00000000-0005-0000-0000-00004B8A0000}"/>
    <cellStyle name="Notas 2 4 10 2 3 4" xfId="35254" xr:uid="{00000000-0005-0000-0000-00004C8A0000}"/>
    <cellStyle name="Notas 2 4 10 2 4" xfId="35255" xr:uid="{00000000-0005-0000-0000-00004D8A0000}"/>
    <cellStyle name="Notas 2 4 10 2 5" xfId="35256" xr:uid="{00000000-0005-0000-0000-00004E8A0000}"/>
    <cellStyle name="Notas 2 4 10 2 6" xfId="35257" xr:uid="{00000000-0005-0000-0000-00004F8A0000}"/>
    <cellStyle name="Notas 2 4 10 3" xfId="35258" xr:uid="{00000000-0005-0000-0000-0000508A0000}"/>
    <cellStyle name="Notas 2 4 10 3 2" xfId="35259" xr:uid="{00000000-0005-0000-0000-0000518A0000}"/>
    <cellStyle name="Notas 2 4 10 3 2 2" xfId="35260" xr:uid="{00000000-0005-0000-0000-0000528A0000}"/>
    <cellStyle name="Notas 2 4 10 3 2 3" xfId="35261" xr:uid="{00000000-0005-0000-0000-0000538A0000}"/>
    <cellStyle name="Notas 2 4 10 3 2 4" xfId="35262" xr:uid="{00000000-0005-0000-0000-0000548A0000}"/>
    <cellStyle name="Notas 2 4 10 3 3" xfId="35263" xr:uid="{00000000-0005-0000-0000-0000558A0000}"/>
    <cellStyle name="Notas 2 4 10 3 3 2" xfId="35264" xr:uid="{00000000-0005-0000-0000-0000568A0000}"/>
    <cellStyle name="Notas 2 4 10 3 3 3" xfId="35265" xr:uid="{00000000-0005-0000-0000-0000578A0000}"/>
    <cellStyle name="Notas 2 4 10 3 3 4" xfId="35266" xr:uid="{00000000-0005-0000-0000-0000588A0000}"/>
    <cellStyle name="Notas 2 4 10 3 4" xfId="35267" xr:uid="{00000000-0005-0000-0000-0000598A0000}"/>
    <cellStyle name="Notas 2 4 10 3 5" xfId="35268" xr:uid="{00000000-0005-0000-0000-00005A8A0000}"/>
    <cellStyle name="Notas 2 4 10 3 6" xfId="35269" xr:uid="{00000000-0005-0000-0000-00005B8A0000}"/>
    <cellStyle name="Notas 2 4 10 4" xfId="35270" xr:uid="{00000000-0005-0000-0000-00005C8A0000}"/>
    <cellStyle name="Notas 2 4 10 5" xfId="35271" xr:uid="{00000000-0005-0000-0000-00005D8A0000}"/>
    <cellStyle name="Notas 2 4 10 6" xfId="35272" xr:uid="{00000000-0005-0000-0000-00005E8A0000}"/>
    <cellStyle name="Notas 2 4 11" xfId="35273" xr:uid="{00000000-0005-0000-0000-00005F8A0000}"/>
    <cellStyle name="Notas 2 4 12" xfId="35274" xr:uid="{00000000-0005-0000-0000-0000608A0000}"/>
    <cellStyle name="Notas 2 4 2" xfId="35275" xr:uid="{00000000-0005-0000-0000-0000618A0000}"/>
    <cellStyle name="Notas 2 4 2 2" xfId="35276" xr:uid="{00000000-0005-0000-0000-0000628A0000}"/>
    <cellStyle name="Notas 2 4 2 2 2" xfId="35277" xr:uid="{00000000-0005-0000-0000-0000638A0000}"/>
    <cellStyle name="Notas 2 4 2 2 2 2" xfId="35278" xr:uid="{00000000-0005-0000-0000-0000648A0000}"/>
    <cellStyle name="Notas 2 4 2 2 2 2 2" xfId="35279" xr:uid="{00000000-0005-0000-0000-0000658A0000}"/>
    <cellStyle name="Notas 2 4 2 2 2 2 3" xfId="35280" xr:uid="{00000000-0005-0000-0000-0000668A0000}"/>
    <cellStyle name="Notas 2 4 2 2 2 2 4" xfId="35281" xr:uid="{00000000-0005-0000-0000-0000678A0000}"/>
    <cellStyle name="Notas 2 4 2 2 2 3" xfId="35282" xr:uid="{00000000-0005-0000-0000-0000688A0000}"/>
    <cellStyle name="Notas 2 4 2 2 2 3 2" xfId="35283" xr:uid="{00000000-0005-0000-0000-0000698A0000}"/>
    <cellStyle name="Notas 2 4 2 2 2 3 3" xfId="35284" xr:uid="{00000000-0005-0000-0000-00006A8A0000}"/>
    <cellStyle name="Notas 2 4 2 2 2 3 4" xfId="35285" xr:uid="{00000000-0005-0000-0000-00006B8A0000}"/>
    <cellStyle name="Notas 2 4 2 2 2 4" xfId="35286" xr:uid="{00000000-0005-0000-0000-00006C8A0000}"/>
    <cellStyle name="Notas 2 4 2 2 2 5" xfId="35287" xr:uid="{00000000-0005-0000-0000-00006D8A0000}"/>
    <cellStyle name="Notas 2 4 2 2 2 6" xfId="35288" xr:uid="{00000000-0005-0000-0000-00006E8A0000}"/>
    <cellStyle name="Notas 2 4 2 2 3" xfId="35289" xr:uid="{00000000-0005-0000-0000-00006F8A0000}"/>
    <cellStyle name="Notas 2 4 2 2 3 2" xfId="35290" xr:uid="{00000000-0005-0000-0000-0000708A0000}"/>
    <cellStyle name="Notas 2 4 2 2 3 2 2" xfId="35291" xr:uid="{00000000-0005-0000-0000-0000718A0000}"/>
    <cellStyle name="Notas 2 4 2 2 3 2 3" xfId="35292" xr:uid="{00000000-0005-0000-0000-0000728A0000}"/>
    <cellStyle name="Notas 2 4 2 2 3 2 4" xfId="35293" xr:uid="{00000000-0005-0000-0000-0000738A0000}"/>
    <cellStyle name="Notas 2 4 2 2 3 3" xfId="35294" xr:uid="{00000000-0005-0000-0000-0000748A0000}"/>
    <cellStyle name="Notas 2 4 2 2 3 3 2" xfId="35295" xr:uid="{00000000-0005-0000-0000-0000758A0000}"/>
    <cellStyle name="Notas 2 4 2 2 3 3 3" xfId="35296" xr:uid="{00000000-0005-0000-0000-0000768A0000}"/>
    <cellStyle name="Notas 2 4 2 2 3 3 4" xfId="35297" xr:uid="{00000000-0005-0000-0000-0000778A0000}"/>
    <cellStyle name="Notas 2 4 2 2 3 4" xfId="35298" xr:uid="{00000000-0005-0000-0000-0000788A0000}"/>
    <cellStyle name="Notas 2 4 2 2 3 5" xfId="35299" xr:uid="{00000000-0005-0000-0000-0000798A0000}"/>
    <cellStyle name="Notas 2 4 2 2 3 6" xfId="35300" xr:uid="{00000000-0005-0000-0000-00007A8A0000}"/>
    <cellStyle name="Notas 2 4 2 2 4" xfId="35301" xr:uid="{00000000-0005-0000-0000-00007B8A0000}"/>
    <cellStyle name="Notas 2 4 2 2 5" xfId="35302" xr:uid="{00000000-0005-0000-0000-00007C8A0000}"/>
    <cellStyle name="Notas 2 4 2 2 6" xfId="35303" xr:uid="{00000000-0005-0000-0000-00007D8A0000}"/>
    <cellStyle name="Notas 2 4 2 3" xfId="35304" xr:uid="{00000000-0005-0000-0000-00007E8A0000}"/>
    <cellStyle name="Notas 2 4 2 4" xfId="35305" xr:uid="{00000000-0005-0000-0000-00007F8A0000}"/>
    <cellStyle name="Notas 2 4 3" xfId="35306" xr:uid="{00000000-0005-0000-0000-0000808A0000}"/>
    <cellStyle name="Notas 2 4 3 2" xfId="35307" xr:uid="{00000000-0005-0000-0000-0000818A0000}"/>
    <cellStyle name="Notas 2 4 3 2 2" xfId="35308" xr:uid="{00000000-0005-0000-0000-0000828A0000}"/>
    <cellStyle name="Notas 2 4 3 2 2 2" xfId="35309" xr:uid="{00000000-0005-0000-0000-0000838A0000}"/>
    <cellStyle name="Notas 2 4 3 2 2 2 2" xfId="35310" xr:uid="{00000000-0005-0000-0000-0000848A0000}"/>
    <cellStyle name="Notas 2 4 3 2 2 2 3" xfId="35311" xr:uid="{00000000-0005-0000-0000-0000858A0000}"/>
    <cellStyle name="Notas 2 4 3 2 2 2 4" xfId="35312" xr:uid="{00000000-0005-0000-0000-0000868A0000}"/>
    <cellStyle name="Notas 2 4 3 2 2 3" xfId="35313" xr:uid="{00000000-0005-0000-0000-0000878A0000}"/>
    <cellStyle name="Notas 2 4 3 2 2 3 2" xfId="35314" xr:uid="{00000000-0005-0000-0000-0000888A0000}"/>
    <cellStyle name="Notas 2 4 3 2 2 3 3" xfId="35315" xr:uid="{00000000-0005-0000-0000-0000898A0000}"/>
    <cellStyle name="Notas 2 4 3 2 2 3 4" xfId="35316" xr:uid="{00000000-0005-0000-0000-00008A8A0000}"/>
    <cellStyle name="Notas 2 4 3 2 2 4" xfId="35317" xr:uid="{00000000-0005-0000-0000-00008B8A0000}"/>
    <cellStyle name="Notas 2 4 3 2 2 5" xfId="35318" xr:uid="{00000000-0005-0000-0000-00008C8A0000}"/>
    <cellStyle name="Notas 2 4 3 2 2 6" xfId="35319" xr:uid="{00000000-0005-0000-0000-00008D8A0000}"/>
    <cellStyle name="Notas 2 4 3 2 3" xfId="35320" xr:uid="{00000000-0005-0000-0000-00008E8A0000}"/>
    <cellStyle name="Notas 2 4 3 2 3 2" xfId="35321" xr:uid="{00000000-0005-0000-0000-00008F8A0000}"/>
    <cellStyle name="Notas 2 4 3 2 3 2 2" xfId="35322" xr:uid="{00000000-0005-0000-0000-0000908A0000}"/>
    <cellStyle name="Notas 2 4 3 2 3 2 3" xfId="35323" xr:uid="{00000000-0005-0000-0000-0000918A0000}"/>
    <cellStyle name="Notas 2 4 3 2 3 2 4" xfId="35324" xr:uid="{00000000-0005-0000-0000-0000928A0000}"/>
    <cellStyle name="Notas 2 4 3 2 3 3" xfId="35325" xr:uid="{00000000-0005-0000-0000-0000938A0000}"/>
    <cellStyle name="Notas 2 4 3 2 3 3 2" xfId="35326" xr:uid="{00000000-0005-0000-0000-0000948A0000}"/>
    <cellStyle name="Notas 2 4 3 2 3 3 3" xfId="35327" xr:uid="{00000000-0005-0000-0000-0000958A0000}"/>
    <cellStyle name="Notas 2 4 3 2 3 3 4" xfId="35328" xr:uid="{00000000-0005-0000-0000-0000968A0000}"/>
    <cellStyle name="Notas 2 4 3 2 3 4" xfId="35329" xr:uid="{00000000-0005-0000-0000-0000978A0000}"/>
    <cellStyle name="Notas 2 4 3 2 3 5" xfId="35330" xr:uid="{00000000-0005-0000-0000-0000988A0000}"/>
    <cellStyle name="Notas 2 4 3 2 3 6" xfId="35331" xr:uid="{00000000-0005-0000-0000-0000998A0000}"/>
    <cellStyle name="Notas 2 4 3 2 4" xfId="35332" xr:uid="{00000000-0005-0000-0000-00009A8A0000}"/>
    <cellStyle name="Notas 2 4 3 2 5" xfId="35333" xr:uid="{00000000-0005-0000-0000-00009B8A0000}"/>
    <cellStyle name="Notas 2 4 3 2 6" xfId="35334" xr:uid="{00000000-0005-0000-0000-00009C8A0000}"/>
    <cellStyle name="Notas 2 4 3 3" xfId="35335" xr:uid="{00000000-0005-0000-0000-00009D8A0000}"/>
    <cellStyle name="Notas 2 4 3 4" xfId="35336" xr:uid="{00000000-0005-0000-0000-00009E8A0000}"/>
    <cellStyle name="Notas 2 4 4" xfId="35337" xr:uid="{00000000-0005-0000-0000-00009F8A0000}"/>
    <cellStyle name="Notas 2 4 4 2" xfId="35338" xr:uid="{00000000-0005-0000-0000-0000A08A0000}"/>
    <cellStyle name="Notas 2 4 4 2 2" xfId="35339" xr:uid="{00000000-0005-0000-0000-0000A18A0000}"/>
    <cellStyle name="Notas 2 4 4 2 2 2" xfId="35340" xr:uid="{00000000-0005-0000-0000-0000A28A0000}"/>
    <cellStyle name="Notas 2 4 4 2 2 2 2" xfId="35341" xr:uid="{00000000-0005-0000-0000-0000A38A0000}"/>
    <cellStyle name="Notas 2 4 4 2 2 2 3" xfId="35342" xr:uid="{00000000-0005-0000-0000-0000A48A0000}"/>
    <cellStyle name="Notas 2 4 4 2 2 2 4" xfId="35343" xr:uid="{00000000-0005-0000-0000-0000A58A0000}"/>
    <cellStyle name="Notas 2 4 4 2 2 3" xfId="35344" xr:uid="{00000000-0005-0000-0000-0000A68A0000}"/>
    <cellStyle name="Notas 2 4 4 2 2 3 2" xfId="35345" xr:uid="{00000000-0005-0000-0000-0000A78A0000}"/>
    <cellStyle name="Notas 2 4 4 2 2 3 3" xfId="35346" xr:uid="{00000000-0005-0000-0000-0000A88A0000}"/>
    <cellStyle name="Notas 2 4 4 2 2 3 4" xfId="35347" xr:uid="{00000000-0005-0000-0000-0000A98A0000}"/>
    <cellStyle name="Notas 2 4 4 2 2 4" xfId="35348" xr:uid="{00000000-0005-0000-0000-0000AA8A0000}"/>
    <cellStyle name="Notas 2 4 4 2 2 5" xfId="35349" xr:uid="{00000000-0005-0000-0000-0000AB8A0000}"/>
    <cellStyle name="Notas 2 4 4 2 2 6" xfId="35350" xr:uid="{00000000-0005-0000-0000-0000AC8A0000}"/>
    <cellStyle name="Notas 2 4 4 2 3" xfId="35351" xr:uid="{00000000-0005-0000-0000-0000AD8A0000}"/>
    <cellStyle name="Notas 2 4 4 2 3 2" xfId="35352" xr:uid="{00000000-0005-0000-0000-0000AE8A0000}"/>
    <cellStyle name="Notas 2 4 4 2 3 2 2" xfId="35353" xr:uid="{00000000-0005-0000-0000-0000AF8A0000}"/>
    <cellStyle name="Notas 2 4 4 2 3 2 3" xfId="35354" xr:uid="{00000000-0005-0000-0000-0000B08A0000}"/>
    <cellStyle name="Notas 2 4 4 2 3 2 4" xfId="35355" xr:uid="{00000000-0005-0000-0000-0000B18A0000}"/>
    <cellStyle name="Notas 2 4 4 2 3 3" xfId="35356" xr:uid="{00000000-0005-0000-0000-0000B28A0000}"/>
    <cellStyle name="Notas 2 4 4 2 3 3 2" xfId="35357" xr:uid="{00000000-0005-0000-0000-0000B38A0000}"/>
    <cellStyle name="Notas 2 4 4 2 3 3 3" xfId="35358" xr:uid="{00000000-0005-0000-0000-0000B48A0000}"/>
    <cellStyle name="Notas 2 4 4 2 3 3 4" xfId="35359" xr:uid="{00000000-0005-0000-0000-0000B58A0000}"/>
    <cellStyle name="Notas 2 4 4 2 3 4" xfId="35360" xr:uid="{00000000-0005-0000-0000-0000B68A0000}"/>
    <cellStyle name="Notas 2 4 4 2 3 5" xfId="35361" xr:uid="{00000000-0005-0000-0000-0000B78A0000}"/>
    <cellStyle name="Notas 2 4 4 2 3 6" xfId="35362" xr:uid="{00000000-0005-0000-0000-0000B88A0000}"/>
    <cellStyle name="Notas 2 4 4 2 4" xfId="35363" xr:uid="{00000000-0005-0000-0000-0000B98A0000}"/>
    <cellStyle name="Notas 2 4 4 2 5" xfId="35364" xr:uid="{00000000-0005-0000-0000-0000BA8A0000}"/>
    <cellStyle name="Notas 2 4 4 2 6" xfId="35365" xr:uid="{00000000-0005-0000-0000-0000BB8A0000}"/>
    <cellStyle name="Notas 2 4 4 3" xfId="35366" xr:uid="{00000000-0005-0000-0000-0000BC8A0000}"/>
    <cellStyle name="Notas 2 4 4 4" xfId="35367" xr:uid="{00000000-0005-0000-0000-0000BD8A0000}"/>
    <cellStyle name="Notas 2 4 5" xfId="35368" xr:uid="{00000000-0005-0000-0000-0000BE8A0000}"/>
    <cellStyle name="Notas 2 4 5 2" xfId="35369" xr:uid="{00000000-0005-0000-0000-0000BF8A0000}"/>
    <cellStyle name="Notas 2 4 5 2 2" xfId="35370" xr:uid="{00000000-0005-0000-0000-0000C08A0000}"/>
    <cellStyle name="Notas 2 4 5 2 2 2" xfId="35371" xr:uid="{00000000-0005-0000-0000-0000C18A0000}"/>
    <cellStyle name="Notas 2 4 5 2 2 2 2" xfId="35372" xr:uid="{00000000-0005-0000-0000-0000C28A0000}"/>
    <cellStyle name="Notas 2 4 5 2 2 2 3" xfId="35373" xr:uid="{00000000-0005-0000-0000-0000C38A0000}"/>
    <cellStyle name="Notas 2 4 5 2 2 2 4" xfId="35374" xr:uid="{00000000-0005-0000-0000-0000C48A0000}"/>
    <cellStyle name="Notas 2 4 5 2 2 3" xfId="35375" xr:uid="{00000000-0005-0000-0000-0000C58A0000}"/>
    <cellStyle name="Notas 2 4 5 2 2 3 2" xfId="35376" xr:uid="{00000000-0005-0000-0000-0000C68A0000}"/>
    <cellStyle name="Notas 2 4 5 2 2 3 3" xfId="35377" xr:uid="{00000000-0005-0000-0000-0000C78A0000}"/>
    <cellStyle name="Notas 2 4 5 2 2 3 4" xfId="35378" xr:uid="{00000000-0005-0000-0000-0000C88A0000}"/>
    <cellStyle name="Notas 2 4 5 2 2 4" xfId="35379" xr:uid="{00000000-0005-0000-0000-0000C98A0000}"/>
    <cellStyle name="Notas 2 4 5 2 2 5" xfId="35380" xr:uid="{00000000-0005-0000-0000-0000CA8A0000}"/>
    <cellStyle name="Notas 2 4 5 2 2 6" xfId="35381" xr:uid="{00000000-0005-0000-0000-0000CB8A0000}"/>
    <cellStyle name="Notas 2 4 5 2 3" xfId="35382" xr:uid="{00000000-0005-0000-0000-0000CC8A0000}"/>
    <cellStyle name="Notas 2 4 5 2 3 2" xfId="35383" xr:uid="{00000000-0005-0000-0000-0000CD8A0000}"/>
    <cellStyle name="Notas 2 4 5 2 3 2 2" xfId="35384" xr:uid="{00000000-0005-0000-0000-0000CE8A0000}"/>
    <cellStyle name="Notas 2 4 5 2 3 2 3" xfId="35385" xr:uid="{00000000-0005-0000-0000-0000CF8A0000}"/>
    <cellStyle name="Notas 2 4 5 2 3 2 4" xfId="35386" xr:uid="{00000000-0005-0000-0000-0000D08A0000}"/>
    <cellStyle name="Notas 2 4 5 2 3 3" xfId="35387" xr:uid="{00000000-0005-0000-0000-0000D18A0000}"/>
    <cellStyle name="Notas 2 4 5 2 3 3 2" xfId="35388" xr:uid="{00000000-0005-0000-0000-0000D28A0000}"/>
    <cellStyle name="Notas 2 4 5 2 3 3 3" xfId="35389" xr:uid="{00000000-0005-0000-0000-0000D38A0000}"/>
    <cellStyle name="Notas 2 4 5 2 3 3 4" xfId="35390" xr:uid="{00000000-0005-0000-0000-0000D48A0000}"/>
    <cellStyle name="Notas 2 4 5 2 3 4" xfId="35391" xr:uid="{00000000-0005-0000-0000-0000D58A0000}"/>
    <cellStyle name="Notas 2 4 5 2 3 5" xfId="35392" xr:uid="{00000000-0005-0000-0000-0000D68A0000}"/>
    <cellStyle name="Notas 2 4 5 2 3 6" xfId="35393" xr:uid="{00000000-0005-0000-0000-0000D78A0000}"/>
    <cellStyle name="Notas 2 4 5 2 4" xfId="35394" xr:uid="{00000000-0005-0000-0000-0000D88A0000}"/>
    <cellStyle name="Notas 2 4 5 2 5" xfId="35395" xr:uid="{00000000-0005-0000-0000-0000D98A0000}"/>
    <cellStyle name="Notas 2 4 5 2 6" xfId="35396" xr:uid="{00000000-0005-0000-0000-0000DA8A0000}"/>
    <cellStyle name="Notas 2 4 5 3" xfId="35397" xr:uid="{00000000-0005-0000-0000-0000DB8A0000}"/>
    <cellStyle name="Notas 2 4 5 4" xfId="35398" xr:uid="{00000000-0005-0000-0000-0000DC8A0000}"/>
    <cellStyle name="Notas 2 4 6" xfId="35399" xr:uid="{00000000-0005-0000-0000-0000DD8A0000}"/>
    <cellStyle name="Notas 2 4 6 2" xfId="35400" xr:uid="{00000000-0005-0000-0000-0000DE8A0000}"/>
    <cellStyle name="Notas 2 4 6 2 2" xfId="35401" xr:uid="{00000000-0005-0000-0000-0000DF8A0000}"/>
    <cellStyle name="Notas 2 4 6 2 2 2" xfId="35402" xr:uid="{00000000-0005-0000-0000-0000E08A0000}"/>
    <cellStyle name="Notas 2 4 6 2 2 3" xfId="35403" xr:uid="{00000000-0005-0000-0000-0000E18A0000}"/>
    <cellStyle name="Notas 2 4 6 2 2 4" xfId="35404" xr:uid="{00000000-0005-0000-0000-0000E28A0000}"/>
    <cellStyle name="Notas 2 4 6 2 3" xfId="35405" xr:uid="{00000000-0005-0000-0000-0000E38A0000}"/>
    <cellStyle name="Notas 2 4 6 2 3 2" xfId="35406" xr:uid="{00000000-0005-0000-0000-0000E48A0000}"/>
    <cellStyle name="Notas 2 4 6 2 3 3" xfId="35407" xr:uid="{00000000-0005-0000-0000-0000E58A0000}"/>
    <cellStyle name="Notas 2 4 6 2 3 4" xfId="35408" xr:uid="{00000000-0005-0000-0000-0000E68A0000}"/>
    <cellStyle name="Notas 2 4 6 2 4" xfId="35409" xr:uid="{00000000-0005-0000-0000-0000E78A0000}"/>
    <cellStyle name="Notas 2 4 6 2 5" xfId="35410" xr:uid="{00000000-0005-0000-0000-0000E88A0000}"/>
    <cellStyle name="Notas 2 4 6 2 6" xfId="35411" xr:uid="{00000000-0005-0000-0000-0000E98A0000}"/>
    <cellStyle name="Notas 2 4 6 3" xfId="35412" xr:uid="{00000000-0005-0000-0000-0000EA8A0000}"/>
    <cellStyle name="Notas 2 4 6 3 2" xfId="35413" xr:uid="{00000000-0005-0000-0000-0000EB8A0000}"/>
    <cellStyle name="Notas 2 4 6 3 2 2" xfId="35414" xr:uid="{00000000-0005-0000-0000-0000EC8A0000}"/>
    <cellStyle name="Notas 2 4 6 3 2 3" xfId="35415" xr:uid="{00000000-0005-0000-0000-0000ED8A0000}"/>
    <cellStyle name="Notas 2 4 6 3 2 4" xfId="35416" xr:uid="{00000000-0005-0000-0000-0000EE8A0000}"/>
    <cellStyle name="Notas 2 4 6 3 3" xfId="35417" xr:uid="{00000000-0005-0000-0000-0000EF8A0000}"/>
    <cellStyle name="Notas 2 4 6 3 3 2" xfId="35418" xr:uid="{00000000-0005-0000-0000-0000F08A0000}"/>
    <cellStyle name="Notas 2 4 6 3 3 3" xfId="35419" xr:uid="{00000000-0005-0000-0000-0000F18A0000}"/>
    <cellStyle name="Notas 2 4 6 3 3 4" xfId="35420" xr:uid="{00000000-0005-0000-0000-0000F28A0000}"/>
    <cellStyle name="Notas 2 4 6 3 4" xfId="35421" xr:uid="{00000000-0005-0000-0000-0000F38A0000}"/>
    <cellStyle name="Notas 2 4 6 3 5" xfId="35422" xr:uid="{00000000-0005-0000-0000-0000F48A0000}"/>
    <cellStyle name="Notas 2 4 6 3 6" xfId="35423" xr:uid="{00000000-0005-0000-0000-0000F58A0000}"/>
    <cellStyle name="Notas 2 4 6 4" xfId="35424" xr:uid="{00000000-0005-0000-0000-0000F68A0000}"/>
    <cellStyle name="Notas 2 4 6 4 2" xfId="35425" xr:uid="{00000000-0005-0000-0000-0000F78A0000}"/>
    <cellStyle name="Notas 2 4 6 4 3" xfId="35426" xr:uid="{00000000-0005-0000-0000-0000F88A0000}"/>
    <cellStyle name="Notas 2 4 6 4 4" xfId="35427" xr:uid="{00000000-0005-0000-0000-0000F98A0000}"/>
    <cellStyle name="Notas 2 4 6 5" xfId="35428" xr:uid="{00000000-0005-0000-0000-0000FA8A0000}"/>
    <cellStyle name="Notas 2 4 6 6" xfId="35429" xr:uid="{00000000-0005-0000-0000-0000FB8A0000}"/>
    <cellStyle name="Notas 2 4 7" xfId="35430" xr:uid="{00000000-0005-0000-0000-0000FC8A0000}"/>
    <cellStyle name="Notas 2 4 7 2" xfId="35431" xr:uid="{00000000-0005-0000-0000-0000FD8A0000}"/>
    <cellStyle name="Notas 2 4 7 2 2" xfId="35432" xr:uid="{00000000-0005-0000-0000-0000FE8A0000}"/>
    <cellStyle name="Notas 2 4 7 2 2 2" xfId="35433" xr:uid="{00000000-0005-0000-0000-0000FF8A0000}"/>
    <cellStyle name="Notas 2 4 7 2 2 3" xfId="35434" xr:uid="{00000000-0005-0000-0000-0000008B0000}"/>
    <cellStyle name="Notas 2 4 7 2 2 4" xfId="35435" xr:uid="{00000000-0005-0000-0000-0000018B0000}"/>
    <cellStyle name="Notas 2 4 7 2 3" xfId="35436" xr:uid="{00000000-0005-0000-0000-0000028B0000}"/>
    <cellStyle name="Notas 2 4 7 2 3 2" xfId="35437" xr:uid="{00000000-0005-0000-0000-0000038B0000}"/>
    <cellStyle name="Notas 2 4 7 2 3 3" xfId="35438" xr:uid="{00000000-0005-0000-0000-0000048B0000}"/>
    <cellStyle name="Notas 2 4 7 2 3 4" xfId="35439" xr:uid="{00000000-0005-0000-0000-0000058B0000}"/>
    <cellStyle name="Notas 2 4 7 2 4" xfId="35440" xr:uid="{00000000-0005-0000-0000-0000068B0000}"/>
    <cellStyle name="Notas 2 4 7 2 5" xfId="35441" xr:uid="{00000000-0005-0000-0000-0000078B0000}"/>
    <cellStyle name="Notas 2 4 7 2 6" xfId="35442" xr:uid="{00000000-0005-0000-0000-0000088B0000}"/>
    <cellStyle name="Notas 2 4 7 3" xfId="35443" xr:uid="{00000000-0005-0000-0000-0000098B0000}"/>
    <cellStyle name="Notas 2 4 7 3 2" xfId="35444" xr:uid="{00000000-0005-0000-0000-00000A8B0000}"/>
    <cellStyle name="Notas 2 4 7 3 2 2" xfId="35445" xr:uid="{00000000-0005-0000-0000-00000B8B0000}"/>
    <cellStyle name="Notas 2 4 7 3 2 3" xfId="35446" xr:uid="{00000000-0005-0000-0000-00000C8B0000}"/>
    <cellStyle name="Notas 2 4 7 3 2 4" xfId="35447" xr:uid="{00000000-0005-0000-0000-00000D8B0000}"/>
    <cellStyle name="Notas 2 4 7 3 3" xfId="35448" xr:uid="{00000000-0005-0000-0000-00000E8B0000}"/>
    <cellStyle name="Notas 2 4 7 3 3 2" xfId="35449" xr:uid="{00000000-0005-0000-0000-00000F8B0000}"/>
    <cellStyle name="Notas 2 4 7 3 3 3" xfId="35450" xr:uid="{00000000-0005-0000-0000-0000108B0000}"/>
    <cellStyle name="Notas 2 4 7 3 3 4" xfId="35451" xr:uid="{00000000-0005-0000-0000-0000118B0000}"/>
    <cellStyle name="Notas 2 4 7 3 4" xfId="35452" xr:uid="{00000000-0005-0000-0000-0000128B0000}"/>
    <cellStyle name="Notas 2 4 7 3 5" xfId="35453" xr:uid="{00000000-0005-0000-0000-0000138B0000}"/>
    <cellStyle name="Notas 2 4 7 3 6" xfId="35454" xr:uid="{00000000-0005-0000-0000-0000148B0000}"/>
    <cellStyle name="Notas 2 4 7 4" xfId="35455" xr:uid="{00000000-0005-0000-0000-0000158B0000}"/>
    <cellStyle name="Notas 2 4 7 4 2" xfId="35456" xr:uid="{00000000-0005-0000-0000-0000168B0000}"/>
    <cellStyle name="Notas 2 4 7 4 3" xfId="35457" xr:uid="{00000000-0005-0000-0000-0000178B0000}"/>
    <cellStyle name="Notas 2 4 7 4 4" xfId="35458" xr:uid="{00000000-0005-0000-0000-0000188B0000}"/>
    <cellStyle name="Notas 2 4 7 5" xfId="35459" xr:uid="{00000000-0005-0000-0000-0000198B0000}"/>
    <cellStyle name="Notas 2 4 7 6" xfId="35460" xr:uid="{00000000-0005-0000-0000-00001A8B0000}"/>
    <cellStyle name="Notas 2 4 8" xfId="35461" xr:uid="{00000000-0005-0000-0000-00001B8B0000}"/>
    <cellStyle name="Notas 2 4 8 2" xfId="35462" xr:uid="{00000000-0005-0000-0000-00001C8B0000}"/>
    <cellStyle name="Notas 2 4 8 2 2" xfId="35463" xr:uid="{00000000-0005-0000-0000-00001D8B0000}"/>
    <cellStyle name="Notas 2 4 8 2 2 2" xfId="35464" xr:uid="{00000000-0005-0000-0000-00001E8B0000}"/>
    <cellStyle name="Notas 2 4 8 2 2 3" xfId="35465" xr:uid="{00000000-0005-0000-0000-00001F8B0000}"/>
    <cellStyle name="Notas 2 4 8 2 2 4" xfId="35466" xr:uid="{00000000-0005-0000-0000-0000208B0000}"/>
    <cellStyle name="Notas 2 4 8 2 3" xfId="35467" xr:uid="{00000000-0005-0000-0000-0000218B0000}"/>
    <cellStyle name="Notas 2 4 8 2 3 2" xfId="35468" xr:uid="{00000000-0005-0000-0000-0000228B0000}"/>
    <cellStyle name="Notas 2 4 8 2 3 3" xfId="35469" xr:uid="{00000000-0005-0000-0000-0000238B0000}"/>
    <cellStyle name="Notas 2 4 8 2 3 4" xfId="35470" xr:uid="{00000000-0005-0000-0000-0000248B0000}"/>
    <cellStyle name="Notas 2 4 8 2 4" xfId="35471" xr:uid="{00000000-0005-0000-0000-0000258B0000}"/>
    <cellStyle name="Notas 2 4 8 2 5" xfId="35472" xr:uid="{00000000-0005-0000-0000-0000268B0000}"/>
    <cellStyle name="Notas 2 4 8 2 6" xfId="35473" xr:uid="{00000000-0005-0000-0000-0000278B0000}"/>
    <cellStyle name="Notas 2 4 8 3" xfId="35474" xr:uid="{00000000-0005-0000-0000-0000288B0000}"/>
    <cellStyle name="Notas 2 4 8 3 2" xfId="35475" xr:uid="{00000000-0005-0000-0000-0000298B0000}"/>
    <cellStyle name="Notas 2 4 8 3 2 2" xfId="35476" xr:uid="{00000000-0005-0000-0000-00002A8B0000}"/>
    <cellStyle name="Notas 2 4 8 3 2 3" xfId="35477" xr:uid="{00000000-0005-0000-0000-00002B8B0000}"/>
    <cellStyle name="Notas 2 4 8 3 2 4" xfId="35478" xr:uid="{00000000-0005-0000-0000-00002C8B0000}"/>
    <cellStyle name="Notas 2 4 8 3 3" xfId="35479" xr:uid="{00000000-0005-0000-0000-00002D8B0000}"/>
    <cellStyle name="Notas 2 4 8 3 3 2" xfId="35480" xr:uid="{00000000-0005-0000-0000-00002E8B0000}"/>
    <cellStyle name="Notas 2 4 8 3 3 3" xfId="35481" xr:uid="{00000000-0005-0000-0000-00002F8B0000}"/>
    <cellStyle name="Notas 2 4 8 3 3 4" xfId="35482" xr:uid="{00000000-0005-0000-0000-0000308B0000}"/>
    <cellStyle name="Notas 2 4 8 3 4" xfId="35483" xr:uid="{00000000-0005-0000-0000-0000318B0000}"/>
    <cellStyle name="Notas 2 4 8 3 5" xfId="35484" xr:uid="{00000000-0005-0000-0000-0000328B0000}"/>
    <cellStyle name="Notas 2 4 8 3 6" xfId="35485" xr:uid="{00000000-0005-0000-0000-0000338B0000}"/>
    <cellStyle name="Notas 2 4 8 4" xfId="35486" xr:uid="{00000000-0005-0000-0000-0000348B0000}"/>
    <cellStyle name="Notas 2 4 8 4 2" xfId="35487" xr:uid="{00000000-0005-0000-0000-0000358B0000}"/>
    <cellStyle name="Notas 2 4 8 4 3" xfId="35488" xr:uid="{00000000-0005-0000-0000-0000368B0000}"/>
    <cellStyle name="Notas 2 4 8 4 4" xfId="35489" xr:uid="{00000000-0005-0000-0000-0000378B0000}"/>
    <cellStyle name="Notas 2 4 8 5" xfId="35490" xr:uid="{00000000-0005-0000-0000-0000388B0000}"/>
    <cellStyle name="Notas 2 4 8 6" xfId="35491" xr:uid="{00000000-0005-0000-0000-0000398B0000}"/>
    <cellStyle name="Notas 2 4 9" xfId="35492" xr:uid="{00000000-0005-0000-0000-00003A8B0000}"/>
    <cellStyle name="Notas 2 4 9 2" xfId="35493" xr:uid="{00000000-0005-0000-0000-00003B8B0000}"/>
    <cellStyle name="Notas 2 4 9 2 2" xfId="35494" xr:uid="{00000000-0005-0000-0000-00003C8B0000}"/>
    <cellStyle name="Notas 2 4 9 2 2 2" xfId="35495" xr:uid="{00000000-0005-0000-0000-00003D8B0000}"/>
    <cellStyle name="Notas 2 4 9 2 2 3" xfId="35496" xr:uid="{00000000-0005-0000-0000-00003E8B0000}"/>
    <cellStyle name="Notas 2 4 9 2 2 4" xfId="35497" xr:uid="{00000000-0005-0000-0000-00003F8B0000}"/>
    <cellStyle name="Notas 2 4 9 2 3" xfId="35498" xr:uid="{00000000-0005-0000-0000-0000408B0000}"/>
    <cellStyle name="Notas 2 4 9 2 3 2" xfId="35499" xr:uid="{00000000-0005-0000-0000-0000418B0000}"/>
    <cellStyle name="Notas 2 4 9 2 3 3" xfId="35500" xr:uid="{00000000-0005-0000-0000-0000428B0000}"/>
    <cellStyle name="Notas 2 4 9 2 3 4" xfId="35501" xr:uid="{00000000-0005-0000-0000-0000438B0000}"/>
    <cellStyle name="Notas 2 4 9 2 4" xfId="35502" xr:uid="{00000000-0005-0000-0000-0000448B0000}"/>
    <cellStyle name="Notas 2 4 9 2 5" xfId="35503" xr:uid="{00000000-0005-0000-0000-0000458B0000}"/>
    <cellStyle name="Notas 2 4 9 2 6" xfId="35504" xr:uid="{00000000-0005-0000-0000-0000468B0000}"/>
    <cellStyle name="Notas 2 4 9 3" xfId="35505" xr:uid="{00000000-0005-0000-0000-0000478B0000}"/>
    <cellStyle name="Notas 2 4 9 3 2" xfId="35506" xr:uid="{00000000-0005-0000-0000-0000488B0000}"/>
    <cellStyle name="Notas 2 4 9 3 2 2" xfId="35507" xr:uid="{00000000-0005-0000-0000-0000498B0000}"/>
    <cellStyle name="Notas 2 4 9 3 2 3" xfId="35508" xr:uid="{00000000-0005-0000-0000-00004A8B0000}"/>
    <cellStyle name="Notas 2 4 9 3 2 4" xfId="35509" xr:uid="{00000000-0005-0000-0000-00004B8B0000}"/>
    <cellStyle name="Notas 2 4 9 3 3" xfId="35510" xr:uid="{00000000-0005-0000-0000-00004C8B0000}"/>
    <cellStyle name="Notas 2 4 9 3 3 2" xfId="35511" xr:uid="{00000000-0005-0000-0000-00004D8B0000}"/>
    <cellStyle name="Notas 2 4 9 3 3 3" xfId="35512" xr:uid="{00000000-0005-0000-0000-00004E8B0000}"/>
    <cellStyle name="Notas 2 4 9 3 3 4" xfId="35513" xr:uid="{00000000-0005-0000-0000-00004F8B0000}"/>
    <cellStyle name="Notas 2 4 9 3 4" xfId="35514" xr:uid="{00000000-0005-0000-0000-0000508B0000}"/>
    <cellStyle name="Notas 2 4 9 3 5" xfId="35515" xr:uid="{00000000-0005-0000-0000-0000518B0000}"/>
    <cellStyle name="Notas 2 4 9 3 6" xfId="35516" xr:uid="{00000000-0005-0000-0000-0000528B0000}"/>
    <cellStyle name="Notas 2 4 9 4" xfId="35517" xr:uid="{00000000-0005-0000-0000-0000538B0000}"/>
    <cellStyle name="Notas 2 4 9 4 2" xfId="35518" xr:uid="{00000000-0005-0000-0000-0000548B0000}"/>
    <cellStyle name="Notas 2 4 9 4 3" xfId="35519" xr:uid="{00000000-0005-0000-0000-0000558B0000}"/>
    <cellStyle name="Notas 2 4 9 4 4" xfId="35520" xr:uid="{00000000-0005-0000-0000-0000568B0000}"/>
    <cellStyle name="Notas 2 4 9 5" xfId="35521" xr:uid="{00000000-0005-0000-0000-0000578B0000}"/>
    <cellStyle name="Notas 2 4 9 6" xfId="35522" xr:uid="{00000000-0005-0000-0000-0000588B0000}"/>
    <cellStyle name="Notas 2 5" xfId="35523" xr:uid="{00000000-0005-0000-0000-0000598B0000}"/>
    <cellStyle name="Notas 2 5 2" xfId="35524" xr:uid="{00000000-0005-0000-0000-00005A8B0000}"/>
    <cellStyle name="Notas 2 5 2 2" xfId="35525" xr:uid="{00000000-0005-0000-0000-00005B8B0000}"/>
    <cellStyle name="Notas 2 5 2 2 2" xfId="35526" xr:uid="{00000000-0005-0000-0000-00005C8B0000}"/>
    <cellStyle name="Notas 2 5 2 2 2 2" xfId="35527" xr:uid="{00000000-0005-0000-0000-00005D8B0000}"/>
    <cellStyle name="Notas 2 5 2 2 2 3" xfId="35528" xr:uid="{00000000-0005-0000-0000-00005E8B0000}"/>
    <cellStyle name="Notas 2 5 2 2 2 4" xfId="35529" xr:uid="{00000000-0005-0000-0000-00005F8B0000}"/>
    <cellStyle name="Notas 2 5 2 2 3" xfId="35530" xr:uid="{00000000-0005-0000-0000-0000608B0000}"/>
    <cellStyle name="Notas 2 5 2 2 3 2" xfId="35531" xr:uid="{00000000-0005-0000-0000-0000618B0000}"/>
    <cellStyle name="Notas 2 5 2 2 3 3" xfId="35532" xr:uid="{00000000-0005-0000-0000-0000628B0000}"/>
    <cellStyle name="Notas 2 5 2 2 3 4" xfId="35533" xr:uid="{00000000-0005-0000-0000-0000638B0000}"/>
    <cellStyle name="Notas 2 5 2 2 4" xfId="35534" xr:uid="{00000000-0005-0000-0000-0000648B0000}"/>
    <cellStyle name="Notas 2 5 2 2 5" xfId="35535" xr:uid="{00000000-0005-0000-0000-0000658B0000}"/>
    <cellStyle name="Notas 2 5 2 2 6" xfId="35536" xr:uid="{00000000-0005-0000-0000-0000668B0000}"/>
    <cellStyle name="Notas 2 5 2 3" xfId="35537" xr:uid="{00000000-0005-0000-0000-0000678B0000}"/>
    <cellStyle name="Notas 2 5 2 3 2" xfId="35538" xr:uid="{00000000-0005-0000-0000-0000688B0000}"/>
    <cellStyle name="Notas 2 5 2 3 2 2" xfId="35539" xr:uid="{00000000-0005-0000-0000-0000698B0000}"/>
    <cellStyle name="Notas 2 5 2 3 2 3" xfId="35540" xr:uid="{00000000-0005-0000-0000-00006A8B0000}"/>
    <cellStyle name="Notas 2 5 2 3 2 4" xfId="35541" xr:uid="{00000000-0005-0000-0000-00006B8B0000}"/>
    <cellStyle name="Notas 2 5 2 3 3" xfId="35542" xr:uid="{00000000-0005-0000-0000-00006C8B0000}"/>
    <cellStyle name="Notas 2 5 2 3 3 2" xfId="35543" xr:uid="{00000000-0005-0000-0000-00006D8B0000}"/>
    <cellStyle name="Notas 2 5 2 3 3 3" xfId="35544" xr:uid="{00000000-0005-0000-0000-00006E8B0000}"/>
    <cellStyle name="Notas 2 5 2 3 3 4" xfId="35545" xr:uid="{00000000-0005-0000-0000-00006F8B0000}"/>
    <cellStyle name="Notas 2 5 2 3 4" xfId="35546" xr:uid="{00000000-0005-0000-0000-0000708B0000}"/>
    <cellStyle name="Notas 2 5 2 3 5" xfId="35547" xr:uid="{00000000-0005-0000-0000-0000718B0000}"/>
    <cellStyle name="Notas 2 5 2 3 6" xfId="35548" xr:uid="{00000000-0005-0000-0000-0000728B0000}"/>
    <cellStyle name="Notas 2 5 2 4" xfId="35549" xr:uid="{00000000-0005-0000-0000-0000738B0000}"/>
    <cellStyle name="Notas 2 5 2 5" xfId="35550" xr:uid="{00000000-0005-0000-0000-0000748B0000}"/>
    <cellStyle name="Notas 2 5 2 6" xfId="35551" xr:uid="{00000000-0005-0000-0000-0000758B0000}"/>
    <cellStyle name="Notas 2 5 3" xfId="35552" xr:uid="{00000000-0005-0000-0000-0000768B0000}"/>
    <cellStyle name="Notas 2 5 4" xfId="35553" xr:uid="{00000000-0005-0000-0000-0000778B0000}"/>
    <cellStyle name="Notas 2 6" xfId="35554" xr:uid="{00000000-0005-0000-0000-0000788B0000}"/>
    <cellStyle name="Notas 2 6 2" xfId="35555" xr:uid="{00000000-0005-0000-0000-0000798B0000}"/>
    <cellStyle name="Notas 2 6 2 2" xfId="35556" xr:uid="{00000000-0005-0000-0000-00007A8B0000}"/>
    <cellStyle name="Notas 2 6 2 2 2" xfId="35557" xr:uid="{00000000-0005-0000-0000-00007B8B0000}"/>
    <cellStyle name="Notas 2 6 2 2 2 2" xfId="35558" xr:uid="{00000000-0005-0000-0000-00007C8B0000}"/>
    <cellStyle name="Notas 2 6 2 2 2 3" xfId="35559" xr:uid="{00000000-0005-0000-0000-00007D8B0000}"/>
    <cellStyle name="Notas 2 6 2 2 2 4" xfId="35560" xr:uid="{00000000-0005-0000-0000-00007E8B0000}"/>
    <cellStyle name="Notas 2 6 2 2 3" xfId="35561" xr:uid="{00000000-0005-0000-0000-00007F8B0000}"/>
    <cellStyle name="Notas 2 6 2 2 3 2" xfId="35562" xr:uid="{00000000-0005-0000-0000-0000808B0000}"/>
    <cellStyle name="Notas 2 6 2 2 3 3" xfId="35563" xr:uid="{00000000-0005-0000-0000-0000818B0000}"/>
    <cellStyle name="Notas 2 6 2 2 3 4" xfId="35564" xr:uid="{00000000-0005-0000-0000-0000828B0000}"/>
    <cellStyle name="Notas 2 6 2 2 4" xfId="35565" xr:uid="{00000000-0005-0000-0000-0000838B0000}"/>
    <cellStyle name="Notas 2 6 2 2 5" xfId="35566" xr:uid="{00000000-0005-0000-0000-0000848B0000}"/>
    <cellStyle name="Notas 2 6 2 2 6" xfId="35567" xr:uid="{00000000-0005-0000-0000-0000858B0000}"/>
    <cellStyle name="Notas 2 6 2 3" xfId="35568" xr:uid="{00000000-0005-0000-0000-0000868B0000}"/>
    <cellStyle name="Notas 2 6 2 3 2" xfId="35569" xr:uid="{00000000-0005-0000-0000-0000878B0000}"/>
    <cellStyle name="Notas 2 6 2 3 2 2" xfId="35570" xr:uid="{00000000-0005-0000-0000-0000888B0000}"/>
    <cellStyle name="Notas 2 6 2 3 2 3" xfId="35571" xr:uid="{00000000-0005-0000-0000-0000898B0000}"/>
    <cellStyle name="Notas 2 6 2 3 2 4" xfId="35572" xr:uid="{00000000-0005-0000-0000-00008A8B0000}"/>
    <cellStyle name="Notas 2 6 2 3 3" xfId="35573" xr:uid="{00000000-0005-0000-0000-00008B8B0000}"/>
    <cellStyle name="Notas 2 6 2 3 3 2" xfId="35574" xr:uid="{00000000-0005-0000-0000-00008C8B0000}"/>
    <cellStyle name="Notas 2 6 2 3 3 3" xfId="35575" xr:uid="{00000000-0005-0000-0000-00008D8B0000}"/>
    <cellStyle name="Notas 2 6 2 3 3 4" xfId="35576" xr:uid="{00000000-0005-0000-0000-00008E8B0000}"/>
    <cellStyle name="Notas 2 6 2 3 4" xfId="35577" xr:uid="{00000000-0005-0000-0000-00008F8B0000}"/>
    <cellStyle name="Notas 2 6 2 3 5" xfId="35578" xr:uid="{00000000-0005-0000-0000-0000908B0000}"/>
    <cellStyle name="Notas 2 6 2 3 6" xfId="35579" xr:uid="{00000000-0005-0000-0000-0000918B0000}"/>
    <cellStyle name="Notas 2 6 2 4" xfId="35580" xr:uid="{00000000-0005-0000-0000-0000928B0000}"/>
    <cellStyle name="Notas 2 6 2 5" xfId="35581" xr:uid="{00000000-0005-0000-0000-0000938B0000}"/>
    <cellStyle name="Notas 2 6 2 6" xfId="35582" xr:uid="{00000000-0005-0000-0000-0000948B0000}"/>
    <cellStyle name="Notas 2 6 3" xfId="35583" xr:uid="{00000000-0005-0000-0000-0000958B0000}"/>
    <cellStyle name="Notas 2 6 4" xfId="35584" xr:uid="{00000000-0005-0000-0000-0000968B0000}"/>
    <cellStyle name="Notas 2 7" xfId="35585" xr:uid="{00000000-0005-0000-0000-0000978B0000}"/>
    <cellStyle name="Notas 2 7 2" xfId="35586" xr:uid="{00000000-0005-0000-0000-0000988B0000}"/>
    <cellStyle name="Notas 2 7 2 2" xfId="35587" xr:uid="{00000000-0005-0000-0000-0000998B0000}"/>
    <cellStyle name="Notas 2 7 2 2 2" xfId="35588" xr:uid="{00000000-0005-0000-0000-00009A8B0000}"/>
    <cellStyle name="Notas 2 7 2 2 2 2" xfId="35589" xr:uid="{00000000-0005-0000-0000-00009B8B0000}"/>
    <cellStyle name="Notas 2 7 2 2 2 3" xfId="35590" xr:uid="{00000000-0005-0000-0000-00009C8B0000}"/>
    <cellStyle name="Notas 2 7 2 2 2 4" xfId="35591" xr:uid="{00000000-0005-0000-0000-00009D8B0000}"/>
    <cellStyle name="Notas 2 7 2 2 3" xfId="35592" xr:uid="{00000000-0005-0000-0000-00009E8B0000}"/>
    <cellStyle name="Notas 2 7 2 2 3 2" xfId="35593" xr:uid="{00000000-0005-0000-0000-00009F8B0000}"/>
    <cellStyle name="Notas 2 7 2 2 3 3" xfId="35594" xr:uid="{00000000-0005-0000-0000-0000A08B0000}"/>
    <cellStyle name="Notas 2 7 2 2 3 4" xfId="35595" xr:uid="{00000000-0005-0000-0000-0000A18B0000}"/>
    <cellStyle name="Notas 2 7 2 2 4" xfId="35596" xr:uid="{00000000-0005-0000-0000-0000A28B0000}"/>
    <cellStyle name="Notas 2 7 2 2 5" xfId="35597" xr:uid="{00000000-0005-0000-0000-0000A38B0000}"/>
    <cellStyle name="Notas 2 7 2 2 6" xfId="35598" xr:uid="{00000000-0005-0000-0000-0000A48B0000}"/>
    <cellStyle name="Notas 2 7 2 3" xfId="35599" xr:uid="{00000000-0005-0000-0000-0000A58B0000}"/>
    <cellStyle name="Notas 2 7 2 3 2" xfId="35600" xr:uid="{00000000-0005-0000-0000-0000A68B0000}"/>
    <cellStyle name="Notas 2 7 2 3 2 2" xfId="35601" xr:uid="{00000000-0005-0000-0000-0000A78B0000}"/>
    <cellStyle name="Notas 2 7 2 3 2 3" xfId="35602" xr:uid="{00000000-0005-0000-0000-0000A88B0000}"/>
    <cellStyle name="Notas 2 7 2 3 2 4" xfId="35603" xr:uid="{00000000-0005-0000-0000-0000A98B0000}"/>
    <cellStyle name="Notas 2 7 2 3 3" xfId="35604" xr:uid="{00000000-0005-0000-0000-0000AA8B0000}"/>
    <cellStyle name="Notas 2 7 2 3 3 2" xfId="35605" xr:uid="{00000000-0005-0000-0000-0000AB8B0000}"/>
    <cellStyle name="Notas 2 7 2 3 3 3" xfId="35606" xr:uid="{00000000-0005-0000-0000-0000AC8B0000}"/>
    <cellStyle name="Notas 2 7 2 3 3 4" xfId="35607" xr:uid="{00000000-0005-0000-0000-0000AD8B0000}"/>
    <cellStyle name="Notas 2 7 2 3 4" xfId="35608" xr:uid="{00000000-0005-0000-0000-0000AE8B0000}"/>
    <cellStyle name="Notas 2 7 2 3 5" xfId="35609" xr:uid="{00000000-0005-0000-0000-0000AF8B0000}"/>
    <cellStyle name="Notas 2 7 2 3 6" xfId="35610" xr:uid="{00000000-0005-0000-0000-0000B08B0000}"/>
    <cellStyle name="Notas 2 7 2 4" xfId="35611" xr:uid="{00000000-0005-0000-0000-0000B18B0000}"/>
    <cellStyle name="Notas 2 7 2 5" xfId="35612" xr:uid="{00000000-0005-0000-0000-0000B28B0000}"/>
    <cellStyle name="Notas 2 7 2 6" xfId="35613" xr:uid="{00000000-0005-0000-0000-0000B38B0000}"/>
    <cellStyle name="Notas 2 7 3" xfId="35614" xr:uid="{00000000-0005-0000-0000-0000B48B0000}"/>
    <cellStyle name="Notas 2 7 4" xfId="35615" xr:uid="{00000000-0005-0000-0000-0000B58B0000}"/>
    <cellStyle name="Notas 2 8" xfId="35616" xr:uid="{00000000-0005-0000-0000-0000B68B0000}"/>
    <cellStyle name="Notas 2 8 2" xfId="35617" xr:uid="{00000000-0005-0000-0000-0000B78B0000}"/>
    <cellStyle name="Notas 2 8 2 2" xfId="35618" xr:uid="{00000000-0005-0000-0000-0000B88B0000}"/>
    <cellStyle name="Notas 2 8 2 2 2" xfId="35619" xr:uid="{00000000-0005-0000-0000-0000B98B0000}"/>
    <cellStyle name="Notas 2 8 2 2 2 2" xfId="35620" xr:uid="{00000000-0005-0000-0000-0000BA8B0000}"/>
    <cellStyle name="Notas 2 8 2 2 2 3" xfId="35621" xr:uid="{00000000-0005-0000-0000-0000BB8B0000}"/>
    <cellStyle name="Notas 2 8 2 2 2 4" xfId="35622" xr:uid="{00000000-0005-0000-0000-0000BC8B0000}"/>
    <cellStyle name="Notas 2 8 2 2 3" xfId="35623" xr:uid="{00000000-0005-0000-0000-0000BD8B0000}"/>
    <cellStyle name="Notas 2 8 2 2 3 2" xfId="35624" xr:uid="{00000000-0005-0000-0000-0000BE8B0000}"/>
    <cellStyle name="Notas 2 8 2 2 3 3" xfId="35625" xr:uid="{00000000-0005-0000-0000-0000BF8B0000}"/>
    <cellStyle name="Notas 2 8 2 2 3 4" xfId="35626" xr:uid="{00000000-0005-0000-0000-0000C08B0000}"/>
    <cellStyle name="Notas 2 8 2 2 4" xfId="35627" xr:uid="{00000000-0005-0000-0000-0000C18B0000}"/>
    <cellStyle name="Notas 2 8 2 2 5" xfId="35628" xr:uid="{00000000-0005-0000-0000-0000C28B0000}"/>
    <cellStyle name="Notas 2 8 2 2 6" xfId="35629" xr:uid="{00000000-0005-0000-0000-0000C38B0000}"/>
    <cellStyle name="Notas 2 8 2 3" xfId="35630" xr:uid="{00000000-0005-0000-0000-0000C48B0000}"/>
    <cellStyle name="Notas 2 8 2 3 2" xfId="35631" xr:uid="{00000000-0005-0000-0000-0000C58B0000}"/>
    <cellStyle name="Notas 2 8 2 3 2 2" xfId="35632" xr:uid="{00000000-0005-0000-0000-0000C68B0000}"/>
    <cellStyle name="Notas 2 8 2 3 2 3" xfId="35633" xr:uid="{00000000-0005-0000-0000-0000C78B0000}"/>
    <cellStyle name="Notas 2 8 2 3 2 4" xfId="35634" xr:uid="{00000000-0005-0000-0000-0000C88B0000}"/>
    <cellStyle name="Notas 2 8 2 3 3" xfId="35635" xr:uid="{00000000-0005-0000-0000-0000C98B0000}"/>
    <cellStyle name="Notas 2 8 2 3 3 2" xfId="35636" xr:uid="{00000000-0005-0000-0000-0000CA8B0000}"/>
    <cellStyle name="Notas 2 8 2 3 3 3" xfId="35637" xr:uid="{00000000-0005-0000-0000-0000CB8B0000}"/>
    <cellStyle name="Notas 2 8 2 3 3 4" xfId="35638" xr:uid="{00000000-0005-0000-0000-0000CC8B0000}"/>
    <cellStyle name="Notas 2 8 2 3 4" xfId="35639" xr:uid="{00000000-0005-0000-0000-0000CD8B0000}"/>
    <cellStyle name="Notas 2 8 2 3 5" xfId="35640" xr:uid="{00000000-0005-0000-0000-0000CE8B0000}"/>
    <cellStyle name="Notas 2 8 2 3 6" xfId="35641" xr:uid="{00000000-0005-0000-0000-0000CF8B0000}"/>
    <cellStyle name="Notas 2 8 2 4" xfId="35642" xr:uid="{00000000-0005-0000-0000-0000D08B0000}"/>
    <cellStyle name="Notas 2 8 2 5" xfId="35643" xr:uid="{00000000-0005-0000-0000-0000D18B0000}"/>
    <cellStyle name="Notas 2 8 2 6" xfId="35644" xr:uid="{00000000-0005-0000-0000-0000D28B0000}"/>
    <cellStyle name="Notas 2 8 3" xfId="35645" xr:uid="{00000000-0005-0000-0000-0000D38B0000}"/>
    <cellStyle name="Notas 2 8 4" xfId="35646" xr:uid="{00000000-0005-0000-0000-0000D48B0000}"/>
    <cellStyle name="Notas 2 9" xfId="35647" xr:uid="{00000000-0005-0000-0000-0000D58B0000}"/>
    <cellStyle name="Notas 2 9 2" xfId="35648" xr:uid="{00000000-0005-0000-0000-0000D68B0000}"/>
    <cellStyle name="Notas 2 9 2 2" xfId="35649" xr:uid="{00000000-0005-0000-0000-0000D78B0000}"/>
    <cellStyle name="Notas 2 9 2 2 2" xfId="35650" xr:uid="{00000000-0005-0000-0000-0000D88B0000}"/>
    <cellStyle name="Notas 2 9 2 2 3" xfId="35651" xr:uid="{00000000-0005-0000-0000-0000D98B0000}"/>
    <cellStyle name="Notas 2 9 2 2 4" xfId="35652" xr:uid="{00000000-0005-0000-0000-0000DA8B0000}"/>
    <cellStyle name="Notas 2 9 2 3" xfId="35653" xr:uid="{00000000-0005-0000-0000-0000DB8B0000}"/>
    <cellStyle name="Notas 2 9 2 3 2" xfId="35654" xr:uid="{00000000-0005-0000-0000-0000DC8B0000}"/>
    <cellStyle name="Notas 2 9 2 3 3" xfId="35655" xr:uid="{00000000-0005-0000-0000-0000DD8B0000}"/>
    <cellStyle name="Notas 2 9 2 3 4" xfId="35656" xr:uid="{00000000-0005-0000-0000-0000DE8B0000}"/>
    <cellStyle name="Notas 2 9 2 4" xfId="35657" xr:uid="{00000000-0005-0000-0000-0000DF8B0000}"/>
    <cellStyle name="Notas 2 9 2 5" xfId="35658" xr:uid="{00000000-0005-0000-0000-0000E08B0000}"/>
    <cellStyle name="Notas 2 9 2 6" xfId="35659" xr:uid="{00000000-0005-0000-0000-0000E18B0000}"/>
    <cellStyle name="Notas 2 9 3" xfId="35660" xr:uid="{00000000-0005-0000-0000-0000E28B0000}"/>
    <cellStyle name="Notas 2 9 3 2" xfId="35661" xr:uid="{00000000-0005-0000-0000-0000E38B0000}"/>
    <cellStyle name="Notas 2 9 3 2 2" xfId="35662" xr:uid="{00000000-0005-0000-0000-0000E48B0000}"/>
    <cellStyle name="Notas 2 9 3 2 3" xfId="35663" xr:uid="{00000000-0005-0000-0000-0000E58B0000}"/>
    <cellStyle name="Notas 2 9 3 2 4" xfId="35664" xr:uid="{00000000-0005-0000-0000-0000E68B0000}"/>
    <cellStyle name="Notas 2 9 3 3" xfId="35665" xr:uid="{00000000-0005-0000-0000-0000E78B0000}"/>
    <cellStyle name="Notas 2 9 3 3 2" xfId="35666" xr:uid="{00000000-0005-0000-0000-0000E88B0000}"/>
    <cellStyle name="Notas 2 9 3 3 3" xfId="35667" xr:uid="{00000000-0005-0000-0000-0000E98B0000}"/>
    <cellStyle name="Notas 2 9 3 3 4" xfId="35668" xr:uid="{00000000-0005-0000-0000-0000EA8B0000}"/>
    <cellStyle name="Notas 2 9 3 4" xfId="35669" xr:uid="{00000000-0005-0000-0000-0000EB8B0000}"/>
    <cellStyle name="Notas 2 9 3 5" xfId="35670" xr:uid="{00000000-0005-0000-0000-0000EC8B0000}"/>
    <cellStyle name="Notas 2 9 3 6" xfId="35671" xr:uid="{00000000-0005-0000-0000-0000ED8B0000}"/>
    <cellStyle name="Notas 2 9 4" xfId="35672" xr:uid="{00000000-0005-0000-0000-0000EE8B0000}"/>
    <cellStyle name="Notas 2 9 4 2" xfId="35673" xr:uid="{00000000-0005-0000-0000-0000EF8B0000}"/>
    <cellStyle name="Notas 2 9 4 3" xfId="35674" xr:uid="{00000000-0005-0000-0000-0000F08B0000}"/>
    <cellStyle name="Notas 2 9 4 4" xfId="35675" xr:uid="{00000000-0005-0000-0000-0000F18B0000}"/>
    <cellStyle name="Notas 2 9 5" xfId="35676" xr:uid="{00000000-0005-0000-0000-0000F28B0000}"/>
    <cellStyle name="Notas 2 9 6" xfId="35677" xr:uid="{00000000-0005-0000-0000-0000F38B0000}"/>
    <cellStyle name="Notas 3" xfId="35678" xr:uid="{00000000-0005-0000-0000-0000F48B0000}"/>
    <cellStyle name="Notas 3 10" xfId="35679" xr:uid="{00000000-0005-0000-0000-0000F58B0000}"/>
    <cellStyle name="Notas 3 10 2" xfId="35680" xr:uid="{00000000-0005-0000-0000-0000F68B0000}"/>
    <cellStyle name="Notas 3 10 2 2" xfId="35681" xr:uid="{00000000-0005-0000-0000-0000F78B0000}"/>
    <cellStyle name="Notas 3 10 2 2 2" xfId="35682" xr:uid="{00000000-0005-0000-0000-0000F88B0000}"/>
    <cellStyle name="Notas 3 10 2 2 3" xfId="35683" xr:uid="{00000000-0005-0000-0000-0000F98B0000}"/>
    <cellStyle name="Notas 3 10 2 2 4" xfId="35684" xr:uid="{00000000-0005-0000-0000-0000FA8B0000}"/>
    <cellStyle name="Notas 3 10 2 3" xfId="35685" xr:uid="{00000000-0005-0000-0000-0000FB8B0000}"/>
    <cellStyle name="Notas 3 10 2 3 2" xfId="35686" xr:uid="{00000000-0005-0000-0000-0000FC8B0000}"/>
    <cellStyle name="Notas 3 10 2 3 3" xfId="35687" xr:uid="{00000000-0005-0000-0000-0000FD8B0000}"/>
    <cellStyle name="Notas 3 10 2 3 4" xfId="35688" xr:uid="{00000000-0005-0000-0000-0000FE8B0000}"/>
    <cellStyle name="Notas 3 10 2 4" xfId="35689" xr:uid="{00000000-0005-0000-0000-0000FF8B0000}"/>
    <cellStyle name="Notas 3 10 2 5" xfId="35690" xr:uid="{00000000-0005-0000-0000-0000008C0000}"/>
    <cellStyle name="Notas 3 10 2 6" xfId="35691" xr:uid="{00000000-0005-0000-0000-0000018C0000}"/>
    <cellStyle name="Notas 3 10 3" xfId="35692" xr:uid="{00000000-0005-0000-0000-0000028C0000}"/>
    <cellStyle name="Notas 3 10 3 2" xfId="35693" xr:uid="{00000000-0005-0000-0000-0000038C0000}"/>
    <cellStyle name="Notas 3 10 3 2 2" xfId="35694" xr:uid="{00000000-0005-0000-0000-0000048C0000}"/>
    <cellStyle name="Notas 3 10 3 2 3" xfId="35695" xr:uid="{00000000-0005-0000-0000-0000058C0000}"/>
    <cellStyle name="Notas 3 10 3 2 4" xfId="35696" xr:uid="{00000000-0005-0000-0000-0000068C0000}"/>
    <cellStyle name="Notas 3 10 3 3" xfId="35697" xr:uid="{00000000-0005-0000-0000-0000078C0000}"/>
    <cellStyle name="Notas 3 10 3 3 2" xfId="35698" xr:uid="{00000000-0005-0000-0000-0000088C0000}"/>
    <cellStyle name="Notas 3 10 3 3 3" xfId="35699" xr:uid="{00000000-0005-0000-0000-0000098C0000}"/>
    <cellStyle name="Notas 3 10 3 3 4" xfId="35700" xr:uid="{00000000-0005-0000-0000-00000A8C0000}"/>
    <cellStyle name="Notas 3 10 3 4" xfId="35701" xr:uid="{00000000-0005-0000-0000-00000B8C0000}"/>
    <cellStyle name="Notas 3 10 3 5" xfId="35702" xr:uid="{00000000-0005-0000-0000-00000C8C0000}"/>
    <cellStyle name="Notas 3 10 3 6" xfId="35703" xr:uid="{00000000-0005-0000-0000-00000D8C0000}"/>
    <cellStyle name="Notas 3 10 4" xfId="35704" xr:uid="{00000000-0005-0000-0000-00000E8C0000}"/>
    <cellStyle name="Notas 3 10 4 2" xfId="35705" xr:uid="{00000000-0005-0000-0000-00000F8C0000}"/>
    <cellStyle name="Notas 3 10 4 3" xfId="35706" xr:uid="{00000000-0005-0000-0000-0000108C0000}"/>
    <cellStyle name="Notas 3 10 4 4" xfId="35707" xr:uid="{00000000-0005-0000-0000-0000118C0000}"/>
    <cellStyle name="Notas 3 10 5" xfId="35708" xr:uid="{00000000-0005-0000-0000-0000128C0000}"/>
    <cellStyle name="Notas 3 10 6" xfId="35709" xr:uid="{00000000-0005-0000-0000-0000138C0000}"/>
    <cellStyle name="Notas 3 11" xfId="35710" xr:uid="{00000000-0005-0000-0000-0000148C0000}"/>
    <cellStyle name="Notas 3 11 2" xfId="35711" xr:uid="{00000000-0005-0000-0000-0000158C0000}"/>
    <cellStyle name="Notas 3 11 2 2" xfId="35712" xr:uid="{00000000-0005-0000-0000-0000168C0000}"/>
    <cellStyle name="Notas 3 11 2 2 2" xfId="35713" xr:uid="{00000000-0005-0000-0000-0000178C0000}"/>
    <cellStyle name="Notas 3 11 2 2 3" xfId="35714" xr:uid="{00000000-0005-0000-0000-0000188C0000}"/>
    <cellStyle name="Notas 3 11 2 2 4" xfId="35715" xr:uid="{00000000-0005-0000-0000-0000198C0000}"/>
    <cellStyle name="Notas 3 11 2 3" xfId="35716" xr:uid="{00000000-0005-0000-0000-00001A8C0000}"/>
    <cellStyle name="Notas 3 11 2 3 2" xfId="35717" xr:uid="{00000000-0005-0000-0000-00001B8C0000}"/>
    <cellStyle name="Notas 3 11 2 3 3" xfId="35718" xr:uid="{00000000-0005-0000-0000-00001C8C0000}"/>
    <cellStyle name="Notas 3 11 2 3 4" xfId="35719" xr:uid="{00000000-0005-0000-0000-00001D8C0000}"/>
    <cellStyle name="Notas 3 11 2 4" xfId="35720" xr:uid="{00000000-0005-0000-0000-00001E8C0000}"/>
    <cellStyle name="Notas 3 11 2 5" xfId="35721" xr:uid="{00000000-0005-0000-0000-00001F8C0000}"/>
    <cellStyle name="Notas 3 11 2 6" xfId="35722" xr:uid="{00000000-0005-0000-0000-0000208C0000}"/>
    <cellStyle name="Notas 3 11 3" xfId="35723" xr:uid="{00000000-0005-0000-0000-0000218C0000}"/>
    <cellStyle name="Notas 3 11 3 2" xfId="35724" xr:uid="{00000000-0005-0000-0000-0000228C0000}"/>
    <cellStyle name="Notas 3 11 3 2 2" xfId="35725" xr:uid="{00000000-0005-0000-0000-0000238C0000}"/>
    <cellStyle name="Notas 3 11 3 2 3" xfId="35726" xr:uid="{00000000-0005-0000-0000-0000248C0000}"/>
    <cellStyle name="Notas 3 11 3 2 4" xfId="35727" xr:uid="{00000000-0005-0000-0000-0000258C0000}"/>
    <cellStyle name="Notas 3 11 3 3" xfId="35728" xr:uid="{00000000-0005-0000-0000-0000268C0000}"/>
    <cellStyle name="Notas 3 11 3 3 2" xfId="35729" xr:uid="{00000000-0005-0000-0000-0000278C0000}"/>
    <cellStyle name="Notas 3 11 3 3 3" xfId="35730" xr:uid="{00000000-0005-0000-0000-0000288C0000}"/>
    <cellStyle name="Notas 3 11 3 3 4" xfId="35731" xr:uid="{00000000-0005-0000-0000-0000298C0000}"/>
    <cellStyle name="Notas 3 11 3 4" xfId="35732" xr:uid="{00000000-0005-0000-0000-00002A8C0000}"/>
    <cellStyle name="Notas 3 11 3 5" xfId="35733" xr:uid="{00000000-0005-0000-0000-00002B8C0000}"/>
    <cellStyle name="Notas 3 11 3 6" xfId="35734" xr:uid="{00000000-0005-0000-0000-00002C8C0000}"/>
    <cellStyle name="Notas 3 11 4" xfId="35735" xr:uid="{00000000-0005-0000-0000-00002D8C0000}"/>
    <cellStyle name="Notas 3 11 4 2" xfId="35736" xr:uid="{00000000-0005-0000-0000-00002E8C0000}"/>
    <cellStyle name="Notas 3 11 4 3" xfId="35737" xr:uid="{00000000-0005-0000-0000-00002F8C0000}"/>
    <cellStyle name="Notas 3 11 4 4" xfId="35738" xr:uid="{00000000-0005-0000-0000-0000308C0000}"/>
    <cellStyle name="Notas 3 11 5" xfId="35739" xr:uid="{00000000-0005-0000-0000-0000318C0000}"/>
    <cellStyle name="Notas 3 11 6" xfId="35740" xr:uid="{00000000-0005-0000-0000-0000328C0000}"/>
    <cellStyle name="Notas 3 12" xfId="35741" xr:uid="{00000000-0005-0000-0000-0000338C0000}"/>
    <cellStyle name="Notas 3 12 2" xfId="35742" xr:uid="{00000000-0005-0000-0000-0000348C0000}"/>
    <cellStyle name="Notas 3 12 2 2" xfId="35743" xr:uid="{00000000-0005-0000-0000-0000358C0000}"/>
    <cellStyle name="Notas 3 12 2 2 2" xfId="35744" xr:uid="{00000000-0005-0000-0000-0000368C0000}"/>
    <cellStyle name="Notas 3 12 2 2 3" xfId="35745" xr:uid="{00000000-0005-0000-0000-0000378C0000}"/>
    <cellStyle name="Notas 3 12 2 2 4" xfId="35746" xr:uid="{00000000-0005-0000-0000-0000388C0000}"/>
    <cellStyle name="Notas 3 12 2 3" xfId="35747" xr:uid="{00000000-0005-0000-0000-0000398C0000}"/>
    <cellStyle name="Notas 3 12 2 3 2" xfId="35748" xr:uid="{00000000-0005-0000-0000-00003A8C0000}"/>
    <cellStyle name="Notas 3 12 2 3 3" xfId="35749" xr:uid="{00000000-0005-0000-0000-00003B8C0000}"/>
    <cellStyle name="Notas 3 12 2 3 4" xfId="35750" xr:uid="{00000000-0005-0000-0000-00003C8C0000}"/>
    <cellStyle name="Notas 3 12 2 4" xfId="35751" xr:uid="{00000000-0005-0000-0000-00003D8C0000}"/>
    <cellStyle name="Notas 3 12 2 5" xfId="35752" xr:uid="{00000000-0005-0000-0000-00003E8C0000}"/>
    <cellStyle name="Notas 3 12 2 6" xfId="35753" xr:uid="{00000000-0005-0000-0000-00003F8C0000}"/>
    <cellStyle name="Notas 3 12 3" xfId="35754" xr:uid="{00000000-0005-0000-0000-0000408C0000}"/>
    <cellStyle name="Notas 3 12 3 2" xfId="35755" xr:uid="{00000000-0005-0000-0000-0000418C0000}"/>
    <cellStyle name="Notas 3 12 3 2 2" xfId="35756" xr:uid="{00000000-0005-0000-0000-0000428C0000}"/>
    <cellStyle name="Notas 3 12 3 2 3" xfId="35757" xr:uid="{00000000-0005-0000-0000-0000438C0000}"/>
    <cellStyle name="Notas 3 12 3 2 4" xfId="35758" xr:uid="{00000000-0005-0000-0000-0000448C0000}"/>
    <cellStyle name="Notas 3 12 3 3" xfId="35759" xr:uid="{00000000-0005-0000-0000-0000458C0000}"/>
    <cellStyle name="Notas 3 12 3 3 2" xfId="35760" xr:uid="{00000000-0005-0000-0000-0000468C0000}"/>
    <cellStyle name="Notas 3 12 3 3 3" xfId="35761" xr:uid="{00000000-0005-0000-0000-0000478C0000}"/>
    <cellStyle name="Notas 3 12 3 3 4" xfId="35762" xr:uid="{00000000-0005-0000-0000-0000488C0000}"/>
    <cellStyle name="Notas 3 12 3 4" xfId="35763" xr:uid="{00000000-0005-0000-0000-0000498C0000}"/>
    <cellStyle name="Notas 3 12 3 5" xfId="35764" xr:uid="{00000000-0005-0000-0000-00004A8C0000}"/>
    <cellStyle name="Notas 3 12 3 6" xfId="35765" xr:uid="{00000000-0005-0000-0000-00004B8C0000}"/>
    <cellStyle name="Notas 3 12 4" xfId="35766" xr:uid="{00000000-0005-0000-0000-00004C8C0000}"/>
    <cellStyle name="Notas 3 12 4 2" xfId="35767" xr:uid="{00000000-0005-0000-0000-00004D8C0000}"/>
    <cellStyle name="Notas 3 12 4 3" xfId="35768" xr:uid="{00000000-0005-0000-0000-00004E8C0000}"/>
    <cellStyle name="Notas 3 12 4 4" xfId="35769" xr:uid="{00000000-0005-0000-0000-00004F8C0000}"/>
    <cellStyle name="Notas 3 12 5" xfId="35770" xr:uid="{00000000-0005-0000-0000-0000508C0000}"/>
    <cellStyle name="Notas 3 12 6" xfId="35771" xr:uid="{00000000-0005-0000-0000-0000518C0000}"/>
    <cellStyle name="Notas 3 13" xfId="35772" xr:uid="{00000000-0005-0000-0000-0000528C0000}"/>
    <cellStyle name="Notas 3 13 2" xfId="35773" xr:uid="{00000000-0005-0000-0000-0000538C0000}"/>
    <cellStyle name="Notas 3 13 2 2" xfId="35774" xr:uid="{00000000-0005-0000-0000-0000548C0000}"/>
    <cellStyle name="Notas 3 13 2 2 2" xfId="35775" xr:uid="{00000000-0005-0000-0000-0000558C0000}"/>
    <cellStyle name="Notas 3 13 2 2 3" xfId="35776" xr:uid="{00000000-0005-0000-0000-0000568C0000}"/>
    <cellStyle name="Notas 3 13 2 2 4" xfId="35777" xr:uid="{00000000-0005-0000-0000-0000578C0000}"/>
    <cellStyle name="Notas 3 13 2 3" xfId="35778" xr:uid="{00000000-0005-0000-0000-0000588C0000}"/>
    <cellStyle name="Notas 3 13 2 3 2" xfId="35779" xr:uid="{00000000-0005-0000-0000-0000598C0000}"/>
    <cellStyle name="Notas 3 13 2 3 3" xfId="35780" xr:uid="{00000000-0005-0000-0000-00005A8C0000}"/>
    <cellStyle name="Notas 3 13 2 3 4" xfId="35781" xr:uid="{00000000-0005-0000-0000-00005B8C0000}"/>
    <cellStyle name="Notas 3 13 2 4" xfId="35782" xr:uid="{00000000-0005-0000-0000-00005C8C0000}"/>
    <cellStyle name="Notas 3 13 2 5" xfId="35783" xr:uid="{00000000-0005-0000-0000-00005D8C0000}"/>
    <cellStyle name="Notas 3 13 2 6" xfId="35784" xr:uid="{00000000-0005-0000-0000-00005E8C0000}"/>
    <cellStyle name="Notas 3 13 3" xfId="35785" xr:uid="{00000000-0005-0000-0000-00005F8C0000}"/>
    <cellStyle name="Notas 3 13 3 2" xfId="35786" xr:uid="{00000000-0005-0000-0000-0000608C0000}"/>
    <cellStyle name="Notas 3 13 3 2 2" xfId="35787" xr:uid="{00000000-0005-0000-0000-0000618C0000}"/>
    <cellStyle name="Notas 3 13 3 2 3" xfId="35788" xr:uid="{00000000-0005-0000-0000-0000628C0000}"/>
    <cellStyle name="Notas 3 13 3 2 4" xfId="35789" xr:uid="{00000000-0005-0000-0000-0000638C0000}"/>
    <cellStyle name="Notas 3 13 3 3" xfId="35790" xr:uid="{00000000-0005-0000-0000-0000648C0000}"/>
    <cellStyle name="Notas 3 13 3 3 2" xfId="35791" xr:uid="{00000000-0005-0000-0000-0000658C0000}"/>
    <cellStyle name="Notas 3 13 3 3 3" xfId="35792" xr:uid="{00000000-0005-0000-0000-0000668C0000}"/>
    <cellStyle name="Notas 3 13 3 3 4" xfId="35793" xr:uid="{00000000-0005-0000-0000-0000678C0000}"/>
    <cellStyle name="Notas 3 13 3 4" xfId="35794" xr:uid="{00000000-0005-0000-0000-0000688C0000}"/>
    <cellStyle name="Notas 3 13 3 5" xfId="35795" xr:uid="{00000000-0005-0000-0000-0000698C0000}"/>
    <cellStyle name="Notas 3 13 3 6" xfId="35796" xr:uid="{00000000-0005-0000-0000-00006A8C0000}"/>
    <cellStyle name="Notas 3 13 4" xfId="35797" xr:uid="{00000000-0005-0000-0000-00006B8C0000}"/>
    <cellStyle name="Notas 3 13 5" xfId="35798" xr:uid="{00000000-0005-0000-0000-00006C8C0000}"/>
    <cellStyle name="Notas 3 13 6" xfId="35799" xr:uid="{00000000-0005-0000-0000-00006D8C0000}"/>
    <cellStyle name="Notas 3 14" xfId="35800" xr:uid="{00000000-0005-0000-0000-00006E8C0000}"/>
    <cellStyle name="Notas 3 15" xfId="35801" xr:uid="{00000000-0005-0000-0000-00006F8C0000}"/>
    <cellStyle name="Notas 3 2" xfId="35802" xr:uid="{00000000-0005-0000-0000-0000708C0000}"/>
    <cellStyle name="Notas 3 2 10" xfId="35803" xr:uid="{00000000-0005-0000-0000-0000718C0000}"/>
    <cellStyle name="Notas 3 2 10 2" xfId="35804" xr:uid="{00000000-0005-0000-0000-0000728C0000}"/>
    <cellStyle name="Notas 3 2 10 2 2" xfId="35805" xr:uid="{00000000-0005-0000-0000-0000738C0000}"/>
    <cellStyle name="Notas 3 2 10 2 2 2" xfId="35806" xr:uid="{00000000-0005-0000-0000-0000748C0000}"/>
    <cellStyle name="Notas 3 2 10 2 2 3" xfId="35807" xr:uid="{00000000-0005-0000-0000-0000758C0000}"/>
    <cellStyle name="Notas 3 2 10 2 2 4" xfId="35808" xr:uid="{00000000-0005-0000-0000-0000768C0000}"/>
    <cellStyle name="Notas 3 2 10 2 3" xfId="35809" xr:uid="{00000000-0005-0000-0000-0000778C0000}"/>
    <cellStyle name="Notas 3 2 10 2 3 2" xfId="35810" xr:uid="{00000000-0005-0000-0000-0000788C0000}"/>
    <cellStyle name="Notas 3 2 10 2 3 3" xfId="35811" xr:uid="{00000000-0005-0000-0000-0000798C0000}"/>
    <cellStyle name="Notas 3 2 10 2 3 4" xfId="35812" xr:uid="{00000000-0005-0000-0000-00007A8C0000}"/>
    <cellStyle name="Notas 3 2 10 2 4" xfId="35813" xr:uid="{00000000-0005-0000-0000-00007B8C0000}"/>
    <cellStyle name="Notas 3 2 10 2 5" xfId="35814" xr:uid="{00000000-0005-0000-0000-00007C8C0000}"/>
    <cellStyle name="Notas 3 2 10 2 6" xfId="35815" xr:uid="{00000000-0005-0000-0000-00007D8C0000}"/>
    <cellStyle name="Notas 3 2 10 3" xfId="35816" xr:uid="{00000000-0005-0000-0000-00007E8C0000}"/>
    <cellStyle name="Notas 3 2 10 3 2" xfId="35817" xr:uid="{00000000-0005-0000-0000-00007F8C0000}"/>
    <cellStyle name="Notas 3 2 10 3 2 2" xfId="35818" xr:uid="{00000000-0005-0000-0000-0000808C0000}"/>
    <cellStyle name="Notas 3 2 10 3 2 3" xfId="35819" xr:uid="{00000000-0005-0000-0000-0000818C0000}"/>
    <cellStyle name="Notas 3 2 10 3 2 4" xfId="35820" xr:uid="{00000000-0005-0000-0000-0000828C0000}"/>
    <cellStyle name="Notas 3 2 10 3 3" xfId="35821" xr:uid="{00000000-0005-0000-0000-0000838C0000}"/>
    <cellStyle name="Notas 3 2 10 3 3 2" xfId="35822" xr:uid="{00000000-0005-0000-0000-0000848C0000}"/>
    <cellStyle name="Notas 3 2 10 3 3 3" xfId="35823" xr:uid="{00000000-0005-0000-0000-0000858C0000}"/>
    <cellStyle name="Notas 3 2 10 3 3 4" xfId="35824" xr:uid="{00000000-0005-0000-0000-0000868C0000}"/>
    <cellStyle name="Notas 3 2 10 3 4" xfId="35825" xr:uid="{00000000-0005-0000-0000-0000878C0000}"/>
    <cellStyle name="Notas 3 2 10 3 5" xfId="35826" xr:uid="{00000000-0005-0000-0000-0000888C0000}"/>
    <cellStyle name="Notas 3 2 10 3 6" xfId="35827" xr:uid="{00000000-0005-0000-0000-0000898C0000}"/>
    <cellStyle name="Notas 3 2 10 4" xfId="35828" xr:uid="{00000000-0005-0000-0000-00008A8C0000}"/>
    <cellStyle name="Notas 3 2 10 4 2" xfId="35829" xr:uid="{00000000-0005-0000-0000-00008B8C0000}"/>
    <cellStyle name="Notas 3 2 10 4 3" xfId="35830" xr:uid="{00000000-0005-0000-0000-00008C8C0000}"/>
    <cellStyle name="Notas 3 2 10 4 4" xfId="35831" xr:uid="{00000000-0005-0000-0000-00008D8C0000}"/>
    <cellStyle name="Notas 3 2 10 5" xfId="35832" xr:uid="{00000000-0005-0000-0000-00008E8C0000}"/>
    <cellStyle name="Notas 3 2 10 6" xfId="35833" xr:uid="{00000000-0005-0000-0000-00008F8C0000}"/>
    <cellStyle name="Notas 3 2 11" xfId="35834" xr:uid="{00000000-0005-0000-0000-0000908C0000}"/>
    <cellStyle name="Notas 3 2 11 2" xfId="35835" xr:uid="{00000000-0005-0000-0000-0000918C0000}"/>
    <cellStyle name="Notas 3 2 11 2 2" xfId="35836" xr:uid="{00000000-0005-0000-0000-0000928C0000}"/>
    <cellStyle name="Notas 3 2 11 2 2 2" xfId="35837" xr:uid="{00000000-0005-0000-0000-0000938C0000}"/>
    <cellStyle name="Notas 3 2 11 2 2 3" xfId="35838" xr:uid="{00000000-0005-0000-0000-0000948C0000}"/>
    <cellStyle name="Notas 3 2 11 2 2 4" xfId="35839" xr:uid="{00000000-0005-0000-0000-0000958C0000}"/>
    <cellStyle name="Notas 3 2 11 2 3" xfId="35840" xr:uid="{00000000-0005-0000-0000-0000968C0000}"/>
    <cellStyle name="Notas 3 2 11 2 3 2" xfId="35841" xr:uid="{00000000-0005-0000-0000-0000978C0000}"/>
    <cellStyle name="Notas 3 2 11 2 3 3" xfId="35842" xr:uid="{00000000-0005-0000-0000-0000988C0000}"/>
    <cellStyle name="Notas 3 2 11 2 3 4" xfId="35843" xr:uid="{00000000-0005-0000-0000-0000998C0000}"/>
    <cellStyle name="Notas 3 2 11 2 4" xfId="35844" xr:uid="{00000000-0005-0000-0000-00009A8C0000}"/>
    <cellStyle name="Notas 3 2 11 2 5" xfId="35845" xr:uid="{00000000-0005-0000-0000-00009B8C0000}"/>
    <cellStyle name="Notas 3 2 11 2 6" xfId="35846" xr:uid="{00000000-0005-0000-0000-00009C8C0000}"/>
    <cellStyle name="Notas 3 2 11 3" xfId="35847" xr:uid="{00000000-0005-0000-0000-00009D8C0000}"/>
    <cellStyle name="Notas 3 2 11 3 2" xfId="35848" xr:uid="{00000000-0005-0000-0000-00009E8C0000}"/>
    <cellStyle name="Notas 3 2 11 3 2 2" xfId="35849" xr:uid="{00000000-0005-0000-0000-00009F8C0000}"/>
    <cellStyle name="Notas 3 2 11 3 2 3" xfId="35850" xr:uid="{00000000-0005-0000-0000-0000A08C0000}"/>
    <cellStyle name="Notas 3 2 11 3 2 4" xfId="35851" xr:uid="{00000000-0005-0000-0000-0000A18C0000}"/>
    <cellStyle name="Notas 3 2 11 3 3" xfId="35852" xr:uid="{00000000-0005-0000-0000-0000A28C0000}"/>
    <cellStyle name="Notas 3 2 11 3 3 2" xfId="35853" xr:uid="{00000000-0005-0000-0000-0000A38C0000}"/>
    <cellStyle name="Notas 3 2 11 3 3 3" xfId="35854" xr:uid="{00000000-0005-0000-0000-0000A48C0000}"/>
    <cellStyle name="Notas 3 2 11 3 3 4" xfId="35855" xr:uid="{00000000-0005-0000-0000-0000A58C0000}"/>
    <cellStyle name="Notas 3 2 11 3 4" xfId="35856" xr:uid="{00000000-0005-0000-0000-0000A68C0000}"/>
    <cellStyle name="Notas 3 2 11 3 5" xfId="35857" xr:uid="{00000000-0005-0000-0000-0000A78C0000}"/>
    <cellStyle name="Notas 3 2 11 3 6" xfId="35858" xr:uid="{00000000-0005-0000-0000-0000A88C0000}"/>
    <cellStyle name="Notas 3 2 11 4" xfId="35859" xr:uid="{00000000-0005-0000-0000-0000A98C0000}"/>
    <cellStyle name="Notas 3 2 11 4 2" xfId="35860" xr:uid="{00000000-0005-0000-0000-0000AA8C0000}"/>
    <cellStyle name="Notas 3 2 11 4 3" xfId="35861" xr:uid="{00000000-0005-0000-0000-0000AB8C0000}"/>
    <cellStyle name="Notas 3 2 11 4 4" xfId="35862" xr:uid="{00000000-0005-0000-0000-0000AC8C0000}"/>
    <cellStyle name="Notas 3 2 11 5" xfId="35863" xr:uid="{00000000-0005-0000-0000-0000AD8C0000}"/>
    <cellStyle name="Notas 3 2 11 6" xfId="35864" xr:uid="{00000000-0005-0000-0000-0000AE8C0000}"/>
    <cellStyle name="Notas 3 2 12" xfId="35865" xr:uid="{00000000-0005-0000-0000-0000AF8C0000}"/>
    <cellStyle name="Notas 3 2 12 2" xfId="35866" xr:uid="{00000000-0005-0000-0000-0000B08C0000}"/>
    <cellStyle name="Notas 3 2 12 2 2" xfId="35867" xr:uid="{00000000-0005-0000-0000-0000B18C0000}"/>
    <cellStyle name="Notas 3 2 12 2 2 2" xfId="35868" xr:uid="{00000000-0005-0000-0000-0000B28C0000}"/>
    <cellStyle name="Notas 3 2 12 2 2 3" xfId="35869" xr:uid="{00000000-0005-0000-0000-0000B38C0000}"/>
    <cellStyle name="Notas 3 2 12 2 2 4" xfId="35870" xr:uid="{00000000-0005-0000-0000-0000B48C0000}"/>
    <cellStyle name="Notas 3 2 12 2 3" xfId="35871" xr:uid="{00000000-0005-0000-0000-0000B58C0000}"/>
    <cellStyle name="Notas 3 2 12 2 3 2" xfId="35872" xr:uid="{00000000-0005-0000-0000-0000B68C0000}"/>
    <cellStyle name="Notas 3 2 12 2 3 3" xfId="35873" xr:uid="{00000000-0005-0000-0000-0000B78C0000}"/>
    <cellStyle name="Notas 3 2 12 2 3 4" xfId="35874" xr:uid="{00000000-0005-0000-0000-0000B88C0000}"/>
    <cellStyle name="Notas 3 2 12 2 4" xfId="35875" xr:uid="{00000000-0005-0000-0000-0000B98C0000}"/>
    <cellStyle name="Notas 3 2 12 2 5" xfId="35876" xr:uid="{00000000-0005-0000-0000-0000BA8C0000}"/>
    <cellStyle name="Notas 3 2 12 2 6" xfId="35877" xr:uid="{00000000-0005-0000-0000-0000BB8C0000}"/>
    <cellStyle name="Notas 3 2 12 3" xfId="35878" xr:uid="{00000000-0005-0000-0000-0000BC8C0000}"/>
    <cellStyle name="Notas 3 2 12 3 2" xfId="35879" xr:uid="{00000000-0005-0000-0000-0000BD8C0000}"/>
    <cellStyle name="Notas 3 2 12 3 2 2" xfId="35880" xr:uid="{00000000-0005-0000-0000-0000BE8C0000}"/>
    <cellStyle name="Notas 3 2 12 3 2 3" xfId="35881" xr:uid="{00000000-0005-0000-0000-0000BF8C0000}"/>
    <cellStyle name="Notas 3 2 12 3 2 4" xfId="35882" xr:uid="{00000000-0005-0000-0000-0000C08C0000}"/>
    <cellStyle name="Notas 3 2 12 3 3" xfId="35883" xr:uid="{00000000-0005-0000-0000-0000C18C0000}"/>
    <cellStyle name="Notas 3 2 12 3 3 2" xfId="35884" xr:uid="{00000000-0005-0000-0000-0000C28C0000}"/>
    <cellStyle name="Notas 3 2 12 3 3 3" xfId="35885" xr:uid="{00000000-0005-0000-0000-0000C38C0000}"/>
    <cellStyle name="Notas 3 2 12 3 3 4" xfId="35886" xr:uid="{00000000-0005-0000-0000-0000C48C0000}"/>
    <cellStyle name="Notas 3 2 12 3 4" xfId="35887" xr:uid="{00000000-0005-0000-0000-0000C58C0000}"/>
    <cellStyle name="Notas 3 2 12 3 5" xfId="35888" xr:uid="{00000000-0005-0000-0000-0000C68C0000}"/>
    <cellStyle name="Notas 3 2 12 3 6" xfId="35889" xr:uid="{00000000-0005-0000-0000-0000C78C0000}"/>
    <cellStyle name="Notas 3 2 12 4" xfId="35890" xr:uid="{00000000-0005-0000-0000-0000C88C0000}"/>
    <cellStyle name="Notas 3 2 12 5" xfId="35891" xr:uid="{00000000-0005-0000-0000-0000C98C0000}"/>
    <cellStyle name="Notas 3 2 12 6" xfId="35892" xr:uid="{00000000-0005-0000-0000-0000CA8C0000}"/>
    <cellStyle name="Notas 3 2 13" xfId="35893" xr:uid="{00000000-0005-0000-0000-0000CB8C0000}"/>
    <cellStyle name="Notas 3 2 14" xfId="35894" xr:uid="{00000000-0005-0000-0000-0000CC8C0000}"/>
    <cellStyle name="Notas 3 2 2" xfId="35895" xr:uid="{00000000-0005-0000-0000-0000CD8C0000}"/>
    <cellStyle name="Notas 3 2 2 10" xfId="35896" xr:uid="{00000000-0005-0000-0000-0000CE8C0000}"/>
    <cellStyle name="Notas 3 2 2 10 2" xfId="35897" xr:uid="{00000000-0005-0000-0000-0000CF8C0000}"/>
    <cellStyle name="Notas 3 2 2 10 2 2" xfId="35898" xr:uid="{00000000-0005-0000-0000-0000D08C0000}"/>
    <cellStyle name="Notas 3 2 2 10 2 2 2" xfId="35899" xr:uid="{00000000-0005-0000-0000-0000D18C0000}"/>
    <cellStyle name="Notas 3 2 2 10 2 2 3" xfId="35900" xr:uid="{00000000-0005-0000-0000-0000D28C0000}"/>
    <cellStyle name="Notas 3 2 2 10 2 2 4" xfId="35901" xr:uid="{00000000-0005-0000-0000-0000D38C0000}"/>
    <cellStyle name="Notas 3 2 2 10 2 3" xfId="35902" xr:uid="{00000000-0005-0000-0000-0000D48C0000}"/>
    <cellStyle name="Notas 3 2 2 10 2 3 2" xfId="35903" xr:uid="{00000000-0005-0000-0000-0000D58C0000}"/>
    <cellStyle name="Notas 3 2 2 10 2 3 3" xfId="35904" xr:uid="{00000000-0005-0000-0000-0000D68C0000}"/>
    <cellStyle name="Notas 3 2 2 10 2 3 4" xfId="35905" xr:uid="{00000000-0005-0000-0000-0000D78C0000}"/>
    <cellStyle name="Notas 3 2 2 10 2 4" xfId="35906" xr:uid="{00000000-0005-0000-0000-0000D88C0000}"/>
    <cellStyle name="Notas 3 2 2 10 2 5" xfId="35907" xr:uid="{00000000-0005-0000-0000-0000D98C0000}"/>
    <cellStyle name="Notas 3 2 2 10 2 6" xfId="35908" xr:uid="{00000000-0005-0000-0000-0000DA8C0000}"/>
    <cellStyle name="Notas 3 2 2 10 3" xfId="35909" xr:uid="{00000000-0005-0000-0000-0000DB8C0000}"/>
    <cellStyle name="Notas 3 2 2 10 3 2" xfId="35910" xr:uid="{00000000-0005-0000-0000-0000DC8C0000}"/>
    <cellStyle name="Notas 3 2 2 10 3 2 2" xfId="35911" xr:uid="{00000000-0005-0000-0000-0000DD8C0000}"/>
    <cellStyle name="Notas 3 2 2 10 3 2 3" xfId="35912" xr:uid="{00000000-0005-0000-0000-0000DE8C0000}"/>
    <cellStyle name="Notas 3 2 2 10 3 2 4" xfId="35913" xr:uid="{00000000-0005-0000-0000-0000DF8C0000}"/>
    <cellStyle name="Notas 3 2 2 10 3 3" xfId="35914" xr:uid="{00000000-0005-0000-0000-0000E08C0000}"/>
    <cellStyle name="Notas 3 2 2 10 3 3 2" xfId="35915" xr:uid="{00000000-0005-0000-0000-0000E18C0000}"/>
    <cellStyle name="Notas 3 2 2 10 3 3 3" xfId="35916" xr:uid="{00000000-0005-0000-0000-0000E28C0000}"/>
    <cellStyle name="Notas 3 2 2 10 3 3 4" xfId="35917" xr:uid="{00000000-0005-0000-0000-0000E38C0000}"/>
    <cellStyle name="Notas 3 2 2 10 3 4" xfId="35918" xr:uid="{00000000-0005-0000-0000-0000E48C0000}"/>
    <cellStyle name="Notas 3 2 2 10 3 5" xfId="35919" xr:uid="{00000000-0005-0000-0000-0000E58C0000}"/>
    <cellStyle name="Notas 3 2 2 10 3 6" xfId="35920" xr:uid="{00000000-0005-0000-0000-0000E68C0000}"/>
    <cellStyle name="Notas 3 2 2 10 4" xfId="35921" xr:uid="{00000000-0005-0000-0000-0000E78C0000}"/>
    <cellStyle name="Notas 3 2 2 10 5" xfId="35922" xr:uid="{00000000-0005-0000-0000-0000E88C0000}"/>
    <cellStyle name="Notas 3 2 2 10 6" xfId="35923" xr:uid="{00000000-0005-0000-0000-0000E98C0000}"/>
    <cellStyle name="Notas 3 2 2 11" xfId="35924" xr:uid="{00000000-0005-0000-0000-0000EA8C0000}"/>
    <cellStyle name="Notas 3 2 2 12" xfId="35925" xr:uid="{00000000-0005-0000-0000-0000EB8C0000}"/>
    <cellStyle name="Notas 3 2 2 2" xfId="35926" xr:uid="{00000000-0005-0000-0000-0000EC8C0000}"/>
    <cellStyle name="Notas 3 2 2 2 2" xfId="35927" xr:uid="{00000000-0005-0000-0000-0000ED8C0000}"/>
    <cellStyle name="Notas 3 2 2 2 2 2" xfId="35928" xr:uid="{00000000-0005-0000-0000-0000EE8C0000}"/>
    <cellStyle name="Notas 3 2 2 2 2 2 2" xfId="35929" xr:uid="{00000000-0005-0000-0000-0000EF8C0000}"/>
    <cellStyle name="Notas 3 2 2 2 2 2 2 2" xfId="35930" xr:uid="{00000000-0005-0000-0000-0000F08C0000}"/>
    <cellStyle name="Notas 3 2 2 2 2 2 2 3" xfId="35931" xr:uid="{00000000-0005-0000-0000-0000F18C0000}"/>
    <cellStyle name="Notas 3 2 2 2 2 2 2 4" xfId="35932" xr:uid="{00000000-0005-0000-0000-0000F28C0000}"/>
    <cellStyle name="Notas 3 2 2 2 2 2 3" xfId="35933" xr:uid="{00000000-0005-0000-0000-0000F38C0000}"/>
    <cellStyle name="Notas 3 2 2 2 2 2 3 2" xfId="35934" xr:uid="{00000000-0005-0000-0000-0000F48C0000}"/>
    <cellStyle name="Notas 3 2 2 2 2 2 3 3" xfId="35935" xr:uid="{00000000-0005-0000-0000-0000F58C0000}"/>
    <cellStyle name="Notas 3 2 2 2 2 2 3 4" xfId="35936" xr:uid="{00000000-0005-0000-0000-0000F68C0000}"/>
    <cellStyle name="Notas 3 2 2 2 2 2 4" xfId="35937" xr:uid="{00000000-0005-0000-0000-0000F78C0000}"/>
    <cellStyle name="Notas 3 2 2 2 2 2 5" xfId="35938" xr:uid="{00000000-0005-0000-0000-0000F88C0000}"/>
    <cellStyle name="Notas 3 2 2 2 2 2 6" xfId="35939" xr:uid="{00000000-0005-0000-0000-0000F98C0000}"/>
    <cellStyle name="Notas 3 2 2 2 2 3" xfId="35940" xr:uid="{00000000-0005-0000-0000-0000FA8C0000}"/>
    <cellStyle name="Notas 3 2 2 2 2 3 2" xfId="35941" xr:uid="{00000000-0005-0000-0000-0000FB8C0000}"/>
    <cellStyle name="Notas 3 2 2 2 2 3 2 2" xfId="35942" xr:uid="{00000000-0005-0000-0000-0000FC8C0000}"/>
    <cellStyle name="Notas 3 2 2 2 2 3 2 3" xfId="35943" xr:uid="{00000000-0005-0000-0000-0000FD8C0000}"/>
    <cellStyle name="Notas 3 2 2 2 2 3 2 4" xfId="35944" xr:uid="{00000000-0005-0000-0000-0000FE8C0000}"/>
    <cellStyle name="Notas 3 2 2 2 2 3 3" xfId="35945" xr:uid="{00000000-0005-0000-0000-0000FF8C0000}"/>
    <cellStyle name="Notas 3 2 2 2 2 3 3 2" xfId="35946" xr:uid="{00000000-0005-0000-0000-0000008D0000}"/>
    <cellStyle name="Notas 3 2 2 2 2 3 3 3" xfId="35947" xr:uid="{00000000-0005-0000-0000-0000018D0000}"/>
    <cellStyle name="Notas 3 2 2 2 2 3 3 4" xfId="35948" xr:uid="{00000000-0005-0000-0000-0000028D0000}"/>
    <cellStyle name="Notas 3 2 2 2 2 3 4" xfId="35949" xr:uid="{00000000-0005-0000-0000-0000038D0000}"/>
    <cellStyle name="Notas 3 2 2 2 2 3 5" xfId="35950" xr:uid="{00000000-0005-0000-0000-0000048D0000}"/>
    <cellStyle name="Notas 3 2 2 2 2 3 6" xfId="35951" xr:uid="{00000000-0005-0000-0000-0000058D0000}"/>
    <cellStyle name="Notas 3 2 2 2 2 4" xfId="35952" xr:uid="{00000000-0005-0000-0000-0000068D0000}"/>
    <cellStyle name="Notas 3 2 2 2 2 5" xfId="35953" xr:uid="{00000000-0005-0000-0000-0000078D0000}"/>
    <cellStyle name="Notas 3 2 2 2 2 6" xfId="35954" xr:uid="{00000000-0005-0000-0000-0000088D0000}"/>
    <cellStyle name="Notas 3 2 2 2 3" xfId="35955" xr:uid="{00000000-0005-0000-0000-0000098D0000}"/>
    <cellStyle name="Notas 3 2 2 2 4" xfId="35956" xr:uid="{00000000-0005-0000-0000-00000A8D0000}"/>
    <cellStyle name="Notas 3 2 2 3" xfId="35957" xr:uid="{00000000-0005-0000-0000-00000B8D0000}"/>
    <cellStyle name="Notas 3 2 2 3 2" xfId="35958" xr:uid="{00000000-0005-0000-0000-00000C8D0000}"/>
    <cellStyle name="Notas 3 2 2 3 2 2" xfId="35959" xr:uid="{00000000-0005-0000-0000-00000D8D0000}"/>
    <cellStyle name="Notas 3 2 2 3 2 2 2" xfId="35960" xr:uid="{00000000-0005-0000-0000-00000E8D0000}"/>
    <cellStyle name="Notas 3 2 2 3 2 2 2 2" xfId="35961" xr:uid="{00000000-0005-0000-0000-00000F8D0000}"/>
    <cellStyle name="Notas 3 2 2 3 2 2 2 3" xfId="35962" xr:uid="{00000000-0005-0000-0000-0000108D0000}"/>
    <cellStyle name="Notas 3 2 2 3 2 2 2 4" xfId="35963" xr:uid="{00000000-0005-0000-0000-0000118D0000}"/>
    <cellStyle name="Notas 3 2 2 3 2 2 3" xfId="35964" xr:uid="{00000000-0005-0000-0000-0000128D0000}"/>
    <cellStyle name="Notas 3 2 2 3 2 2 3 2" xfId="35965" xr:uid="{00000000-0005-0000-0000-0000138D0000}"/>
    <cellStyle name="Notas 3 2 2 3 2 2 3 3" xfId="35966" xr:uid="{00000000-0005-0000-0000-0000148D0000}"/>
    <cellStyle name="Notas 3 2 2 3 2 2 3 4" xfId="35967" xr:uid="{00000000-0005-0000-0000-0000158D0000}"/>
    <cellStyle name="Notas 3 2 2 3 2 2 4" xfId="35968" xr:uid="{00000000-0005-0000-0000-0000168D0000}"/>
    <cellStyle name="Notas 3 2 2 3 2 2 5" xfId="35969" xr:uid="{00000000-0005-0000-0000-0000178D0000}"/>
    <cellStyle name="Notas 3 2 2 3 2 2 6" xfId="35970" xr:uid="{00000000-0005-0000-0000-0000188D0000}"/>
    <cellStyle name="Notas 3 2 2 3 2 3" xfId="35971" xr:uid="{00000000-0005-0000-0000-0000198D0000}"/>
    <cellStyle name="Notas 3 2 2 3 2 3 2" xfId="35972" xr:uid="{00000000-0005-0000-0000-00001A8D0000}"/>
    <cellStyle name="Notas 3 2 2 3 2 3 2 2" xfId="35973" xr:uid="{00000000-0005-0000-0000-00001B8D0000}"/>
    <cellStyle name="Notas 3 2 2 3 2 3 2 3" xfId="35974" xr:uid="{00000000-0005-0000-0000-00001C8D0000}"/>
    <cellStyle name="Notas 3 2 2 3 2 3 2 4" xfId="35975" xr:uid="{00000000-0005-0000-0000-00001D8D0000}"/>
    <cellStyle name="Notas 3 2 2 3 2 3 3" xfId="35976" xr:uid="{00000000-0005-0000-0000-00001E8D0000}"/>
    <cellStyle name="Notas 3 2 2 3 2 3 3 2" xfId="35977" xr:uid="{00000000-0005-0000-0000-00001F8D0000}"/>
    <cellStyle name="Notas 3 2 2 3 2 3 3 3" xfId="35978" xr:uid="{00000000-0005-0000-0000-0000208D0000}"/>
    <cellStyle name="Notas 3 2 2 3 2 3 3 4" xfId="35979" xr:uid="{00000000-0005-0000-0000-0000218D0000}"/>
    <cellStyle name="Notas 3 2 2 3 2 3 4" xfId="35980" xr:uid="{00000000-0005-0000-0000-0000228D0000}"/>
    <cellStyle name="Notas 3 2 2 3 2 3 5" xfId="35981" xr:uid="{00000000-0005-0000-0000-0000238D0000}"/>
    <cellStyle name="Notas 3 2 2 3 2 3 6" xfId="35982" xr:uid="{00000000-0005-0000-0000-0000248D0000}"/>
    <cellStyle name="Notas 3 2 2 3 2 4" xfId="35983" xr:uid="{00000000-0005-0000-0000-0000258D0000}"/>
    <cellStyle name="Notas 3 2 2 3 2 5" xfId="35984" xr:uid="{00000000-0005-0000-0000-0000268D0000}"/>
    <cellStyle name="Notas 3 2 2 3 2 6" xfId="35985" xr:uid="{00000000-0005-0000-0000-0000278D0000}"/>
    <cellStyle name="Notas 3 2 2 3 3" xfId="35986" xr:uid="{00000000-0005-0000-0000-0000288D0000}"/>
    <cellStyle name="Notas 3 2 2 3 4" xfId="35987" xr:uid="{00000000-0005-0000-0000-0000298D0000}"/>
    <cellStyle name="Notas 3 2 2 4" xfId="35988" xr:uid="{00000000-0005-0000-0000-00002A8D0000}"/>
    <cellStyle name="Notas 3 2 2 4 2" xfId="35989" xr:uid="{00000000-0005-0000-0000-00002B8D0000}"/>
    <cellStyle name="Notas 3 2 2 4 2 2" xfId="35990" xr:uid="{00000000-0005-0000-0000-00002C8D0000}"/>
    <cellStyle name="Notas 3 2 2 4 2 2 2" xfId="35991" xr:uid="{00000000-0005-0000-0000-00002D8D0000}"/>
    <cellStyle name="Notas 3 2 2 4 2 2 2 2" xfId="35992" xr:uid="{00000000-0005-0000-0000-00002E8D0000}"/>
    <cellStyle name="Notas 3 2 2 4 2 2 2 3" xfId="35993" xr:uid="{00000000-0005-0000-0000-00002F8D0000}"/>
    <cellStyle name="Notas 3 2 2 4 2 2 2 4" xfId="35994" xr:uid="{00000000-0005-0000-0000-0000308D0000}"/>
    <cellStyle name="Notas 3 2 2 4 2 2 3" xfId="35995" xr:uid="{00000000-0005-0000-0000-0000318D0000}"/>
    <cellStyle name="Notas 3 2 2 4 2 2 3 2" xfId="35996" xr:uid="{00000000-0005-0000-0000-0000328D0000}"/>
    <cellStyle name="Notas 3 2 2 4 2 2 3 3" xfId="35997" xr:uid="{00000000-0005-0000-0000-0000338D0000}"/>
    <cellStyle name="Notas 3 2 2 4 2 2 3 4" xfId="35998" xr:uid="{00000000-0005-0000-0000-0000348D0000}"/>
    <cellStyle name="Notas 3 2 2 4 2 2 4" xfId="35999" xr:uid="{00000000-0005-0000-0000-0000358D0000}"/>
    <cellStyle name="Notas 3 2 2 4 2 2 5" xfId="36000" xr:uid="{00000000-0005-0000-0000-0000368D0000}"/>
    <cellStyle name="Notas 3 2 2 4 2 2 6" xfId="36001" xr:uid="{00000000-0005-0000-0000-0000378D0000}"/>
    <cellStyle name="Notas 3 2 2 4 2 3" xfId="36002" xr:uid="{00000000-0005-0000-0000-0000388D0000}"/>
    <cellStyle name="Notas 3 2 2 4 2 3 2" xfId="36003" xr:uid="{00000000-0005-0000-0000-0000398D0000}"/>
    <cellStyle name="Notas 3 2 2 4 2 3 2 2" xfId="36004" xr:uid="{00000000-0005-0000-0000-00003A8D0000}"/>
    <cellStyle name="Notas 3 2 2 4 2 3 2 3" xfId="36005" xr:uid="{00000000-0005-0000-0000-00003B8D0000}"/>
    <cellStyle name="Notas 3 2 2 4 2 3 2 4" xfId="36006" xr:uid="{00000000-0005-0000-0000-00003C8D0000}"/>
    <cellStyle name="Notas 3 2 2 4 2 3 3" xfId="36007" xr:uid="{00000000-0005-0000-0000-00003D8D0000}"/>
    <cellStyle name="Notas 3 2 2 4 2 3 3 2" xfId="36008" xr:uid="{00000000-0005-0000-0000-00003E8D0000}"/>
    <cellStyle name="Notas 3 2 2 4 2 3 3 3" xfId="36009" xr:uid="{00000000-0005-0000-0000-00003F8D0000}"/>
    <cellStyle name="Notas 3 2 2 4 2 3 3 4" xfId="36010" xr:uid="{00000000-0005-0000-0000-0000408D0000}"/>
    <cellStyle name="Notas 3 2 2 4 2 3 4" xfId="36011" xr:uid="{00000000-0005-0000-0000-0000418D0000}"/>
    <cellStyle name="Notas 3 2 2 4 2 3 5" xfId="36012" xr:uid="{00000000-0005-0000-0000-0000428D0000}"/>
    <cellStyle name="Notas 3 2 2 4 2 3 6" xfId="36013" xr:uid="{00000000-0005-0000-0000-0000438D0000}"/>
    <cellStyle name="Notas 3 2 2 4 2 4" xfId="36014" xr:uid="{00000000-0005-0000-0000-0000448D0000}"/>
    <cellStyle name="Notas 3 2 2 4 2 5" xfId="36015" xr:uid="{00000000-0005-0000-0000-0000458D0000}"/>
    <cellStyle name="Notas 3 2 2 4 2 6" xfId="36016" xr:uid="{00000000-0005-0000-0000-0000468D0000}"/>
    <cellStyle name="Notas 3 2 2 4 3" xfId="36017" xr:uid="{00000000-0005-0000-0000-0000478D0000}"/>
    <cellStyle name="Notas 3 2 2 4 4" xfId="36018" xr:uid="{00000000-0005-0000-0000-0000488D0000}"/>
    <cellStyle name="Notas 3 2 2 5" xfId="36019" xr:uid="{00000000-0005-0000-0000-0000498D0000}"/>
    <cellStyle name="Notas 3 2 2 5 2" xfId="36020" xr:uid="{00000000-0005-0000-0000-00004A8D0000}"/>
    <cellStyle name="Notas 3 2 2 5 2 2" xfId="36021" xr:uid="{00000000-0005-0000-0000-00004B8D0000}"/>
    <cellStyle name="Notas 3 2 2 5 2 2 2" xfId="36022" xr:uid="{00000000-0005-0000-0000-00004C8D0000}"/>
    <cellStyle name="Notas 3 2 2 5 2 2 2 2" xfId="36023" xr:uid="{00000000-0005-0000-0000-00004D8D0000}"/>
    <cellStyle name="Notas 3 2 2 5 2 2 2 3" xfId="36024" xr:uid="{00000000-0005-0000-0000-00004E8D0000}"/>
    <cellStyle name="Notas 3 2 2 5 2 2 2 4" xfId="36025" xr:uid="{00000000-0005-0000-0000-00004F8D0000}"/>
    <cellStyle name="Notas 3 2 2 5 2 2 3" xfId="36026" xr:uid="{00000000-0005-0000-0000-0000508D0000}"/>
    <cellStyle name="Notas 3 2 2 5 2 2 3 2" xfId="36027" xr:uid="{00000000-0005-0000-0000-0000518D0000}"/>
    <cellStyle name="Notas 3 2 2 5 2 2 3 3" xfId="36028" xr:uid="{00000000-0005-0000-0000-0000528D0000}"/>
    <cellStyle name="Notas 3 2 2 5 2 2 3 4" xfId="36029" xr:uid="{00000000-0005-0000-0000-0000538D0000}"/>
    <cellStyle name="Notas 3 2 2 5 2 2 4" xfId="36030" xr:uid="{00000000-0005-0000-0000-0000548D0000}"/>
    <cellStyle name="Notas 3 2 2 5 2 2 5" xfId="36031" xr:uid="{00000000-0005-0000-0000-0000558D0000}"/>
    <cellStyle name="Notas 3 2 2 5 2 2 6" xfId="36032" xr:uid="{00000000-0005-0000-0000-0000568D0000}"/>
    <cellStyle name="Notas 3 2 2 5 2 3" xfId="36033" xr:uid="{00000000-0005-0000-0000-0000578D0000}"/>
    <cellStyle name="Notas 3 2 2 5 2 3 2" xfId="36034" xr:uid="{00000000-0005-0000-0000-0000588D0000}"/>
    <cellStyle name="Notas 3 2 2 5 2 3 2 2" xfId="36035" xr:uid="{00000000-0005-0000-0000-0000598D0000}"/>
    <cellStyle name="Notas 3 2 2 5 2 3 2 3" xfId="36036" xr:uid="{00000000-0005-0000-0000-00005A8D0000}"/>
    <cellStyle name="Notas 3 2 2 5 2 3 2 4" xfId="36037" xr:uid="{00000000-0005-0000-0000-00005B8D0000}"/>
    <cellStyle name="Notas 3 2 2 5 2 3 3" xfId="36038" xr:uid="{00000000-0005-0000-0000-00005C8D0000}"/>
    <cellStyle name="Notas 3 2 2 5 2 3 3 2" xfId="36039" xr:uid="{00000000-0005-0000-0000-00005D8D0000}"/>
    <cellStyle name="Notas 3 2 2 5 2 3 3 3" xfId="36040" xr:uid="{00000000-0005-0000-0000-00005E8D0000}"/>
    <cellStyle name="Notas 3 2 2 5 2 3 3 4" xfId="36041" xr:uid="{00000000-0005-0000-0000-00005F8D0000}"/>
    <cellStyle name="Notas 3 2 2 5 2 3 4" xfId="36042" xr:uid="{00000000-0005-0000-0000-0000608D0000}"/>
    <cellStyle name="Notas 3 2 2 5 2 3 5" xfId="36043" xr:uid="{00000000-0005-0000-0000-0000618D0000}"/>
    <cellStyle name="Notas 3 2 2 5 2 3 6" xfId="36044" xr:uid="{00000000-0005-0000-0000-0000628D0000}"/>
    <cellStyle name="Notas 3 2 2 5 2 4" xfId="36045" xr:uid="{00000000-0005-0000-0000-0000638D0000}"/>
    <cellStyle name="Notas 3 2 2 5 2 5" xfId="36046" xr:uid="{00000000-0005-0000-0000-0000648D0000}"/>
    <cellStyle name="Notas 3 2 2 5 2 6" xfId="36047" xr:uid="{00000000-0005-0000-0000-0000658D0000}"/>
    <cellStyle name="Notas 3 2 2 5 3" xfId="36048" xr:uid="{00000000-0005-0000-0000-0000668D0000}"/>
    <cellStyle name="Notas 3 2 2 5 4" xfId="36049" xr:uid="{00000000-0005-0000-0000-0000678D0000}"/>
    <cellStyle name="Notas 3 2 2 6" xfId="36050" xr:uid="{00000000-0005-0000-0000-0000688D0000}"/>
    <cellStyle name="Notas 3 2 2 6 2" xfId="36051" xr:uid="{00000000-0005-0000-0000-0000698D0000}"/>
    <cellStyle name="Notas 3 2 2 6 2 2" xfId="36052" xr:uid="{00000000-0005-0000-0000-00006A8D0000}"/>
    <cellStyle name="Notas 3 2 2 6 2 2 2" xfId="36053" xr:uid="{00000000-0005-0000-0000-00006B8D0000}"/>
    <cellStyle name="Notas 3 2 2 6 2 2 3" xfId="36054" xr:uid="{00000000-0005-0000-0000-00006C8D0000}"/>
    <cellStyle name="Notas 3 2 2 6 2 2 4" xfId="36055" xr:uid="{00000000-0005-0000-0000-00006D8D0000}"/>
    <cellStyle name="Notas 3 2 2 6 2 3" xfId="36056" xr:uid="{00000000-0005-0000-0000-00006E8D0000}"/>
    <cellStyle name="Notas 3 2 2 6 2 3 2" xfId="36057" xr:uid="{00000000-0005-0000-0000-00006F8D0000}"/>
    <cellStyle name="Notas 3 2 2 6 2 3 3" xfId="36058" xr:uid="{00000000-0005-0000-0000-0000708D0000}"/>
    <cellStyle name="Notas 3 2 2 6 2 3 4" xfId="36059" xr:uid="{00000000-0005-0000-0000-0000718D0000}"/>
    <cellStyle name="Notas 3 2 2 6 2 4" xfId="36060" xr:uid="{00000000-0005-0000-0000-0000728D0000}"/>
    <cellStyle name="Notas 3 2 2 6 2 5" xfId="36061" xr:uid="{00000000-0005-0000-0000-0000738D0000}"/>
    <cellStyle name="Notas 3 2 2 6 2 6" xfId="36062" xr:uid="{00000000-0005-0000-0000-0000748D0000}"/>
    <cellStyle name="Notas 3 2 2 6 3" xfId="36063" xr:uid="{00000000-0005-0000-0000-0000758D0000}"/>
    <cellStyle name="Notas 3 2 2 6 3 2" xfId="36064" xr:uid="{00000000-0005-0000-0000-0000768D0000}"/>
    <cellStyle name="Notas 3 2 2 6 3 2 2" xfId="36065" xr:uid="{00000000-0005-0000-0000-0000778D0000}"/>
    <cellStyle name="Notas 3 2 2 6 3 2 3" xfId="36066" xr:uid="{00000000-0005-0000-0000-0000788D0000}"/>
    <cellStyle name="Notas 3 2 2 6 3 2 4" xfId="36067" xr:uid="{00000000-0005-0000-0000-0000798D0000}"/>
    <cellStyle name="Notas 3 2 2 6 3 3" xfId="36068" xr:uid="{00000000-0005-0000-0000-00007A8D0000}"/>
    <cellStyle name="Notas 3 2 2 6 3 3 2" xfId="36069" xr:uid="{00000000-0005-0000-0000-00007B8D0000}"/>
    <cellStyle name="Notas 3 2 2 6 3 3 3" xfId="36070" xr:uid="{00000000-0005-0000-0000-00007C8D0000}"/>
    <cellStyle name="Notas 3 2 2 6 3 3 4" xfId="36071" xr:uid="{00000000-0005-0000-0000-00007D8D0000}"/>
    <cellStyle name="Notas 3 2 2 6 3 4" xfId="36072" xr:uid="{00000000-0005-0000-0000-00007E8D0000}"/>
    <cellStyle name="Notas 3 2 2 6 3 5" xfId="36073" xr:uid="{00000000-0005-0000-0000-00007F8D0000}"/>
    <cellStyle name="Notas 3 2 2 6 3 6" xfId="36074" xr:uid="{00000000-0005-0000-0000-0000808D0000}"/>
    <cellStyle name="Notas 3 2 2 6 4" xfId="36075" xr:uid="{00000000-0005-0000-0000-0000818D0000}"/>
    <cellStyle name="Notas 3 2 2 6 4 2" xfId="36076" xr:uid="{00000000-0005-0000-0000-0000828D0000}"/>
    <cellStyle name="Notas 3 2 2 6 4 3" xfId="36077" xr:uid="{00000000-0005-0000-0000-0000838D0000}"/>
    <cellStyle name="Notas 3 2 2 6 4 4" xfId="36078" xr:uid="{00000000-0005-0000-0000-0000848D0000}"/>
    <cellStyle name="Notas 3 2 2 6 5" xfId="36079" xr:uid="{00000000-0005-0000-0000-0000858D0000}"/>
    <cellStyle name="Notas 3 2 2 6 6" xfId="36080" xr:uid="{00000000-0005-0000-0000-0000868D0000}"/>
    <cellStyle name="Notas 3 2 2 7" xfId="36081" xr:uid="{00000000-0005-0000-0000-0000878D0000}"/>
    <cellStyle name="Notas 3 2 2 7 2" xfId="36082" xr:uid="{00000000-0005-0000-0000-0000888D0000}"/>
    <cellStyle name="Notas 3 2 2 7 2 2" xfId="36083" xr:uid="{00000000-0005-0000-0000-0000898D0000}"/>
    <cellStyle name="Notas 3 2 2 7 2 2 2" xfId="36084" xr:uid="{00000000-0005-0000-0000-00008A8D0000}"/>
    <cellStyle name="Notas 3 2 2 7 2 2 3" xfId="36085" xr:uid="{00000000-0005-0000-0000-00008B8D0000}"/>
    <cellStyle name="Notas 3 2 2 7 2 2 4" xfId="36086" xr:uid="{00000000-0005-0000-0000-00008C8D0000}"/>
    <cellStyle name="Notas 3 2 2 7 2 3" xfId="36087" xr:uid="{00000000-0005-0000-0000-00008D8D0000}"/>
    <cellStyle name="Notas 3 2 2 7 2 3 2" xfId="36088" xr:uid="{00000000-0005-0000-0000-00008E8D0000}"/>
    <cellStyle name="Notas 3 2 2 7 2 3 3" xfId="36089" xr:uid="{00000000-0005-0000-0000-00008F8D0000}"/>
    <cellStyle name="Notas 3 2 2 7 2 3 4" xfId="36090" xr:uid="{00000000-0005-0000-0000-0000908D0000}"/>
    <cellStyle name="Notas 3 2 2 7 2 4" xfId="36091" xr:uid="{00000000-0005-0000-0000-0000918D0000}"/>
    <cellStyle name="Notas 3 2 2 7 2 5" xfId="36092" xr:uid="{00000000-0005-0000-0000-0000928D0000}"/>
    <cellStyle name="Notas 3 2 2 7 2 6" xfId="36093" xr:uid="{00000000-0005-0000-0000-0000938D0000}"/>
    <cellStyle name="Notas 3 2 2 7 3" xfId="36094" xr:uid="{00000000-0005-0000-0000-0000948D0000}"/>
    <cellStyle name="Notas 3 2 2 7 3 2" xfId="36095" xr:uid="{00000000-0005-0000-0000-0000958D0000}"/>
    <cellStyle name="Notas 3 2 2 7 3 2 2" xfId="36096" xr:uid="{00000000-0005-0000-0000-0000968D0000}"/>
    <cellStyle name="Notas 3 2 2 7 3 2 3" xfId="36097" xr:uid="{00000000-0005-0000-0000-0000978D0000}"/>
    <cellStyle name="Notas 3 2 2 7 3 2 4" xfId="36098" xr:uid="{00000000-0005-0000-0000-0000988D0000}"/>
    <cellStyle name="Notas 3 2 2 7 3 3" xfId="36099" xr:uid="{00000000-0005-0000-0000-0000998D0000}"/>
    <cellStyle name="Notas 3 2 2 7 3 3 2" xfId="36100" xr:uid="{00000000-0005-0000-0000-00009A8D0000}"/>
    <cellStyle name="Notas 3 2 2 7 3 3 3" xfId="36101" xr:uid="{00000000-0005-0000-0000-00009B8D0000}"/>
    <cellStyle name="Notas 3 2 2 7 3 3 4" xfId="36102" xr:uid="{00000000-0005-0000-0000-00009C8D0000}"/>
    <cellStyle name="Notas 3 2 2 7 3 4" xfId="36103" xr:uid="{00000000-0005-0000-0000-00009D8D0000}"/>
    <cellStyle name="Notas 3 2 2 7 3 5" xfId="36104" xr:uid="{00000000-0005-0000-0000-00009E8D0000}"/>
    <cellStyle name="Notas 3 2 2 7 3 6" xfId="36105" xr:uid="{00000000-0005-0000-0000-00009F8D0000}"/>
    <cellStyle name="Notas 3 2 2 7 4" xfId="36106" xr:uid="{00000000-0005-0000-0000-0000A08D0000}"/>
    <cellStyle name="Notas 3 2 2 7 4 2" xfId="36107" xr:uid="{00000000-0005-0000-0000-0000A18D0000}"/>
    <cellStyle name="Notas 3 2 2 7 4 3" xfId="36108" xr:uid="{00000000-0005-0000-0000-0000A28D0000}"/>
    <cellStyle name="Notas 3 2 2 7 4 4" xfId="36109" xr:uid="{00000000-0005-0000-0000-0000A38D0000}"/>
    <cellStyle name="Notas 3 2 2 7 5" xfId="36110" xr:uid="{00000000-0005-0000-0000-0000A48D0000}"/>
    <cellStyle name="Notas 3 2 2 7 6" xfId="36111" xr:uid="{00000000-0005-0000-0000-0000A58D0000}"/>
    <cellStyle name="Notas 3 2 2 8" xfId="36112" xr:uid="{00000000-0005-0000-0000-0000A68D0000}"/>
    <cellStyle name="Notas 3 2 2 8 2" xfId="36113" xr:uid="{00000000-0005-0000-0000-0000A78D0000}"/>
    <cellStyle name="Notas 3 2 2 8 2 2" xfId="36114" xr:uid="{00000000-0005-0000-0000-0000A88D0000}"/>
    <cellStyle name="Notas 3 2 2 8 2 2 2" xfId="36115" xr:uid="{00000000-0005-0000-0000-0000A98D0000}"/>
    <cellStyle name="Notas 3 2 2 8 2 2 3" xfId="36116" xr:uid="{00000000-0005-0000-0000-0000AA8D0000}"/>
    <cellStyle name="Notas 3 2 2 8 2 2 4" xfId="36117" xr:uid="{00000000-0005-0000-0000-0000AB8D0000}"/>
    <cellStyle name="Notas 3 2 2 8 2 3" xfId="36118" xr:uid="{00000000-0005-0000-0000-0000AC8D0000}"/>
    <cellStyle name="Notas 3 2 2 8 2 3 2" xfId="36119" xr:uid="{00000000-0005-0000-0000-0000AD8D0000}"/>
    <cellStyle name="Notas 3 2 2 8 2 3 3" xfId="36120" xr:uid="{00000000-0005-0000-0000-0000AE8D0000}"/>
    <cellStyle name="Notas 3 2 2 8 2 3 4" xfId="36121" xr:uid="{00000000-0005-0000-0000-0000AF8D0000}"/>
    <cellStyle name="Notas 3 2 2 8 2 4" xfId="36122" xr:uid="{00000000-0005-0000-0000-0000B08D0000}"/>
    <cellStyle name="Notas 3 2 2 8 2 5" xfId="36123" xr:uid="{00000000-0005-0000-0000-0000B18D0000}"/>
    <cellStyle name="Notas 3 2 2 8 2 6" xfId="36124" xr:uid="{00000000-0005-0000-0000-0000B28D0000}"/>
    <cellStyle name="Notas 3 2 2 8 3" xfId="36125" xr:uid="{00000000-0005-0000-0000-0000B38D0000}"/>
    <cellStyle name="Notas 3 2 2 8 3 2" xfId="36126" xr:uid="{00000000-0005-0000-0000-0000B48D0000}"/>
    <cellStyle name="Notas 3 2 2 8 3 2 2" xfId="36127" xr:uid="{00000000-0005-0000-0000-0000B58D0000}"/>
    <cellStyle name="Notas 3 2 2 8 3 2 3" xfId="36128" xr:uid="{00000000-0005-0000-0000-0000B68D0000}"/>
    <cellStyle name="Notas 3 2 2 8 3 2 4" xfId="36129" xr:uid="{00000000-0005-0000-0000-0000B78D0000}"/>
    <cellStyle name="Notas 3 2 2 8 3 3" xfId="36130" xr:uid="{00000000-0005-0000-0000-0000B88D0000}"/>
    <cellStyle name="Notas 3 2 2 8 3 3 2" xfId="36131" xr:uid="{00000000-0005-0000-0000-0000B98D0000}"/>
    <cellStyle name="Notas 3 2 2 8 3 3 3" xfId="36132" xr:uid="{00000000-0005-0000-0000-0000BA8D0000}"/>
    <cellStyle name="Notas 3 2 2 8 3 3 4" xfId="36133" xr:uid="{00000000-0005-0000-0000-0000BB8D0000}"/>
    <cellStyle name="Notas 3 2 2 8 3 4" xfId="36134" xr:uid="{00000000-0005-0000-0000-0000BC8D0000}"/>
    <cellStyle name="Notas 3 2 2 8 3 5" xfId="36135" xr:uid="{00000000-0005-0000-0000-0000BD8D0000}"/>
    <cellStyle name="Notas 3 2 2 8 3 6" xfId="36136" xr:uid="{00000000-0005-0000-0000-0000BE8D0000}"/>
    <cellStyle name="Notas 3 2 2 8 4" xfId="36137" xr:uid="{00000000-0005-0000-0000-0000BF8D0000}"/>
    <cellStyle name="Notas 3 2 2 8 4 2" xfId="36138" xr:uid="{00000000-0005-0000-0000-0000C08D0000}"/>
    <cellStyle name="Notas 3 2 2 8 4 3" xfId="36139" xr:uid="{00000000-0005-0000-0000-0000C18D0000}"/>
    <cellStyle name="Notas 3 2 2 8 4 4" xfId="36140" xr:uid="{00000000-0005-0000-0000-0000C28D0000}"/>
    <cellStyle name="Notas 3 2 2 8 5" xfId="36141" xr:uid="{00000000-0005-0000-0000-0000C38D0000}"/>
    <cellStyle name="Notas 3 2 2 8 6" xfId="36142" xr:uid="{00000000-0005-0000-0000-0000C48D0000}"/>
    <cellStyle name="Notas 3 2 2 9" xfId="36143" xr:uid="{00000000-0005-0000-0000-0000C58D0000}"/>
    <cellStyle name="Notas 3 2 2 9 2" xfId="36144" xr:uid="{00000000-0005-0000-0000-0000C68D0000}"/>
    <cellStyle name="Notas 3 2 2 9 2 2" xfId="36145" xr:uid="{00000000-0005-0000-0000-0000C78D0000}"/>
    <cellStyle name="Notas 3 2 2 9 2 2 2" xfId="36146" xr:uid="{00000000-0005-0000-0000-0000C88D0000}"/>
    <cellStyle name="Notas 3 2 2 9 2 2 3" xfId="36147" xr:uid="{00000000-0005-0000-0000-0000C98D0000}"/>
    <cellStyle name="Notas 3 2 2 9 2 2 4" xfId="36148" xr:uid="{00000000-0005-0000-0000-0000CA8D0000}"/>
    <cellStyle name="Notas 3 2 2 9 2 3" xfId="36149" xr:uid="{00000000-0005-0000-0000-0000CB8D0000}"/>
    <cellStyle name="Notas 3 2 2 9 2 3 2" xfId="36150" xr:uid="{00000000-0005-0000-0000-0000CC8D0000}"/>
    <cellStyle name="Notas 3 2 2 9 2 3 3" xfId="36151" xr:uid="{00000000-0005-0000-0000-0000CD8D0000}"/>
    <cellStyle name="Notas 3 2 2 9 2 3 4" xfId="36152" xr:uid="{00000000-0005-0000-0000-0000CE8D0000}"/>
    <cellStyle name="Notas 3 2 2 9 2 4" xfId="36153" xr:uid="{00000000-0005-0000-0000-0000CF8D0000}"/>
    <cellStyle name="Notas 3 2 2 9 2 5" xfId="36154" xr:uid="{00000000-0005-0000-0000-0000D08D0000}"/>
    <cellStyle name="Notas 3 2 2 9 2 6" xfId="36155" xr:uid="{00000000-0005-0000-0000-0000D18D0000}"/>
    <cellStyle name="Notas 3 2 2 9 3" xfId="36156" xr:uid="{00000000-0005-0000-0000-0000D28D0000}"/>
    <cellStyle name="Notas 3 2 2 9 3 2" xfId="36157" xr:uid="{00000000-0005-0000-0000-0000D38D0000}"/>
    <cellStyle name="Notas 3 2 2 9 3 2 2" xfId="36158" xr:uid="{00000000-0005-0000-0000-0000D48D0000}"/>
    <cellStyle name="Notas 3 2 2 9 3 2 3" xfId="36159" xr:uid="{00000000-0005-0000-0000-0000D58D0000}"/>
    <cellStyle name="Notas 3 2 2 9 3 2 4" xfId="36160" xr:uid="{00000000-0005-0000-0000-0000D68D0000}"/>
    <cellStyle name="Notas 3 2 2 9 3 3" xfId="36161" xr:uid="{00000000-0005-0000-0000-0000D78D0000}"/>
    <cellStyle name="Notas 3 2 2 9 3 3 2" xfId="36162" xr:uid="{00000000-0005-0000-0000-0000D88D0000}"/>
    <cellStyle name="Notas 3 2 2 9 3 3 3" xfId="36163" xr:uid="{00000000-0005-0000-0000-0000D98D0000}"/>
    <cellStyle name="Notas 3 2 2 9 3 3 4" xfId="36164" xr:uid="{00000000-0005-0000-0000-0000DA8D0000}"/>
    <cellStyle name="Notas 3 2 2 9 3 4" xfId="36165" xr:uid="{00000000-0005-0000-0000-0000DB8D0000}"/>
    <cellStyle name="Notas 3 2 2 9 3 5" xfId="36166" xr:uid="{00000000-0005-0000-0000-0000DC8D0000}"/>
    <cellStyle name="Notas 3 2 2 9 3 6" xfId="36167" xr:uid="{00000000-0005-0000-0000-0000DD8D0000}"/>
    <cellStyle name="Notas 3 2 2 9 4" xfId="36168" xr:uid="{00000000-0005-0000-0000-0000DE8D0000}"/>
    <cellStyle name="Notas 3 2 2 9 4 2" xfId="36169" xr:uid="{00000000-0005-0000-0000-0000DF8D0000}"/>
    <cellStyle name="Notas 3 2 2 9 4 3" xfId="36170" xr:uid="{00000000-0005-0000-0000-0000E08D0000}"/>
    <cellStyle name="Notas 3 2 2 9 4 4" xfId="36171" xr:uid="{00000000-0005-0000-0000-0000E18D0000}"/>
    <cellStyle name="Notas 3 2 2 9 5" xfId="36172" xr:uid="{00000000-0005-0000-0000-0000E28D0000}"/>
    <cellStyle name="Notas 3 2 2 9 6" xfId="36173" xr:uid="{00000000-0005-0000-0000-0000E38D0000}"/>
    <cellStyle name="Notas 3 2 3" xfId="36174" xr:uid="{00000000-0005-0000-0000-0000E48D0000}"/>
    <cellStyle name="Notas 3 2 3 10" xfId="36175" xr:uid="{00000000-0005-0000-0000-0000E58D0000}"/>
    <cellStyle name="Notas 3 2 3 10 2" xfId="36176" xr:uid="{00000000-0005-0000-0000-0000E68D0000}"/>
    <cellStyle name="Notas 3 2 3 10 2 2" xfId="36177" xr:uid="{00000000-0005-0000-0000-0000E78D0000}"/>
    <cellStyle name="Notas 3 2 3 10 2 2 2" xfId="36178" xr:uid="{00000000-0005-0000-0000-0000E88D0000}"/>
    <cellStyle name="Notas 3 2 3 10 2 2 3" xfId="36179" xr:uid="{00000000-0005-0000-0000-0000E98D0000}"/>
    <cellStyle name="Notas 3 2 3 10 2 2 4" xfId="36180" xr:uid="{00000000-0005-0000-0000-0000EA8D0000}"/>
    <cellStyle name="Notas 3 2 3 10 2 3" xfId="36181" xr:uid="{00000000-0005-0000-0000-0000EB8D0000}"/>
    <cellStyle name="Notas 3 2 3 10 2 3 2" xfId="36182" xr:uid="{00000000-0005-0000-0000-0000EC8D0000}"/>
    <cellStyle name="Notas 3 2 3 10 2 3 3" xfId="36183" xr:uid="{00000000-0005-0000-0000-0000ED8D0000}"/>
    <cellStyle name="Notas 3 2 3 10 2 3 4" xfId="36184" xr:uid="{00000000-0005-0000-0000-0000EE8D0000}"/>
    <cellStyle name="Notas 3 2 3 10 2 4" xfId="36185" xr:uid="{00000000-0005-0000-0000-0000EF8D0000}"/>
    <cellStyle name="Notas 3 2 3 10 2 5" xfId="36186" xr:uid="{00000000-0005-0000-0000-0000F08D0000}"/>
    <cellStyle name="Notas 3 2 3 10 2 6" xfId="36187" xr:uid="{00000000-0005-0000-0000-0000F18D0000}"/>
    <cellStyle name="Notas 3 2 3 10 3" xfId="36188" xr:uid="{00000000-0005-0000-0000-0000F28D0000}"/>
    <cellStyle name="Notas 3 2 3 10 3 2" xfId="36189" xr:uid="{00000000-0005-0000-0000-0000F38D0000}"/>
    <cellStyle name="Notas 3 2 3 10 3 2 2" xfId="36190" xr:uid="{00000000-0005-0000-0000-0000F48D0000}"/>
    <cellStyle name="Notas 3 2 3 10 3 2 3" xfId="36191" xr:uid="{00000000-0005-0000-0000-0000F58D0000}"/>
    <cellStyle name="Notas 3 2 3 10 3 2 4" xfId="36192" xr:uid="{00000000-0005-0000-0000-0000F68D0000}"/>
    <cellStyle name="Notas 3 2 3 10 3 3" xfId="36193" xr:uid="{00000000-0005-0000-0000-0000F78D0000}"/>
    <cellStyle name="Notas 3 2 3 10 3 3 2" xfId="36194" xr:uid="{00000000-0005-0000-0000-0000F88D0000}"/>
    <cellStyle name="Notas 3 2 3 10 3 3 3" xfId="36195" xr:uid="{00000000-0005-0000-0000-0000F98D0000}"/>
    <cellStyle name="Notas 3 2 3 10 3 3 4" xfId="36196" xr:uid="{00000000-0005-0000-0000-0000FA8D0000}"/>
    <cellStyle name="Notas 3 2 3 10 3 4" xfId="36197" xr:uid="{00000000-0005-0000-0000-0000FB8D0000}"/>
    <cellStyle name="Notas 3 2 3 10 3 5" xfId="36198" xr:uid="{00000000-0005-0000-0000-0000FC8D0000}"/>
    <cellStyle name="Notas 3 2 3 10 3 6" xfId="36199" xr:uid="{00000000-0005-0000-0000-0000FD8D0000}"/>
    <cellStyle name="Notas 3 2 3 10 4" xfId="36200" xr:uid="{00000000-0005-0000-0000-0000FE8D0000}"/>
    <cellStyle name="Notas 3 2 3 10 5" xfId="36201" xr:uid="{00000000-0005-0000-0000-0000FF8D0000}"/>
    <cellStyle name="Notas 3 2 3 10 6" xfId="36202" xr:uid="{00000000-0005-0000-0000-0000008E0000}"/>
    <cellStyle name="Notas 3 2 3 11" xfId="36203" xr:uid="{00000000-0005-0000-0000-0000018E0000}"/>
    <cellStyle name="Notas 3 2 3 12" xfId="36204" xr:uid="{00000000-0005-0000-0000-0000028E0000}"/>
    <cellStyle name="Notas 3 2 3 2" xfId="36205" xr:uid="{00000000-0005-0000-0000-0000038E0000}"/>
    <cellStyle name="Notas 3 2 3 2 2" xfId="36206" xr:uid="{00000000-0005-0000-0000-0000048E0000}"/>
    <cellStyle name="Notas 3 2 3 2 2 2" xfId="36207" xr:uid="{00000000-0005-0000-0000-0000058E0000}"/>
    <cellStyle name="Notas 3 2 3 2 2 2 2" xfId="36208" xr:uid="{00000000-0005-0000-0000-0000068E0000}"/>
    <cellStyle name="Notas 3 2 3 2 2 2 2 2" xfId="36209" xr:uid="{00000000-0005-0000-0000-0000078E0000}"/>
    <cellStyle name="Notas 3 2 3 2 2 2 2 3" xfId="36210" xr:uid="{00000000-0005-0000-0000-0000088E0000}"/>
    <cellStyle name="Notas 3 2 3 2 2 2 2 4" xfId="36211" xr:uid="{00000000-0005-0000-0000-0000098E0000}"/>
    <cellStyle name="Notas 3 2 3 2 2 2 3" xfId="36212" xr:uid="{00000000-0005-0000-0000-00000A8E0000}"/>
    <cellStyle name="Notas 3 2 3 2 2 2 3 2" xfId="36213" xr:uid="{00000000-0005-0000-0000-00000B8E0000}"/>
    <cellStyle name="Notas 3 2 3 2 2 2 3 3" xfId="36214" xr:uid="{00000000-0005-0000-0000-00000C8E0000}"/>
    <cellStyle name="Notas 3 2 3 2 2 2 3 4" xfId="36215" xr:uid="{00000000-0005-0000-0000-00000D8E0000}"/>
    <cellStyle name="Notas 3 2 3 2 2 2 4" xfId="36216" xr:uid="{00000000-0005-0000-0000-00000E8E0000}"/>
    <cellStyle name="Notas 3 2 3 2 2 2 5" xfId="36217" xr:uid="{00000000-0005-0000-0000-00000F8E0000}"/>
    <cellStyle name="Notas 3 2 3 2 2 2 6" xfId="36218" xr:uid="{00000000-0005-0000-0000-0000108E0000}"/>
    <cellStyle name="Notas 3 2 3 2 2 3" xfId="36219" xr:uid="{00000000-0005-0000-0000-0000118E0000}"/>
    <cellStyle name="Notas 3 2 3 2 2 3 2" xfId="36220" xr:uid="{00000000-0005-0000-0000-0000128E0000}"/>
    <cellStyle name="Notas 3 2 3 2 2 3 2 2" xfId="36221" xr:uid="{00000000-0005-0000-0000-0000138E0000}"/>
    <cellStyle name="Notas 3 2 3 2 2 3 2 3" xfId="36222" xr:uid="{00000000-0005-0000-0000-0000148E0000}"/>
    <cellStyle name="Notas 3 2 3 2 2 3 2 4" xfId="36223" xr:uid="{00000000-0005-0000-0000-0000158E0000}"/>
    <cellStyle name="Notas 3 2 3 2 2 3 3" xfId="36224" xr:uid="{00000000-0005-0000-0000-0000168E0000}"/>
    <cellStyle name="Notas 3 2 3 2 2 3 3 2" xfId="36225" xr:uid="{00000000-0005-0000-0000-0000178E0000}"/>
    <cellStyle name="Notas 3 2 3 2 2 3 3 3" xfId="36226" xr:uid="{00000000-0005-0000-0000-0000188E0000}"/>
    <cellStyle name="Notas 3 2 3 2 2 3 3 4" xfId="36227" xr:uid="{00000000-0005-0000-0000-0000198E0000}"/>
    <cellStyle name="Notas 3 2 3 2 2 3 4" xfId="36228" xr:uid="{00000000-0005-0000-0000-00001A8E0000}"/>
    <cellStyle name="Notas 3 2 3 2 2 3 5" xfId="36229" xr:uid="{00000000-0005-0000-0000-00001B8E0000}"/>
    <cellStyle name="Notas 3 2 3 2 2 3 6" xfId="36230" xr:uid="{00000000-0005-0000-0000-00001C8E0000}"/>
    <cellStyle name="Notas 3 2 3 2 2 4" xfId="36231" xr:uid="{00000000-0005-0000-0000-00001D8E0000}"/>
    <cellStyle name="Notas 3 2 3 2 2 5" xfId="36232" xr:uid="{00000000-0005-0000-0000-00001E8E0000}"/>
    <cellStyle name="Notas 3 2 3 2 2 6" xfId="36233" xr:uid="{00000000-0005-0000-0000-00001F8E0000}"/>
    <cellStyle name="Notas 3 2 3 2 3" xfId="36234" xr:uid="{00000000-0005-0000-0000-0000208E0000}"/>
    <cellStyle name="Notas 3 2 3 2 4" xfId="36235" xr:uid="{00000000-0005-0000-0000-0000218E0000}"/>
    <cellStyle name="Notas 3 2 3 3" xfId="36236" xr:uid="{00000000-0005-0000-0000-0000228E0000}"/>
    <cellStyle name="Notas 3 2 3 3 2" xfId="36237" xr:uid="{00000000-0005-0000-0000-0000238E0000}"/>
    <cellStyle name="Notas 3 2 3 3 2 2" xfId="36238" xr:uid="{00000000-0005-0000-0000-0000248E0000}"/>
    <cellStyle name="Notas 3 2 3 3 2 2 2" xfId="36239" xr:uid="{00000000-0005-0000-0000-0000258E0000}"/>
    <cellStyle name="Notas 3 2 3 3 2 2 2 2" xfId="36240" xr:uid="{00000000-0005-0000-0000-0000268E0000}"/>
    <cellStyle name="Notas 3 2 3 3 2 2 2 3" xfId="36241" xr:uid="{00000000-0005-0000-0000-0000278E0000}"/>
    <cellStyle name="Notas 3 2 3 3 2 2 2 4" xfId="36242" xr:uid="{00000000-0005-0000-0000-0000288E0000}"/>
    <cellStyle name="Notas 3 2 3 3 2 2 3" xfId="36243" xr:uid="{00000000-0005-0000-0000-0000298E0000}"/>
    <cellStyle name="Notas 3 2 3 3 2 2 3 2" xfId="36244" xr:uid="{00000000-0005-0000-0000-00002A8E0000}"/>
    <cellStyle name="Notas 3 2 3 3 2 2 3 3" xfId="36245" xr:uid="{00000000-0005-0000-0000-00002B8E0000}"/>
    <cellStyle name="Notas 3 2 3 3 2 2 3 4" xfId="36246" xr:uid="{00000000-0005-0000-0000-00002C8E0000}"/>
    <cellStyle name="Notas 3 2 3 3 2 2 4" xfId="36247" xr:uid="{00000000-0005-0000-0000-00002D8E0000}"/>
    <cellStyle name="Notas 3 2 3 3 2 2 5" xfId="36248" xr:uid="{00000000-0005-0000-0000-00002E8E0000}"/>
    <cellStyle name="Notas 3 2 3 3 2 2 6" xfId="36249" xr:uid="{00000000-0005-0000-0000-00002F8E0000}"/>
    <cellStyle name="Notas 3 2 3 3 2 3" xfId="36250" xr:uid="{00000000-0005-0000-0000-0000308E0000}"/>
    <cellStyle name="Notas 3 2 3 3 2 3 2" xfId="36251" xr:uid="{00000000-0005-0000-0000-0000318E0000}"/>
    <cellStyle name="Notas 3 2 3 3 2 3 2 2" xfId="36252" xr:uid="{00000000-0005-0000-0000-0000328E0000}"/>
    <cellStyle name="Notas 3 2 3 3 2 3 2 3" xfId="36253" xr:uid="{00000000-0005-0000-0000-0000338E0000}"/>
    <cellStyle name="Notas 3 2 3 3 2 3 2 4" xfId="36254" xr:uid="{00000000-0005-0000-0000-0000348E0000}"/>
    <cellStyle name="Notas 3 2 3 3 2 3 3" xfId="36255" xr:uid="{00000000-0005-0000-0000-0000358E0000}"/>
    <cellStyle name="Notas 3 2 3 3 2 3 3 2" xfId="36256" xr:uid="{00000000-0005-0000-0000-0000368E0000}"/>
    <cellStyle name="Notas 3 2 3 3 2 3 3 3" xfId="36257" xr:uid="{00000000-0005-0000-0000-0000378E0000}"/>
    <cellStyle name="Notas 3 2 3 3 2 3 3 4" xfId="36258" xr:uid="{00000000-0005-0000-0000-0000388E0000}"/>
    <cellStyle name="Notas 3 2 3 3 2 3 4" xfId="36259" xr:uid="{00000000-0005-0000-0000-0000398E0000}"/>
    <cellStyle name="Notas 3 2 3 3 2 3 5" xfId="36260" xr:uid="{00000000-0005-0000-0000-00003A8E0000}"/>
    <cellStyle name="Notas 3 2 3 3 2 3 6" xfId="36261" xr:uid="{00000000-0005-0000-0000-00003B8E0000}"/>
    <cellStyle name="Notas 3 2 3 3 2 4" xfId="36262" xr:uid="{00000000-0005-0000-0000-00003C8E0000}"/>
    <cellStyle name="Notas 3 2 3 3 2 5" xfId="36263" xr:uid="{00000000-0005-0000-0000-00003D8E0000}"/>
    <cellStyle name="Notas 3 2 3 3 2 6" xfId="36264" xr:uid="{00000000-0005-0000-0000-00003E8E0000}"/>
    <cellStyle name="Notas 3 2 3 3 3" xfId="36265" xr:uid="{00000000-0005-0000-0000-00003F8E0000}"/>
    <cellStyle name="Notas 3 2 3 3 4" xfId="36266" xr:uid="{00000000-0005-0000-0000-0000408E0000}"/>
    <cellStyle name="Notas 3 2 3 4" xfId="36267" xr:uid="{00000000-0005-0000-0000-0000418E0000}"/>
    <cellStyle name="Notas 3 2 3 4 2" xfId="36268" xr:uid="{00000000-0005-0000-0000-0000428E0000}"/>
    <cellStyle name="Notas 3 2 3 4 2 2" xfId="36269" xr:uid="{00000000-0005-0000-0000-0000438E0000}"/>
    <cellStyle name="Notas 3 2 3 4 2 2 2" xfId="36270" xr:uid="{00000000-0005-0000-0000-0000448E0000}"/>
    <cellStyle name="Notas 3 2 3 4 2 2 2 2" xfId="36271" xr:uid="{00000000-0005-0000-0000-0000458E0000}"/>
    <cellStyle name="Notas 3 2 3 4 2 2 2 3" xfId="36272" xr:uid="{00000000-0005-0000-0000-0000468E0000}"/>
    <cellStyle name="Notas 3 2 3 4 2 2 2 4" xfId="36273" xr:uid="{00000000-0005-0000-0000-0000478E0000}"/>
    <cellStyle name="Notas 3 2 3 4 2 2 3" xfId="36274" xr:uid="{00000000-0005-0000-0000-0000488E0000}"/>
    <cellStyle name="Notas 3 2 3 4 2 2 3 2" xfId="36275" xr:uid="{00000000-0005-0000-0000-0000498E0000}"/>
    <cellStyle name="Notas 3 2 3 4 2 2 3 3" xfId="36276" xr:uid="{00000000-0005-0000-0000-00004A8E0000}"/>
    <cellStyle name="Notas 3 2 3 4 2 2 3 4" xfId="36277" xr:uid="{00000000-0005-0000-0000-00004B8E0000}"/>
    <cellStyle name="Notas 3 2 3 4 2 2 4" xfId="36278" xr:uid="{00000000-0005-0000-0000-00004C8E0000}"/>
    <cellStyle name="Notas 3 2 3 4 2 2 5" xfId="36279" xr:uid="{00000000-0005-0000-0000-00004D8E0000}"/>
    <cellStyle name="Notas 3 2 3 4 2 2 6" xfId="36280" xr:uid="{00000000-0005-0000-0000-00004E8E0000}"/>
    <cellStyle name="Notas 3 2 3 4 2 3" xfId="36281" xr:uid="{00000000-0005-0000-0000-00004F8E0000}"/>
    <cellStyle name="Notas 3 2 3 4 2 3 2" xfId="36282" xr:uid="{00000000-0005-0000-0000-0000508E0000}"/>
    <cellStyle name="Notas 3 2 3 4 2 3 2 2" xfId="36283" xr:uid="{00000000-0005-0000-0000-0000518E0000}"/>
    <cellStyle name="Notas 3 2 3 4 2 3 2 3" xfId="36284" xr:uid="{00000000-0005-0000-0000-0000528E0000}"/>
    <cellStyle name="Notas 3 2 3 4 2 3 2 4" xfId="36285" xr:uid="{00000000-0005-0000-0000-0000538E0000}"/>
    <cellStyle name="Notas 3 2 3 4 2 3 3" xfId="36286" xr:uid="{00000000-0005-0000-0000-0000548E0000}"/>
    <cellStyle name="Notas 3 2 3 4 2 3 3 2" xfId="36287" xr:uid="{00000000-0005-0000-0000-0000558E0000}"/>
    <cellStyle name="Notas 3 2 3 4 2 3 3 3" xfId="36288" xr:uid="{00000000-0005-0000-0000-0000568E0000}"/>
    <cellStyle name="Notas 3 2 3 4 2 3 3 4" xfId="36289" xr:uid="{00000000-0005-0000-0000-0000578E0000}"/>
    <cellStyle name="Notas 3 2 3 4 2 3 4" xfId="36290" xr:uid="{00000000-0005-0000-0000-0000588E0000}"/>
    <cellStyle name="Notas 3 2 3 4 2 3 5" xfId="36291" xr:uid="{00000000-0005-0000-0000-0000598E0000}"/>
    <cellStyle name="Notas 3 2 3 4 2 3 6" xfId="36292" xr:uid="{00000000-0005-0000-0000-00005A8E0000}"/>
    <cellStyle name="Notas 3 2 3 4 2 4" xfId="36293" xr:uid="{00000000-0005-0000-0000-00005B8E0000}"/>
    <cellStyle name="Notas 3 2 3 4 2 5" xfId="36294" xr:uid="{00000000-0005-0000-0000-00005C8E0000}"/>
    <cellStyle name="Notas 3 2 3 4 2 6" xfId="36295" xr:uid="{00000000-0005-0000-0000-00005D8E0000}"/>
    <cellStyle name="Notas 3 2 3 4 3" xfId="36296" xr:uid="{00000000-0005-0000-0000-00005E8E0000}"/>
    <cellStyle name="Notas 3 2 3 4 4" xfId="36297" xr:uid="{00000000-0005-0000-0000-00005F8E0000}"/>
    <cellStyle name="Notas 3 2 3 5" xfId="36298" xr:uid="{00000000-0005-0000-0000-0000608E0000}"/>
    <cellStyle name="Notas 3 2 3 5 2" xfId="36299" xr:uid="{00000000-0005-0000-0000-0000618E0000}"/>
    <cellStyle name="Notas 3 2 3 5 2 2" xfId="36300" xr:uid="{00000000-0005-0000-0000-0000628E0000}"/>
    <cellStyle name="Notas 3 2 3 5 2 2 2" xfId="36301" xr:uid="{00000000-0005-0000-0000-0000638E0000}"/>
    <cellStyle name="Notas 3 2 3 5 2 2 2 2" xfId="36302" xr:uid="{00000000-0005-0000-0000-0000648E0000}"/>
    <cellStyle name="Notas 3 2 3 5 2 2 2 3" xfId="36303" xr:uid="{00000000-0005-0000-0000-0000658E0000}"/>
    <cellStyle name="Notas 3 2 3 5 2 2 2 4" xfId="36304" xr:uid="{00000000-0005-0000-0000-0000668E0000}"/>
    <cellStyle name="Notas 3 2 3 5 2 2 3" xfId="36305" xr:uid="{00000000-0005-0000-0000-0000678E0000}"/>
    <cellStyle name="Notas 3 2 3 5 2 2 3 2" xfId="36306" xr:uid="{00000000-0005-0000-0000-0000688E0000}"/>
    <cellStyle name="Notas 3 2 3 5 2 2 3 3" xfId="36307" xr:uid="{00000000-0005-0000-0000-0000698E0000}"/>
    <cellStyle name="Notas 3 2 3 5 2 2 3 4" xfId="36308" xr:uid="{00000000-0005-0000-0000-00006A8E0000}"/>
    <cellStyle name="Notas 3 2 3 5 2 2 4" xfId="36309" xr:uid="{00000000-0005-0000-0000-00006B8E0000}"/>
    <cellStyle name="Notas 3 2 3 5 2 2 5" xfId="36310" xr:uid="{00000000-0005-0000-0000-00006C8E0000}"/>
    <cellStyle name="Notas 3 2 3 5 2 2 6" xfId="36311" xr:uid="{00000000-0005-0000-0000-00006D8E0000}"/>
    <cellStyle name="Notas 3 2 3 5 2 3" xfId="36312" xr:uid="{00000000-0005-0000-0000-00006E8E0000}"/>
    <cellStyle name="Notas 3 2 3 5 2 3 2" xfId="36313" xr:uid="{00000000-0005-0000-0000-00006F8E0000}"/>
    <cellStyle name="Notas 3 2 3 5 2 3 2 2" xfId="36314" xr:uid="{00000000-0005-0000-0000-0000708E0000}"/>
    <cellStyle name="Notas 3 2 3 5 2 3 2 3" xfId="36315" xr:uid="{00000000-0005-0000-0000-0000718E0000}"/>
    <cellStyle name="Notas 3 2 3 5 2 3 2 4" xfId="36316" xr:uid="{00000000-0005-0000-0000-0000728E0000}"/>
    <cellStyle name="Notas 3 2 3 5 2 3 3" xfId="36317" xr:uid="{00000000-0005-0000-0000-0000738E0000}"/>
    <cellStyle name="Notas 3 2 3 5 2 3 3 2" xfId="36318" xr:uid="{00000000-0005-0000-0000-0000748E0000}"/>
    <cellStyle name="Notas 3 2 3 5 2 3 3 3" xfId="36319" xr:uid="{00000000-0005-0000-0000-0000758E0000}"/>
    <cellStyle name="Notas 3 2 3 5 2 3 3 4" xfId="36320" xr:uid="{00000000-0005-0000-0000-0000768E0000}"/>
    <cellStyle name="Notas 3 2 3 5 2 3 4" xfId="36321" xr:uid="{00000000-0005-0000-0000-0000778E0000}"/>
    <cellStyle name="Notas 3 2 3 5 2 3 5" xfId="36322" xr:uid="{00000000-0005-0000-0000-0000788E0000}"/>
    <cellStyle name="Notas 3 2 3 5 2 3 6" xfId="36323" xr:uid="{00000000-0005-0000-0000-0000798E0000}"/>
    <cellStyle name="Notas 3 2 3 5 2 4" xfId="36324" xr:uid="{00000000-0005-0000-0000-00007A8E0000}"/>
    <cellStyle name="Notas 3 2 3 5 2 5" xfId="36325" xr:uid="{00000000-0005-0000-0000-00007B8E0000}"/>
    <cellStyle name="Notas 3 2 3 5 2 6" xfId="36326" xr:uid="{00000000-0005-0000-0000-00007C8E0000}"/>
    <cellStyle name="Notas 3 2 3 5 3" xfId="36327" xr:uid="{00000000-0005-0000-0000-00007D8E0000}"/>
    <cellStyle name="Notas 3 2 3 5 4" xfId="36328" xr:uid="{00000000-0005-0000-0000-00007E8E0000}"/>
    <cellStyle name="Notas 3 2 3 6" xfId="36329" xr:uid="{00000000-0005-0000-0000-00007F8E0000}"/>
    <cellStyle name="Notas 3 2 3 6 2" xfId="36330" xr:uid="{00000000-0005-0000-0000-0000808E0000}"/>
    <cellStyle name="Notas 3 2 3 6 2 2" xfId="36331" xr:uid="{00000000-0005-0000-0000-0000818E0000}"/>
    <cellStyle name="Notas 3 2 3 6 2 2 2" xfId="36332" xr:uid="{00000000-0005-0000-0000-0000828E0000}"/>
    <cellStyle name="Notas 3 2 3 6 2 2 3" xfId="36333" xr:uid="{00000000-0005-0000-0000-0000838E0000}"/>
    <cellStyle name="Notas 3 2 3 6 2 2 4" xfId="36334" xr:uid="{00000000-0005-0000-0000-0000848E0000}"/>
    <cellStyle name="Notas 3 2 3 6 2 3" xfId="36335" xr:uid="{00000000-0005-0000-0000-0000858E0000}"/>
    <cellStyle name="Notas 3 2 3 6 2 3 2" xfId="36336" xr:uid="{00000000-0005-0000-0000-0000868E0000}"/>
    <cellStyle name="Notas 3 2 3 6 2 3 3" xfId="36337" xr:uid="{00000000-0005-0000-0000-0000878E0000}"/>
    <cellStyle name="Notas 3 2 3 6 2 3 4" xfId="36338" xr:uid="{00000000-0005-0000-0000-0000888E0000}"/>
    <cellStyle name="Notas 3 2 3 6 2 4" xfId="36339" xr:uid="{00000000-0005-0000-0000-0000898E0000}"/>
    <cellStyle name="Notas 3 2 3 6 2 5" xfId="36340" xr:uid="{00000000-0005-0000-0000-00008A8E0000}"/>
    <cellStyle name="Notas 3 2 3 6 2 6" xfId="36341" xr:uid="{00000000-0005-0000-0000-00008B8E0000}"/>
    <cellStyle name="Notas 3 2 3 6 3" xfId="36342" xr:uid="{00000000-0005-0000-0000-00008C8E0000}"/>
    <cellStyle name="Notas 3 2 3 6 3 2" xfId="36343" xr:uid="{00000000-0005-0000-0000-00008D8E0000}"/>
    <cellStyle name="Notas 3 2 3 6 3 2 2" xfId="36344" xr:uid="{00000000-0005-0000-0000-00008E8E0000}"/>
    <cellStyle name="Notas 3 2 3 6 3 2 3" xfId="36345" xr:uid="{00000000-0005-0000-0000-00008F8E0000}"/>
    <cellStyle name="Notas 3 2 3 6 3 2 4" xfId="36346" xr:uid="{00000000-0005-0000-0000-0000908E0000}"/>
    <cellStyle name="Notas 3 2 3 6 3 3" xfId="36347" xr:uid="{00000000-0005-0000-0000-0000918E0000}"/>
    <cellStyle name="Notas 3 2 3 6 3 3 2" xfId="36348" xr:uid="{00000000-0005-0000-0000-0000928E0000}"/>
    <cellStyle name="Notas 3 2 3 6 3 3 3" xfId="36349" xr:uid="{00000000-0005-0000-0000-0000938E0000}"/>
    <cellStyle name="Notas 3 2 3 6 3 3 4" xfId="36350" xr:uid="{00000000-0005-0000-0000-0000948E0000}"/>
    <cellStyle name="Notas 3 2 3 6 3 4" xfId="36351" xr:uid="{00000000-0005-0000-0000-0000958E0000}"/>
    <cellStyle name="Notas 3 2 3 6 3 5" xfId="36352" xr:uid="{00000000-0005-0000-0000-0000968E0000}"/>
    <cellStyle name="Notas 3 2 3 6 3 6" xfId="36353" xr:uid="{00000000-0005-0000-0000-0000978E0000}"/>
    <cellStyle name="Notas 3 2 3 6 4" xfId="36354" xr:uid="{00000000-0005-0000-0000-0000988E0000}"/>
    <cellStyle name="Notas 3 2 3 6 4 2" xfId="36355" xr:uid="{00000000-0005-0000-0000-0000998E0000}"/>
    <cellStyle name="Notas 3 2 3 6 4 3" xfId="36356" xr:uid="{00000000-0005-0000-0000-00009A8E0000}"/>
    <cellStyle name="Notas 3 2 3 6 4 4" xfId="36357" xr:uid="{00000000-0005-0000-0000-00009B8E0000}"/>
    <cellStyle name="Notas 3 2 3 6 5" xfId="36358" xr:uid="{00000000-0005-0000-0000-00009C8E0000}"/>
    <cellStyle name="Notas 3 2 3 6 6" xfId="36359" xr:uid="{00000000-0005-0000-0000-00009D8E0000}"/>
    <cellStyle name="Notas 3 2 3 7" xfId="36360" xr:uid="{00000000-0005-0000-0000-00009E8E0000}"/>
    <cellStyle name="Notas 3 2 3 7 2" xfId="36361" xr:uid="{00000000-0005-0000-0000-00009F8E0000}"/>
    <cellStyle name="Notas 3 2 3 7 2 2" xfId="36362" xr:uid="{00000000-0005-0000-0000-0000A08E0000}"/>
    <cellStyle name="Notas 3 2 3 7 2 2 2" xfId="36363" xr:uid="{00000000-0005-0000-0000-0000A18E0000}"/>
    <cellStyle name="Notas 3 2 3 7 2 2 3" xfId="36364" xr:uid="{00000000-0005-0000-0000-0000A28E0000}"/>
    <cellStyle name="Notas 3 2 3 7 2 2 4" xfId="36365" xr:uid="{00000000-0005-0000-0000-0000A38E0000}"/>
    <cellStyle name="Notas 3 2 3 7 2 3" xfId="36366" xr:uid="{00000000-0005-0000-0000-0000A48E0000}"/>
    <cellStyle name="Notas 3 2 3 7 2 3 2" xfId="36367" xr:uid="{00000000-0005-0000-0000-0000A58E0000}"/>
    <cellStyle name="Notas 3 2 3 7 2 3 3" xfId="36368" xr:uid="{00000000-0005-0000-0000-0000A68E0000}"/>
    <cellStyle name="Notas 3 2 3 7 2 3 4" xfId="36369" xr:uid="{00000000-0005-0000-0000-0000A78E0000}"/>
    <cellStyle name="Notas 3 2 3 7 2 4" xfId="36370" xr:uid="{00000000-0005-0000-0000-0000A88E0000}"/>
    <cellStyle name="Notas 3 2 3 7 2 5" xfId="36371" xr:uid="{00000000-0005-0000-0000-0000A98E0000}"/>
    <cellStyle name="Notas 3 2 3 7 2 6" xfId="36372" xr:uid="{00000000-0005-0000-0000-0000AA8E0000}"/>
    <cellStyle name="Notas 3 2 3 7 3" xfId="36373" xr:uid="{00000000-0005-0000-0000-0000AB8E0000}"/>
    <cellStyle name="Notas 3 2 3 7 3 2" xfId="36374" xr:uid="{00000000-0005-0000-0000-0000AC8E0000}"/>
    <cellStyle name="Notas 3 2 3 7 3 2 2" xfId="36375" xr:uid="{00000000-0005-0000-0000-0000AD8E0000}"/>
    <cellStyle name="Notas 3 2 3 7 3 2 3" xfId="36376" xr:uid="{00000000-0005-0000-0000-0000AE8E0000}"/>
    <cellStyle name="Notas 3 2 3 7 3 2 4" xfId="36377" xr:uid="{00000000-0005-0000-0000-0000AF8E0000}"/>
    <cellStyle name="Notas 3 2 3 7 3 3" xfId="36378" xr:uid="{00000000-0005-0000-0000-0000B08E0000}"/>
    <cellStyle name="Notas 3 2 3 7 3 3 2" xfId="36379" xr:uid="{00000000-0005-0000-0000-0000B18E0000}"/>
    <cellStyle name="Notas 3 2 3 7 3 3 3" xfId="36380" xr:uid="{00000000-0005-0000-0000-0000B28E0000}"/>
    <cellStyle name="Notas 3 2 3 7 3 3 4" xfId="36381" xr:uid="{00000000-0005-0000-0000-0000B38E0000}"/>
    <cellStyle name="Notas 3 2 3 7 3 4" xfId="36382" xr:uid="{00000000-0005-0000-0000-0000B48E0000}"/>
    <cellStyle name="Notas 3 2 3 7 3 5" xfId="36383" xr:uid="{00000000-0005-0000-0000-0000B58E0000}"/>
    <cellStyle name="Notas 3 2 3 7 3 6" xfId="36384" xr:uid="{00000000-0005-0000-0000-0000B68E0000}"/>
    <cellStyle name="Notas 3 2 3 7 4" xfId="36385" xr:uid="{00000000-0005-0000-0000-0000B78E0000}"/>
    <cellStyle name="Notas 3 2 3 7 4 2" xfId="36386" xr:uid="{00000000-0005-0000-0000-0000B88E0000}"/>
    <cellStyle name="Notas 3 2 3 7 4 3" xfId="36387" xr:uid="{00000000-0005-0000-0000-0000B98E0000}"/>
    <cellStyle name="Notas 3 2 3 7 4 4" xfId="36388" xr:uid="{00000000-0005-0000-0000-0000BA8E0000}"/>
    <cellStyle name="Notas 3 2 3 7 5" xfId="36389" xr:uid="{00000000-0005-0000-0000-0000BB8E0000}"/>
    <cellStyle name="Notas 3 2 3 7 6" xfId="36390" xr:uid="{00000000-0005-0000-0000-0000BC8E0000}"/>
    <cellStyle name="Notas 3 2 3 8" xfId="36391" xr:uid="{00000000-0005-0000-0000-0000BD8E0000}"/>
    <cellStyle name="Notas 3 2 3 8 2" xfId="36392" xr:uid="{00000000-0005-0000-0000-0000BE8E0000}"/>
    <cellStyle name="Notas 3 2 3 8 2 2" xfId="36393" xr:uid="{00000000-0005-0000-0000-0000BF8E0000}"/>
    <cellStyle name="Notas 3 2 3 8 2 2 2" xfId="36394" xr:uid="{00000000-0005-0000-0000-0000C08E0000}"/>
    <cellStyle name="Notas 3 2 3 8 2 2 3" xfId="36395" xr:uid="{00000000-0005-0000-0000-0000C18E0000}"/>
    <cellStyle name="Notas 3 2 3 8 2 2 4" xfId="36396" xr:uid="{00000000-0005-0000-0000-0000C28E0000}"/>
    <cellStyle name="Notas 3 2 3 8 2 3" xfId="36397" xr:uid="{00000000-0005-0000-0000-0000C38E0000}"/>
    <cellStyle name="Notas 3 2 3 8 2 3 2" xfId="36398" xr:uid="{00000000-0005-0000-0000-0000C48E0000}"/>
    <cellStyle name="Notas 3 2 3 8 2 3 3" xfId="36399" xr:uid="{00000000-0005-0000-0000-0000C58E0000}"/>
    <cellStyle name="Notas 3 2 3 8 2 3 4" xfId="36400" xr:uid="{00000000-0005-0000-0000-0000C68E0000}"/>
    <cellStyle name="Notas 3 2 3 8 2 4" xfId="36401" xr:uid="{00000000-0005-0000-0000-0000C78E0000}"/>
    <cellStyle name="Notas 3 2 3 8 2 5" xfId="36402" xr:uid="{00000000-0005-0000-0000-0000C88E0000}"/>
    <cellStyle name="Notas 3 2 3 8 2 6" xfId="36403" xr:uid="{00000000-0005-0000-0000-0000C98E0000}"/>
    <cellStyle name="Notas 3 2 3 8 3" xfId="36404" xr:uid="{00000000-0005-0000-0000-0000CA8E0000}"/>
    <cellStyle name="Notas 3 2 3 8 3 2" xfId="36405" xr:uid="{00000000-0005-0000-0000-0000CB8E0000}"/>
    <cellStyle name="Notas 3 2 3 8 3 2 2" xfId="36406" xr:uid="{00000000-0005-0000-0000-0000CC8E0000}"/>
    <cellStyle name="Notas 3 2 3 8 3 2 3" xfId="36407" xr:uid="{00000000-0005-0000-0000-0000CD8E0000}"/>
    <cellStyle name="Notas 3 2 3 8 3 2 4" xfId="36408" xr:uid="{00000000-0005-0000-0000-0000CE8E0000}"/>
    <cellStyle name="Notas 3 2 3 8 3 3" xfId="36409" xr:uid="{00000000-0005-0000-0000-0000CF8E0000}"/>
    <cellStyle name="Notas 3 2 3 8 3 3 2" xfId="36410" xr:uid="{00000000-0005-0000-0000-0000D08E0000}"/>
    <cellStyle name="Notas 3 2 3 8 3 3 3" xfId="36411" xr:uid="{00000000-0005-0000-0000-0000D18E0000}"/>
    <cellStyle name="Notas 3 2 3 8 3 3 4" xfId="36412" xr:uid="{00000000-0005-0000-0000-0000D28E0000}"/>
    <cellStyle name="Notas 3 2 3 8 3 4" xfId="36413" xr:uid="{00000000-0005-0000-0000-0000D38E0000}"/>
    <cellStyle name="Notas 3 2 3 8 3 5" xfId="36414" xr:uid="{00000000-0005-0000-0000-0000D48E0000}"/>
    <cellStyle name="Notas 3 2 3 8 3 6" xfId="36415" xr:uid="{00000000-0005-0000-0000-0000D58E0000}"/>
    <cellStyle name="Notas 3 2 3 8 4" xfId="36416" xr:uid="{00000000-0005-0000-0000-0000D68E0000}"/>
    <cellStyle name="Notas 3 2 3 8 4 2" xfId="36417" xr:uid="{00000000-0005-0000-0000-0000D78E0000}"/>
    <cellStyle name="Notas 3 2 3 8 4 3" xfId="36418" xr:uid="{00000000-0005-0000-0000-0000D88E0000}"/>
    <cellStyle name="Notas 3 2 3 8 4 4" xfId="36419" xr:uid="{00000000-0005-0000-0000-0000D98E0000}"/>
    <cellStyle name="Notas 3 2 3 8 5" xfId="36420" xr:uid="{00000000-0005-0000-0000-0000DA8E0000}"/>
    <cellStyle name="Notas 3 2 3 8 6" xfId="36421" xr:uid="{00000000-0005-0000-0000-0000DB8E0000}"/>
    <cellStyle name="Notas 3 2 3 9" xfId="36422" xr:uid="{00000000-0005-0000-0000-0000DC8E0000}"/>
    <cellStyle name="Notas 3 2 3 9 2" xfId="36423" xr:uid="{00000000-0005-0000-0000-0000DD8E0000}"/>
    <cellStyle name="Notas 3 2 3 9 2 2" xfId="36424" xr:uid="{00000000-0005-0000-0000-0000DE8E0000}"/>
    <cellStyle name="Notas 3 2 3 9 2 2 2" xfId="36425" xr:uid="{00000000-0005-0000-0000-0000DF8E0000}"/>
    <cellStyle name="Notas 3 2 3 9 2 2 3" xfId="36426" xr:uid="{00000000-0005-0000-0000-0000E08E0000}"/>
    <cellStyle name="Notas 3 2 3 9 2 2 4" xfId="36427" xr:uid="{00000000-0005-0000-0000-0000E18E0000}"/>
    <cellStyle name="Notas 3 2 3 9 2 3" xfId="36428" xr:uid="{00000000-0005-0000-0000-0000E28E0000}"/>
    <cellStyle name="Notas 3 2 3 9 2 3 2" xfId="36429" xr:uid="{00000000-0005-0000-0000-0000E38E0000}"/>
    <cellStyle name="Notas 3 2 3 9 2 3 3" xfId="36430" xr:uid="{00000000-0005-0000-0000-0000E48E0000}"/>
    <cellStyle name="Notas 3 2 3 9 2 3 4" xfId="36431" xr:uid="{00000000-0005-0000-0000-0000E58E0000}"/>
    <cellStyle name="Notas 3 2 3 9 2 4" xfId="36432" xr:uid="{00000000-0005-0000-0000-0000E68E0000}"/>
    <cellStyle name="Notas 3 2 3 9 2 5" xfId="36433" xr:uid="{00000000-0005-0000-0000-0000E78E0000}"/>
    <cellStyle name="Notas 3 2 3 9 2 6" xfId="36434" xr:uid="{00000000-0005-0000-0000-0000E88E0000}"/>
    <cellStyle name="Notas 3 2 3 9 3" xfId="36435" xr:uid="{00000000-0005-0000-0000-0000E98E0000}"/>
    <cellStyle name="Notas 3 2 3 9 3 2" xfId="36436" xr:uid="{00000000-0005-0000-0000-0000EA8E0000}"/>
    <cellStyle name="Notas 3 2 3 9 3 2 2" xfId="36437" xr:uid="{00000000-0005-0000-0000-0000EB8E0000}"/>
    <cellStyle name="Notas 3 2 3 9 3 2 3" xfId="36438" xr:uid="{00000000-0005-0000-0000-0000EC8E0000}"/>
    <cellStyle name="Notas 3 2 3 9 3 2 4" xfId="36439" xr:uid="{00000000-0005-0000-0000-0000ED8E0000}"/>
    <cellStyle name="Notas 3 2 3 9 3 3" xfId="36440" xr:uid="{00000000-0005-0000-0000-0000EE8E0000}"/>
    <cellStyle name="Notas 3 2 3 9 3 3 2" xfId="36441" xr:uid="{00000000-0005-0000-0000-0000EF8E0000}"/>
    <cellStyle name="Notas 3 2 3 9 3 3 3" xfId="36442" xr:uid="{00000000-0005-0000-0000-0000F08E0000}"/>
    <cellStyle name="Notas 3 2 3 9 3 3 4" xfId="36443" xr:uid="{00000000-0005-0000-0000-0000F18E0000}"/>
    <cellStyle name="Notas 3 2 3 9 3 4" xfId="36444" xr:uid="{00000000-0005-0000-0000-0000F28E0000}"/>
    <cellStyle name="Notas 3 2 3 9 3 5" xfId="36445" xr:uid="{00000000-0005-0000-0000-0000F38E0000}"/>
    <cellStyle name="Notas 3 2 3 9 3 6" xfId="36446" xr:uid="{00000000-0005-0000-0000-0000F48E0000}"/>
    <cellStyle name="Notas 3 2 3 9 4" xfId="36447" xr:uid="{00000000-0005-0000-0000-0000F58E0000}"/>
    <cellStyle name="Notas 3 2 3 9 4 2" xfId="36448" xr:uid="{00000000-0005-0000-0000-0000F68E0000}"/>
    <cellStyle name="Notas 3 2 3 9 4 3" xfId="36449" xr:uid="{00000000-0005-0000-0000-0000F78E0000}"/>
    <cellStyle name="Notas 3 2 3 9 4 4" xfId="36450" xr:uid="{00000000-0005-0000-0000-0000F88E0000}"/>
    <cellStyle name="Notas 3 2 3 9 5" xfId="36451" xr:uid="{00000000-0005-0000-0000-0000F98E0000}"/>
    <cellStyle name="Notas 3 2 3 9 6" xfId="36452" xr:uid="{00000000-0005-0000-0000-0000FA8E0000}"/>
    <cellStyle name="Notas 3 2 4" xfId="36453" xr:uid="{00000000-0005-0000-0000-0000FB8E0000}"/>
    <cellStyle name="Notas 3 2 4 2" xfId="36454" xr:uid="{00000000-0005-0000-0000-0000FC8E0000}"/>
    <cellStyle name="Notas 3 2 4 2 2" xfId="36455" xr:uid="{00000000-0005-0000-0000-0000FD8E0000}"/>
    <cellStyle name="Notas 3 2 4 2 2 2" xfId="36456" xr:uid="{00000000-0005-0000-0000-0000FE8E0000}"/>
    <cellStyle name="Notas 3 2 4 2 2 2 2" xfId="36457" xr:uid="{00000000-0005-0000-0000-0000FF8E0000}"/>
    <cellStyle name="Notas 3 2 4 2 2 2 3" xfId="36458" xr:uid="{00000000-0005-0000-0000-0000008F0000}"/>
    <cellStyle name="Notas 3 2 4 2 2 2 4" xfId="36459" xr:uid="{00000000-0005-0000-0000-0000018F0000}"/>
    <cellStyle name="Notas 3 2 4 2 2 3" xfId="36460" xr:uid="{00000000-0005-0000-0000-0000028F0000}"/>
    <cellStyle name="Notas 3 2 4 2 2 3 2" xfId="36461" xr:uid="{00000000-0005-0000-0000-0000038F0000}"/>
    <cellStyle name="Notas 3 2 4 2 2 3 3" xfId="36462" xr:uid="{00000000-0005-0000-0000-0000048F0000}"/>
    <cellStyle name="Notas 3 2 4 2 2 3 4" xfId="36463" xr:uid="{00000000-0005-0000-0000-0000058F0000}"/>
    <cellStyle name="Notas 3 2 4 2 2 4" xfId="36464" xr:uid="{00000000-0005-0000-0000-0000068F0000}"/>
    <cellStyle name="Notas 3 2 4 2 2 5" xfId="36465" xr:uid="{00000000-0005-0000-0000-0000078F0000}"/>
    <cellStyle name="Notas 3 2 4 2 2 6" xfId="36466" xr:uid="{00000000-0005-0000-0000-0000088F0000}"/>
    <cellStyle name="Notas 3 2 4 2 3" xfId="36467" xr:uid="{00000000-0005-0000-0000-0000098F0000}"/>
    <cellStyle name="Notas 3 2 4 2 3 2" xfId="36468" xr:uid="{00000000-0005-0000-0000-00000A8F0000}"/>
    <cellStyle name="Notas 3 2 4 2 3 2 2" xfId="36469" xr:uid="{00000000-0005-0000-0000-00000B8F0000}"/>
    <cellStyle name="Notas 3 2 4 2 3 2 3" xfId="36470" xr:uid="{00000000-0005-0000-0000-00000C8F0000}"/>
    <cellStyle name="Notas 3 2 4 2 3 2 4" xfId="36471" xr:uid="{00000000-0005-0000-0000-00000D8F0000}"/>
    <cellStyle name="Notas 3 2 4 2 3 3" xfId="36472" xr:uid="{00000000-0005-0000-0000-00000E8F0000}"/>
    <cellStyle name="Notas 3 2 4 2 3 3 2" xfId="36473" xr:uid="{00000000-0005-0000-0000-00000F8F0000}"/>
    <cellStyle name="Notas 3 2 4 2 3 3 3" xfId="36474" xr:uid="{00000000-0005-0000-0000-0000108F0000}"/>
    <cellStyle name="Notas 3 2 4 2 3 3 4" xfId="36475" xr:uid="{00000000-0005-0000-0000-0000118F0000}"/>
    <cellStyle name="Notas 3 2 4 2 3 4" xfId="36476" xr:uid="{00000000-0005-0000-0000-0000128F0000}"/>
    <cellStyle name="Notas 3 2 4 2 3 5" xfId="36477" xr:uid="{00000000-0005-0000-0000-0000138F0000}"/>
    <cellStyle name="Notas 3 2 4 2 3 6" xfId="36478" xr:uid="{00000000-0005-0000-0000-0000148F0000}"/>
    <cellStyle name="Notas 3 2 4 2 4" xfId="36479" xr:uid="{00000000-0005-0000-0000-0000158F0000}"/>
    <cellStyle name="Notas 3 2 4 2 5" xfId="36480" xr:uid="{00000000-0005-0000-0000-0000168F0000}"/>
    <cellStyle name="Notas 3 2 4 2 6" xfId="36481" xr:uid="{00000000-0005-0000-0000-0000178F0000}"/>
    <cellStyle name="Notas 3 2 4 3" xfId="36482" xr:uid="{00000000-0005-0000-0000-0000188F0000}"/>
    <cellStyle name="Notas 3 2 4 4" xfId="36483" xr:uid="{00000000-0005-0000-0000-0000198F0000}"/>
    <cellStyle name="Notas 3 2 5" xfId="36484" xr:uid="{00000000-0005-0000-0000-00001A8F0000}"/>
    <cellStyle name="Notas 3 2 5 2" xfId="36485" xr:uid="{00000000-0005-0000-0000-00001B8F0000}"/>
    <cellStyle name="Notas 3 2 5 2 2" xfId="36486" xr:uid="{00000000-0005-0000-0000-00001C8F0000}"/>
    <cellStyle name="Notas 3 2 5 2 2 2" xfId="36487" xr:uid="{00000000-0005-0000-0000-00001D8F0000}"/>
    <cellStyle name="Notas 3 2 5 2 2 2 2" xfId="36488" xr:uid="{00000000-0005-0000-0000-00001E8F0000}"/>
    <cellStyle name="Notas 3 2 5 2 2 2 3" xfId="36489" xr:uid="{00000000-0005-0000-0000-00001F8F0000}"/>
    <cellStyle name="Notas 3 2 5 2 2 2 4" xfId="36490" xr:uid="{00000000-0005-0000-0000-0000208F0000}"/>
    <cellStyle name="Notas 3 2 5 2 2 3" xfId="36491" xr:uid="{00000000-0005-0000-0000-0000218F0000}"/>
    <cellStyle name="Notas 3 2 5 2 2 3 2" xfId="36492" xr:uid="{00000000-0005-0000-0000-0000228F0000}"/>
    <cellStyle name="Notas 3 2 5 2 2 3 3" xfId="36493" xr:uid="{00000000-0005-0000-0000-0000238F0000}"/>
    <cellStyle name="Notas 3 2 5 2 2 3 4" xfId="36494" xr:uid="{00000000-0005-0000-0000-0000248F0000}"/>
    <cellStyle name="Notas 3 2 5 2 2 4" xfId="36495" xr:uid="{00000000-0005-0000-0000-0000258F0000}"/>
    <cellStyle name="Notas 3 2 5 2 2 5" xfId="36496" xr:uid="{00000000-0005-0000-0000-0000268F0000}"/>
    <cellStyle name="Notas 3 2 5 2 2 6" xfId="36497" xr:uid="{00000000-0005-0000-0000-0000278F0000}"/>
    <cellStyle name="Notas 3 2 5 2 3" xfId="36498" xr:uid="{00000000-0005-0000-0000-0000288F0000}"/>
    <cellStyle name="Notas 3 2 5 2 3 2" xfId="36499" xr:uid="{00000000-0005-0000-0000-0000298F0000}"/>
    <cellStyle name="Notas 3 2 5 2 3 2 2" xfId="36500" xr:uid="{00000000-0005-0000-0000-00002A8F0000}"/>
    <cellStyle name="Notas 3 2 5 2 3 2 3" xfId="36501" xr:uid="{00000000-0005-0000-0000-00002B8F0000}"/>
    <cellStyle name="Notas 3 2 5 2 3 2 4" xfId="36502" xr:uid="{00000000-0005-0000-0000-00002C8F0000}"/>
    <cellStyle name="Notas 3 2 5 2 3 3" xfId="36503" xr:uid="{00000000-0005-0000-0000-00002D8F0000}"/>
    <cellStyle name="Notas 3 2 5 2 3 3 2" xfId="36504" xr:uid="{00000000-0005-0000-0000-00002E8F0000}"/>
    <cellStyle name="Notas 3 2 5 2 3 3 3" xfId="36505" xr:uid="{00000000-0005-0000-0000-00002F8F0000}"/>
    <cellStyle name="Notas 3 2 5 2 3 3 4" xfId="36506" xr:uid="{00000000-0005-0000-0000-0000308F0000}"/>
    <cellStyle name="Notas 3 2 5 2 3 4" xfId="36507" xr:uid="{00000000-0005-0000-0000-0000318F0000}"/>
    <cellStyle name="Notas 3 2 5 2 3 5" xfId="36508" xr:uid="{00000000-0005-0000-0000-0000328F0000}"/>
    <cellStyle name="Notas 3 2 5 2 3 6" xfId="36509" xr:uid="{00000000-0005-0000-0000-0000338F0000}"/>
    <cellStyle name="Notas 3 2 5 2 4" xfId="36510" xr:uid="{00000000-0005-0000-0000-0000348F0000}"/>
    <cellStyle name="Notas 3 2 5 2 5" xfId="36511" xr:uid="{00000000-0005-0000-0000-0000358F0000}"/>
    <cellStyle name="Notas 3 2 5 2 6" xfId="36512" xr:uid="{00000000-0005-0000-0000-0000368F0000}"/>
    <cellStyle name="Notas 3 2 5 3" xfId="36513" xr:uid="{00000000-0005-0000-0000-0000378F0000}"/>
    <cellStyle name="Notas 3 2 5 4" xfId="36514" xr:uid="{00000000-0005-0000-0000-0000388F0000}"/>
    <cellStyle name="Notas 3 2 6" xfId="36515" xr:uid="{00000000-0005-0000-0000-0000398F0000}"/>
    <cellStyle name="Notas 3 2 6 2" xfId="36516" xr:uid="{00000000-0005-0000-0000-00003A8F0000}"/>
    <cellStyle name="Notas 3 2 6 2 2" xfId="36517" xr:uid="{00000000-0005-0000-0000-00003B8F0000}"/>
    <cellStyle name="Notas 3 2 6 2 2 2" xfId="36518" xr:uid="{00000000-0005-0000-0000-00003C8F0000}"/>
    <cellStyle name="Notas 3 2 6 2 2 2 2" xfId="36519" xr:uid="{00000000-0005-0000-0000-00003D8F0000}"/>
    <cellStyle name="Notas 3 2 6 2 2 2 3" xfId="36520" xr:uid="{00000000-0005-0000-0000-00003E8F0000}"/>
    <cellStyle name="Notas 3 2 6 2 2 2 4" xfId="36521" xr:uid="{00000000-0005-0000-0000-00003F8F0000}"/>
    <cellStyle name="Notas 3 2 6 2 2 3" xfId="36522" xr:uid="{00000000-0005-0000-0000-0000408F0000}"/>
    <cellStyle name="Notas 3 2 6 2 2 3 2" xfId="36523" xr:uid="{00000000-0005-0000-0000-0000418F0000}"/>
    <cellStyle name="Notas 3 2 6 2 2 3 3" xfId="36524" xr:uid="{00000000-0005-0000-0000-0000428F0000}"/>
    <cellStyle name="Notas 3 2 6 2 2 3 4" xfId="36525" xr:uid="{00000000-0005-0000-0000-0000438F0000}"/>
    <cellStyle name="Notas 3 2 6 2 2 4" xfId="36526" xr:uid="{00000000-0005-0000-0000-0000448F0000}"/>
    <cellStyle name="Notas 3 2 6 2 2 5" xfId="36527" xr:uid="{00000000-0005-0000-0000-0000458F0000}"/>
    <cellStyle name="Notas 3 2 6 2 2 6" xfId="36528" xr:uid="{00000000-0005-0000-0000-0000468F0000}"/>
    <cellStyle name="Notas 3 2 6 2 3" xfId="36529" xr:uid="{00000000-0005-0000-0000-0000478F0000}"/>
    <cellStyle name="Notas 3 2 6 2 3 2" xfId="36530" xr:uid="{00000000-0005-0000-0000-0000488F0000}"/>
    <cellStyle name="Notas 3 2 6 2 3 2 2" xfId="36531" xr:uid="{00000000-0005-0000-0000-0000498F0000}"/>
    <cellStyle name="Notas 3 2 6 2 3 2 3" xfId="36532" xr:uid="{00000000-0005-0000-0000-00004A8F0000}"/>
    <cellStyle name="Notas 3 2 6 2 3 2 4" xfId="36533" xr:uid="{00000000-0005-0000-0000-00004B8F0000}"/>
    <cellStyle name="Notas 3 2 6 2 3 3" xfId="36534" xr:uid="{00000000-0005-0000-0000-00004C8F0000}"/>
    <cellStyle name="Notas 3 2 6 2 3 3 2" xfId="36535" xr:uid="{00000000-0005-0000-0000-00004D8F0000}"/>
    <cellStyle name="Notas 3 2 6 2 3 3 3" xfId="36536" xr:uid="{00000000-0005-0000-0000-00004E8F0000}"/>
    <cellStyle name="Notas 3 2 6 2 3 3 4" xfId="36537" xr:uid="{00000000-0005-0000-0000-00004F8F0000}"/>
    <cellStyle name="Notas 3 2 6 2 3 4" xfId="36538" xr:uid="{00000000-0005-0000-0000-0000508F0000}"/>
    <cellStyle name="Notas 3 2 6 2 3 5" xfId="36539" xr:uid="{00000000-0005-0000-0000-0000518F0000}"/>
    <cellStyle name="Notas 3 2 6 2 3 6" xfId="36540" xr:uid="{00000000-0005-0000-0000-0000528F0000}"/>
    <cellStyle name="Notas 3 2 6 2 4" xfId="36541" xr:uid="{00000000-0005-0000-0000-0000538F0000}"/>
    <cellStyle name="Notas 3 2 6 2 5" xfId="36542" xr:uid="{00000000-0005-0000-0000-0000548F0000}"/>
    <cellStyle name="Notas 3 2 6 2 6" xfId="36543" xr:uid="{00000000-0005-0000-0000-0000558F0000}"/>
    <cellStyle name="Notas 3 2 6 3" xfId="36544" xr:uid="{00000000-0005-0000-0000-0000568F0000}"/>
    <cellStyle name="Notas 3 2 6 4" xfId="36545" xr:uid="{00000000-0005-0000-0000-0000578F0000}"/>
    <cellStyle name="Notas 3 2 7" xfId="36546" xr:uid="{00000000-0005-0000-0000-0000588F0000}"/>
    <cellStyle name="Notas 3 2 7 2" xfId="36547" xr:uid="{00000000-0005-0000-0000-0000598F0000}"/>
    <cellStyle name="Notas 3 2 7 2 2" xfId="36548" xr:uid="{00000000-0005-0000-0000-00005A8F0000}"/>
    <cellStyle name="Notas 3 2 7 2 2 2" xfId="36549" xr:uid="{00000000-0005-0000-0000-00005B8F0000}"/>
    <cellStyle name="Notas 3 2 7 2 2 2 2" xfId="36550" xr:uid="{00000000-0005-0000-0000-00005C8F0000}"/>
    <cellStyle name="Notas 3 2 7 2 2 2 3" xfId="36551" xr:uid="{00000000-0005-0000-0000-00005D8F0000}"/>
    <cellStyle name="Notas 3 2 7 2 2 2 4" xfId="36552" xr:uid="{00000000-0005-0000-0000-00005E8F0000}"/>
    <cellStyle name="Notas 3 2 7 2 2 3" xfId="36553" xr:uid="{00000000-0005-0000-0000-00005F8F0000}"/>
    <cellStyle name="Notas 3 2 7 2 2 3 2" xfId="36554" xr:uid="{00000000-0005-0000-0000-0000608F0000}"/>
    <cellStyle name="Notas 3 2 7 2 2 3 3" xfId="36555" xr:uid="{00000000-0005-0000-0000-0000618F0000}"/>
    <cellStyle name="Notas 3 2 7 2 2 3 4" xfId="36556" xr:uid="{00000000-0005-0000-0000-0000628F0000}"/>
    <cellStyle name="Notas 3 2 7 2 2 4" xfId="36557" xr:uid="{00000000-0005-0000-0000-0000638F0000}"/>
    <cellStyle name="Notas 3 2 7 2 2 5" xfId="36558" xr:uid="{00000000-0005-0000-0000-0000648F0000}"/>
    <cellStyle name="Notas 3 2 7 2 2 6" xfId="36559" xr:uid="{00000000-0005-0000-0000-0000658F0000}"/>
    <cellStyle name="Notas 3 2 7 2 3" xfId="36560" xr:uid="{00000000-0005-0000-0000-0000668F0000}"/>
    <cellStyle name="Notas 3 2 7 2 3 2" xfId="36561" xr:uid="{00000000-0005-0000-0000-0000678F0000}"/>
    <cellStyle name="Notas 3 2 7 2 3 2 2" xfId="36562" xr:uid="{00000000-0005-0000-0000-0000688F0000}"/>
    <cellStyle name="Notas 3 2 7 2 3 2 3" xfId="36563" xr:uid="{00000000-0005-0000-0000-0000698F0000}"/>
    <cellStyle name="Notas 3 2 7 2 3 2 4" xfId="36564" xr:uid="{00000000-0005-0000-0000-00006A8F0000}"/>
    <cellStyle name="Notas 3 2 7 2 3 3" xfId="36565" xr:uid="{00000000-0005-0000-0000-00006B8F0000}"/>
    <cellStyle name="Notas 3 2 7 2 3 3 2" xfId="36566" xr:uid="{00000000-0005-0000-0000-00006C8F0000}"/>
    <cellStyle name="Notas 3 2 7 2 3 3 3" xfId="36567" xr:uid="{00000000-0005-0000-0000-00006D8F0000}"/>
    <cellStyle name="Notas 3 2 7 2 3 3 4" xfId="36568" xr:uid="{00000000-0005-0000-0000-00006E8F0000}"/>
    <cellStyle name="Notas 3 2 7 2 3 4" xfId="36569" xr:uid="{00000000-0005-0000-0000-00006F8F0000}"/>
    <cellStyle name="Notas 3 2 7 2 3 5" xfId="36570" xr:uid="{00000000-0005-0000-0000-0000708F0000}"/>
    <cellStyle name="Notas 3 2 7 2 3 6" xfId="36571" xr:uid="{00000000-0005-0000-0000-0000718F0000}"/>
    <cellStyle name="Notas 3 2 7 2 4" xfId="36572" xr:uid="{00000000-0005-0000-0000-0000728F0000}"/>
    <cellStyle name="Notas 3 2 7 2 5" xfId="36573" xr:uid="{00000000-0005-0000-0000-0000738F0000}"/>
    <cellStyle name="Notas 3 2 7 2 6" xfId="36574" xr:uid="{00000000-0005-0000-0000-0000748F0000}"/>
    <cellStyle name="Notas 3 2 7 3" xfId="36575" xr:uid="{00000000-0005-0000-0000-0000758F0000}"/>
    <cellStyle name="Notas 3 2 7 4" xfId="36576" xr:uid="{00000000-0005-0000-0000-0000768F0000}"/>
    <cellStyle name="Notas 3 2 8" xfId="36577" xr:uid="{00000000-0005-0000-0000-0000778F0000}"/>
    <cellStyle name="Notas 3 2 8 2" xfId="36578" xr:uid="{00000000-0005-0000-0000-0000788F0000}"/>
    <cellStyle name="Notas 3 2 8 2 2" xfId="36579" xr:uid="{00000000-0005-0000-0000-0000798F0000}"/>
    <cellStyle name="Notas 3 2 8 2 2 2" xfId="36580" xr:uid="{00000000-0005-0000-0000-00007A8F0000}"/>
    <cellStyle name="Notas 3 2 8 2 2 3" xfId="36581" xr:uid="{00000000-0005-0000-0000-00007B8F0000}"/>
    <cellStyle name="Notas 3 2 8 2 2 4" xfId="36582" xr:uid="{00000000-0005-0000-0000-00007C8F0000}"/>
    <cellStyle name="Notas 3 2 8 2 3" xfId="36583" xr:uid="{00000000-0005-0000-0000-00007D8F0000}"/>
    <cellStyle name="Notas 3 2 8 2 3 2" xfId="36584" xr:uid="{00000000-0005-0000-0000-00007E8F0000}"/>
    <cellStyle name="Notas 3 2 8 2 3 3" xfId="36585" xr:uid="{00000000-0005-0000-0000-00007F8F0000}"/>
    <cellStyle name="Notas 3 2 8 2 3 4" xfId="36586" xr:uid="{00000000-0005-0000-0000-0000808F0000}"/>
    <cellStyle name="Notas 3 2 8 2 4" xfId="36587" xr:uid="{00000000-0005-0000-0000-0000818F0000}"/>
    <cellStyle name="Notas 3 2 8 2 5" xfId="36588" xr:uid="{00000000-0005-0000-0000-0000828F0000}"/>
    <cellStyle name="Notas 3 2 8 2 6" xfId="36589" xr:uid="{00000000-0005-0000-0000-0000838F0000}"/>
    <cellStyle name="Notas 3 2 8 3" xfId="36590" xr:uid="{00000000-0005-0000-0000-0000848F0000}"/>
    <cellStyle name="Notas 3 2 8 3 2" xfId="36591" xr:uid="{00000000-0005-0000-0000-0000858F0000}"/>
    <cellStyle name="Notas 3 2 8 3 2 2" xfId="36592" xr:uid="{00000000-0005-0000-0000-0000868F0000}"/>
    <cellStyle name="Notas 3 2 8 3 2 3" xfId="36593" xr:uid="{00000000-0005-0000-0000-0000878F0000}"/>
    <cellStyle name="Notas 3 2 8 3 2 4" xfId="36594" xr:uid="{00000000-0005-0000-0000-0000888F0000}"/>
    <cellStyle name="Notas 3 2 8 3 3" xfId="36595" xr:uid="{00000000-0005-0000-0000-0000898F0000}"/>
    <cellStyle name="Notas 3 2 8 3 3 2" xfId="36596" xr:uid="{00000000-0005-0000-0000-00008A8F0000}"/>
    <cellStyle name="Notas 3 2 8 3 3 3" xfId="36597" xr:uid="{00000000-0005-0000-0000-00008B8F0000}"/>
    <cellStyle name="Notas 3 2 8 3 3 4" xfId="36598" xr:uid="{00000000-0005-0000-0000-00008C8F0000}"/>
    <cellStyle name="Notas 3 2 8 3 4" xfId="36599" xr:uid="{00000000-0005-0000-0000-00008D8F0000}"/>
    <cellStyle name="Notas 3 2 8 3 5" xfId="36600" xr:uid="{00000000-0005-0000-0000-00008E8F0000}"/>
    <cellStyle name="Notas 3 2 8 3 6" xfId="36601" xr:uid="{00000000-0005-0000-0000-00008F8F0000}"/>
    <cellStyle name="Notas 3 2 8 4" xfId="36602" xr:uid="{00000000-0005-0000-0000-0000908F0000}"/>
    <cellStyle name="Notas 3 2 8 4 2" xfId="36603" xr:uid="{00000000-0005-0000-0000-0000918F0000}"/>
    <cellStyle name="Notas 3 2 8 4 3" xfId="36604" xr:uid="{00000000-0005-0000-0000-0000928F0000}"/>
    <cellStyle name="Notas 3 2 8 4 4" xfId="36605" xr:uid="{00000000-0005-0000-0000-0000938F0000}"/>
    <cellStyle name="Notas 3 2 8 5" xfId="36606" xr:uid="{00000000-0005-0000-0000-0000948F0000}"/>
    <cellStyle name="Notas 3 2 8 6" xfId="36607" xr:uid="{00000000-0005-0000-0000-0000958F0000}"/>
    <cellStyle name="Notas 3 2 9" xfId="36608" xr:uid="{00000000-0005-0000-0000-0000968F0000}"/>
    <cellStyle name="Notas 3 2 9 2" xfId="36609" xr:uid="{00000000-0005-0000-0000-0000978F0000}"/>
    <cellStyle name="Notas 3 2 9 2 2" xfId="36610" xr:uid="{00000000-0005-0000-0000-0000988F0000}"/>
    <cellStyle name="Notas 3 2 9 2 2 2" xfId="36611" xr:uid="{00000000-0005-0000-0000-0000998F0000}"/>
    <cellStyle name="Notas 3 2 9 2 2 3" xfId="36612" xr:uid="{00000000-0005-0000-0000-00009A8F0000}"/>
    <cellStyle name="Notas 3 2 9 2 2 4" xfId="36613" xr:uid="{00000000-0005-0000-0000-00009B8F0000}"/>
    <cellStyle name="Notas 3 2 9 2 3" xfId="36614" xr:uid="{00000000-0005-0000-0000-00009C8F0000}"/>
    <cellStyle name="Notas 3 2 9 2 3 2" xfId="36615" xr:uid="{00000000-0005-0000-0000-00009D8F0000}"/>
    <cellStyle name="Notas 3 2 9 2 3 3" xfId="36616" xr:uid="{00000000-0005-0000-0000-00009E8F0000}"/>
    <cellStyle name="Notas 3 2 9 2 3 4" xfId="36617" xr:uid="{00000000-0005-0000-0000-00009F8F0000}"/>
    <cellStyle name="Notas 3 2 9 2 4" xfId="36618" xr:uid="{00000000-0005-0000-0000-0000A08F0000}"/>
    <cellStyle name="Notas 3 2 9 2 5" xfId="36619" xr:uid="{00000000-0005-0000-0000-0000A18F0000}"/>
    <cellStyle name="Notas 3 2 9 2 6" xfId="36620" xr:uid="{00000000-0005-0000-0000-0000A28F0000}"/>
    <cellStyle name="Notas 3 2 9 3" xfId="36621" xr:uid="{00000000-0005-0000-0000-0000A38F0000}"/>
    <cellStyle name="Notas 3 2 9 3 2" xfId="36622" xr:uid="{00000000-0005-0000-0000-0000A48F0000}"/>
    <cellStyle name="Notas 3 2 9 3 2 2" xfId="36623" xr:uid="{00000000-0005-0000-0000-0000A58F0000}"/>
    <cellStyle name="Notas 3 2 9 3 2 3" xfId="36624" xr:uid="{00000000-0005-0000-0000-0000A68F0000}"/>
    <cellStyle name="Notas 3 2 9 3 2 4" xfId="36625" xr:uid="{00000000-0005-0000-0000-0000A78F0000}"/>
    <cellStyle name="Notas 3 2 9 3 3" xfId="36626" xr:uid="{00000000-0005-0000-0000-0000A88F0000}"/>
    <cellStyle name="Notas 3 2 9 3 3 2" xfId="36627" xr:uid="{00000000-0005-0000-0000-0000A98F0000}"/>
    <cellStyle name="Notas 3 2 9 3 3 3" xfId="36628" xr:uid="{00000000-0005-0000-0000-0000AA8F0000}"/>
    <cellStyle name="Notas 3 2 9 3 3 4" xfId="36629" xr:uid="{00000000-0005-0000-0000-0000AB8F0000}"/>
    <cellStyle name="Notas 3 2 9 3 4" xfId="36630" xr:uid="{00000000-0005-0000-0000-0000AC8F0000}"/>
    <cellStyle name="Notas 3 2 9 3 5" xfId="36631" xr:uid="{00000000-0005-0000-0000-0000AD8F0000}"/>
    <cellStyle name="Notas 3 2 9 3 6" xfId="36632" xr:uid="{00000000-0005-0000-0000-0000AE8F0000}"/>
    <cellStyle name="Notas 3 2 9 4" xfId="36633" xr:uid="{00000000-0005-0000-0000-0000AF8F0000}"/>
    <cellStyle name="Notas 3 2 9 4 2" xfId="36634" xr:uid="{00000000-0005-0000-0000-0000B08F0000}"/>
    <cellStyle name="Notas 3 2 9 4 3" xfId="36635" xr:uid="{00000000-0005-0000-0000-0000B18F0000}"/>
    <cellStyle name="Notas 3 2 9 4 4" xfId="36636" xr:uid="{00000000-0005-0000-0000-0000B28F0000}"/>
    <cellStyle name="Notas 3 2 9 5" xfId="36637" xr:uid="{00000000-0005-0000-0000-0000B38F0000}"/>
    <cellStyle name="Notas 3 2 9 6" xfId="36638" xr:uid="{00000000-0005-0000-0000-0000B48F0000}"/>
    <cellStyle name="Notas 3 3" xfId="36639" xr:uid="{00000000-0005-0000-0000-0000B58F0000}"/>
    <cellStyle name="Notas 3 3 10" xfId="36640" xr:uid="{00000000-0005-0000-0000-0000B68F0000}"/>
    <cellStyle name="Notas 3 3 10 2" xfId="36641" xr:uid="{00000000-0005-0000-0000-0000B78F0000}"/>
    <cellStyle name="Notas 3 3 10 2 2" xfId="36642" xr:uid="{00000000-0005-0000-0000-0000B88F0000}"/>
    <cellStyle name="Notas 3 3 10 2 2 2" xfId="36643" xr:uid="{00000000-0005-0000-0000-0000B98F0000}"/>
    <cellStyle name="Notas 3 3 10 2 2 3" xfId="36644" xr:uid="{00000000-0005-0000-0000-0000BA8F0000}"/>
    <cellStyle name="Notas 3 3 10 2 2 4" xfId="36645" xr:uid="{00000000-0005-0000-0000-0000BB8F0000}"/>
    <cellStyle name="Notas 3 3 10 2 3" xfId="36646" xr:uid="{00000000-0005-0000-0000-0000BC8F0000}"/>
    <cellStyle name="Notas 3 3 10 2 3 2" xfId="36647" xr:uid="{00000000-0005-0000-0000-0000BD8F0000}"/>
    <cellStyle name="Notas 3 3 10 2 3 3" xfId="36648" xr:uid="{00000000-0005-0000-0000-0000BE8F0000}"/>
    <cellStyle name="Notas 3 3 10 2 3 4" xfId="36649" xr:uid="{00000000-0005-0000-0000-0000BF8F0000}"/>
    <cellStyle name="Notas 3 3 10 2 4" xfId="36650" xr:uid="{00000000-0005-0000-0000-0000C08F0000}"/>
    <cellStyle name="Notas 3 3 10 2 5" xfId="36651" xr:uid="{00000000-0005-0000-0000-0000C18F0000}"/>
    <cellStyle name="Notas 3 3 10 2 6" xfId="36652" xr:uid="{00000000-0005-0000-0000-0000C28F0000}"/>
    <cellStyle name="Notas 3 3 10 3" xfId="36653" xr:uid="{00000000-0005-0000-0000-0000C38F0000}"/>
    <cellStyle name="Notas 3 3 10 3 2" xfId="36654" xr:uid="{00000000-0005-0000-0000-0000C48F0000}"/>
    <cellStyle name="Notas 3 3 10 3 2 2" xfId="36655" xr:uid="{00000000-0005-0000-0000-0000C58F0000}"/>
    <cellStyle name="Notas 3 3 10 3 2 3" xfId="36656" xr:uid="{00000000-0005-0000-0000-0000C68F0000}"/>
    <cellStyle name="Notas 3 3 10 3 2 4" xfId="36657" xr:uid="{00000000-0005-0000-0000-0000C78F0000}"/>
    <cellStyle name="Notas 3 3 10 3 3" xfId="36658" xr:uid="{00000000-0005-0000-0000-0000C88F0000}"/>
    <cellStyle name="Notas 3 3 10 3 3 2" xfId="36659" xr:uid="{00000000-0005-0000-0000-0000C98F0000}"/>
    <cellStyle name="Notas 3 3 10 3 3 3" xfId="36660" xr:uid="{00000000-0005-0000-0000-0000CA8F0000}"/>
    <cellStyle name="Notas 3 3 10 3 3 4" xfId="36661" xr:uid="{00000000-0005-0000-0000-0000CB8F0000}"/>
    <cellStyle name="Notas 3 3 10 3 4" xfId="36662" xr:uid="{00000000-0005-0000-0000-0000CC8F0000}"/>
    <cellStyle name="Notas 3 3 10 3 5" xfId="36663" xr:uid="{00000000-0005-0000-0000-0000CD8F0000}"/>
    <cellStyle name="Notas 3 3 10 3 6" xfId="36664" xr:uid="{00000000-0005-0000-0000-0000CE8F0000}"/>
    <cellStyle name="Notas 3 3 10 4" xfId="36665" xr:uid="{00000000-0005-0000-0000-0000CF8F0000}"/>
    <cellStyle name="Notas 3 3 10 5" xfId="36666" xr:uid="{00000000-0005-0000-0000-0000D08F0000}"/>
    <cellStyle name="Notas 3 3 10 6" xfId="36667" xr:uid="{00000000-0005-0000-0000-0000D18F0000}"/>
    <cellStyle name="Notas 3 3 11" xfId="36668" xr:uid="{00000000-0005-0000-0000-0000D28F0000}"/>
    <cellStyle name="Notas 3 3 12" xfId="36669" xr:uid="{00000000-0005-0000-0000-0000D38F0000}"/>
    <cellStyle name="Notas 3 3 2" xfId="36670" xr:uid="{00000000-0005-0000-0000-0000D48F0000}"/>
    <cellStyle name="Notas 3 3 2 2" xfId="36671" xr:uid="{00000000-0005-0000-0000-0000D58F0000}"/>
    <cellStyle name="Notas 3 3 2 2 2" xfId="36672" xr:uid="{00000000-0005-0000-0000-0000D68F0000}"/>
    <cellStyle name="Notas 3 3 2 2 2 2" xfId="36673" xr:uid="{00000000-0005-0000-0000-0000D78F0000}"/>
    <cellStyle name="Notas 3 3 2 2 2 2 2" xfId="36674" xr:uid="{00000000-0005-0000-0000-0000D88F0000}"/>
    <cellStyle name="Notas 3 3 2 2 2 2 3" xfId="36675" xr:uid="{00000000-0005-0000-0000-0000D98F0000}"/>
    <cellStyle name="Notas 3 3 2 2 2 2 4" xfId="36676" xr:uid="{00000000-0005-0000-0000-0000DA8F0000}"/>
    <cellStyle name="Notas 3 3 2 2 2 3" xfId="36677" xr:uid="{00000000-0005-0000-0000-0000DB8F0000}"/>
    <cellStyle name="Notas 3 3 2 2 2 3 2" xfId="36678" xr:uid="{00000000-0005-0000-0000-0000DC8F0000}"/>
    <cellStyle name="Notas 3 3 2 2 2 3 3" xfId="36679" xr:uid="{00000000-0005-0000-0000-0000DD8F0000}"/>
    <cellStyle name="Notas 3 3 2 2 2 3 4" xfId="36680" xr:uid="{00000000-0005-0000-0000-0000DE8F0000}"/>
    <cellStyle name="Notas 3 3 2 2 2 4" xfId="36681" xr:uid="{00000000-0005-0000-0000-0000DF8F0000}"/>
    <cellStyle name="Notas 3 3 2 2 2 5" xfId="36682" xr:uid="{00000000-0005-0000-0000-0000E08F0000}"/>
    <cellStyle name="Notas 3 3 2 2 2 6" xfId="36683" xr:uid="{00000000-0005-0000-0000-0000E18F0000}"/>
    <cellStyle name="Notas 3 3 2 2 3" xfId="36684" xr:uid="{00000000-0005-0000-0000-0000E28F0000}"/>
    <cellStyle name="Notas 3 3 2 2 3 2" xfId="36685" xr:uid="{00000000-0005-0000-0000-0000E38F0000}"/>
    <cellStyle name="Notas 3 3 2 2 3 2 2" xfId="36686" xr:uid="{00000000-0005-0000-0000-0000E48F0000}"/>
    <cellStyle name="Notas 3 3 2 2 3 2 3" xfId="36687" xr:uid="{00000000-0005-0000-0000-0000E58F0000}"/>
    <cellStyle name="Notas 3 3 2 2 3 2 4" xfId="36688" xr:uid="{00000000-0005-0000-0000-0000E68F0000}"/>
    <cellStyle name="Notas 3 3 2 2 3 3" xfId="36689" xr:uid="{00000000-0005-0000-0000-0000E78F0000}"/>
    <cellStyle name="Notas 3 3 2 2 3 3 2" xfId="36690" xr:uid="{00000000-0005-0000-0000-0000E88F0000}"/>
    <cellStyle name="Notas 3 3 2 2 3 3 3" xfId="36691" xr:uid="{00000000-0005-0000-0000-0000E98F0000}"/>
    <cellStyle name="Notas 3 3 2 2 3 3 4" xfId="36692" xr:uid="{00000000-0005-0000-0000-0000EA8F0000}"/>
    <cellStyle name="Notas 3 3 2 2 3 4" xfId="36693" xr:uid="{00000000-0005-0000-0000-0000EB8F0000}"/>
    <cellStyle name="Notas 3 3 2 2 3 5" xfId="36694" xr:uid="{00000000-0005-0000-0000-0000EC8F0000}"/>
    <cellStyle name="Notas 3 3 2 2 3 6" xfId="36695" xr:uid="{00000000-0005-0000-0000-0000ED8F0000}"/>
    <cellStyle name="Notas 3 3 2 2 4" xfId="36696" xr:uid="{00000000-0005-0000-0000-0000EE8F0000}"/>
    <cellStyle name="Notas 3 3 2 2 5" xfId="36697" xr:uid="{00000000-0005-0000-0000-0000EF8F0000}"/>
    <cellStyle name="Notas 3 3 2 2 6" xfId="36698" xr:uid="{00000000-0005-0000-0000-0000F08F0000}"/>
    <cellStyle name="Notas 3 3 2 3" xfId="36699" xr:uid="{00000000-0005-0000-0000-0000F18F0000}"/>
    <cellStyle name="Notas 3 3 2 4" xfId="36700" xr:uid="{00000000-0005-0000-0000-0000F28F0000}"/>
    <cellStyle name="Notas 3 3 3" xfId="36701" xr:uid="{00000000-0005-0000-0000-0000F38F0000}"/>
    <cellStyle name="Notas 3 3 3 2" xfId="36702" xr:uid="{00000000-0005-0000-0000-0000F48F0000}"/>
    <cellStyle name="Notas 3 3 3 2 2" xfId="36703" xr:uid="{00000000-0005-0000-0000-0000F58F0000}"/>
    <cellStyle name="Notas 3 3 3 2 2 2" xfId="36704" xr:uid="{00000000-0005-0000-0000-0000F68F0000}"/>
    <cellStyle name="Notas 3 3 3 2 2 2 2" xfId="36705" xr:uid="{00000000-0005-0000-0000-0000F78F0000}"/>
    <cellStyle name="Notas 3 3 3 2 2 2 3" xfId="36706" xr:uid="{00000000-0005-0000-0000-0000F88F0000}"/>
    <cellStyle name="Notas 3 3 3 2 2 2 4" xfId="36707" xr:uid="{00000000-0005-0000-0000-0000F98F0000}"/>
    <cellStyle name="Notas 3 3 3 2 2 3" xfId="36708" xr:uid="{00000000-0005-0000-0000-0000FA8F0000}"/>
    <cellStyle name="Notas 3 3 3 2 2 3 2" xfId="36709" xr:uid="{00000000-0005-0000-0000-0000FB8F0000}"/>
    <cellStyle name="Notas 3 3 3 2 2 3 3" xfId="36710" xr:uid="{00000000-0005-0000-0000-0000FC8F0000}"/>
    <cellStyle name="Notas 3 3 3 2 2 3 4" xfId="36711" xr:uid="{00000000-0005-0000-0000-0000FD8F0000}"/>
    <cellStyle name="Notas 3 3 3 2 2 4" xfId="36712" xr:uid="{00000000-0005-0000-0000-0000FE8F0000}"/>
    <cellStyle name="Notas 3 3 3 2 2 5" xfId="36713" xr:uid="{00000000-0005-0000-0000-0000FF8F0000}"/>
    <cellStyle name="Notas 3 3 3 2 2 6" xfId="36714" xr:uid="{00000000-0005-0000-0000-000000900000}"/>
    <cellStyle name="Notas 3 3 3 2 3" xfId="36715" xr:uid="{00000000-0005-0000-0000-000001900000}"/>
    <cellStyle name="Notas 3 3 3 2 3 2" xfId="36716" xr:uid="{00000000-0005-0000-0000-000002900000}"/>
    <cellStyle name="Notas 3 3 3 2 3 2 2" xfId="36717" xr:uid="{00000000-0005-0000-0000-000003900000}"/>
    <cellStyle name="Notas 3 3 3 2 3 2 3" xfId="36718" xr:uid="{00000000-0005-0000-0000-000004900000}"/>
    <cellStyle name="Notas 3 3 3 2 3 2 4" xfId="36719" xr:uid="{00000000-0005-0000-0000-000005900000}"/>
    <cellStyle name="Notas 3 3 3 2 3 3" xfId="36720" xr:uid="{00000000-0005-0000-0000-000006900000}"/>
    <cellStyle name="Notas 3 3 3 2 3 3 2" xfId="36721" xr:uid="{00000000-0005-0000-0000-000007900000}"/>
    <cellStyle name="Notas 3 3 3 2 3 3 3" xfId="36722" xr:uid="{00000000-0005-0000-0000-000008900000}"/>
    <cellStyle name="Notas 3 3 3 2 3 3 4" xfId="36723" xr:uid="{00000000-0005-0000-0000-000009900000}"/>
    <cellStyle name="Notas 3 3 3 2 3 4" xfId="36724" xr:uid="{00000000-0005-0000-0000-00000A900000}"/>
    <cellStyle name="Notas 3 3 3 2 3 5" xfId="36725" xr:uid="{00000000-0005-0000-0000-00000B900000}"/>
    <cellStyle name="Notas 3 3 3 2 3 6" xfId="36726" xr:uid="{00000000-0005-0000-0000-00000C900000}"/>
    <cellStyle name="Notas 3 3 3 2 4" xfId="36727" xr:uid="{00000000-0005-0000-0000-00000D900000}"/>
    <cellStyle name="Notas 3 3 3 2 5" xfId="36728" xr:uid="{00000000-0005-0000-0000-00000E900000}"/>
    <cellStyle name="Notas 3 3 3 2 6" xfId="36729" xr:uid="{00000000-0005-0000-0000-00000F900000}"/>
    <cellStyle name="Notas 3 3 3 3" xfId="36730" xr:uid="{00000000-0005-0000-0000-000010900000}"/>
    <cellStyle name="Notas 3 3 3 4" xfId="36731" xr:uid="{00000000-0005-0000-0000-000011900000}"/>
    <cellStyle name="Notas 3 3 4" xfId="36732" xr:uid="{00000000-0005-0000-0000-000012900000}"/>
    <cellStyle name="Notas 3 3 4 2" xfId="36733" xr:uid="{00000000-0005-0000-0000-000013900000}"/>
    <cellStyle name="Notas 3 3 4 2 2" xfId="36734" xr:uid="{00000000-0005-0000-0000-000014900000}"/>
    <cellStyle name="Notas 3 3 4 2 2 2" xfId="36735" xr:uid="{00000000-0005-0000-0000-000015900000}"/>
    <cellStyle name="Notas 3 3 4 2 2 2 2" xfId="36736" xr:uid="{00000000-0005-0000-0000-000016900000}"/>
    <cellStyle name="Notas 3 3 4 2 2 2 3" xfId="36737" xr:uid="{00000000-0005-0000-0000-000017900000}"/>
    <cellStyle name="Notas 3 3 4 2 2 2 4" xfId="36738" xr:uid="{00000000-0005-0000-0000-000018900000}"/>
    <cellStyle name="Notas 3 3 4 2 2 3" xfId="36739" xr:uid="{00000000-0005-0000-0000-000019900000}"/>
    <cellStyle name="Notas 3 3 4 2 2 3 2" xfId="36740" xr:uid="{00000000-0005-0000-0000-00001A900000}"/>
    <cellStyle name="Notas 3 3 4 2 2 3 3" xfId="36741" xr:uid="{00000000-0005-0000-0000-00001B900000}"/>
    <cellStyle name="Notas 3 3 4 2 2 3 4" xfId="36742" xr:uid="{00000000-0005-0000-0000-00001C900000}"/>
    <cellStyle name="Notas 3 3 4 2 2 4" xfId="36743" xr:uid="{00000000-0005-0000-0000-00001D900000}"/>
    <cellStyle name="Notas 3 3 4 2 2 5" xfId="36744" xr:uid="{00000000-0005-0000-0000-00001E900000}"/>
    <cellStyle name="Notas 3 3 4 2 2 6" xfId="36745" xr:uid="{00000000-0005-0000-0000-00001F900000}"/>
    <cellStyle name="Notas 3 3 4 2 3" xfId="36746" xr:uid="{00000000-0005-0000-0000-000020900000}"/>
    <cellStyle name="Notas 3 3 4 2 3 2" xfId="36747" xr:uid="{00000000-0005-0000-0000-000021900000}"/>
    <cellStyle name="Notas 3 3 4 2 3 2 2" xfId="36748" xr:uid="{00000000-0005-0000-0000-000022900000}"/>
    <cellStyle name="Notas 3 3 4 2 3 2 3" xfId="36749" xr:uid="{00000000-0005-0000-0000-000023900000}"/>
    <cellStyle name="Notas 3 3 4 2 3 2 4" xfId="36750" xr:uid="{00000000-0005-0000-0000-000024900000}"/>
    <cellStyle name="Notas 3 3 4 2 3 3" xfId="36751" xr:uid="{00000000-0005-0000-0000-000025900000}"/>
    <cellStyle name="Notas 3 3 4 2 3 3 2" xfId="36752" xr:uid="{00000000-0005-0000-0000-000026900000}"/>
    <cellStyle name="Notas 3 3 4 2 3 3 3" xfId="36753" xr:uid="{00000000-0005-0000-0000-000027900000}"/>
    <cellStyle name="Notas 3 3 4 2 3 3 4" xfId="36754" xr:uid="{00000000-0005-0000-0000-000028900000}"/>
    <cellStyle name="Notas 3 3 4 2 3 4" xfId="36755" xr:uid="{00000000-0005-0000-0000-000029900000}"/>
    <cellStyle name="Notas 3 3 4 2 3 5" xfId="36756" xr:uid="{00000000-0005-0000-0000-00002A900000}"/>
    <cellStyle name="Notas 3 3 4 2 3 6" xfId="36757" xr:uid="{00000000-0005-0000-0000-00002B900000}"/>
    <cellStyle name="Notas 3 3 4 2 4" xfId="36758" xr:uid="{00000000-0005-0000-0000-00002C900000}"/>
    <cellStyle name="Notas 3 3 4 2 5" xfId="36759" xr:uid="{00000000-0005-0000-0000-00002D900000}"/>
    <cellStyle name="Notas 3 3 4 2 6" xfId="36760" xr:uid="{00000000-0005-0000-0000-00002E900000}"/>
    <cellStyle name="Notas 3 3 4 3" xfId="36761" xr:uid="{00000000-0005-0000-0000-00002F900000}"/>
    <cellStyle name="Notas 3 3 4 4" xfId="36762" xr:uid="{00000000-0005-0000-0000-000030900000}"/>
    <cellStyle name="Notas 3 3 5" xfId="36763" xr:uid="{00000000-0005-0000-0000-000031900000}"/>
    <cellStyle name="Notas 3 3 5 2" xfId="36764" xr:uid="{00000000-0005-0000-0000-000032900000}"/>
    <cellStyle name="Notas 3 3 5 2 2" xfId="36765" xr:uid="{00000000-0005-0000-0000-000033900000}"/>
    <cellStyle name="Notas 3 3 5 2 2 2" xfId="36766" xr:uid="{00000000-0005-0000-0000-000034900000}"/>
    <cellStyle name="Notas 3 3 5 2 2 2 2" xfId="36767" xr:uid="{00000000-0005-0000-0000-000035900000}"/>
    <cellStyle name="Notas 3 3 5 2 2 2 3" xfId="36768" xr:uid="{00000000-0005-0000-0000-000036900000}"/>
    <cellStyle name="Notas 3 3 5 2 2 2 4" xfId="36769" xr:uid="{00000000-0005-0000-0000-000037900000}"/>
    <cellStyle name="Notas 3 3 5 2 2 3" xfId="36770" xr:uid="{00000000-0005-0000-0000-000038900000}"/>
    <cellStyle name="Notas 3 3 5 2 2 3 2" xfId="36771" xr:uid="{00000000-0005-0000-0000-000039900000}"/>
    <cellStyle name="Notas 3 3 5 2 2 3 3" xfId="36772" xr:uid="{00000000-0005-0000-0000-00003A900000}"/>
    <cellStyle name="Notas 3 3 5 2 2 3 4" xfId="36773" xr:uid="{00000000-0005-0000-0000-00003B900000}"/>
    <cellStyle name="Notas 3 3 5 2 2 4" xfId="36774" xr:uid="{00000000-0005-0000-0000-00003C900000}"/>
    <cellStyle name="Notas 3 3 5 2 2 5" xfId="36775" xr:uid="{00000000-0005-0000-0000-00003D900000}"/>
    <cellStyle name="Notas 3 3 5 2 2 6" xfId="36776" xr:uid="{00000000-0005-0000-0000-00003E900000}"/>
    <cellStyle name="Notas 3 3 5 2 3" xfId="36777" xr:uid="{00000000-0005-0000-0000-00003F900000}"/>
    <cellStyle name="Notas 3 3 5 2 3 2" xfId="36778" xr:uid="{00000000-0005-0000-0000-000040900000}"/>
    <cellStyle name="Notas 3 3 5 2 3 2 2" xfId="36779" xr:uid="{00000000-0005-0000-0000-000041900000}"/>
    <cellStyle name="Notas 3 3 5 2 3 2 3" xfId="36780" xr:uid="{00000000-0005-0000-0000-000042900000}"/>
    <cellStyle name="Notas 3 3 5 2 3 2 4" xfId="36781" xr:uid="{00000000-0005-0000-0000-000043900000}"/>
    <cellStyle name="Notas 3 3 5 2 3 3" xfId="36782" xr:uid="{00000000-0005-0000-0000-000044900000}"/>
    <cellStyle name="Notas 3 3 5 2 3 3 2" xfId="36783" xr:uid="{00000000-0005-0000-0000-000045900000}"/>
    <cellStyle name="Notas 3 3 5 2 3 3 3" xfId="36784" xr:uid="{00000000-0005-0000-0000-000046900000}"/>
    <cellStyle name="Notas 3 3 5 2 3 3 4" xfId="36785" xr:uid="{00000000-0005-0000-0000-000047900000}"/>
    <cellStyle name="Notas 3 3 5 2 3 4" xfId="36786" xr:uid="{00000000-0005-0000-0000-000048900000}"/>
    <cellStyle name="Notas 3 3 5 2 3 5" xfId="36787" xr:uid="{00000000-0005-0000-0000-000049900000}"/>
    <cellStyle name="Notas 3 3 5 2 3 6" xfId="36788" xr:uid="{00000000-0005-0000-0000-00004A900000}"/>
    <cellStyle name="Notas 3 3 5 2 4" xfId="36789" xr:uid="{00000000-0005-0000-0000-00004B900000}"/>
    <cellStyle name="Notas 3 3 5 2 5" xfId="36790" xr:uid="{00000000-0005-0000-0000-00004C900000}"/>
    <cellStyle name="Notas 3 3 5 2 6" xfId="36791" xr:uid="{00000000-0005-0000-0000-00004D900000}"/>
    <cellStyle name="Notas 3 3 5 3" xfId="36792" xr:uid="{00000000-0005-0000-0000-00004E900000}"/>
    <cellStyle name="Notas 3 3 5 4" xfId="36793" xr:uid="{00000000-0005-0000-0000-00004F900000}"/>
    <cellStyle name="Notas 3 3 6" xfId="36794" xr:uid="{00000000-0005-0000-0000-000050900000}"/>
    <cellStyle name="Notas 3 3 6 2" xfId="36795" xr:uid="{00000000-0005-0000-0000-000051900000}"/>
    <cellStyle name="Notas 3 3 6 2 2" xfId="36796" xr:uid="{00000000-0005-0000-0000-000052900000}"/>
    <cellStyle name="Notas 3 3 6 2 2 2" xfId="36797" xr:uid="{00000000-0005-0000-0000-000053900000}"/>
    <cellStyle name="Notas 3 3 6 2 2 3" xfId="36798" xr:uid="{00000000-0005-0000-0000-000054900000}"/>
    <cellStyle name="Notas 3 3 6 2 2 4" xfId="36799" xr:uid="{00000000-0005-0000-0000-000055900000}"/>
    <cellStyle name="Notas 3 3 6 2 3" xfId="36800" xr:uid="{00000000-0005-0000-0000-000056900000}"/>
    <cellStyle name="Notas 3 3 6 2 3 2" xfId="36801" xr:uid="{00000000-0005-0000-0000-000057900000}"/>
    <cellStyle name="Notas 3 3 6 2 3 3" xfId="36802" xr:uid="{00000000-0005-0000-0000-000058900000}"/>
    <cellStyle name="Notas 3 3 6 2 3 4" xfId="36803" xr:uid="{00000000-0005-0000-0000-000059900000}"/>
    <cellStyle name="Notas 3 3 6 2 4" xfId="36804" xr:uid="{00000000-0005-0000-0000-00005A900000}"/>
    <cellStyle name="Notas 3 3 6 2 5" xfId="36805" xr:uid="{00000000-0005-0000-0000-00005B900000}"/>
    <cellStyle name="Notas 3 3 6 2 6" xfId="36806" xr:uid="{00000000-0005-0000-0000-00005C900000}"/>
    <cellStyle name="Notas 3 3 6 3" xfId="36807" xr:uid="{00000000-0005-0000-0000-00005D900000}"/>
    <cellStyle name="Notas 3 3 6 3 2" xfId="36808" xr:uid="{00000000-0005-0000-0000-00005E900000}"/>
    <cellStyle name="Notas 3 3 6 3 2 2" xfId="36809" xr:uid="{00000000-0005-0000-0000-00005F900000}"/>
    <cellStyle name="Notas 3 3 6 3 2 3" xfId="36810" xr:uid="{00000000-0005-0000-0000-000060900000}"/>
    <cellStyle name="Notas 3 3 6 3 2 4" xfId="36811" xr:uid="{00000000-0005-0000-0000-000061900000}"/>
    <cellStyle name="Notas 3 3 6 3 3" xfId="36812" xr:uid="{00000000-0005-0000-0000-000062900000}"/>
    <cellStyle name="Notas 3 3 6 3 3 2" xfId="36813" xr:uid="{00000000-0005-0000-0000-000063900000}"/>
    <cellStyle name="Notas 3 3 6 3 3 3" xfId="36814" xr:uid="{00000000-0005-0000-0000-000064900000}"/>
    <cellStyle name="Notas 3 3 6 3 3 4" xfId="36815" xr:uid="{00000000-0005-0000-0000-000065900000}"/>
    <cellStyle name="Notas 3 3 6 3 4" xfId="36816" xr:uid="{00000000-0005-0000-0000-000066900000}"/>
    <cellStyle name="Notas 3 3 6 3 5" xfId="36817" xr:uid="{00000000-0005-0000-0000-000067900000}"/>
    <cellStyle name="Notas 3 3 6 3 6" xfId="36818" xr:uid="{00000000-0005-0000-0000-000068900000}"/>
    <cellStyle name="Notas 3 3 6 4" xfId="36819" xr:uid="{00000000-0005-0000-0000-000069900000}"/>
    <cellStyle name="Notas 3 3 6 4 2" xfId="36820" xr:uid="{00000000-0005-0000-0000-00006A900000}"/>
    <cellStyle name="Notas 3 3 6 4 3" xfId="36821" xr:uid="{00000000-0005-0000-0000-00006B900000}"/>
    <cellStyle name="Notas 3 3 6 4 4" xfId="36822" xr:uid="{00000000-0005-0000-0000-00006C900000}"/>
    <cellStyle name="Notas 3 3 6 5" xfId="36823" xr:uid="{00000000-0005-0000-0000-00006D900000}"/>
    <cellStyle name="Notas 3 3 6 6" xfId="36824" xr:uid="{00000000-0005-0000-0000-00006E900000}"/>
    <cellStyle name="Notas 3 3 7" xfId="36825" xr:uid="{00000000-0005-0000-0000-00006F900000}"/>
    <cellStyle name="Notas 3 3 7 2" xfId="36826" xr:uid="{00000000-0005-0000-0000-000070900000}"/>
    <cellStyle name="Notas 3 3 7 2 2" xfId="36827" xr:uid="{00000000-0005-0000-0000-000071900000}"/>
    <cellStyle name="Notas 3 3 7 2 2 2" xfId="36828" xr:uid="{00000000-0005-0000-0000-000072900000}"/>
    <cellStyle name="Notas 3 3 7 2 2 3" xfId="36829" xr:uid="{00000000-0005-0000-0000-000073900000}"/>
    <cellStyle name="Notas 3 3 7 2 2 4" xfId="36830" xr:uid="{00000000-0005-0000-0000-000074900000}"/>
    <cellStyle name="Notas 3 3 7 2 3" xfId="36831" xr:uid="{00000000-0005-0000-0000-000075900000}"/>
    <cellStyle name="Notas 3 3 7 2 3 2" xfId="36832" xr:uid="{00000000-0005-0000-0000-000076900000}"/>
    <cellStyle name="Notas 3 3 7 2 3 3" xfId="36833" xr:uid="{00000000-0005-0000-0000-000077900000}"/>
    <cellStyle name="Notas 3 3 7 2 3 4" xfId="36834" xr:uid="{00000000-0005-0000-0000-000078900000}"/>
    <cellStyle name="Notas 3 3 7 2 4" xfId="36835" xr:uid="{00000000-0005-0000-0000-000079900000}"/>
    <cellStyle name="Notas 3 3 7 2 5" xfId="36836" xr:uid="{00000000-0005-0000-0000-00007A900000}"/>
    <cellStyle name="Notas 3 3 7 2 6" xfId="36837" xr:uid="{00000000-0005-0000-0000-00007B900000}"/>
    <cellStyle name="Notas 3 3 7 3" xfId="36838" xr:uid="{00000000-0005-0000-0000-00007C900000}"/>
    <cellStyle name="Notas 3 3 7 3 2" xfId="36839" xr:uid="{00000000-0005-0000-0000-00007D900000}"/>
    <cellStyle name="Notas 3 3 7 3 2 2" xfId="36840" xr:uid="{00000000-0005-0000-0000-00007E900000}"/>
    <cellStyle name="Notas 3 3 7 3 2 3" xfId="36841" xr:uid="{00000000-0005-0000-0000-00007F900000}"/>
    <cellStyle name="Notas 3 3 7 3 2 4" xfId="36842" xr:uid="{00000000-0005-0000-0000-000080900000}"/>
    <cellStyle name="Notas 3 3 7 3 3" xfId="36843" xr:uid="{00000000-0005-0000-0000-000081900000}"/>
    <cellStyle name="Notas 3 3 7 3 3 2" xfId="36844" xr:uid="{00000000-0005-0000-0000-000082900000}"/>
    <cellStyle name="Notas 3 3 7 3 3 3" xfId="36845" xr:uid="{00000000-0005-0000-0000-000083900000}"/>
    <cellStyle name="Notas 3 3 7 3 3 4" xfId="36846" xr:uid="{00000000-0005-0000-0000-000084900000}"/>
    <cellStyle name="Notas 3 3 7 3 4" xfId="36847" xr:uid="{00000000-0005-0000-0000-000085900000}"/>
    <cellStyle name="Notas 3 3 7 3 5" xfId="36848" xr:uid="{00000000-0005-0000-0000-000086900000}"/>
    <cellStyle name="Notas 3 3 7 3 6" xfId="36849" xr:uid="{00000000-0005-0000-0000-000087900000}"/>
    <cellStyle name="Notas 3 3 7 4" xfId="36850" xr:uid="{00000000-0005-0000-0000-000088900000}"/>
    <cellStyle name="Notas 3 3 7 4 2" xfId="36851" xr:uid="{00000000-0005-0000-0000-000089900000}"/>
    <cellStyle name="Notas 3 3 7 4 3" xfId="36852" xr:uid="{00000000-0005-0000-0000-00008A900000}"/>
    <cellStyle name="Notas 3 3 7 4 4" xfId="36853" xr:uid="{00000000-0005-0000-0000-00008B900000}"/>
    <cellStyle name="Notas 3 3 7 5" xfId="36854" xr:uid="{00000000-0005-0000-0000-00008C900000}"/>
    <cellStyle name="Notas 3 3 7 6" xfId="36855" xr:uid="{00000000-0005-0000-0000-00008D900000}"/>
    <cellStyle name="Notas 3 3 8" xfId="36856" xr:uid="{00000000-0005-0000-0000-00008E900000}"/>
    <cellStyle name="Notas 3 3 8 2" xfId="36857" xr:uid="{00000000-0005-0000-0000-00008F900000}"/>
    <cellStyle name="Notas 3 3 8 2 2" xfId="36858" xr:uid="{00000000-0005-0000-0000-000090900000}"/>
    <cellStyle name="Notas 3 3 8 2 2 2" xfId="36859" xr:uid="{00000000-0005-0000-0000-000091900000}"/>
    <cellStyle name="Notas 3 3 8 2 2 3" xfId="36860" xr:uid="{00000000-0005-0000-0000-000092900000}"/>
    <cellStyle name="Notas 3 3 8 2 2 4" xfId="36861" xr:uid="{00000000-0005-0000-0000-000093900000}"/>
    <cellStyle name="Notas 3 3 8 2 3" xfId="36862" xr:uid="{00000000-0005-0000-0000-000094900000}"/>
    <cellStyle name="Notas 3 3 8 2 3 2" xfId="36863" xr:uid="{00000000-0005-0000-0000-000095900000}"/>
    <cellStyle name="Notas 3 3 8 2 3 3" xfId="36864" xr:uid="{00000000-0005-0000-0000-000096900000}"/>
    <cellStyle name="Notas 3 3 8 2 3 4" xfId="36865" xr:uid="{00000000-0005-0000-0000-000097900000}"/>
    <cellStyle name="Notas 3 3 8 2 4" xfId="36866" xr:uid="{00000000-0005-0000-0000-000098900000}"/>
    <cellStyle name="Notas 3 3 8 2 5" xfId="36867" xr:uid="{00000000-0005-0000-0000-000099900000}"/>
    <cellStyle name="Notas 3 3 8 2 6" xfId="36868" xr:uid="{00000000-0005-0000-0000-00009A900000}"/>
    <cellStyle name="Notas 3 3 8 3" xfId="36869" xr:uid="{00000000-0005-0000-0000-00009B900000}"/>
    <cellStyle name="Notas 3 3 8 3 2" xfId="36870" xr:uid="{00000000-0005-0000-0000-00009C900000}"/>
    <cellStyle name="Notas 3 3 8 3 2 2" xfId="36871" xr:uid="{00000000-0005-0000-0000-00009D900000}"/>
    <cellStyle name="Notas 3 3 8 3 2 3" xfId="36872" xr:uid="{00000000-0005-0000-0000-00009E900000}"/>
    <cellStyle name="Notas 3 3 8 3 2 4" xfId="36873" xr:uid="{00000000-0005-0000-0000-00009F900000}"/>
    <cellStyle name="Notas 3 3 8 3 3" xfId="36874" xr:uid="{00000000-0005-0000-0000-0000A0900000}"/>
    <cellStyle name="Notas 3 3 8 3 3 2" xfId="36875" xr:uid="{00000000-0005-0000-0000-0000A1900000}"/>
    <cellStyle name="Notas 3 3 8 3 3 3" xfId="36876" xr:uid="{00000000-0005-0000-0000-0000A2900000}"/>
    <cellStyle name="Notas 3 3 8 3 3 4" xfId="36877" xr:uid="{00000000-0005-0000-0000-0000A3900000}"/>
    <cellStyle name="Notas 3 3 8 3 4" xfId="36878" xr:uid="{00000000-0005-0000-0000-0000A4900000}"/>
    <cellStyle name="Notas 3 3 8 3 5" xfId="36879" xr:uid="{00000000-0005-0000-0000-0000A5900000}"/>
    <cellStyle name="Notas 3 3 8 3 6" xfId="36880" xr:uid="{00000000-0005-0000-0000-0000A6900000}"/>
    <cellStyle name="Notas 3 3 8 4" xfId="36881" xr:uid="{00000000-0005-0000-0000-0000A7900000}"/>
    <cellStyle name="Notas 3 3 8 4 2" xfId="36882" xr:uid="{00000000-0005-0000-0000-0000A8900000}"/>
    <cellStyle name="Notas 3 3 8 4 3" xfId="36883" xr:uid="{00000000-0005-0000-0000-0000A9900000}"/>
    <cellStyle name="Notas 3 3 8 4 4" xfId="36884" xr:uid="{00000000-0005-0000-0000-0000AA900000}"/>
    <cellStyle name="Notas 3 3 8 5" xfId="36885" xr:uid="{00000000-0005-0000-0000-0000AB900000}"/>
    <cellStyle name="Notas 3 3 8 6" xfId="36886" xr:uid="{00000000-0005-0000-0000-0000AC900000}"/>
    <cellStyle name="Notas 3 3 9" xfId="36887" xr:uid="{00000000-0005-0000-0000-0000AD900000}"/>
    <cellStyle name="Notas 3 3 9 2" xfId="36888" xr:uid="{00000000-0005-0000-0000-0000AE900000}"/>
    <cellStyle name="Notas 3 3 9 2 2" xfId="36889" xr:uid="{00000000-0005-0000-0000-0000AF900000}"/>
    <cellStyle name="Notas 3 3 9 2 2 2" xfId="36890" xr:uid="{00000000-0005-0000-0000-0000B0900000}"/>
    <cellStyle name="Notas 3 3 9 2 2 3" xfId="36891" xr:uid="{00000000-0005-0000-0000-0000B1900000}"/>
    <cellStyle name="Notas 3 3 9 2 2 4" xfId="36892" xr:uid="{00000000-0005-0000-0000-0000B2900000}"/>
    <cellStyle name="Notas 3 3 9 2 3" xfId="36893" xr:uid="{00000000-0005-0000-0000-0000B3900000}"/>
    <cellStyle name="Notas 3 3 9 2 3 2" xfId="36894" xr:uid="{00000000-0005-0000-0000-0000B4900000}"/>
    <cellStyle name="Notas 3 3 9 2 3 3" xfId="36895" xr:uid="{00000000-0005-0000-0000-0000B5900000}"/>
    <cellStyle name="Notas 3 3 9 2 3 4" xfId="36896" xr:uid="{00000000-0005-0000-0000-0000B6900000}"/>
    <cellStyle name="Notas 3 3 9 2 4" xfId="36897" xr:uid="{00000000-0005-0000-0000-0000B7900000}"/>
    <cellStyle name="Notas 3 3 9 2 5" xfId="36898" xr:uid="{00000000-0005-0000-0000-0000B8900000}"/>
    <cellStyle name="Notas 3 3 9 2 6" xfId="36899" xr:uid="{00000000-0005-0000-0000-0000B9900000}"/>
    <cellStyle name="Notas 3 3 9 3" xfId="36900" xr:uid="{00000000-0005-0000-0000-0000BA900000}"/>
    <cellStyle name="Notas 3 3 9 3 2" xfId="36901" xr:uid="{00000000-0005-0000-0000-0000BB900000}"/>
    <cellStyle name="Notas 3 3 9 3 2 2" xfId="36902" xr:uid="{00000000-0005-0000-0000-0000BC900000}"/>
    <cellStyle name="Notas 3 3 9 3 2 3" xfId="36903" xr:uid="{00000000-0005-0000-0000-0000BD900000}"/>
    <cellStyle name="Notas 3 3 9 3 2 4" xfId="36904" xr:uid="{00000000-0005-0000-0000-0000BE900000}"/>
    <cellStyle name="Notas 3 3 9 3 3" xfId="36905" xr:uid="{00000000-0005-0000-0000-0000BF900000}"/>
    <cellStyle name="Notas 3 3 9 3 3 2" xfId="36906" xr:uid="{00000000-0005-0000-0000-0000C0900000}"/>
    <cellStyle name="Notas 3 3 9 3 3 3" xfId="36907" xr:uid="{00000000-0005-0000-0000-0000C1900000}"/>
    <cellStyle name="Notas 3 3 9 3 3 4" xfId="36908" xr:uid="{00000000-0005-0000-0000-0000C2900000}"/>
    <cellStyle name="Notas 3 3 9 3 4" xfId="36909" xr:uid="{00000000-0005-0000-0000-0000C3900000}"/>
    <cellStyle name="Notas 3 3 9 3 5" xfId="36910" xr:uid="{00000000-0005-0000-0000-0000C4900000}"/>
    <cellStyle name="Notas 3 3 9 3 6" xfId="36911" xr:uid="{00000000-0005-0000-0000-0000C5900000}"/>
    <cellStyle name="Notas 3 3 9 4" xfId="36912" xr:uid="{00000000-0005-0000-0000-0000C6900000}"/>
    <cellStyle name="Notas 3 3 9 4 2" xfId="36913" xr:uid="{00000000-0005-0000-0000-0000C7900000}"/>
    <cellStyle name="Notas 3 3 9 4 3" xfId="36914" xr:uid="{00000000-0005-0000-0000-0000C8900000}"/>
    <cellStyle name="Notas 3 3 9 4 4" xfId="36915" xr:uid="{00000000-0005-0000-0000-0000C9900000}"/>
    <cellStyle name="Notas 3 3 9 5" xfId="36916" xr:uid="{00000000-0005-0000-0000-0000CA900000}"/>
    <cellStyle name="Notas 3 3 9 6" xfId="36917" xr:uid="{00000000-0005-0000-0000-0000CB900000}"/>
    <cellStyle name="Notas 3 4" xfId="36918" xr:uid="{00000000-0005-0000-0000-0000CC900000}"/>
    <cellStyle name="Notas 3 4 10" xfId="36919" xr:uid="{00000000-0005-0000-0000-0000CD900000}"/>
    <cellStyle name="Notas 3 4 10 2" xfId="36920" xr:uid="{00000000-0005-0000-0000-0000CE900000}"/>
    <cellStyle name="Notas 3 4 10 2 2" xfId="36921" xr:uid="{00000000-0005-0000-0000-0000CF900000}"/>
    <cellStyle name="Notas 3 4 10 2 2 2" xfId="36922" xr:uid="{00000000-0005-0000-0000-0000D0900000}"/>
    <cellStyle name="Notas 3 4 10 2 2 3" xfId="36923" xr:uid="{00000000-0005-0000-0000-0000D1900000}"/>
    <cellStyle name="Notas 3 4 10 2 2 4" xfId="36924" xr:uid="{00000000-0005-0000-0000-0000D2900000}"/>
    <cellStyle name="Notas 3 4 10 2 3" xfId="36925" xr:uid="{00000000-0005-0000-0000-0000D3900000}"/>
    <cellStyle name="Notas 3 4 10 2 3 2" xfId="36926" xr:uid="{00000000-0005-0000-0000-0000D4900000}"/>
    <cellStyle name="Notas 3 4 10 2 3 3" xfId="36927" xr:uid="{00000000-0005-0000-0000-0000D5900000}"/>
    <cellStyle name="Notas 3 4 10 2 3 4" xfId="36928" xr:uid="{00000000-0005-0000-0000-0000D6900000}"/>
    <cellStyle name="Notas 3 4 10 2 4" xfId="36929" xr:uid="{00000000-0005-0000-0000-0000D7900000}"/>
    <cellStyle name="Notas 3 4 10 2 5" xfId="36930" xr:uid="{00000000-0005-0000-0000-0000D8900000}"/>
    <cellStyle name="Notas 3 4 10 2 6" xfId="36931" xr:uid="{00000000-0005-0000-0000-0000D9900000}"/>
    <cellStyle name="Notas 3 4 10 3" xfId="36932" xr:uid="{00000000-0005-0000-0000-0000DA900000}"/>
    <cellStyle name="Notas 3 4 10 3 2" xfId="36933" xr:uid="{00000000-0005-0000-0000-0000DB900000}"/>
    <cellStyle name="Notas 3 4 10 3 2 2" xfId="36934" xr:uid="{00000000-0005-0000-0000-0000DC900000}"/>
    <cellStyle name="Notas 3 4 10 3 2 3" xfId="36935" xr:uid="{00000000-0005-0000-0000-0000DD900000}"/>
    <cellStyle name="Notas 3 4 10 3 2 4" xfId="36936" xr:uid="{00000000-0005-0000-0000-0000DE900000}"/>
    <cellStyle name="Notas 3 4 10 3 3" xfId="36937" xr:uid="{00000000-0005-0000-0000-0000DF900000}"/>
    <cellStyle name="Notas 3 4 10 3 3 2" xfId="36938" xr:uid="{00000000-0005-0000-0000-0000E0900000}"/>
    <cellStyle name="Notas 3 4 10 3 3 3" xfId="36939" xr:uid="{00000000-0005-0000-0000-0000E1900000}"/>
    <cellStyle name="Notas 3 4 10 3 3 4" xfId="36940" xr:uid="{00000000-0005-0000-0000-0000E2900000}"/>
    <cellStyle name="Notas 3 4 10 3 4" xfId="36941" xr:uid="{00000000-0005-0000-0000-0000E3900000}"/>
    <cellStyle name="Notas 3 4 10 3 5" xfId="36942" xr:uid="{00000000-0005-0000-0000-0000E4900000}"/>
    <cellStyle name="Notas 3 4 10 3 6" xfId="36943" xr:uid="{00000000-0005-0000-0000-0000E5900000}"/>
    <cellStyle name="Notas 3 4 10 4" xfId="36944" xr:uid="{00000000-0005-0000-0000-0000E6900000}"/>
    <cellStyle name="Notas 3 4 10 5" xfId="36945" xr:uid="{00000000-0005-0000-0000-0000E7900000}"/>
    <cellStyle name="Notas 3 4 10 6" xfId="36946" xr:uid="{00000000-0005-0000-0000-0000E8900000}"/>
    <cellStyle name="Notas 3 4 11" xfId="36947" xr:uid="{00000000-0005-0000-0000-0000E9900000}"/>
    <cellStyle name="Notas 3 4 12" xfId="36948" xr:uid="{00000000-0005-0000-0000-0000EA900000}"/>
    <cellStyle name="Notas 3 4 2" xfId="36949" xr:uid="{00000000-0005-0000-0000-0000EB900000}"/>
    <cellStyle name="Notas 3 4 2 2" xfId="36950" xr:uid="{00000000-0005-0000-0000-0000EC900000}"/>
    <cellStyle name="Notas 3 4 2 2 2" xfId="36951" xr:uid="{00000000-0005-0000-0000-0000ED900000}"/>
    <cellStyle name="Notas 3 4 2 2 2 2" xfId="36952" xr:uid="{00000000-0005-0000-0000-0000EE900000}"/>
    <cellStyle name="Notas 3 4 2 2 2 2 2" xfId="36953" xr:uid="{00000000-0005-0000-0000-0000EF900000}"/>
    <cellStyle name="Notas 3 4 2 2 2 2 3" xfId="36954" xr:uid="{00000000-0005-0000-0000-0000F0900000}"/>
    <cellStyle name="Notas 3 4 2 2 2 2 4" xfId="36955" xr:uid="{00000000-0005-0000-0000-0000F1900000}"/>
    <cellStyle name="Notas 3 4 2 2 2 3" xfId="36956" xr:uid="{00000000-0005-0000-0000-0000F2900000}"/>
    <cellStyle name="Notas 3 4 2 2 2 3 2" xfId="36957" xr:uid="{00000000-0005-0000-0000-0000F3900000}"/>
    <cellStyle name="Notas 3 4 2 2 2 3 3" xfId="36958" xr:uid="{00000000-0005-0000-0000-0000F4900000}"/>
    <cellStyle name="Notas 3 4 2 2 2 3 4" xfId="36959" xr:uid="{00000000-0005-0000-0000-0000F5900000}"/>
    <cellStyle name="Notas 3 4 2 2 2 4" xfId="36960" xr:uid="{00000000-0005-0000-0000-0000F6900000}"/>
    <cellStyle name="Notas 3 4 2 2 2 5" xfId="36961" xr:uid="{00000000-0005-0000-0000-0000F7900000}"/>
    <cellStyle name="Notas 3 4 2 2 2 6" xfId="36962" xr:uid="{00000000-0005-0000-0000-0000F8900000}"/>
    <cellStyle name="Notas 3 4 2 2 3" xfId="36963" xr:uid="{00000000-0005-0000-0000-0000F9900000}"/>
    <cellStyle name="Notas 3 4 2 2 3 2" xfId="36964" xr:uid="{00000000-0005-0000-0000-0000FA900000}"/>
    <cellStyle name="Notas 3 4 2 2 3 2 2" xfId="36965" xr:uid="{00000000-0005-0000-0000-0000FB900000}"/>
    <cellStyle name="Notas 3 4 2 2 3 2 3" xfId="36966" xr:uid="{00000000-0005-0000-0000-0000FC900000}"/>
    <cellStyle name="Notas 3 4 2 2 3 2 4" xfId="36967" xr:uid="{00000000-0005-0000-0000-0000FD900000}"/>
    <cellStyle name="Notas 3 4 2 2 3 3" xfId="36968" xr:uid="{00000000-0005-0000-0000-0000FE900000}"/>
    <cellStyle name="Notas 3 4 2 2 3 3 2" xfId="36969" xr:uid="{00000000-0005-0000-0000-0000FF900000}"/>
    <cellStyle name="Notas 3 4 2 2 3 3 3" xfId="36970" xr:uid="{00000000-0005-0000-0000-000000910000}"/>
    <cellStyle name="Notas 3 4 2 2 3 3 4" xfId="36971" xr:uid="{00000000-0005-0000-0000-000001910000}"/>
    <cellStyle name="Notas 3 4 2 2 3 4" xfId="36972" xr:uid="{00000000-0005-0000-0000-000002910000}"/>
    <cellStyle name="Notas 3 4 2 2 3 5" xfId="36973" xr:uid="{00000000-0005-0000-0000-000003910000}"/>
    <cellStyle name="Notas 3 4 2 2 3 6" xfId="36974" xr:uid="{00000000-0005-0000-0000-000004910000}"/>
    <cellStyle name="Notas 3 4 2 2 4" xfId="36975" xr:uid="{00000000-0005-0000-0000-000005910000}"/>
    <cellStyle name="Notas 3 4 2 2 5" xfId="36976" xr:uid="{00000000-0005-0000-0000-000006910000}"/>
    <cellStyle name="Notas 3 4 2 2 6" xfId="36977" xr:uid="{00000000-0005-0000-0000-000007910000}"/>
    <cellStyle name="Notas 3 4 2 3" xfId="36978" xr:uid="{00000000-0005-0000-0000-000008910000}"/>
    <cellStyle name="Notas 3 4 2 4" xfId="36979" xr:uid="{00000000-0005-0000-0000-000009910000}"/>
    <cellStyle name="Notas 3 4 3" xfId="36980" xr:uid="{00000000-0005-0000-0000-00000A910000}"/>
    <cellStyle name="Notas 3 4 3 2" xfId="36981" xr:uid="{00000000-0005-0000-0000-00000B910000}"/>
    <cellStyle name="Notas 3 4 3 2 2" xfId="36982" xr:uid="{00000000-0005-0000-0000-00000C910000}"/>
    <cellStyle name="Notas 3 4 3 2 2 2" xfId="36983" xr:uid="{00000000-0005-0000-0000-00000D910000}"/>
    <cellStyle name="Notas 3 4 3 2 2 2 2" xfId="36984" xr:uid="{00000000-0005-0000-0000-00000E910000}"/>
    <cellStyle name="Notas 3 4 3 2 2 2 3" xfId="36985" xr:uid="{00000000-0005-0000-0000-00000F910000}"/>
    <cellStyle name="Notas 3 4 3 2 2 2 4" xfId="36986" xr:uid="{00000000-0005-0000-0000-000010910000}"/>
    <cellStyle name="Notas 3 4 3 2 2 3" xfId="36987" xr:uid="{00000000-0005-0000-0000-000011910000}"/>
    <cellStyle name="Notas 3 4 3 2 2 3 2" xfId="36988" xr:uid="{00000000-0005-0000-0000-000012910000}"/>
    <cellStyle name="Notas 3 4 3 2 2 3 3" xfId="36989" xr:uid="{00000000-0005-0000-0000-000013910000}"/>
    <cellStyle name="Notas 3 4 3 2 2 3 4" xfId="36990" xr:uid="{00000000-0005-0000-0000-000014910000}"/>
    <cellStyle name="Notas 3 4 3 2 2 4" xfId="36991" xr:uid="{00000000-0005-0000-0000-000015910000}"/>
    <cellStyle name="Notas 3 4 3 2 2 5" xfId="36992" xr:uid="{00000000-0005-0000-0000-000016910000}"/>
    <cellStyle name="Notas 3 4 3 2 2 6" xfId="36993" xr:uid="{00000000-0005-0000-0000-000017910000}"/>
    <cellStyle name="Notas 3 4 3 2 3" xfId="36994" xr:uid="{00000000-0005-0000-0000-000018910000}"/>
    <cellStyle name="Notas 3 4 3 2 3 2" xfId="36995" xr:uid="{00000000-0005-0000-0000-000019910000}"/>
    <cellStyle name="Notas 3 4 3 2 3 2 2" xfId="36996" xr:uid="{00000000-0005-0000-0000-00001A910000}"/>
    <cellStyle name="Notas 3 4 3 2 3 2 3" xfId="36997" xr:uid="{00000000-0005-0000-0000-00001B910000}"/>
    <cellStyle name="Notas 3 4 3 2 3 2 4" xfId="36998" xr:uid="{00000000-0005-0000-0000-00001C910000}"/>
    <cellStyle name="Notas 3 4 3 2 3 3" xfId="36999" xr:uid="{00000000-0005-0000-0000-00001D910000}"/>
    <cellStyle name="Notas 3 4 3 2 3 3 2" xfId="37000" xr:uid="{00000000-0005-0000-0000-00001E910000}"/>
    <cellStyle name="Notas 3 4 3 2 3 3 3" xfId="37001" xr:uid="{00000000-0005-0000-0000-00001F910000}"/>
    <cellStyle name="Notas 3 4 3 2 3 3 4" xfId="37002" xr:uid="{00000000-0005-0000-0000-000020910000}"/>
    <cellStyle name="Notas 3 4 3 2 3 4" xfId="37003" xr:uid="{00000000-0005-0000-0000-000021910000}"/>
    <cellStyle name="Notas 3 4 3 2 3 5" xfId="37004" xr:uid="{00000000-0005-0000-0000-000022910000}"/>
    <cellStyle name="Notas 3 4 3 2 3 6" xfId="37005" xr:uid="{00000000-0005-0000-0000-000023910000}"/>
    <cellStyle name="Notas 3 4 3 2 4" xfId="37006" xr:uid="{00000000-0005-0000-0000-000024910000}"/>
    <cellStyle name="Notas 3 4 3 2 5" xfId="37007" xr:uid="{00000000-0005-0000-0000-000025910000}"/>
    <cellStyle name="Notas 3 4 3 2 6" xfId="37008" xr:uid="{00000000-0005-0000-0000-000026910000}"/>
    <cellStyle name="Notas 3 4 3 3" xfId="37009" xr:uid="{00000000-0005-0000-0000-000027910000}"/>
    <cellStyle name="Notas 3 4 3 4" xfId="37010" xr:uid="{00000000-0005-0000-0000-000028910000}"/>
    <cellStyle name="Notas 3 4 4" xfId="37011" xr:uid="{00000000-0005-0000-0000-000029910000}"/>
    <cellStyle name="Notas 3 4 4 2" xfId="37012" xr:uid="{00000000-0005-0000-0000-00002A910000}"/>
    <cellStyle name="Notas 3 4 4 2 2" xfId="37013" xr:uid="{00000000-0005-0000-0000-00002B910000}"/>
    <cellStyle name="Notas 3 4 4 2 2 2" xfId="37014" xr:uid="{00000000-0005-0000-0000-00002C910000}"/>
    <cellStyle name="Notas 3 4 4 2 2 2 2" xfId="37015" xr:uid="{00000000-0005-0000-0000-00002D910000}"/>
    <cellStyle name="Notas 3 4 4 2 2 2 3" xfId="37016" xr:uid="{00000000-0005-0000-0000-00002E910000}"/>
    <cellStyle name="Notas 3 4 4 2 2 2 4" xfId="37017" xr:uid="{00000000-0005-0000-0000-00002F910000}"/>
    <cellStyle name="Notas 3 4 4 2 2 3" xfId="37018" xr:uid="{00000000-0005-0000-0000-000030910000}"/>
    <cellStyle name="Notas 3 4 4 2 2 3 2" xfId="37019" xr:uid="{00000000-0005-0000-0000-000031910000}"/>
    <cellStyle name="Notas 3 4 4 2 2 3 3" xfId="37020" xr:uid="{00000000-0005-0000-0000-000032910000}"/>
    <cellStyle name="Notas 3 4 4 2 2 3 4" xfId="37021" xr:uid="{00000000-0005-0000-0000-000033910000}"/>
    <cellStyle name="Notas 3 4 4 2 2 4" xfId="37022" xr:uid="{00000000-0005-0000-0000-000034910000}"/>
    <cellStyle name="Notas 3 4 4 2 2 5" xfId="37023" xr:uid="{00000000-0005-0000-0000-000035910000}"/>
    <cellStyle name="Notas 3 4 4 2 2 6" xfId="37024" xr:uid="{00000000-0005-0000-0000-000036910000}"/>
    <cellStyle name="Notas 3 4 4 2 3" xfId="37025" xr:uid="{00000000-0005-0000-0000-000037910000}"/>
    <cellStyle name="Notas 3 4 4 2 3 2" xfId="37026" xr:uid="{00000000-0005-0000-0000-000038910000}"/>
    <cellStyle name="Notas 3 4 4 2 3 2 2" xfId="37027" xr:uid="{00000000-0005-0000-0000-000039910000}"/>
    <cellStyle name="Notas 3 4 4 2 3 2 3" xfId="37028" xr:uid="{00000000-0005-0000-0000-00003A910000}"/>
    <cellStyle name="Notas 3 4 4 2 3 2 4" xfId="37029" xr:uid="{00000000-0005-0000-0000-00003B910000}"/>
    <cellStyle name="Notas 3 4 4 2 3 3" xfId="37030" xr:uid="{00000000-0005-0000-0000-00003C910000}"/>
    <cellStyle name="Notas 3 4 4 2 3 3 2" xfId="37031" xr:uid="{00000000-0005-0000-0000-00003D910000}"/>
    <cellStyle name="Notas 3 4 4 2 3 3 3" xfId="37032" xr:uid="{00000000-0005-0000-0000-00003E910000}"/>
    <cellStyle name="Notas 3 4 4 2 3 3 4" xfId="37033" xr:uid="{00000000-0005-0000-0000-00003F910000}"/>
    <cellStyle name="Notas 3 4 4 2 3 4" xfId="37034" xr:uid="{00000000-0005-0000-0000-000040910000}"/>
    <cellStyle name="Notas 3 4 4 2 3 5" xfId="37035" xr:uid="{00000000-0005-0000-0000-000041910000}"/>
    <cellStyle name="Notas 3 4 4 2 3 6" xfId="37036" xr:uid="{00000000-0005-0000-0000-000042910000}"/>
    <cellStyle name="Notas 3 4 4 2 4" xfId="37037" xr:uid="{00000000-0005-0000-0000-000043910000}"/>
    <cellStyle name="Notas 3 4 4 2 5" xfId="37038" xr:uid="{00000000-0005-0000-0000-000044910000}"/>
    <cellStyle name="Notas 3 4 4 2 6" xfId="37039" xr:uid="{00000000-0005-0000-0000-000045910000}"/>
    <cellStyle name="Notas 3 4 4 3" xfId="37040" xr:uid="{00000000-0005-0000-0000-000046910000}"/>
    <cellStyle name="Notas 3 4 4 4" xfId="37041" xr:uid="{00000000-0005-0000-0000-000047910000}"/>
    <cellStyle name="Notas 3 4 5" xfId="37042" xr:uid="{00000000-0005-0000-0000-000048910000}"/>
    <cellStyle name="Notas 3 4 5 2" xfId="37043" xr:uid="{00000000-0005-0000-0000-000049910000}"/>
    <cellStyle name="Notas 3 4 5 2 2" xfId="37044" xr:uid="{00000000-0005-0000-0000-00004A910000}"/>
    <cellStyle name="Notas 3 4 5 2 2 2" xfId="37045" xr:uid="{00000000-0005-0000-0000-00004B910000}"/>
    <cellStyle name="Notas 3 4 5 2 2 2 2" xfId="37046" xr:uid="{00000000-0005-0000-0000-00004C910000}"/>
    <cellStyle name="Notas 3 4 5 2 2 2 3" xfId="37047" xr:uid="{00000000-0005-0000-0000-00004D910000}"/>
    <cellStyle name="Notas 3 4 5 2 2 2 4" xfId="37048" xr:uid="{00000000-0005-0000-0000-00004E910000}"/>
    <cellStyle name="Notas 3 4 5 2 2 3" xfId="37049" xr:uid="{00000000-0005-0000-0000-00004F910000}"/>
    <cellStyle name="Notas 3 4 5 2 2 3 2" xfId="37050" xr:uid="{00000000-0005-0000-0000-000050910000}"/>
    <cellStyle name="Notas 3 4 5 2 2 3 3" xfId="37051" xr:uid="{00000000-0005-0000-0000-000051910000}"/>
    <cellStyle name="Notas 3 4 5 2 2 3 4" xfId="37052" xr:uid="{00000000-0005-0000-0000-000052910000}"/>
    <cellStyle name="Notas 3 4 5 2 2 4" xfId="37053" xr:uid="{00000000-0005-0000-0000-000053910000}"/>
    <cellStyle name="Notas 3 4 5 2 2 5" xfId="37054" xr:uid="{00000000-0005-0000-0000-000054910000}"/>
    <cellStyle name="Notas 3 4 5 2 2 6" xfId="37055" xr:uid="{00000000-0005-0000-0000-000055910000}"/>
    <cellStyle name="Notas 3 4 5 2 3" xfId="37056" xr:uid="{00000000-0005-0000-0000-000056910000}"/>
    <cellStyle name="Notas 3 4 5 2 3 2" xfId="37057" xr:uid="{00000000-0005-0000-0000-000057910000}"/>
    <cellStyle name="Notas 3 4 5 2 3 2 2" xfId="37058" xr:uid="{00000000-0005-0000-0000-000058910000}"/>
    <cellStyle name="Notas 3 4 5 2 3 2 3" xfId="37059" xr:uid="{00000000-0005-0000-0000-000059910000}"/>
    <cellStyle name="Notas 3 4 5 2 3 2 4" xfId="37060" xr:uid="{00000000-0005-0000-0000-00005A910000}"/>
    <cellStyle name="Notas 3 4 5 2 3 3" xfId="37061" xr:uid="{00000000-0005-0000-0000-00005B910000}"/>
    <cellStyle name="Notas 3 4 5 2 3 3 2" xfId="37062" xr:uid="{00000000-0005-0000-0000-00005C910000}"/>
    <cellStyle name="Notas 3 4 5 2 3 3 3" xfId="37063" xr:uid="{00000000-0005-0000-0000-00005D910000}"/>
    <cellStyle name="Notas 3 4 5 2 3 3 4" xfId="37064" xr:uid="{00000000-0005-0000-0000-00005E910000}"/>
    <cellStyle name="Notas 3 4 5 2 3 4" xfId="37065" xr:uid="{00000000-0005-0000-0000-00005F910000}"/>
    <cellStyle name="Notas 3 4 5 2 3 5" xfId="37066" xr:uid="{00000000-0005-0000-0000-000060910000}"/>
    <cellStyle name="Notas 3 4 5 2 3 6" xfId="37067" xr:uid="{00000000-0005-0000-0000-000061910000}"/>
    <cellStyle name="Notas 3 4 5 2 4" xfId="37068" xr:uid="{00000000-0005-0000-0000-000062910000}"/>
    <cellStyle name="Notas 3 4 5 2 5" xfId="37069" xr:uid="{00000000-0005-0000-0000-000063910000}"/>
    <cellStyle name="Notas 3 4 5 2 6" xfId="37070" xr:uid="{00000000-0005-0000-0000-000064910000}"/>
    <cellStyle name="Notas 3 4 5 3" xfId="37071" xr:uid="{00000000-0005-0000-0000-000065910000}"/>
    <cellStyle name="Notas 3 4 5 4" xfId="37072" xr:uid="{00000000-0005-0000-0000-000066910000}"/>
    <cellStyle name="Notas 3 4 6" xfId="37073" xr:uid="{00000000-0005-0000-0000-000067910000}"/>
    <cellStyle name="Notas 3 4 6 2" xfId="37074" xr:uid="{00000000-0005-0000-0000-000068910000}"/>
    <cellStyle name="Notas 3 4 6 2 2" xfId="37075" xr:uid="{00000000-0005-0000-0000-000069910000}"/>
    <cellStyle name="Notas 3 4 6 2 2 2" xfId="37076" xr:uid="{00000000-0005-0000-0000-00006A910000}"/>
    <cellStyle name="Notas 3 4 6 2 2 3" xfId="37077" xr:uid="{00000000-0005-0000-0000-00006B910000}"/>
    <cellStyle name="Notas 3 4 6 2 2 4" xfId="37078" xr:uid="{00000000-0005-0000-0000-00006C910000}"/>
    <cellStyle name="Notas 3 4 6 2 3" xfId="37079" xr:uid="{00000000-0005-0000-0000-00006D910000}"/>
    <cellStyle name="Notas 3 4 6 2 3 2" xfId="37080" xr:uid="{00000000-0005-0000-0000-00006E910000}"/>
    <cellStyle name="Notas 3 4 6 2 3 3" xfId="37081" xr:uid="{00000000-0005-0000-0000-00006F910000}"/>
    <cellStyle name="Notas 3 4 6 2 3 4" xfId="37082" xr:uid="{00000000-0005-0000-0000-000070910000}"/>
    <cellStyle name="Notas 3 4 6 2 4" xfId="37083" xr:uid="{00000000-0005-0000-0000-000071910000}"/>
    <cellStyle name="Notas 3 4 6 2 5" xfId="37084" xr:uid="{00000000-0005-0000-0000-000072910000}"/>
    <cellStyle name="Notas 3 4 6 2 6" xfId="37085" xr:uid="{00000000-0005-0000-0000-000073910000}"/>
    <cellStyle name="Notas 3 4 6 3" xfId="37086" xr:uid="{00000000-0005-0000-0000-000074910000}"/>
    <cellStyle name="Notas 3 4 6 3 2" xfId="37087" xr:uid="{00000000-0005-0000-0000-000075910000}"/>
    <cellStyle name="Notas 3 4 6 3 2 2" xfId="37088" xr:uid="{00000000-0005-0000-0000-000076910000}"/>
    <cellStyle name="Notas 3 4 6 3 2 3" xfId="37089" xr:uid="{00000000-0005-0000-0000-000077910000}"/>
    <cellStyle name="Notas 3 4 6 3 2 4" xfId="37090" xr:uid="{00000000-0005-0000-0000-000078910000}"/>
    <cellStyle name="Notas 3 4 6 3 3" xfId="37091" xr:uid="{00000000-0005-0000-0000-000079910000}"/>
    <cellStyle name="Notas 3 4 6 3 3 2" xfId="37092" xr:uid="{00000000-0005-0000-0000-00007A910000}"/>
    <cellStyle name="Notas 3 4 6 3 3 3" xfId="37093" xr:uid="{00000000-0005-0000-0000-00007B910000}"/>
    <cellStyle name="Notas 3 4 6 3 3 4" xfId="37094" xr:uid="{00000000-0005-0000-0000-00007C910000}"/>
    <cellStyle name="Notas 3 4 6 3 4" xfId="37095" xr:uid="{00000000-0005-0000-0000-00007D910000}"/>
    <cellStyle name="Notas 3 4 6 3 5" xfId="37096" xr:uid="{00000000-0005-0000-0000-00007E910000}"/>
    <cellStyle name="Notas 3 4 6 3 6" xfId="37097" xr:uid="{00000000-0005-0000-0000-00007F910000}"/>
    <cellStyle name="Notas 3 4 6 4" xfId="37098" xr:uid="{00000000-0005-0000-0000-000080910000}"/>
    <cellStyle name="Notas 3 4 6 4 2" xfId="37099" xr:uid="{00000000-0005-0000-0000-000081910000}"/>
    <cellStyle name="Notas 3 4 6 4 3" xfId="37100" xr:uid="{00000000-0005-0000-0000-000082910000}"/>
    <cellStyle name="Notas 3 4 6 4 4" xfId="37101" xr:uid="{00000000-0005-0000-0000-000083910000}"/>
    <cellStyle name="Notas 3 4 6 5" xfId="37102" xr:uid="{00000000-0005-0000-0000-000084910000}"/>
    <cellStyle name="Notas 3 4 6 6" xfId="37103" xr:uid="{00000000-0005-0000-0000-000085910000}"/>
    <cellStyle name="Notas 3 4 7" xfId="37104" xr:uid="{00000000-0005-0000-0000-000086910000}"/>
    <cellStyle name="Notas 3 4 7 2" xfId="37105" xr:uid="{00000000-0005-0000-0000-000087910000}"/>
    <cellStyle name="Notas 3 4 7 2 2" xfId="37106" xr:uid="{00000000-0005-0000-0000-000088910000}"/>
    <cellStyle name="Notas 3 4 7 2 2 2" xfId="37107" xr:uid="{00000000-0005-0000-0000-000089910000}"/>
    <cellStyle name="Notas 3 4 7 2 2 3" xfId="37108" xr:uid="{00000000-0005-0000-0000-00008A910000}"/>
    <cellStyle name="Notas 3 4 7 2 2 4" xfId="37109" xr:uid="{00000000-0005-0000-0000-00008B910000}"/>
    <cellStyle name="Notas 3 4 7 2 3" xfId="37110" xr:uid="{00000000-0005-0000-0000-00008C910000}"/>
    <cellStyle name="Notas 3 4 7 2 3 2" xfId="37111" xr:uid="{00000000-0005-0000-0000-00008D910000}"/>
    <cellStyle name="Notas 3 4 7 2 3 3" xfId="37112" xr:uid="{00000000-0005-0000-0000-00008E910000}"/>
    <cellStyle name="Notas 3 4 7 2 3 4" xfId="37113" xr:uid="{00000000-0005-0000-0000-00008F910000}"/>
    <cellStyle name="Notas 3 4 7 2 4" xfId="37114" xr:uid="{00000000-0005-0000-0000-000090910000}"/>
    <cellStyle name="Notas 3 4 7 2 5" xfId="37115" xr:uid="{00000000-0005-0000-0000-000091910000}"/>
    <cellStyle name="Notas 3 4 7 2 6" xfId="37116" xr:uid="{00000000-0005-0000-0000-000092910000}"/>
    <cellStyle name="Notas 3 4 7 3" xfId="37117" xr:uid="{00000000-0005-0000-0000-000093910000}"/>
    <cellStyle name="Notas 3 4 7 3 2" xfId="37118" xr:uid="{00000000-0005-0000-0000-000094910000}"/>
    <cellStyle name="Notas 3 4 7 3 2 2" xfId="37119" xr:uid="{00000000-0005-0000-0000-000095910000}"/>
    <cellStyle name="Notas 3 4 7 3 2 3" xfId="37120" xr:uid="{00000000-0005-0000-0000-000096910000}"/>
    <cellStyle name="Notas 3 4 7 3 2 4" xfId="37121" xr:uid="{00000000-0005-0000-0000-000097910000}"/>
    <cellStyle name="Notas 3 4 7 3 3" xfId="37122" xr:uid="{00000000-0005-0000-0000-000098910000}"/>
    <cellStyle name="Notas 3 4 7 3 3 2" xfId="37123" xr:uid="{00000000-0005-0000-0000-000099910000}"/>
    <cellStyle name="Notas 3 4 7 3 3 3" xfId="37124" xr:uid="{00000000-0005-0000-0000-00009A910000}"/>
    <cellStyle name="Notas 3 4 7 3 3 4" xfId="37125" xr:uid="{00000000-0005-0000-0000-00009B910000}"/>
    <cellStyle name="Notas 3 4 7 3 4" xfId="37126" xr:uid="{00000000-0005-0000-0000-00009C910000}"/>
    <cellStyle name="Notas 3 4 7 3 5" xfId="37127" xr:uid="{00000000-0005-0000-0000-00009D910000}"/>
    <cellStyle name="Notas 3 4 7 3 6" xfId="37128" xr:uid="{00000000-0005-0000-0000-00009E910000}"/>
    <cellStyle name="Notas 3 4 7 4" xfId="37129" xr:uid="{00000000-0005-0000-0000-00009F910000}"/>
    <cellStyle name="Notas 3 4 7 4 2" xfId="37130" xr:uid="{00000000-0005-0000-0000-0000A0910000}"/>
    <cellStyle name="Notas 3 4 7 4 3" xfId="37131" xr:uid="{00000000-0005-0000-0000-0000A1910000}"/>
    <cellStyle name="Notas 3 4 7 4 4" xfId="37132" xr:uid="{00000000-0005-0000-0000-0000A2910000}"/>
    <cellStyle name="Notas 3 4 7 5" xfId="37133" xr:uid="{00000000-0005-0000-0000-0000A3910000}"/>
    <cellStyle name="Notas 3 4 7 6" xfId="37134" xr:uid="{00000000-0005-0000-0000-0000A4910000}"/>
    <cellStyle name="Notas 3 4 8" xfId="37135" xr:uid="{00000000-0005-0000-0000-0000A5910000}"/>
    <cellStyle name="Notas 3 4 8 2" xfId="37136" xr:uid="{00000000-0005-0000-0000-0000A6910000}"/>
    <cellStyle name="Notas 3 4 8 2 2" xfId="37137" xr:uid="{00000000-0005-0000-0000-0000A7910000}"/>
    <cellStyle name="Notas 3 4 8 2 2 2" xfId="37138" xr:uid="{00000000-0005-0000-0000-0000A8910000}"/>
    <cellStyle name="Notas 3 4 8 2 2 3" xfId="37139" xr:uid="{00000000-0005-0000-0000-0000A9910000}"/>
    <cellStyle name="Notas 3 4 8 2 2 4" xfId="37140" xr:uid="{00000000-0005-0000-0000-0000AA910000}"/>
    <cellStyle name="Notas 3 4 8 2 3" xfId="37141" xr:uid="{00000000-0005-0000-0000-0000AB910000}"/>
    <cellStyle name="Notas 3 4 8 2 3 2" xfId="37142" xr:uid="{00000000-0005-0000-0000-0000AC910000}"/>
    <cellStyle name="Notas 3 4 8 2 3 3" xfId="37143" xr:uid="{00000000-0005-0000-0000-0000AD910000}"/>
    <cellStyle name="Notas 3 4 8 2 3 4" xfId="37144" xr:uid="{00000000-0005-0000-0000-0000AE910000}"/>
    <cellStyle name="Notas 3 4 8 2 4" xfId="37145" xr:uid="{00000000-0005-0000-0000-0000AF910000}"/>
    <cellStyle name="Notas 3 4 8 2 5" xfId="37146" xr:uid="{00000000-0005-0000-0000-0000B0910000}"/>
    <cellStyle name="Notas 3 4 8 2 6" xfId="37147" xr:uid="{00000000-0005-0000-0000-0000B1910000}"/>
    <cellStyle name="Notas 3 4 8 3" xfId="37148" xr:uid="{00000000-0005-0000-0000-0000B2910000}"/>
    <cellStyle name="Notas 3 4 8 3 2" xfId="37149" xr:uid="{00000000-0005-0000-0000-0000B3910000}"/>
    <cellStyle name="Notas 3 4 8 3 2 2" xfId="37150" xr:uid="{00000000-0005-0000-0000-0000B4910000}"/>
    <cellStyle name="Notas 3 4 8 3 2 3" xfId="37151" xr:uid="{00000000-0005-0000-0000-0000B5910000}"/>
    <cellStyle name="Notas 3 4 8 3 2 4" xfId="37152" xr:uid="{00000000-0005-0000-0000-0000B6910000}"/>
    <cellStyle name="Notas 3 4 8 3 3" xfId="37153" xr:uid="{00000000-0005-0000-0000-0000B7910000}"/>
    <cellStyle name="Notas 3 4 8 3 3 2" xfId="37154" xr:uid="{00000000-0005-0000-0000-0000B8910000}"/>
    <cellStyle name="Notas 3 4 8 3 3 3" xfId="37155" xr:uid="{00000000-0005-0000-0000-0000B9910000}"/>
    <cellStyle name="Notas 3 4 8 3 3 4" xfId="37156" xr:uid="{00000000-0005-0000-0000-0000BA910000}"/>
    <cellStyle name="Notas 3 4 8 3 4" xfId="37157" xr:uid="{00000000-0005-0000-0000-0000BB910000}"/>
    <cellStyle name="Notas 3 4 8 3 5" xfId="37158" xr:uid="{00000000-0005-0000-0000-0000BC910000}"/>
    <cellStyle name="Notas 3 4 8 3 6" xfId="37159" xr:uid="{00000000-0005-0000-0000-0000BD910000}"/>
    <cellStyle name="Notas 3 4 8 4" xfId="37160" xr:uid="{00000000-0005-0000-0000-0000BE910000}"/>
    <cellStyle name="Notas 3 4 8 4 2" xfId="37161" xr:uid="{00000000-0005-0000-0000-0000BF910000}"/>
    <cellStyle name="Notas 3 4 8 4 3" xfId="37162" xr:uid="{00000000-0005-0000-0000-0000C0910000}"/>
    <cellStyle name="Notas 3 4 8 4 4" xfId="37163" xr:uid="{00000000-0005-0000-0000-0000C1910000}"/>
    <cellStyle name="Notas 3 4 8 5" xfId="37164" xr:uid="{00000000-0005-0000-0000-0000C2910000}"/>
    <cellStyle name="Notas 3 4 8 6" xfId="37165" xr:uid="{00000000-0005-0000-0000-0000C3910000}"/>
    <cellStyle name="Notas 3 4 9" xfId="37166" xr:uid="{00000000-0005-0000-0000-0000C4910000}"/>
    <cellStyle name="Notas 3 4 9 2" xfId="37167" xr:uid="{00000000-0005-0000-0000-0000C5910000}"/>
    <cellStyle name="Notas 3 4 9 2 2" xfId="37168" xr:uid="{00000000-0005-0000-0000-0000C6910000}"/>
    <cellStyle name="Notas 3 4 9 2 2 2" xfId="37169" xr:uid="{00000000-0005-0000-0000-0000C7910000}"/>
    <cellStyle name="Notas 3 4 9 2 2 3" xfId="37170" xr:uid="{00000000-0005-0000-0000-0000C8910000}"/>
    <cellStyle name="Notas 3 4 9 2 2 4" xfId="37171" xr:uid="{00000000-0005-0000-0000-0000C9910000}"/>
    <cellStyle name="Notas 3 4 9 2 3" xfId="37172" xr:uid="{00000000-0005-0000-0000-0000CA910000}"/>
    <cellStyle name="Notas 3 4 9 2 3 2" xfId="37173" xr:uid="{00000000-0005-0000-0000-0000CB910000}"/>
    <cellStyle name="Notas 3 4 9 2 3 3" xfId="37174" xr:uid="{00000000-0005-0000-0000-0000CC910000}"/>
    <cellStyle name="Notas 3 4 9 2 3 4" xfId="37175" xr:uid="{00000000-0005-0000-0000-0000CD910000}"/>
    <cellStyle name="Notas 3 4 9 2 4" xfId="37176" xr:uid="{00000000-0005-0000-0000-0000CE910000}"/>
    <cellStyle name="Notas 3 4 9 2 5" xfId="37177" xr:uid="{00000000-0005-0000-0000-0000CF910000}"/>
    <cellStyle name="Notas 3 4 9 2 6" xfId="37178" xr:uid="{00000000-0005-0000-0000-0000D0910000}"/>
    <cellStyle name="Notas 3 4 9 3" xfId="37179" xr:uid="{00000000-0005-0000-0000-0000D1910000}"/>
    <cellStyle name="Notas 3 4 9 3 2" xfId="37180" xr:uid="{00000000-0005-0000-0000-0000D2910000}"/>
    <cellStyle name="Notas 3 4 9 3 2 2" xfId="37181" xr:uid="{00000000-0005-0000-0000-0000D3910000}"/>
    <cellStyle name="Notas 3 4 9 3 2 3" xfId="37182" xr:uid="{00000000-0005-0000-0000-0000D4910000}"/>
    <cellStyle name="Notas 3 4 9 3 2 4" xfId="37183" xr:uid="{00000000-0005-0000-0000-0000D5910000}"/>
    <cellStyle name="Notas 3 4 9 3 3" xfId="37184" xr:uid="{00000000-0005-0000-0000-0000D6910000}"/>
    <cellStyle name="Notas 3 4 9 3 3 2" xfId="37185" xr:uid="{00000000-0005-0000-0000-0000D7910000}"/>
    <cellStyle name="Notas 3 4 9 3 3 3" xfId="37186" xr:uid="{00000000-0005-0000-0000-0000D8910000}"/>
    <cellStyle name="Notas 3 4 9 3 3 4" xfId="37187" xr:uid="{00000000-0005-0000-0000-0000D9910000}"/>
    <cellStyle name="Notas 3 4 9 3 4" xfId="37188" xr:uid="{00000000-0005-0000-0000-0000DA910000}"/>
    <cellStyle name="Notas 3 4 9 3 5" xfId="37189" xr:uid="{00000000-0005-0000-0000-0000DB910000}"/>
    <cellStyle name="Notas 3 4 9 3 6" xfId="37190" xr:uid="{00000000-0005-0000-0000-0000DC910000}"/>
    <cellStyle name="Notas 3 4 9 4" xfId="37191" xr:uid="{00000000-0005-0000-0000-0000DD910000}"/>
    <cellStyle name="Notas 3 4 9 4 2" xfId="37192" xr:uid="{00000000-0005-0000-0000-0000DE910000}"/>
    <cellStyle name="Notas 3 4 9 4 3" xfId="37193" xr:uid="{00000000-0005-0000-0000-0000DF910000}"/>
    <cellStyle name="Notas 3 4 9 4 4" xfId="37194" xr:uid="{00000000-0005-0000-0000-0000E0910000}"/>
    <cellStyle name="Notas 3 4 9 5" xfId="37195" xr:uid="{00000000-0005-0000-0000-0000E1910000}"/>
    <cellStyle name="Notas 3 4 9 6" xfId="37196" xr:uid="{00000000-0005-0000-0000-0000E2910000}"/>
    <cellStyle name="Notas 3 5" xfId="37197" xr:uid="{00000000-0005-0000-0000-0000E3910000}"/>
    <cellStyle name="Notas 3 5 2" xfId="37198" xr:uid="{00000000-0005-0000-0000-0000E4910000}"/>
    <cellStyle name="Notas 3 5 2 2" xfId="37199" xr:uid="{00000000-0005-0000-0000-0000E5910000}"/>
    <cellStyle name="Notas 3 5 2 2 2" xfId="37200" xr:uid="{00000000-0005-0000-0000-0000E6910000}"/>
    <cellStyle name="Notas 3 5 2 2 2 2" xfId="37201" xr:uid="{00000000-0005-0000-0000-0000E7910000}"/>
    <cellStyle name="Notas 3 5 2 2 2 3" xfId="37202" xr:uid="{00000000-0005-0000-0000-0000E8910000}"/>
    <cellStyle name="Notas 3 5 2 2 2 4" xfId="37203" xr:uid="{00000000-0005-0000-0000-0000E9910000}"/>
    <cellStyle name="Notas 3 5 2 2 3" xfId="37204" xr:uid="{00000000-0005-0000-0000-0000EA910000}"/>
    <cellStyle name="Notas 3 5 2 2 3 2" xfId="37205" xr:uid="{00000000-0005-0000-0000-0000EB910000}"/>
    <cellStyle name="Notas 3 5 2 2 3 3" xfId="37206" xr:uid="{00000000-0005-0000-0000-0000EC910000}"/>
    <cellStyle name="Notas 3 5 2 2 3 4" xfId="37207" xr:uid="{00000000-0005-0000-0000-0000ED910000}"/>
    <cellStyle name="Notas 3 5 2 2 4" xfId="37208" xr:uid="{00000000-0005-0000-0000-0000EE910000}"/>
    <cellStyle name="Notas 3 5 2 2 5" xfId="37209" xr:uid="{00000000-0005-0000-0000-0000EF910000}"/>
    <cellStyle name="Notas 3 5 2 2 6" xfId="37210" xr:uid="{00000000-0005-0000-0000-0000F0910000}"/>
    <cellStyle name="Notas 3 5 2 3" xfId="37211" xr:uid="{00000000-0005-0000-0000-0000F1910000}"/>
    <cellStyle name="Notas 3 5 2 3 2" xfId="37212" xr:uid="{00000000-0005-0000-0000-0000F2910000}"/>
    <cellStyle name="Notas 3 5 2 3 2 2" xfId="37213" xr:uid="{00000000-0005-0000-0000-0000F3910000}"/>
    <cellStyle name="Notas 3 5 2 3 2 3" xfId="37214" xr:uid="{00000000-0005-0000-0000-0000F4910000}"/>
    <cellStyle name="Notas 3 5 2 3 2 4" xfId="37215" xr:uid="{00000000-0005-0000-0000-0000F5910000}"/>
    <cellStyle name="Notas 3 5 2 3 3" xfId="37216" xr:uid="{00000000-0005-0000-0000-0000F6910000}"/>
    <cellStyle name="Notas 3 5 2 3 3 2" xfId="37217" xr:uid="{00000000-0005-0000-0000-0000F7910000}"/>
    <cellStyle name="Notas 3 5 2 3 3 3" xfId="37218" xr:uid="{00000000-0005-0000-0000-0000F8910000}"/>
    <cellStyle name="Notas 3 5 2 3 3 4" xfId="37219" xr:uid="{00000000-0005-0000-0000-0000F9910000}"/>
    <cellStyle name="Notas 3 5 2 3 4" xfId="37220" xr:uid="{00000000-0005-0000-0000-0000FA910000}"/>
    <cellStyle name="Notas 3 5 2 3 5" xfId="37221" xr:uid="{00000000-0005-0000-0000-0000FB910000}"/>
    <cellStyle name="Notas 3 5 2 3 6" xfId="37222" xr:uid="{00000000-0005-0000-0000-0000FC910000}"/>
    <cellStyle name="Notas 3 5 2 4" xfId="37223" xr:uid="{00000000-0005-0000-0000-0000FD910000}"/>
    <cellStyle name="Notas 3 5 2 5" xfId="37224" xr:uid="{00000000-0005-0000-0000-0000FE910000}"/>
    <cellStyle name="Notas 3 5 2 6" xfId="37225" xr:uid="{00000000-0005-0000-0000-0000FF910000}"/>
    <cellStyle name="Notas 3 5 3" xfId="37226" xr:uid="{00000000-0005-0000-0000-000000920000}"/>
    <cellStyle name="Notas 3 5 4" xfId="37227" xr:uid="{00000000-0005-0000-0000-000001920000}"/>
    <cellStyle name="Notas 3 6" xfId="37228" xr:uid="{00000000-0005-0000-0000-000002920000}"/>
    <cellStyle name="Notas 3 6 2" xfId="37229" xr:uid="{00000000-0005-0000-0000-000003920000}"/>
    <cellStyle name="Notas 3 6 2 2" xfId="37230" xr:uid="{00000000-0005-0000-0000-000004920000}"/>
    <cellStyle name="Notas 3 6 2 2 2" xfId="37231" xr:uid="{00000000-0005-0000-0000-000005920000}"/>
    <cellStyle name="Notas 3 6 2 2 2 2" xfId="37232" xr:uid="{00000000-0005-0000-0000-000006920000}"/>
    <cellStyle name="Notas 3 6 2 2 2 3" xfId="37233" xr:uid="{00000000-0005-0000-0000-000007920000}"/>
    <cellStyle name="Notas 3 6 2 2 2 4" xfId="37234" xr:uid="{00000000-0005-0000-0000-000008920000}"/>
    <cellStyle name="Notas 3 6 2 2 3" xfId="37235" xr:uid="{00000000-0005-0000-0000-000009920000}"/>
    <cellStyle name="Notas 3 6 2 2 3 2" xfId="37236" xr:uid="{00000000-0005-0000-0000-00000A920000}"/>
    <cellStyle name="Notas 3 6 2 2 3 3" xfId="37237" xr:uid="{00000000-0005-0000-0000-00000B920000}"/>
    <cellStyle name="Notas 3 6 2 2 3 4" xfId="37238" xr:uid="{00000000-0005-0000-0000-00000C920000}"/>
    <cellStyle name="Notas 3 6 2 2 4" xfId="37239" xr:uid="{00000000-0005-0000-0000-00000D920000}"/>
    <cellStyle name="Notas 3 6 2 2 5" xfId="37240" xr:uid="{00000000-0005-0000-0000-00000E920000}"/>
    <cellStyle name="Notas 3 6 2 2 6" xfId="37241" xr:uid="{00000000-0005-0000-0000-00000F920000}"/>
    <cellStyle name="Notas 3 6 2 3" xfId="37242" xr:uid="{00000000-0005-0000-0000-000010920000}"/>
    <cellStyle name="Notas 3 6 2 3 2" xfId="37243" xr:uid="{00000000-0005-0000-0000-000011920000}"/>
    <cellStyle name="Notas 3 6 2 3 2 2" xfId="37244" xr:uid="{00000000-0005-0000-0000-000012920000}"/>
    <cellStyle name="Notas 3 6 2 3 2 3" xfId="37245" xr:uid="{00000000-0005-0000-0000-000013920000}"/>
    <cellStyle name="Notas 3 6 2 3 2 4" xfId="37246" xr:uid="{00000000-0005-0000-0000-000014920000}"/>
    <cellStyle name="Notas 3 6 2 3 3" xfId="37247" xr:uid="{00000000-0005-0000-0000-000015920000}"/>
    <cellStyle name="Notas 3 6 2 3 3 2" xfId="37248" xr:uid="{00000000-0005-0000-0000-000016920000}"/>
    <cellStyle name="Notas 3 6 2 3 3 3" xfId="37249" xr:uid="{00000000-0005-0000-0000-000017920000}"/>
    <cellStyle name="Notas 3 6 2 3 3 4" xfId="37250" xr:uid="{00000000-0005-0000-0000-000018920000}"/>
    <cellStyle name="Notas 3 6 2 3 4" xfId="37251" xr:uid="{00000000-0005-0000-0000-000019920000}"/>
    <cellStyle name="Notas 3 6 2 3 5" xfId="37252" xr:uid="{00000000-0005-0000-0000-00001A920000}"/>
    <cellStyle name="Notas 3 6 2 3 6" xfId="37253" xr:uid="{00000000-0005-0000-0000-00001B920000}"/>
    <cellStyle name="Notas 3 6 2 4" xfId="37254" xr:uid="{00000000-0005-0000-0000-00001C920000}"/>
    <cellStyle name="Notas 3 6 2 5" xfId="37255" xr:uid="{00000000-0005-0000-0000-00001D920000}"/>
    <cellStyle name="Notas 3 6 2 6" xfId="37256" xr:uid="{00000000-0005-0000-0000-00001E920000}"/>
    <cellStyle name="Notas 3 6 3" xfId="37257" xr:uid="{00000000-0005-0000-0000-00001F920000}"/>
    <cellStyle name="Notas 3 6 4" xfId="37258" xr:uid="{00000000-0005-0000-0000-000020920000}"/>
    <cellStyle name="Notas 3 7" xfId="37259" xr:uid="{00000000-0005-0000-0000-000021920000}"/>
    <cellStyle name="Notas 3 7 2" xfId="37260" xr:uid="{00000000-0005-0000-0000-000022920000}"/>
    <cellStyle name="Notas 3 7 2 2" xfId="37261" xr:uid="{00000000-0005-0000-0000-000023920000}"/>
    <cellStyle name="Notas 3 7 2 2 2" xfId="37262" xr:uid="{00000000-0005-0000-0000-000024920000}"/>
    <cellStyle name="Notas 3 7 2 2 2 2" xfId="37263" xr:uid="{00000000-0005-0000-0000-000025920000}"/>
    <cellStyle name="Notas 3 7 2 2 2 3" xfId="37264" xr:uid="{00000000-0005-0000-0000-000026920000}"/>
    <cellStyle name="Notas 3 7 2 2 2 4" xfId="37265" xr:uid="{00000000-0005-0000-0000-000027920000}"/>
    <cellStyle name="Notas 3 7 2 2 3" xfId="37266" xr:uid="{00000000-0005-0000-0000-000028920000}"/>
    <cellStyle name="Notas 3 7 2 2 3 2" xfId="37267" xr:uid="{00000000-0005-0000-0000-000029920000}"/>
    <cellStyle name="Notas 3 7 2 2 3 3" xfId="37268" xr:uid="{00000000-0005-0000-0000-00002A920000}"/>
    <cellStyle name="Notas 3 7 2 2 3 4" xfId="37269" xr:uid="{00000000-0005-0000-0000-00002B920000}"/>
    <cellStyle name="Notas 3 7 2 2 4" xfId="37270" xr:uid="{00000000-0005-0000-0000-00002C920000}"/>
    <cellStyle name="Notas 3 7 2 2 5" xfId="37271" xr:uid="{00000000-0005-0000-0000-00002D920000}"/>
    <cellStyle name="Notas 3 7 2 2 6" xfId="37272" xr:uid="{00000000-0005-0000-0000-00002E920000}"/>
    <cellStyle name="Notas 3 7 2 3" xfId="37273" xr:uid="{00000000-0005-0000-0000-00002F920000}"/>
    <cellStyle name="Notas 3 7 2 3 2" xfId="37274" xr:uid="{00000000-0005-0000-0000-000030920000}"/>
    <cellStyle name="Notas 3 7 2 3 2 2" xfId="37275" xr:uid="{00000000-0005-0000-0000-000031920000}"/>
    <cellStyle name="Notas 3 7 2 3 2 3" xfId="37276" xr:uid="{00000000-0005-0000-0000-000032920000}"/>
    <cellStyle name="Notas 3 7 2 3 2 4" xfId="37277" xr:uid="{00000000-0005-0000-0000-000033920000}"/>
    <cellStyle name="Notas 3 7 2 3 3" xfId="37278" xr:uid="{00000000-0005-0000-0000-000034920000}"/>
    <cellStyle name="Notas 3 7 2 3 3 2" xfId="37279" xr:uid="{00000000-0005-0000-0000-000035920000}"/>
    <cellStyle name="Notas 3 7 2 3 3 3" xfId="37280" xr:uid="{00000000-0005-0000-0000-000036920000}"/>
    <cellStyle name="Notas 3 7 2 3 3 4" xfId="37281" xr:uid="{00000000-0005-0000-0000-000037920000}"/>
    <cellStyle name="Notas 3 7 2 3 4" xfId="37282" xr:uid="{00000000-0005-0000-0000-000038920000}"/>
    <cellStyle name="Notas 3 7 2 3 5" xfId="37283" xr:uid="{00000000-0005-0000-0000-000039920000}"/>
    <cellStyle name="Notas 3 7 2 3 6" xfId="37284" xr:uid="{00000000-0005-0000-0000-00003A920000}"/>
    <cellStyle name="Notas 3 7 2 4" xfId="37285" xr:uid="{00000000-0005-0000-0000-00003B920000}"/>
    <cellStyle name="Notas 3 7 2 5" xfId="37286" xr:uid="{00000000-0005-0000-0000-00003C920000}"/>
    <cellStyle name="Notas 3 7 2 6" xfId="37287" xr:uid="{00000000-0005-0000-0000-00003D920000}"/>
    <cellStyle name="Notas 3 7 3" xfId="37288" xr:uid="{00000000-0005-0000-0000-00003E920000}"/>
    <cellStyle name="Notas 3 7 4" xfId="37289" xr:uid="{00000000-0005-0000-0000-00003F920000}"/>
    <cellStyle name="Notas 3 8" xfId="37290" xr:uid="{00000000-0005-0000-0000-000040920000}"/>
    <cellStyle name="Notas 3 8 2" xfId="37291" xr:uid="{00000000-0005-0000-0000-000041920000}"/>
    <cellStyle name="Notas 3 8 2 2" xfId="37292" xr:uid="{00000000-0005-0000-0000-000042920000}"/>
    <cellStyle name="Notas 3 8 2 2 2" xfId="37293" xr:uid="{00000000-0005-0000-0000-000043920000}"/>
    <cellStyle name="Notas 3 8 2 2 2 2" xfId="37294" xr:uid="{00000000-0005-0000-0000-000044920000}"/>
    <cellStyle name="Notas 3 8 2 2 2 3" xfId="37295" xr:uid="{00000000-0005-0000-0000-000045920000}"/>
    <cellStyle name="Notas 3 8 2 2 2 4" xfId="37296" xr:uid="{00000000-0005-0000-0000-000046920000}"/>
    <cellStyle name="Notas 3 8 2 2 3" xfId="37297" xr:uid="{00000000-0005-0000-0000-000047920000}"/>
    <cellStyle name="Notas 3 8 2 2 3 2" xfId="37298" xr:uid="{00000000-0005-0000-0000-000048920000}"/>
    <cellStyle name="Notas 3 8 2 2 3 3" xfId="37299" xr:uid="{00000000-0005-0000-0000-000049920000}"/>
    <cellStyle name="Notas 3 8 2 2 3 4" xfId="37300" xr:uid="{00000000-0005-0000-0000-00004A920000}"/>
    <cellStyle name="Notas 3 8 2 2 4" xfId="37301" xr:uid="{00000000-0005-0000-0000-00004B920000}"/>
    <cellStyle name="Notas 3 8 2 2 5" xfId="37302" xr:uid="{00000000-0005-0000-0000-00004C920000}"/>
    <cellStyle name="Notas 3 8 2 2 6" xfId="37303" xr:uid="{00000000-0005-0000-0000-00004D920000}"/>
    <cellStyle name="Notas 3 8 2 3" xfId="37304" xr:uid="{00000000-0005-0000-0000-00004E920000}"/>
    <cellStyle name="Notas 3 8 2 3 2" xfId="37305" xr:uid="{00000000-0005-0000-0000-00004F920000}"/>
    <cellStyle name="Notas 3 8 2 3 2 2" xfId="37306" xr:uid="{00000000-0005-0000-0000-000050920000}"/>
    <cellStyle name="Notas 3 8 2 3 2 3" xfId="37307" xr:uid="{00000000-0005-0000-0000-000051920000}"/>
    <cellStyle name="Notas 3 8 2 3 2 4" xfId="37308" xr:uid="{00000000-0005-0000-0000-000052920000}"/>
    <cellStyle name="Notas 3 8 2 3 3" xfId="37309" xr:uid="{00000000-0005-0000-0000-000053920000}"/>
    <cellStyle name="Notas 3 8 2 3 3 2" xfId="37310" xr:uid="{00000000-0005-0000-0000-000054920000}"/>
    <cellStyle name="Notas 3 8 2 3 3 3" xfId="37311" xr:uid="{00000000-0005-0000-0000-000055920000}"/>
    <cellStyle name="Notas 3 8 2 3 3 4" xfId="37312" xr:uid="{00000000-0005-0000-0000-000056920000}"/>
    <cellStyle name="Notas 3 8 2 3 4" xfId="37313" xr:uid="{00000000-0005-0000-0000-000057920000}"/>
    <cellStyle name="Notas 3 8 2 3 5" xfId="37314" xr:uid="{00000000-0005-0000-0000-000058920000}"/>
    <cellStyle name="Notas 3 8 2 3 6" xfId="37315" xr:uid="{00000000-0005-0000-0000-000059920000}"/>
    <cellStyle name="Notas 3 8 2 4" xfId="37316" xr:uid="{00000000-0005-0000-0000-00005A920000}"/>
    <cellStyle name="Notas 3 8 2 5" xfId="37317" xr:uid="{00000000-0005-0000-0000-00005B920000}"/>
    <cellStyle name="Notas 3 8 2 6" xfId="37318" xr:uid="{00000000-0005-0000-0000-00005C920000}"/>
    <cellStyle name="Notas 3 8 3" xfId="37319" xr:uid="{00000000-0005-0000-0000-00005D920000}"/>
    <cellStyle name="Notas 3 8 4" xfId="37320" xr:uid="{00000000-0005-0000-0000-00005E920000}"/>
    <cellStyle name="Notas 3 9" xfId="37321" xr:uid="{00000000-0005-0000-0000-00005F920000}"/>
    <cellStyle name="Notas 3 9 2" xfId="37322" xr:uid="{00000000-0005-0000-0000-000060920000}"/>
    <cellStyle name="Notas 3 9 2 2" xfId="37323" xr:uid="{00000000-0005-0000-0000-000061920000}"/>
    <cellStyle name="Notas 3 9 2 2 2" xfId="37324" xr:uid="{00000000-0005-0000-0000-000062920000}"/>
    <cellStyle name="Notas 3 9 2 2 3" xfId="37325" xr:uid="{00000000-0005-0000-0000-000063920000}"/>
    <cellStyle name="Notas 3 9 2 2 4" xfId="37326" xr:uid="{00000000-0005-0000-0000-000064920000}"/>
    <cellStyle name="Notas 3 9 2 3" xfId="37327" xr:uid="{00000000-0005-0000-0000-000065920000}"/>
    <cellStyle name="Notas 3 9 2 3 2" xfId="37328" xr:uid="{00000000-0005-0000-0000-000066920000}"/>
    <cellStyle name="Notas 3 9 2 3 3" xfId="37329" xr:uid="{00000000-0005-0000-0000-000067920000}"/>
    <cellStyle name="Notas 3 9 2 3 4" xfId="37330" xr:uid="{00000000-0005-0000-0000-000068920000}"/>
    <cellStyle name="Notas 3 9 2 4" xfId="37331" xr:uid="{00000000-0005-0000-0000-000069920000}"/>
    <cellStyle name="Notas 3 9 2 5" xfId="37332" xr:uid="{00000000-0005-0000-0000-00006A920000}"/>
    <cellStyle name="Notas 3 9 2 6" xfId="37333" xr:uid="{00000000-0005-0000-0000-00006B920000}"/>
    <cellStyle name="Notas 3 9 3" xfId="37334" xr:uid="{00000000-0005-0000-0000-00006C920000}"/>
    <cellStyle name="Notas 3 9 3 2" xfId="37335" xr:uid="{00000000-0005-0000-0000-00006D920000}"/>
    <cellStyle name="Notas 3 9 3 2 2" xfId="37336" xr:uid="{00000000-0005-0000-0000-00006E920000}"/>
    <cellStyle name="Notas 3 9 3 2 3" xfId="37337" xr:uid="{00000000-0005-0000-0000-00006F920000}"/>
    <cellStyle name="Notas 3 9 3 2 4" xfId="37338" xr:uid="{00000000-0005-0000-0000-000070920000}"/>
    <cellStyle name="Notas 3 9 3 3" xfId="37339" xr:uid="{00000000-0005-0000-0000-000071920000}"/>
    <cellStyle name="Notas 3 9 3 3 2" xfId="37340" xr:uid="{00000000-0005-0000-0000-000072920000}"/>
    <cellStyle name="Notas 3 9 3 3 3" xfId="37341" xr:uid="{00000000-0005-0000-0000-000073920000}"/>
    <cellStyle name="Notas 3 9 3 3 4" xfId="37342" xr:uid="{00000000-0005-0000-0000-000074920000}"/>
    <cellStyle name="Notas 3 9 3 4" xfId="37343" xr:uid="{00000000-0005-0000-0000-000075920000}"/>
    <cellStyle name="Notas 3 9 3 5" xfId="37344" xr:uid="{00000000-0005-0000-0000-000076920000}"/>
    <cellStyle name="Notas 3 9 3 6" xfId="37345" xr:uid="{00000000-0005-0000-0000-000077920000}"/>
    <cellStyle name="Notas 3 9 4" xfId="37346" xr:uid="{00000000-0005-0000-0000-000078920000}"/>
    <cellStyle name="Notas 3 9 4 2" xfId="37347" xr:uid="{00000000-0005-0000-0000-000079920000}"/>
    <cellStyle name="Notas 3 9 4 3" xfId="37348" xr:uid="{00000000-0005-0000-0000-00007A920000}"/>
    <cellStyle name="Notas 3 9 4 4" xfId="37349" xr:uid="{00000000-0005-0000-0000-00007B920000}"/>
    <cellStyle name="Notas 3 9 5" xfId="37350" xr:uid="{00000000-0005-0000-0000-00007C920000}"/>
    <cellStyle name="Notas 3 9 6" xfId="37351" xr:uid="{00000000-0005-0000-0000-00007D920000}"/>
    <cellStyle name="Notas 4" xfId="37352" xr:uid="{00000000-0005-0000-0000-00007E920000}"/>
    <cellStyle name="Notas 4 10" xfId="37353" xr:uid="{00000000-0005-0000-0000-00007F920000}"/>
    <cellStyle name="Notas 4 10 2" xfId="37354" xr:uid="{00000000-0005-0000-0000-000080920000}"/>
    <cellStyle name="Notas 4 10 2 2" xfId="37355" xr:uid="{00000000-0005-0000-0000-000081920000}"/>
    <cellStyle name="Notas 4 10 2 2 2" xfId="37356" xr:uid="{00000000-0005-0000-0000-000082920000}"/>
    <cellStyle name="Notas 4 10 2 2 3" xfId="37357" xr:uid="{00000000-0005-0000-0000-000083920000}"/>
    <cellStyle name="Notas 4 10 2 2 4" xfId="37358" xr:uid="{00000000-0005-0000-0000-000084920000}"/>
    <cellStyle name="Notas 4 10 2 3" xfId="37359" xr:uid="{00000000-0005-0000-0000-000085920000}"/>
    <cellStyle name="Notas 4 10 2 3 2" xfId="37360" xr:uid="{00000000-0005-0000-0000-000086920000}"/>
    <cellStyle name="Notas 4 10 2 3 3" xfId="37361" xr:uid="{00000000-0005-0000-0000-000087920000}"/>
    <cellStyle name="Notas 4 10 2 3 4" xfId="37362" xr:uid="{00000000-0005-0000-0000-000088920000}"/>
    <cellStyle name="Notas 4 10 2 4" xfId="37363" xr:uid="{00000000-0005-0000-0000-000089920000}"/>
    <cellStyle name="Notas 4 10 2 5" xfId="37364" xr:uid="{00000000-0005-0000-0000-00008A920000}"/>
    <cellStyle name="Notas 4 10 2 6" xfId="37365" xr:uid="{00000000-0005-0000-0000-00008B920000}"/>
    <cellStyle name="Notas 4 10 3" xfId="37366" xr:uid="{00000000-0005-0000-0000-00008C920000}"/>
    <cellStyle name="Notas 4 10 3 2" xfId="37367" xr:uid="{00000000-0005-0000-0000-00008D920000}"/>
    <cellStyle name="Notas 4 10 3 2 2" xfId="37368" xr:uid="{00000000-0005-0000-0000-00008E920000}"/>
    <cellStyle name="Notas 4 10 3 2 3" xfId="37369" xr:uid="{00000000-0005-0000-0000-00008F920000}"/>
    <cellStyle name="Notas 4 10 3 2 4" xfId="37370" xr:uid="{00000000-0005-0000-0000-000090920000}"/>
    <cellStyle name="Notas 4 10 3 3" xfId="37371" xr:uid="{00000000-0005-0000-0000-000091920000}"/>
    <cellStyle name="Notas 4 10 3 3 2" xfId="37372" xr:uid="{00000000-0005-0000-0000-000092920000}"/>
    <cellStyle name="Notas 4 10 3 3 3" xfId="37373" xr:uid="{00000000-0005-0000-0000-000093920000}"/>
    <cellStyle name="Notas 4 10 3 3 4" xfId="37374" xr:uid="{00000000-0005-0000-0000-000094920000}"/>
    <cellStyle name="Notas 4 10 3 4" xfId="37375" xr:uid="{00000000-0005-0000-0000-000095920000}"/>
    <cellStyle name="Notas 4 10 3 5" xfId="37376" xr:uid="{00000000-0005-0000-0000-000096920000}"/>
    <cellStyle name="Notas 4 10 3 6" xfId="37377" xr:uid="{00000000-0005-0000-0000-000097920000}"/>
    <cellStyle name="Notas 4 10 4" xfId="37378" xr:uid="{00000000-0005-0000-0000-000098920000}"/>
    <cellStyle name="Notas 4 10 4 2" xfId="37379" xr:uid="{00000000-0005-0000-0000-000099920000}"/>
    <cellStyle name="Notas 4 10 4 3" xfId="37380" xr:uid="{00000000-0005-0000-0000-00009A920000}"/>
    <cellStyle name="Notas 4 10 4 4" xfId="37381" xr:uid="{00000000-0005-0000-0000-00009B920000}"/>
    <cellStyle name="Notas 4 10 5" xfId="37382" xr:uid="{00000000-0005-0000-0000-00009C920000}"/>
    <cellStyle name="Notas 4 10 6" xfId="37383" xr:uid="{00000000-0005-0000-0000-00009D920000}"/>
    <cellStyle name="Notas 4 11" xfId="37384" xr:uid="{00000000-0005-0000-0000-00009E920000}"/>
    <cellStyle name="Notas 4 11 2" xfId="37385" xr:uid="{00000000-0005-0000-0000-00009F920000}"/>
    <cellStyle name="Notas 4 11 2 2" xfId="37386" xr:uid="{00000000-0005-0000-0000-0000A0920000}"/>
    <cellStyle name="Notas 4 11 2 2 2" xfId="37387" xr:uid="{00000000-0005-0000-0000-0000A1920000}"/>
    <cellStyle name="Notas 4 11 2 2 3" xfId="37388" xr:uid="{00000000-0005-0000-0000-0000A2920000}"/>
    <cellStyle name="Notas 4 11 2 2 4" xfId="37389" xr:uid="{00000000-0005-0000-0000-0000A3920000}"/>
    <cellStyle name="Notas 4 11 2 3" xfId="37390" xr:uid="{00000000-0005-0000-0000-0000A4920000}"/>
    <cellStyle name="Notas 4 11 2 3 2" xfId="37391" xr:uid="{00000000-0005-0000-0000-0000A5920000}"/>
    <cellStyle name="Notas 4 11 2 3 3" xfId="37392" xr:uid="{00000000-0005-0000-0000-0000A6920000}"/>
    <cellStyle name="Notas 4 11 2 3 4" xfId="37393" xr:uid="{00000000-0005-0000-0000-0000A7920000}"/>
    <cellStyle name="Notas 4 11 2 4" xfId="37394" xr:uid="{00000000-0005-0000-0000-0000A8920000}"/>
    <cellStyle name="Notas 4 11 2 5" xfId="37395" xr:uid="{00000000-0005-0000-0000-0000A9920000}"/>
    <cellStyle name="Notas 4 11 2 6" xfId="37396" xr:uid="{00000000-0005-0000-0000-0000AA920000}"/>
    <cellStyle name="Notas 4 11 3" xfId="37397" xr:uid="{00000000-0005-0000-0000-0000AB920000}"/>
    <cellStyle name="Notas 4 11 3 2" xfId="37398" xr:uid="{00000000-0005-0000-0000-0000AC920000}"/>
    <cellStyle name="Notas 4 11 3 2 2" xfId="37399" xr:uid="{00000000-0005-0000-0000-0000AD920000}"/>
    <cellStyle name="Notas 4 11 3 2 3" xfId="37400" xr:uid="{00000000-0005-0000-0000-0000AE920000}"/>
    <cellStyle name="Notas 4 11 3 2 4" xfId="37401" xr:uid="{00000000-0005-0000-0000-0000AF920000}"/>
    <cellStyle name="Notas 4 11 3 3" xfId="37402" xr:uid="{00000000-0005-0000-0000-0000B0920000}"/>
    <cellStyle name="Notas 4 11 3 3 2" xfId="37403" xr:uid="{00000000-0005-0000-0000-0000B1920000}"/>
    <cellStyle name="Notas 4 11 3 3 3" xfId="37404" xr:uid="{00000000-0005-0000-0000-0000B2920000}"/>
    <cellStyle name="Notas 4 11 3 3 4" xfId="37405" xr:uid="{00000000-0005-0000-0000-0000B3920000}"/>
    <cellStyle name="Notas 4 11 3 4" xfId="37406" xr:uid="{00000000-0005-0000-0000-0000B4920000}"/>
    <cellStyle name="Notas 4 11 3 5" xfId="37407" xr:uid="{00000000-0005-0000-0000-0000B5920000}"/>
    <cellStyle name="Notas 4 11 3 6" xfId="37408" xr:uid="{00000000-0005-0000-0000-0000B6920000}"/>
    <cellStyle name="Notas 4 11 4" xfId="37409" xr:uid="{00000000-0005-0000-0000-0000B7920000}"/>
    <cellStyle name="Notas 4 11 4 2" xfId="37410" xr:uid="{00000000-0005-0000-0000-0000B8920000}"/>
    <cellStyle name="Notas 4 11 4 3" xfId="37411" xr:uid="{00000000-0005-0000-0000-0000B9920000}"/>
    <cellStyle name="Notas 4 11 4 4" xfId="37412" xr:uid="{00000000-0005-0000-0000-0000BA920000}"/>
    <cellStyle name="Notas 4 11 5" xfId="37413" xr:uid="{00000000-0005-0000-0000-0000BB920000}"/>
    <cellStyle name="Notas 4 11 6" xfId="37414" xr:uid="{00000000-0005-0000-0000-0000BC920000}"/>
    <cellStyle name="Notas 4 12" xfId="37415" xr:uid="{00000000-0005-0000-0000-0000BD920000}"/>
    <cellStyle name="Notas 4 12 2" xfId="37416" xr:uid="{00000000-0005-0000-0000-0000BE920000}"/>
    <cellStyle name="Notas 4 12 2 2" xfId="37417" xr:uid="{00000000-0005-0000-0000-0000BF920000}"/>
    <cellStyle name="Notas 4 12 2 2 2" xfId="37418" xr:uid="{00000000-0005-0000-0000-0000C0920000}"/>
    <cellStyle name="Notas 4 12 2 2 3" xfId="37419" xr:uid="{00000000-0005-0000-0000-0000C1920000}"/>
    <cellStyle name="Notas 4 12 2 2 4" xfId="37420" xr:uid="{00000000-0005-0000-0000-0000C2920000}"/>
    <cellStyle name="Notas 4 12 2 3" xfId="37421" xr:uid="{00000000-0005-0000-0000-0000C3920000}"/>
    <cellStyle name="Notas 4 12 2 3 2" xfId="37422" xr:uid="{00000000-0005-0000-0000-0000C4920000}"/>
    <cellStyle name="Notas 4 12 2 3 3" xfId="37423" xr:uid="{00000000-0005-0000-0000-0000C5920000}"/>
    <cellStyle name="Notas 4 12 2 3 4" xfId="37424" xr:uid="{00000000-0005-0000-0000-0000C6920000}"/>
    <cellStyle name="Notas 4 12 2 4" xfId="37425" xr:uid="{00000000-0005-0000-0000-0000C7920000}"/>
    <cellStyle name="Notas 4 12 2 5" xfId="37426" xr:uid="{00000000-0005-0000-0000-0000C8920000}"/>
    <cellStyle name="Notas 4 12 2 6" xfId="37427" xr:uid="{00000000-0005-0000-0000-0000C9920000}"/>
    <cellStyle name="Notas 4 12 3" xfId="37428" xr:uid="{00000000-0005-0000-0000-0000CA920000}"/>
    <cellStyle name="Notas 4 12 3 2" xfId="37429" xr:uid="{00000000-0005-0000-0000-0000CB920000}"/>
    <cellStyle name="Notas 4 12 3 2 2" xfId="37430" xr:uid="{00000000-0005-0000-0000-0000CC920000}"/>
    <cellStyle name="Notas 4 12 3 2 3" xfId="37431" xr:uid="{00000000-0005-0000-0000-0000CD920000}"/>
    <cellStyle name="Notas 4 12 3 2 4" xfId="37432" xr:uid="{00000000-0005-0000-0000-0000CE920000}"/>
    <cellStyle name="Notas 4 12 3 3" xfId="37433" xr:uid="{00000000-0005-0000-0000-0000CF920000}"/>
    <cellStyle name="Notas 4 12 3 3 2" xfId="37434" xr:uid="{00000000-0005-0000-0000-0000D0920000}"/>
    <cellStyle name="Notas 4 12 3 3 3" xfId="37435" xr:uid="{00000000-0005-0000-0000-0000D1920000}"/>
    <cellStyle name="Notas 4 12 3 3 4" xfId="37436" xr:uid="{00000000-0005-0000-0000-0000D2920000}"/>
    <cellStyle name="Notas 4 12 3 4" xfId="37437" xr:uid="{00000000-0005-0000-0000-0000D3920000}"/>
    <cellStyle name="Notas 4 12 3 5" xfId="37438" xr:uid="{00000000-0005-0000-0000-0000D4920000}"/>
    <cellStyle name="Notas 4 12 3 6" xfId="37439" xr:uid="{00000000-0005-0000-0000-0000D5920000}"/>
    <cellStyle name="Notas 4 12 4" xfId="37440" xr:uid="{00000000-0005-0000-0000-0000D6920000}"/>
    <cellStyle name="Notas 4 12 4 2" xfId="37441" xr:uid="{00000000-0005-0000-0000-0000D7920000}"/>
    <cellStyle name="Notas 4 12 4 3" xfId="37442" xr:uid="{00000000-0005-0000-0000-0000D8920000}"/>
    <cellStyle name="Notas 4 12 4 4" xfId="37443" xr:uid="{00000000-0005-0000-0000-0000D9920000}"/>
    <cellStyle name="Notas 4 12 5" xfId="37444" xr:uid="{00000000-0005-0000-0000-0000DA920000}"/>
    <cellStyle name="Notas 4 12 6" xfId="37445" xr:uid="{00000000-0005-0000-0000-0000DB920000}"/>
    <cellStyle name="Notas 4 13" xfId="37446" xr:uid="{00000000-0005-0000-0000-0000DC920000}"/>
    <cellStyle name="Notas 4 13 2" xfId="37447" xr:uid="{00000000-0005-0000-0000-0000DD920000}"/>
    <cellStyle name="Notas 4 13 2 2" xfId="37448" xr:uid="{00000000-0005-0000-0000-0000DE920000}"/>
    <cellStyle name="Notas 4 13 2 2 2" xfId="37449" xr:uid="{00000000-0005-0000-0000-0000DF920000}"/>
    <cellStyle name="Notas 4 13 2 2 3" xfId="37450" xr:uid="{00000000-0005-0000-0000-0000E0920000}"/>
    <cellStyle name="Notas 4 13 2 2 4" xfId="37451" xr:uid="{00000000-0005-0000-0000-0000E1920000}"/>
    <cellStyle name="Notas 4 13 2 3" xfId="37452" xr:uid="{00000000-0005-0000-0000-0000E2920000}"/>
    <cellStyle name="Notas 4 13 2 3 2" xfId="37453" xr:uid="{00000000-0005-0000-0000-0000E3920000}"/>
    <cellStyle name="Notas 4 13 2 3 3" xfId="37454" xr:uid="{00000000-0005-0000-0000-0000E4920000}"/>
    <cellStyle name="Notas 4 13 2 3 4" xfId="37455" xr:uid="{00000000-0005-0000-0000-0000E5920000}"/>
    <cellStyle name="Notas 4 13 2 4" xfId="37456" xr:uid="{00000000-0005-0000-0000-0000E6920000}"/>
    <cellStyle name="Notas 4 13 2 5" xfId="37457" xr:uid="{00000000-0005-0000-0000-0000E7920000}"/>
    <cellStyle name="Notas 4 13 2 6" xfId="37458" xr:uid="{00000000-0005-0000-0000-0000E8920000}"/>
    <cellStyle name="Notas 4 13 3" xfId="37459" xr:uid="{00000000-0005-0000-0000-0000E9920000}"/>
    <cellStyle name="Notas 4 13 3 2" xfId="37460" xr:uid="{00000000-0005-0000-0000-0000EA920000}"/>
    <cellStyle name="Notas 4 13 3 2 2" xfId="37461" xr:uid="{00000000-0005-0000-0000-0000EB920000}"/>
    <cellStyle name="Notas 4 13 3 2 3" xfId="37462" xr:uid="{00000000-0005-0000-0000-0000EC920000}"/>
    <cellStyle name="Notas 4 13 3 2 4" xfId="37463" xr:uid="{00000000-0005-0000-0000-0000ED920000}"/>
    <cellStyle name="Notas 4 13 3 3" xfId="37464" xr:uid="{00000000-0005-0000-0000-0000EE920000}"/>
    <cellStyle name="Notas 4 13 3 3 2" xfId="37465" xr:uid="{00000000-0005-0000-0000-0000EF920000}"/>
    <cellStyle name="Notas 4 13 3 3 3" xfId="37466" xr:uid="{00000000-0005-0000-0000-0000F0920000}"/>
    <cellStyle name="Notas 4 13 3 3 4" xfId="37467" xr:uid="{00000000-0005-0000-0000-0000F1920000}"/>
    <cellStyle name="Notas 4 13 3 4" xfId="37468" xr:uid="{00000000-0005-0000-0000-0000F2920000}"/>
    <cellStyle name="Notas 4 13 3 5" xfId="37469" xr:uid="{00000000-0005-0000-0000-0000F3920000}"/>
    <cellStyle name="Notas 4 13 3 6" xfId="37470" xr:uid="{00000000-0005-0000-0000-0000F4920000}"/>
    <cellStyle name="Notas 4 13 4" xfId="37471" xr:uid="{00000000-0005-0000-0000-0000F5920000}"/>
    <cellStyle name="Notas 4 13 5" xfId="37472" xr:uid="{00000000-0005-0000-0000-0000F6920000}"/>
    <cellStyle name="Notas 4 13 6" xfId="37473" xr:uid="{00000000-0005-0000-0000-0000F7920000}"/>
    <cellStyle name="Notas 4 14" xfId="37474" xr:uid="{00000000-0005-0000-0000-0000F8920000}"/>
    <cellStyle name="Notas 4 15" xfId="37475" xr:uid="{00000000-0005-0000-0000-0000F9920000}"/>
    <cellStyle name="Notas 4 2" xfId="37476" xr:uid="{00000000-0005-0000-0000-0000FA920000}"/>
    <cellStyle name="Notas 4 2 10" xfId="37477" xr:uid="{00000000-0005-0000-0000-0000FB920000}"/>
    <cellStyle name="Notas 4 2 10 2" xfId="37478" xr:uid="{00000000-0005-0000-0000-0000FC920000}"/>
    <cellStyle name="Notas 4 2 10 2 2" xfId="37479" xr:uid="{00000000-0005-0000-0000-0000FD920000}"/>
    <cellStyle name="Notas 4 2 10 2 2 2" xfId="37480" xr:uid="{00000000-0005-0000-0000-0000FE920000}"/>
    <cellStyle name="Notas 4 2 10 2 2 3" xfId="37481" xr:uid="{00000000-0005-0000-0000-0000FF920000}"/>
    <cellStyle name="Notas 4 2 10 2 2 4" xfId="37482" xr:uid="{00000000-0005-0000-0000-000000930000}"/>
    <cellStyle name="Notas 4 2 10 2 3" xfId="37483" xr:uid="{00000000-0005-0000-0000-000001930000}"/>
    <cellStyle name="Notas 4 2 10 2 3 2" xfId="37484" xr:uid="{00000000-0005-0000-0000-000002930000}"/>
    <cellStyle name="Notas 4 2 10 2 3 3" xfId="37485" xr:uid="{00000000-0005-0000-0000-000003930000}"/>
    <cellStyle name="Notas 4 2 10 2 3 4" xfId="37486" xr:uid="{00000000-0005-0000-0000-000004930000}"/>
    <cellStyle name="Notas 4 2 10 2 4" xfId="37487" xr:uid="{00000000-0005-0000-0000-000005930000}"/>
    <cellStyle name="Notas 4 2 10 2 5" xfId="37488" xr:uid="{00000000-0005-0000-0000-000006930000}"/>
    <cellStyle name="Notas 4 2 10 2 6" xfId="37489" xr:uid="{00000000-0005-0000-0000-000007930000}"/>
    <cellStyle name="Notas 4 2 10 3" xfId="37490" xr:uid="{00000000-0005-0000-0000-000008930000}"/>
    <cellStyle name="Notas 4 2 10 3 2" xfId="37491" xr:uid="{00000000-0005-0000-0000-000009930000}"/>
    <cellStyle name="Notas 4 2 10 3 2 2" xfId="37492" xr:uid="{00000000-0005-0000-0000-00000A930000}"/>
    <cellStyle name="Notas 4 2 10 3 2 3" xfId="37493" xr:uid="{00000000-0005-0000-0000-00000B930000}"/>
    <cellStyle name="Notas 4 2 10 3 2 4" xfId="37494" xr:uid="{00000000-0005-0000-0000-00000C930000}"/>
    <cellStyle name="Notas 4 2 10 3 3" xfId="37495" xr:uid="{00000000-0005-0000-0000-00000D930000}"/>
    <cellStyle name="Notas 4 2 10 3 3 2" xfId="37496" xr:uid="{00000000-0005-0000-0000-00000E930000}"/>
    <cellStyle name="Notas 4 2 10 3 3 3" xfId="37497" xr:uid="{00000000-0005-0000-0000-00000F930000}"/>
    <cellStyle name="Notas 4 2 10 3 3 4" xfId="37498" xr:uid="{00000000-0005-0000-0000-000010930000}"/>
    <cellStyle name="Notas 4 2 10 3 4" xfId="37499" xr:uid="{00000000-0005-0000-0000-000011930000}"/>
    <cellStyle name="Notas 4 2 10 3 5" xfId="37500" xr:uid="{00000000-0005-0000-0000-000012930000}"/>
    <cellStyle name="Notas 4 2 10 3 6" xfId="37501" xr:uid="{00000000-0005-0000-0000-000013930000}"/>
    <cellStyle name="Notas 4 2 10 4" xfId="37502" xr:uid="{00000000-0005-0000-0000-000014930000}"/>
    <cellStyle name="Notas 4 2 10 4 2" xfId="37503" xr:uid="{00000000-0005-0000-0000-000015930000}"/>
    <cellStyle name="Notas 4 2 10 4 3" xfId="37504" xr:uid="{00000000-0005-0000-0000-000016930000}"/>
    <cellStyle name="Notas 4 2 10 4 4" xfId="37505" xr:uid="{00000000-0005-0000-0000-000017930000}"/>
    <cellStyle name="Notas 4 2 10 5" xfId="37506" xr:uid="{00000000-0005-0000-0000-000018930000}"/>
    <cellStyle name="Notas 4 2 10 6" xfId="37507" xr:uid="{00000000-0005-0000-0000-000019930000}"/>
    <cellStyle name="Notas 4 2 11" xfId="37508" xr:uid="{00000000-0005-0000-0000-00001A930000}"/>
    <cellStyle name="Notas 4 2 11 2" xfId="37509" xr:uid="{00000000-0005-0000-0000-00001B930000}"/>
    <cellStyle name="Notas 4 2 11 2 2" xfId="37510" xr:uid="{00000000-0005-0000-0000-00001C930000}"/>
    <cellStyle name="Notas 4 2 11 2 2 2" xfId="37511" xr:uid="{00000000-0005-0000-0000-00001D930000}"/>
    <cellStyle name="Notas 4 2 11 2 2 3" xfId="37512" xr:uid="{00000000-0005-0000-0000-00001E930000}"/>
    <cellStyle name="Notas 4 2 11 2 2 4" xfId="37513" xr:uid="{00000000-0005-0000-0000-00001F930000}"/>
    <cellStyle name="Notas 4 2 11 2 3" xfId="37514" xr:uid="{00000000-0005-0000-0000-000020930000}"/>
    <cellStyle name="Notas 4 2 11 2 3 2" xfId="37515" xr:uid="{00000000-0005-0000-0000-000021930000}"/>
    <cellStyle name="Notas 4 2 11 2 3 3" xfId="37516" xr:uid="{00000000-0005-0000-0000-000022930000}"/>
    <cellStyle name="Notas 4 2 11 2 3 4" xfId="37517" xr:uid="{00000000-0005-0000-0000-000023930000}"/>
    <cellStyle name="Notas 4 2 11 2 4" xfId="37518" xr:uid="{00000000-0005-0000-0000-000024930000}"/>
    <cellStyle name="Notas 4 2 11 2 5" xfId="37519" xr:uid="{00000000-0005-0000-0000-000025930000}"/>
    <cellStyle name="Notas 4 2 11 2 6" xfId="37520" xr:uid="{00000000-0005-0000-0000-000026930000}"/>
    <cellStyle name="Notas 4 2 11 3" xfId="37521" xr:uid="{00000000-0005-0000-0000-000027930000}"/>
    <cellStyle name="Notas 4 2 11 3 2" xfId="37522" xr:uid="{00000000-0005-0000-0000-000028930000}"/>
    <cellStyle name="Notas 4 2 11 3 2 2" xfId="37523" xr:uid="{00000000-0005-0000-0000-000029930000}"/>
    <cellStyle name="Notas 4 2 11 3 2 3" xfId="37524" xr:uid="{00000000-0005-0000-0000-00002A930000}"/>
    <cellStyle name="Notas 4 2 11 3 2 4" xfId="37525" xr:uid="{00000000-0005-0000-0000-00002B930000}"/>
    <cellStyle name="Notas 4 2 11 3 3" xfId="37526" xr:uid="{00000000-0005-0000-0000-00002C930000}"/>
    <cellStyle name="Notas 4 2 11 3 3 2" xfId="37527" xr:uid="{00000000-0005-0000-0000-00002D930000}"/>
    <cellStyle name="Notas 4 2 11 3 3 3" xfId="37528" xr:uid="{00000000-0005-0000-0000-00002E930000}"/>
    <cellStyle name="Notas 4 2 11 3 3 4" xfId="37529" xr:uid="{00000000-0005-0000-0000-00002F930000}"/>
    <cellStyle name="Notas 4 2 11 3 4" xfId="37530" xr:uid="{00000000-0005-0000-0000-000030930000}"/>
    <cellStyle name="Notas 4 2 11 3 5" xfId="37531" xr:uid="{00000000-0005-0000-0000-000031930000}"/>
    <cellStyle name="Notas 4 2 11 3 6" xfId="37532" xr:uid="{00000000-0005-0000-0000-000032930000}"/>
    <cellStyle name="Notas 4 2 11 4" xfId="37533" xr:uid="{00000000-0005-0000-0000-000033930000}"/>
    <cellStyle name="Notas 4 2 11 4 2" xfId="37534" xr:uid="{00000000-0005-0000-0000-000034930000}"/>
    <cellStyle name="Notas 4 2 11 4 3" xfId="37535" xr:uid="{00000000-0005-0000-0000-000035930000}"/>
    <cellStyle name="Notas 4 2 11 4 4" xfId="37536" xr:uid="{00000000-0005-0000-0000-000036930000}"/>
    <cellStyle name="Notas 4 2 11 5" xfId="37537" xr:uid="{00000000-0005-0000-0000-000037930000}"/>
    <cellStyle name="Notas 4 2 11 6" xfId="37538" xr:uid="{00000000-0005-0000-0000-000038930000}"/>
    <cellStyle name="Notas 4 2 12" xfId="37539" xr:uid="{00000000-0005-0000-0000-000039930000}"/>
    <cellStyle name="Notas 4 2 12 2" xfId="37540" xr:uid="{00000000-0005-0000-0000-00003A930000}"/>
    <cellStyle name="Notas 4 2 12 2 2" xfId="37541" xr:uid="{00000000-0005-0000-0000-00003B930000}"/>
    <cellStyle name="Notas 4 2 12 2 2 2" xfId="37542" xr:uid="{00000000-0005-0000-0000-00003C930000}"/>
    <cellStyle name="Notas 4 2 12 2 2 3" xfId="37543" xr:uid="{00000000-0005-0000-0000-00003D930000}"/>
    <cellStyle name="Notas 4 2 12 2 2 4" xfId="37544" xr:uid="{00000000-0005-0000-0000-00003E930000}"/>
    <cellStyle name="Notas 4 2 12 2 3" xfId="37545" xr:uid="{00000000-0005-0000-0000-00003F930000}"/>
    <cellStyle name="Notas 4 2 12 2 3 2" xfId="37546" xr:uid="{00000000-0005-0000-0000-000040930000}"/>
    <cellStyle name="Notas 4 2 12 2 3 3" xfId="37547" xr:uid="{00000000-0005-0000-0000-000041930000}"/>
    <cellStyle name="Notas 4 2 12 2 3 4" xfId="37548" xr:uid="{00000000-0005-0000-0000-000042930000}"/>
    <cellStyle name="Notas 4 2 12 2 4" xfId="37549" xr:uid="{00000000-0005-0000-0000-000043930000}"/>
    <cellStyle name="Notas 4 2 12 2 5" xfId="37550" xr:uid="{00000000-0005-0000-0000-000044930000}"/>
    <cellStyle name="Notas 4 2 12 2 6" xfId="37551" xr:uid="{00000000-0005-0000-0000-000045930000}"/>
    <cellStyle name="Notas 4 2 12 3" xfId="37552" xr:uid="{00000000-0005-0000-0000-000046930000}"/>
    <cellStyle name="Notas 4 2 12 3 2" xfId="37553" xr:uid="{00000000-0005-0000-0000-000047930000}"/>
    <cellStyle name="Notas 4 2 12 3 2 2" xfId="37554" xr:uid="{00000000-0005-0000-0000-000048930000}"/>
    <cellStyle name="Notas 4 2 12 3 2 3" xfId="37555" xr:uid="{00000000-0005-0000-0000-000049930000}"/>
    <cellStyle name="Notas 4 2 12 3 2 4" xfId="37556" xr:uid="{00000000-0005-0000-0000-00004A930000}"/>
    <cellStyle name="Notas 4 2 12 3 3" xfId="37557" xr:uid="{00000000-0005-0000-0000-00004B930000}"/>
    <cellStyle name="Notas 4 2 12 3 3 2" xfId="37558" xr:uid="{00000000-0005-0000-0000-00004C930000}"/>
    <cellStyle name="Notas 4 2 12 3 3 3" xfId="37559" xr:uid="{00000000-0005-0000-0000-00004D930000}"/>
    <cellStyle name="Notas 4 2 12 3 3 4" xfId="37560" xr:uid="{00000000-0005-0000-0000-00004E930000}"/>
    <cellStyle name="Notas 4 2 12 3 4" xfId="37561" xr:uid="{00000000-0005-0000-0000-00004F930000}"/>
    <cellStyle name="Notas 4 2 12 3 5" xfId="37562" xr:uid="{00000000-0005-0000-0000-000050930000}"/>
    <cellStyle name="Notas 4 2 12 3 6" xfId="37563" xr:uid="{00000000-0005-0000-0000-000051930000}"/>
    <cellStyle name="Notas 4 2 12 4" xfId="37564" xr:uid="{00000000-0005-0000-0000-000052930000}"/>
    <cellStyle name="Notas 4 2 12 5" xfId="37565" xr:uid="{00000000-0005-0000-0000-000053930000}"/>
    <cellStyle name="Notas 4 2 12 6" xfId="37566" xr:uid="{00000000-0005-0000-0000-000054930000}"/>
    <cellStyle name="Notas 4 2 13" xfId="37567" xr:uid="{00000000-0005-0000-0000-000055930000}"/>
    <cellStyle name="Notas 4 2 14" xfId="37568" xr:uid="{00000000-0005-0000-0000-000056930000}"/>
    <cellStyle name="Notas 4 2 2" xfId="37569" xr:uid="{00000000-0005-0000-0000-000057930000}"/>
    <cellStyle name="Notas 4 2 2 10" xfId="37570" xr:uid="{00000000-0005-0000-0000-000058930000}"/>
    <cellStyle name="Notas 4 2 2 10 2" xfId="37571" xr:uid="{00000000-0005-0000-0000-000059930000}"/>
    <cellStyle name="Notas 4 2 2 10 2 2" xfId="37572" xr:uid="{00000000-0005-0000-0000-00005A930000}"/>
    <cellStyle name="Notas 4 2 2 10 2 2 2" xfId="37573" xr:uid="{00000000-0005-0000-0000-00005B930000}"/>
    <cellStyle name="Notas 4 2 2 10 2 2 3" xfId="37574" xr:uid="{00000000-0005-0000-0000-00005C930000}"/>
    <cellStyle name="Notas 4 2 2 10 2 2 4" xfId="37575" xr:uid="{00000000-0005-0000-0000-00005D930000}"/>
    <cellStyle name="Notas 4 2 2 10 2 3" xfId="37576" xr:uid="{00000000-0005-0000-0000-00005E930000}"/>
    <cellStyle name="Notas 4 2 2 10 2 3 2" xfId="37577" xr:uid="{00000000-0005-0000-0000-00005F930000}"/>
    <cellStyle name="Notas 4 2 2 10 2 3 3" xfId="37578" xr:uid="{00000000-0005-0000-0000-000060930000}"/>
    <cellStyle name="Notas 4 2 2 10 2 3 4" xfId="37579" xr:uid="{00000000-0005-0000-0000-000061930000}"/>
    <cellStyle name="Notas 4 2 2 10 2 4" xfId="37580" xr:uid="{00000000-0005-0000-0000-000062930000}"/>
    <cellStyle name="Notas 4 2 2 10 2 5" xfId="37581" xr:uid="{00000000-0005-0000-0000-000063930000}"/>
    <cellStyle name="Notas 4 2 2 10 2 6" xfId="37582" xr:uid="{00000000-0005-0000-0000-000064930000}"/>
    <cellStyle name="Notas 4 2 2 10 3" xfId="37583" xr:uid="{00000000-0005-0000-0000-000065930000}"/>
    <cellStyle name="Notas 4 2 2 10 3 2" xfId="37584" xr:uid="{00000000-0005-0000-0000-000066930000}"/>
    <cellStyle name="Notas 4 2 2 10 3 2 2" xfId="37585" xr:uid="{00000000-0005-0000-0000-000067930000}"/>
    <cellStyle name="Notas 4 2 2 10 3 2 3" xfId="37586" xr:uid="{00000000-0005-0000-0000-000068930000}"/>
    <cellStyle name="Notas 4 2 2 10 3 2 4" xfId="37587" xr:uid="{00000000-0005-0000-0000-000069930000}"/>
    <cellStyle name="Notas 4 2 2 10 3 3" xfId="37588" xr:uid="{00000000-0005-0000-0000-00006A930000}"/>
    <cellStyle name="Notas 4 2 2 10 3 3 2" xfId="37589" xr:uid="{00000000-0005-0000-0000-00006B930000}"/>
    <cellStyle name="Notas 4 2 2 10 3 3 3" xfId="37590" xr:uid="{00000000-0005-0000-0000-00006C930000}"/>
    <cellStyle name="Notas 4 2 2 10 3 3 4" xfId="37591" xr:uid="{00000000-0005-0000-0000-00006D930000}"/>
    <cellStyle name="Notas 4 2 2 10 3 4" xfId="37592" xr:uid="{00000000-0005-0000-0000-00006E930000}"/>
    <cellStyle name="Notas 4 2 2 10 3 5" xfId="37593" xr:uid="{00000000-0005-0000-0000-00006F930000}"/>
    <cellStyle name="Notas 4 2 2 10 3 6" xfId="37594" xr:uid="{00000000-0005-0000-0000-000070930000}"/>
    <cellStyle name="Notas 4 2 2 10 4" xfId="37595" xr:uid="{00000000-0005-0000-0000-000071930000}"/>
    <cellStyle name="Notas 4 2 2 10 5" xfId="37596" xr:uid="{00000000-0005-0000-0000-000072930000}"/>
    <cellStyle name="Notas 4 2 2 10 6" xfId="37597" xr:uid="{00000000-0005-0000-0000-000073930000}"/>
    <cellStyle name="Notas 4 2 2 11" xfId="37598" xr:uid="{00000000-0005-0000-0000-000074930000}"/>
    <cellStyle name="Notas 4 2 2 12" xfId="37599" xr:uid="{00000000-0005-0000-0000-000075930000}"/>
    <cellStyle name="Notas 4 2 2 2" xfId="37600" xr:uid="{00000000-0005-0000-0000-000076930000}"/>
    <cellStyle name="Notas 4 2 2 2 2" xfId="37601" xr:uid="{00000000-0005-0000-0000-000077930000}"/>
    <cellStyle name="Notas 4 2 2 2 2 2" xfId="37602" xr:uid="{00000000-0005-0000-0000-000078930000}"/>
    <cellStyle name="Notas 4 2 2 2 2 2 2" xfId="37603" xr:uid="{00000000-0005-0000-0000-000079930000}"/>
    <cellStyle name="Notas 4 2 2 2 2 2 2 2" xfId="37604" xr:uid="{00000000-0005-0000-0000-00007A930000}"/>
    <cellStyle name="Notas 4 2 2 2 2 2 2 3" xfId="37605" xr:uid="{00000000-0005-0000-0000-00007B930000}"/>
    <cellStyle name="Notas 4 2 2 2 2 2 2 4" xfId="37606" xr:uid="{00000000-0005-0000-0000-00007C930000}"/>
    <cellStyle name="Notas 4 2 2 2 2 2 3" xfId="37607" xr:uid="{00000000-0005-0000-0000-00007D930000}"/>
    <cellStyle name="Notas 4 2 2 2 2 2 3 2" xfId="37608" xr:uid="{00000000-0005-0000-0000-00007E930000}"/>
    <cellStyle name="Notas 4 2 2 2 2 2 3 3" xfId="37609" xr:uid="{00000000-0005-0000-0000-00007F930000}"/>
    <cellStyle name="Notas 4 2 2 2 2 2 3 4" xfId="37610" xr:uid="{00000000-0005-0000-0000-000080930000}"/>
    <cellStyle name="Notas 4 2 2 2 2 2 4" xfId="37611" xr:uid="{00000000-0005-0000-0000-000081930000}"/>
    <cellStyle name="Notas 4 2 2 2 2 2 5" xfId="37612" xr:uid="{00000000-0005-0000-0000-000082930000}"/>
    <cellStyle name="Notas 4 2 2 2 2 2 6" xfId="37613" xr:uid="{00000000-0005-0000-0000-000083930000}"/>
    <cellStyle name="Notas 4 2 2 2 2 3" xfId="37614" xr:uid="{00000000-0005-0000-0000-000084930000}"/>
    <cellStyle name="Notas 4 2 2 2 2 3 2" xfId="37615" xr:uid="{00000000-0005-0000-0000-000085930000}"/>
    <cellStyle name="Notas 4 2 2 2 2 3 2 2" xfId="37616" xr:uid="{00000000-0005-0000-0000-000086930000}"/>
    <cellStyle name="Notas 4 2 2 2 2 3 2 3" xfId="37617" xr:uid="{00000000-0005-0000-0000-000087930000}"/>
    <cellStyle name="Notas 4 2 2 2 2 3 2 4" xfId="37618" xr:uid="{00000000-0005-0000-0000-000088930000}"/>
    <cellStyle name="Notas 4 2 2 2 2 3 3" xfId="37619" xr:uid="{00000000-0005-0000-0000-000089930000}"/>
    <cellStyle name="Notas 4 2 2 2 2 3 3 2" xfId="37620" xr:uid="{00000000-0005-0000-0000-00008A930000}"/>
    <cellStyle name="Notas 4 2 2 2 2 3 3 3" xfId="37621" xr:uid="{00000000-0005-0000-0000-00008B930000}"/>
    <cellStyle name="Notas 4 2 2 2 2 3 3 4" xfId="37622" xr:uid="{00000000-0005-0000-0000-00008C930000}"/>
    <cellStyle name="Notas 4 2 2 2 2 3 4" xfId="37623" xr:uid="{00000000-0005-0000-0000-00008D930000}"/>
    <cellStyle name="Notas 4 2 2 2 2 3 5" xfId="37624" xr:uid="{00000000-0005-0000-0000-00008E930000}"/>
    <cellStyle name="Notas 4 2 2 2 2 3 6" xfId="37625" xr:uid="{00000000-0005-0000-0000-00008F930000}"/>
    <cellStyle name="Notas 4 2 2 2 2 4" xfId="37626" xr:uid="{00000000-0005-0000-0000-000090930000}"/>
    <cellStyle name="Notas 4 2 2 2 2 5" xfId="37627" xr:uid="{00000000-0005-0000-0000-000091930000}"/>
    <cellStyle name="Notas 4 2 2 2 2 6" xfId="37628" xr:uid="{00000000-0005-0000-0000-000092930000}"/>
    <cellStyle name="Notas 4 2 2 2 3" xfId="37629" xr:uid="{00000000-0005-0000-0000-000093930000}"/>
    <cellStyle name="Notas 4 2 2 2 4" xfId="37630" xr:uid="{00000000-0005-0000-0000-000094930000}"/>
    <cellStyle name="Notas 4 2 2 3" xfId="37631" xr:uid="{00000000-0005-0000-0000-000095930000}"/>
    <cellStyle name="Notas 4 2 2 3 2" xfId="37632" xr:uid="{00000000-0005-0000-0000-000096930000}"/>
    <cellStyle name="Notas 4 2 2 3 2 2" xfId="37633" xr:uid="{00000000-0005-0000-0000-000097930000}"/>
    <cellStyle name="Notas 4 2 2 3 2 2 2" xfId="37634" xr:uid="{00000000-0005-0000-0000-000098930000}"/>
    <cellStyle name="Notas 4 2 2 3 2 2 2 2" xfId="37635" xr:uid="{00000000-0005-0000-0000-000099930000}"/>
    <cellStyle name="Notas 4 2 2 3 2 2 2 3" xfId="37636" xr:uid="{00000000-0005-0000-0000-00009A930000}"/>
    <cellStyle name="Notas 4 2 2 3 2 2 2 4" xfId="37637" xr:uid="{00000000-0005-0000-0000-00009B930000}"/>
    <cellStyle name="Notas 4 2 2 3 2 2 3" xfId="37638" xr:uid="{00000000-0005-0000-0000-00009C930000}"/>
    <cellStyle name="Notas 4 2 2 3 2 2 3 2" xfId="37639" xr:uid="{00000000-0005-0000-0000-00009D930000}"/>
    <cellStyle name="Notas 4 2 2 3 2 2 3 3" xfId="37640" xr:uid="{00000000-0005-0000-0000-00009E930000}"/>
    <cellStyle name="Notas 4 2 2 3 2 2 3 4" xfId="37641" xr:uid="{00000000-0005-0000-0000-00009F930000}"/>
    <cellStyle name="Notas 4 2 2 3 2 2 4" xfId="37642" xr:uid="{00000000-0005-0000-0000-0000A0930000}"/>
    <cellStyle name="Notas 4 2 2 3 2 2 5" xfId="37643" xr:uid="{00000000-0005-0000-0000-0000A1930000}"/>
    <cellStyle name="Notas 4 2 2 3 2 2 6" xfId="37644" xr:uid="{00000000-0005-0000-0000-0000A2930000}"/>
    <cellStyle name="Notas 4 2 2 3 2 3" xfId="37645" xr:uid="{00000000-0005-0000-0000-0000A3930000}"/>
    <cellStyle name="Notas 4 2 2 3 2 3 2" xfId="37646" xr:uid="{00000000-0005-0000-0000-0000A4930000}"/>
    <cellStyle name="Notas 4 2 2 3 2 3 2 2" xfId="37647" xr:uid="{00000000-0005-0000-0000-0000A5930000}"/>
    <cellStyle name="Notas 4 2 2 3 2 3 2 3" xfId="37648" xr:uid="{00000000-0005-0000-0000-0000A6930000}"/>
    <cellStyle name="Notas 4 2 2 3 2 3 2 4" xfId="37649" xr:uid="{00000000-0005-0000-0000-0000A7930000}"/>
    <cellStyle name="Notas 4 2 2 3 2 3 3" xfId="37650" xr:uid="{00000000-0005-0000-0000-0000A8930000}"/>
    <cellStyle name="Notas 4 2 2 3 2 3 3 2" xfId="37651" xr:uid="{00000000-0005-0000-0000-0000A9930000}"/>
    <cellStyle name="Notas 4 2 2 3 2 3 3 3" xfId="37652" xr:uid="{00000000-0005-0000-0000-0000AA930000}"/>
    <cellStyle name="Notas 4 2 2 3 2 3 3 4" xfId="37653" xr:uid="{00000000-0005-0000-0000-0000AB930000}"/>
    <cellStyle name="Notas 4 2 2 3 2 3 4" xfId="37654" xr:uid="{00000000-0005-0000-0000-0000AC930000}"/>
    <cellStyle name="Notas 4 2 2 3 2 3 5" xfId="37655" xr:uid="{00000000-0005-0000-0000-0000AD930000}"/>
    <cellStyle name="Notas 4 2 2 3 2 3 6" xfId="37656" xr:uid="{00000000-0005-0000-0000-0000AE930000}"/>
    <cellStyle name="Notas 4 2 2 3 2 4" xfId="37657" xr:uid="{00000000-0005-0000-0000-0000AF930000}"/>
    <cellStyle name="Notas 4 2 2 3 2 5" xfId="37658" xr:uid="{00000000-0005-0000-0000-0000B0930000}"/>
    <cellStyle name="Notas 4 2 2 3 2 6" xfId="37659" xr:uid="{00000000-0005-0000-0000-0000B1930000}"/>
    <cellStyle name="Notas 4 2 2 3 3" xfId="37660" xr:uid="{00000000-0005-0000-0000-0000B2930000}"/>
    <cellStyle name="Notas 4 2 2 3 4" xfId="37661" xr:uid="{00000000-0005-0000-0000-0000B3930000}"/>
    <cellStyle name="Notas 4 2 2 4" xfId="37662" xr:uid="{00000000-0005-0000-0000-0000B4930000}"/>
    <cellStyle name="Notas 4 2 2 4 2" xfId="37663" xr:uid="{00000000-0005-0000-0000-0000B5930000}"/>
    <cellStyle name="Notas 4 2 2 4 2 2" xfId="37664" xr:uid="{00000000-0005-0000-0000-0000B6930000}"/>
    <cellStyle name="Notas 4 2 2 4 2 2 2" xfId="37665" xr:uid="{00000000-0005-0000-0000-0000B7930000}"/>
    <cellStyle name="Notas 4 2 2 4 2 2 2 2" xfId="37666" xr:uid="{00000000-0005-0000-0000-0000B8930000}"/>
    <cellStyle name="Notas 4 2 2 4 2 2 2 3" xfId="37667" xr:uid="{00000000-0005-0000-0000-0000B9930000}"/>
    <cellStyle name="Notas 4 2 2 4 2 2 2 4" xfId="37668" xr:uid="{00000000-0005-0000-0000-0000BA930000}"/>
    <cellStyle name="Notas 4 2 2 4 2 2 3" xfId="37669" xr:uid="{00000000-0005-0000-0000-0000BB930000}"/>
    <cellStyle name="Notas 4 2 2 4 2 2 3 2" xfId="37670" xr:uid="{00000000-0005-0000-0000-0000BC930000}"/>
    <cellStyle name="Notas 4 2 2 4 2 2 3 3" xfId="37671" xr:uid="{00000000-0005-0000-0000-0000BD930000}"/>
    <cellStyle name="Notas 4 2 2 4 2 2 3 4" xfId="37672" xr:uid="{00000000-0005-0000-0000-0000BE930000}"/>
    <cellStyle name="Notas 4 2 2 4 2 2 4" xfId="37673" xr:uid="{00000000-0005-0000-0000-0000BF930000}"/>
    <cellStyle name="Notas 4 2 2 4 2 2 5" xfId="37674" xr:uid="{00000000-0005-0000-0000-0000C0930000}"/>
    <cellStyle name="Notas 4 2 2 4 2 2 6" xfId="37675" xr:uid="{00000000-0005-0000-0000-0000C1930000}"/>
    <cellStyle name="Notas 4 2 2 4 2 3" xfId="37676" xr:uid="{00000000-0005-0000-0000-0000C2930000}"/>
    <cellStyle name="Notas 4 2 2 4 2 3 2" xfId="37677" xr:uid="{00000000-0005-0000-0000-0000C3930000}"/>
    <cellStyle name="Notas 4 2 2 4 2 3 2 2" xfId="37678" xr:uid="{00000000-0005-0000-0000-0000C4930000}"/>
    <cellStyle name="Notas 4 2 2 4 2 3 2 3" xfId="37679" xr:uid="{00000000-0005-0000-0000-0000C5930000}"/>
    <cellStyle name="Notas 4 2 2 4 2 3 2 4" xfId="37680" xr:uid="{00000000-0005-0000-0000-0000C6930000}"/>
    <cellStyle name="Notas 4 2 2 4 2 3 3" xfId="37681" xr:uid="{00000000-0005-0000-0000-0000C7930000}"/>
    <cellStyle name="Notas 4 2 2 4 2 3 3 2" xfId="37682" xr:uid="{00000000-0005-0000-0000-0000C8930000}"/>
    <cellStyle name="Notas 4 2 2 4 2 3 3 3" xfId="37683" xr:uid="{00000000-0005-0000-0000-0000C9930000}"/>
    <cellStyle name="Notas 4 2 2 4 2 3 3 4" xfId="37684" xr:uid="{00000000-0005-0000-0000-0000CA930000}"/>
    <cellStyle name="Notas 4 2 2 4 2 3 4" xfId="37685" xr:uid="{00000000-0005-0000-0000-0000CB930000}"/>
    <cellStyle name="Notas 4 2 2 4 2 3 5" xfId="37686" xr:uid="{00000000-0005-0000-0000-0000CC930000}"/>
    <cellStyle name="Notas 4 2 2 4 2 3 6" xfId="37687" xr:uid="{00000000-0005-0000-0000-0000CD930000}"/>
    <cellStyle name="Notas 4 2 2 4 2 4" xfId="37688" xr:uid="{00000000-0005-0000-0000-0000CE930000}"/>
    <cellStyle name="Notas 4 2 2 4 2 5" xfId="37689" xr:uid="{00000000-0005-0000-0000-0000CF930000}"/>
    <cellStyle name="Notas 4 2 2 4 2 6" xfId="37690" xr:uid="{00000000-0005-0000-0000-0000D0930000}"/>
    <cellStyle name="Notas 4 2 2 4 3" xfId="37691" xr:uid="{00000000-0005-0000-0000-0000D1930000}"/>
    <cellStyle name="Notas 4 2 2 4 4" xfId="37692" xr:uid="{00000000-0005-0000-0000-0000D2930000}"/>
    <cellStyle name="Notas 4 2 2 5" xfId="37693" xr:uid="{00000000-0005-0000-0000-0000D3930000}"/>
    <cellStyle name="Notas 4 2 2 5 2" xfId="37694" xr:uid="{00000000-0005-0000-0000-0000D4930000}"/>
    <cellStyle name="Notas 4 2 2 5 2 2" xfId="37695" xr:uid="{00000000-0005-0000-0000-0000D5930000}"/>
    <cellStyle name="Notas 4 2 2 5 2 2 2" xfId="37696" xr:uid="{00000000-0005-0000-0000-0000D6930000}"/>
    <cellStyle name="Notas 4 2 2 5 2 2 2 2" xfId="37697" xr:uid="{00000000-0005-0000-0000-0000D7930000}"/>
    <cellStyle name="Notas 4 2 2 5 2 2 2 3" xfId="37698" xr:uid="{00000000-0005-0000-0000-0000D8930000}"/>
    <cellStyle name="Notas 4 2 2 5 2 2 2 4" xfId="37699" xr:uid="{00000000-0005-0000-0000-0000D9930000}"/>
    <cellStyle name="Notas 4 2 2 5 2 2 3" xfId="37700" xr:uid="{00000000-0005-0000-0000-0000DA930000}"/>
    <cellStyle name="Notas 4 2 2 5 2 2 3 2" xfId="37701" xr:uid="{00000000-0005-0000-0000-0000DB930000}"/>
    <cellStyle name="Notas 4 2 2 5 2 2 3 3" xfId="37702" xr:uid="{00000000-0005-0000-0000-0000DC930000}"/>
    <cellStyle name="Notas 4 2 2 5 2 2 3 4" xfId="37703" xr:uid="{00000000-0005-0000-0000-0000DD930000}"/>
    <cellStyle name="Notas 4 2 2 5 2 2 4" xfId="37704" xr:uid="{00000000-0005-0000-0000-0000DE930000}"/>
    <cellStyle name="Notas 4 2 2 5 2 2 5" xfId="37705" xr:uid="{00000000-0005-0000-0000-0000DF930000}"/>
    <cellStyle name="Notas 4 2 2 5 2 2 6" xfId="37706" xr:uid="{00000000-0005-0000-0000-0000E0930000}"/>
    <cellStyle name="Notas 4 2 2 5 2 3" xfId="37707" xr:uid="{00000000-0005-0000-0000-0000E1930000}"/>
    <cellStyle name="Notas 4 2 2 5 2 3 2" xfId="37708" xr:uid="{00000000-0005-0000-0000-0000E2930000}"/>
    <cellStyle name="Notas 4 2 2 5 2 3 2 2" xfId="37709" xr:uid="{00000000-0005-0000-0000-0000E3930000}"/>
    <cellStyle name="Notas 4 2 2 5 2 3 2 3" xfId="37710" xr:uid="{00000000-0005-0000-0000-0000E4930000}"/>
    <cellStyle name="Notas 4 2 2 5 2 3 2 4" xfId="37711" xr:uid="{00000000-0005-0000-0000-0000E5930000}"/>
    <cellStyle name="Notas 4 2 2 5 2 3 3" xfId="37712" xr:uid="{00000000-0005-0000-0000-0000E6930000}"/>
    <cellStyle name="Notas 4 2 2 5 2 3 3 2" xfId="37713" xr:uid="{00000000-0005-0000-0000-0000E7930000}"/>
    <cellStyle name="Notas 4 2 2 5 2 3 3 3" xfId="37714" xr:uid="{00000000-0005-0000-0000-0000E8930000}"/>
    <cellStyle name="Notas 4 2 2 5 2 3 3 4" xfId="37715" xr:uid="{00000000-0005-0000-0000-0000E9930000}"/>
    <cellStyle name="Notas 4 2 2 5 2 3 4" xfId="37716" xr:uid="{00000000-0005-0000-0000-0000EA930000}"/>
    <cellStyle name="Notas 4 2 2 5 2 3 5" xfId="37717" xr:uid="{00000000-0005-0000-0000-0000EB930000}"/>
    <cellStyle name="Notas 4 2 2 5 2 3 6" xfId="37718" xr:uid="{00000000-0005-0000-0000-0000EC930000}"/>
    <cellStyle name="Notas 4 2 2 5 2 4" xfId="37719" xr:uid="{00000000-0005-0000-0000-0000ED930000}"/>
    <cellStyle name="Notas 4 2 2 5 2 5" xfId="37720" xr:uid="{00000000-0005-0000-0000-0000EE930000}"/>
    <cellStyle name="Notas 4 2 2 5 2 6" xfId="37721" xr:uid="{00000000-0005-0000-0000-0000EF930000}"/>
    <cellStyle name="Notas 4 2 2 5 3" xfId="37722" xr:uid="{00000000-0005-0000-0000-0000F0930000}"/>
    <cellStyle name="Notas 4 2 2 5 4" xfId="37723" xr:uid="{00000000-0005-0000-0000-0000F1930000}"/>
    <cellStyle name="Notas 4 2 2 6" xfId="37724" xr:uid="{00000000-0005-0000-0000-0000F2930000}"/>
    <cellStyle name="Notas 4 2 2 6 2" xfId="37725" xr:uid="{00000000-0005-0000-0000-0000F3930000}"/>
    <cellStyle name="Notas 4 2 2 6 2 2" xfId="37726" xr:uid="{00000000-0005-0000-0000-0000F4930000}"/>
    <cellStyle name="Notas 4 2 2 6 2 2 2" xfId="37727" xr:uid="{00000000-0005-0000-0000-0000F5930000}"/>
    <cellStyle name="Notas 4 2 2 6 2 2 3" xfId="37728" xr:uid="{00000000-0005-0000-0000-0000F6930000}"/>
    <cellStyle name="Notas 4 2 2 6 2 2 4" xfId="37729" xr:uid="{00000000-0005-0000-0000-0000F7930000}"/>
    <cellStyle name="Notas 4 2 2 6 2 3" xfId="37730" xr:uid="{00000000-0005-0000-0000-0000F8930000}"/>
    <cellStyle name="Notas 4 2 2 6 2 3 2" xfId="37731" xr:uid="{00000000-0005-0000-0000-0000F9930000}"/>
    <cellStyle name="Notas 4 2 2 6 2 3 3" xfId="37732" xr:uid="{00000000-0005-0000-0000-0000FA930000}"/>
    <cellStyle name="Notas 4 2 2 6 2 3 4" xfId="37733" xr:uid="{00000000-0005-0000-0000-0000FB930000}"/>
    <cellStyle name="Notas 4 2 2 6 2 4" xfId="37734" xr:uid="{00000000-0005-0000-0000-0000FC930000}"/>
    <cellStyle name="Notas 4 2 2 6 2 5" xfId="37735" xr:uid="{00000000-0005-0000-0000-0000FD930000}"/>
    <cellStyle name="Notas 4 2 2 6 2 6" xfId="37736" xr:uid="{00000000-0005-0000-0000-0000FE930000}"/>
    <cellStyle name="Notas 4 2 2 6 3" xfId="37737" xr:uid="{00000000-0005-0000-0000-0000FF930000}"/>
    <cellStyle name="Notas 4 2 2 6 3 2" xfId="37738" xr:uid="{00000000-0005-0000-0000-000000940000}"/>
    <cellStyle name="Notas 4 2 2 6 3 2 2" xfId="37739" xr:uid="{00000000-0005-0000-0000-000001940000}"/>
    <cellStyle name="Notas 4 2 2 6 3 2 3" xfId="37740" xr:uid="{00000000-0005-0000-0000-000002940000}"/>
    <cellStyle name="Notas 4 2 2 6 3 2 4" xfId="37741" xr:uid="{00000000-0005-0000-0000-000003940000}"/>
    <cellStyle name="Notas 4 2 2 6 3 3" xfId="37742" xr:uid="{00000000-0005-0000-0000-000004940000}"/>
    <cellStyle name="Notas 4 2 2 6 3 3 2" xfId="37743" xr:uid="{00000000-0005-0000-0000-000005940000}"/>
    <cellStyle name="Notas 4 2 2 6 3 3 3" xfId="37744" xr:uid="{00000000-0005-0000-0000-000006940000}"/>
    <cellStyle name="Notas 4 2 2 6 3 3 4" xfId="37745" xr:uid="{00000000-0005-0000-0000-000007940000}"/>
    <cellStyle name="Notas 4 2 2 6 3 4" xfId="37746" xr:uid="{00000000-0005-0000-0000-000008940000}"/>
    <cellStyle name="Notas 4 2 2 6 3 5" xfId="37747" xr:uid="{00000000-0005-0000-0000-000009940000}"/>
    <cellStyle name="Notas 4 2 2 6 3 6" xfId="37748" xr:uid="{00000000-0005-0000-0000-00000A940000}"/>
    <cellStyle name="Notas 4 2 2 6 4" xfId="37749" xr:uid="{00000000-0005-0000-0000-00000B940000}"/>
    <cellStyle name="Notas 4 2 2 6 4 2" xfId="37750" xr:uid="{00000000-0005-0000-0000-00000C940000}"/>
    <cellStyle name="Notas 4 2 2 6 4 3" xfId="37751" xr:uid="{00000000-0005-0000-0000-00000D940000}"/>
    <cellStyle name="Notas 4 2 2 6 4 4" xfId="37752" xr:uid="{00000000-0005-0000-0000-00000E940000}"/>
    <cellStyle name="Notas 4 2 2 6 5" xfId="37753" xr:uid="{00000000-0005-0000-0000-00000F940000}"/>
    <cellStyle name="Notas 4 2 2 6 6" xfId="37754" xr:uid="{00000000-0005-0000-0000-000010940000}"/>
    <cellStyle name="Notas 4 2 2 7" xfId="37755" xr:uid="{00000000-0005-0000-0000-000011940000}"/>
    <cellStyle name="Notas 4 2 2 7 2" xfId="37756" xr:uid="{00000000-0005-0000-0000-000012940000}"/>
    <cellStyle name="Notas 4 2 2 7 2 2" xfId="37757" xr:uid="{00000000-0005-0000-0000-000013940000}"/>
    <cellStyle name="Notas 4 2 2 7 2 2 2" xfId="37758" xr:uid="{00000000-0005-0000-0000-000014940000}"/>
    <cellStyle name="Notas 4 2 2 7 2 2 3" xfId="37759" xr:uid="{00000000-0005-0000-0000-000015940000}"/>
    <cellStyle name="Notas 4 2 2 7 2 2 4" xfId="37760" xr:uid="{00000000-0005-0000-0000-000016940000}"/>
    <cellStyle name="Notas 4 2 2 7 2 3" xfId="37761" xr:uid="{00000000-0005-0000-0000-000017940000}"/>
    <cellStyle name="Notas 4 2 2 7 2 3 2" xfId="37762" xr:uid="{00000000-0005-0000-0000-000018940000}"/>
    <cellStyle name="Notas 4 2 2 7 2 3 3" xfId="37763" xr:uid="{00000000-0005-0000-0000-000019940000}"/>
    <cellStyle name="Notas 4 2 2 7 2 3 4" xfId="37764" xr:uid="{00000000-0005-0000-0000-00001A940000}"/>
    <cellStyle name="Notas 4 2 2 7 2 4" xfId="37765" xr:uid="{00000000-0005-0000-0000-00001B940000}"/>
    <cellStyle name="Notas 4 2 2 7 2 5" xfId="37766" xr:uid="{00000000-0005-0000-0000-00001C940000}"/>
    <cellStyle name="Notas 4 2 2 7 2 6" xfId="37767" xr:uid="{00000000-0005-0000-0000-00001D940000}"/>
    <cellStyle name="Notas 4 2 2 7 3" xfId="37768" xr:uid="{00000000-0005-0000-0000-00001E940000}"/>
    <cellStyle name="Notas 4 2 2 7 3 2" xfId="37769" xr:uid="{00000000-0005-0000-0000-00001F940000}"/>
    <cellStyle name="Notas 4 2 2 7 3 2 2" xfId="37770" xr:uid="{00000000-0005-0000-0000-000020940000}"/>
    <cellStyle name="Notas 4 2 2 7 3 2 3" xfId="37771" xr:uid="{00000000-0005-0000-0000-000021940000}"/>
    <cellStyle name="Notas 4 2 2 7 3 2 4" xfId="37772" xr:uid="{00000000-0005-0000-0000-000022940000}"/>
    <cellStyle name="Notas 4 2 2 7 3 3" xfId="37773" xr:uid="{00000000-0005-0000-0000-000023940000}"/>
    <cellStyle name="Notas 4 2 2 7 3 3 2" xfId="37774" xr:uid="{00000000-0005-0000-0000-000024940000}"/>
    <cellStyle name="Notas 4 2 2 7 3 3 3" xfId="37775" xr:uid="{00000000-0005-0000-0000-000025940000}"/>
    <cellStyle name="Notas 4 2 2 7 3 3 4" xfId="37776" xr:uid="{00000000-0005-0000-0000-000026940000}"/>
    <cellStyle name="Notas 4 2 2 7 3 4" xfId="37777" xr:uid="{00000000-0005-0000-0000-000027940000}"/>
    <cellStyle name="Notas 4 2 2 7 3 5" xfId="37778" xr:uid="{00000000-0005-0000-0000-000028940000}"/>
    <cellStyle name="Notas 4 2 2 7 3 6" xfId="37779" xr:uid="{00000000-0005-0000-0000-000029940000}"/>
    <cellStyle name="Notas 4 2 2 7 4" xfId="37780" xr:uid="{00000000-0005-0000-0000-00002A940000}"/>
    <cellStyle name="Notas 4 2 2 7 4 2" xfId="37781" xr:uid="{00000000-0005-0000-0000-00002B940000}"/>
    <cellStyle name="Notas 4 2 2 7 4 3" xfId="37782" xr:uid="{00000000-0005-0000-0000-00002C940000}"/>
    <cellStyle name="Notas 4 2 2 7 4 4" xfId="37783" xr:uid="{00000000-0005-0000-0000-00002D940000}"/>
    <cellStyle name="Notas 4 2 2 7 5" xfId="37784" xr:uid="{00000000-0005-0000-0000-00002E940000}"/>
    <cellStyle name="Notas 4 2 2 7 6" xfId="37785" xr:uid="{00000000-0005-0000-0000-00002F940000}"/>
    <cellStyle name="Notas 4 2 2 8" xfId="37786" xr:uid="{00000000-0005-0000-0000-000030940000}"/>
    <cellStyle name="Notas 4 2 2 8 2" xfId="37787" xr:uid="{00000000-0005-0000-0000-000031940000}"/>
    <cellStyle name="Notas 4 2 2 8 2 2" xfId="37788" xr:uid="{00000000-0005-0000-0000-000032940000}"/>
    <cellStyle name="Notas 4 2 2 8 2 2 2" xfId="37789" xr:uid="{00000000-0005-0000-0000-000033940000}"/>
    <cellStyle name="Notas 4 2 2 8 2 2 3" xfId="37790" xr:uid="{00000000-0005-0000-0000-000034940000}"/>
    <cellStyle name="Notas 4 2 2 8 2 2 4" xfId="37791" xr:uid="{00000000-0005-0000-0000-000035940000}"/>
    <cellStyle name="Notas 4 2 2 8 2 3" xfId="37792" xr:uid="{00000000-0005-0000-0000-000036940000}"/>
    <cellStyle name="Notas 4 2 2 8 2 3 2" xfId="37793" xr:uid="{00000000-0005-0000-0000-000037940000}"/>
    <cellStyle name="Notas 4 2 2 8 2 3 3" xfId="37794" xr:uid="{00000000-0005-0000-0000-000038940000}"/>
    <cellStyle name="Notas 4 2 2 8 2 3 4" xfId="37795" xr:uid="{00000000-0005-0000-0000-000039940000}"/>
    <cellStyle name="Notas 4 2 2 8 2 4" xfId="37796" xr:uid="{00000000-0005-0000-0000-00003A940000}"/>
    <cellStyle name="Notas 4 2 2 8 2 5" xfId="37797" xr:uid="{00000000-0005-0000-0000-00003B940000}"/>
    <cellStyle name="Notas 4 2 2 8 2 6" xfId="37798" xr:uid="{00000000-0005-0000-0000-00003C940000}"/>
    <cellStyle name="Notas 4 2 2 8 3" xfId="37799" xr:uid="{00000000-0005-0000-0000-00003D940000}"/>
    <cellStyle name="Notas 4 2 2 8 3 2" xfId="37800" xr:uid="{00000000-0005-0000-0000-00003E940000}"/>
    <cellStyle name="Notas 4 2 2 8 3 2 2" xfId="37801" xr:uid="{00000000-0005-0000-0000-00003F940000}"/>
    <cellStyle name="Notas 4 2 2 8 3 2 3" xfId="37802" xr:uid="{00000000-0005-0000-0000-000040940000}"/>
    <cellStyle name="Notas 4 2 2 8 3 2 4" xfId="37803" xr:uid="{00000000-0005-0000-0000-000041940000}"/>
    <cellStyle name="Notas 4 2 2 8 3 3" xfId="37804" xr:uid="{00000000-0005-0000-0000-000042940000}"/>
    <cellStyle name="Notas 4 2 2 8 3 3 2" xfId="37805" xr:uid="{00000000-0005-0000-0000-000043940000}"/>
    <cellStyle name="Notas 4 2 2 8 3 3 3" xfId="37806" xr:uid="{00000000-0005-0000-0000-000044940000}"/>
    <cellStyle name="Notas 4 2 2 8 3 3 4" xfId="37807" xr:uid="{00000000-0005-0000-0000-000045940000}"/>
    <cellStyle name="Notas 4 2 2 8 3 4" xfId="37808" xr:uid="{00000000-0005-0000-0000-000046940000}"/>
    <cellStyle name="Notas 4 2 2 8 3 5" xfId="37809" xr:uid="{00000000-0005-0000-0000-000047940000}"/>
    <cellStyle name="Notas 4 2 2 8 3 6" xfId="37810" xr:uid="{00000000-0005-0000-0000-000048940000}"/>
    <cellStyle name="Notas 4 2 2 8 4" xfId="37811" xr:uid="{00000000-0005-0000-0000-000049940000}"/>
    <cellStyle name="Notas 4 2 2 8 4 2" xfId="37812" xr:uid="{00000000-0005-0000-0000-00004A940000}"/>
    <cellStyle name="Notas 4 2 2 8 4 3" xfId="37813" xr:uid="{00000000-0005-0000-0000-00004B940000}"/>
    <cellStyle name="Notas 4 2 2 8 4 4" xfId="37814" xr:uid="{00000000-0005-0000-0000-00004C940000}"/>
    <cellStyle name="Notas 4 2 2 8 5" xfId="37815" xr:uid="{00000000-0005-0000-0000-00004D940000}"/>
    <cellStyle name="Notas 4 2 2 8 6" xfId="37816" xr:uid="{00000000-0005-0000-0000-00004E940000}"/>
    <cellStyle name="Notas 4 2 2 9" xfId="37817" xr:uid="{00000000-0005-0000-0000-00004F940000}"/>
    <cellStyle name="Notas 4 2 2 9 2" xfId="37818" xr:uid="{00000000-0005-0000-0000-000050940000}"/>
    <cellStyle name="Notas 4 2 2 9 2 2" xfId="37819" xr:uid="{00000000-0005-0000-0000-000051940000}"/>
    <cellStyle name="Notas 4 2 2 9 2 2 2" xfId="37820" xr:uid="{00000000-0005-0000-0000-000052940000}"/>
    <cellStyle name="Notas 4 2 2 9 2 2 3" xfId="37821" xr:uid="{00000000-0005-0000-0000-000053940000}"/>
    <cellStyle name="Notas 4 2 2 9 2 2 4" xfId="37822" xr:uid="{00000000-0005-0000-0000-000054940000}"/>
    <cellStyle name="Notas 4 2 2 9 2 3" xfId="37823" xr:uid="{00000000-0005-0000-0000-000055940000}"/>
    <cellStyle name="Notas 4 2 2 9 2 3 2" xfId="37824" xr:uid="{00000000-0005-0000-0000-000056940000}"/>
    <cellStyle name="Notas 4 2 2 9 2 3 3" xfId="37825" xr:uid="{00000000-0005-0000-0000-000057940000}"/>
    <cellStyle name="Notas 4 2 2 9 2 3 4" xfId="37826" xr:uid="{00000000-0005-0000-0000-000058940000}"/>
    <cellStyle name="Notas 4 2 2 9 2 4" xfId="37827" xr:uid="{00000000-0005-0000-0000-000059940000}"/>
    <cellStyle name="Notas 4 2 2 9 2 5" xfId="37828" xr:uid="{00000000-0005-0000-0000-00005A940000}"/>
    <cellStyle name="Notas 4 2 2 9 2 6" xfId="37829" xr:uid="{00000000-0005-0000-0000-00005B940000}"/>
    <cellStyle name="Notas 4 2 2 9 3" xfId="37830" xr:uid="{00000000-0005-0000-0000-00005C940000}"/>
    <cellStyle name="Notas 4 2 2 9 3 2" xfId="37831" xr:uid="{00000000-0005-0000-0000-00005D940000}"/>
    <cellStyle name="Notas 4 2 2 9 3 2 2" xfId="37832" xr:uid="{00000000-0005-0000-0000-00005E940000}"/>
    <cellStyle name="Notas 4 2 2 9 3 2 3" xfId="37833" xr:uid="{00000000-0005-0000-0000-00005F940000}"/>
    <cellStyle name="Notas 4 2 2 9 3 2 4" xfId="37834" xr:uid="{00000000-0005-0000-0000-000060940000}"/>
    <cellStyle name="Notas 4 2 2 9 3 3" xfId="37835" xr:uid="{00000000-0005-0000-0000-000061940000}"/>
    <cellStyle name="Notas 4 2 2 9 3 3 2" xfId="37836" xr:uid="{00000000-0005-0000-0000-000062940000}"/>
    <cellStyle name="Notas 4 2 2 9 3 3 3" xfId="37837" xr:uid="{00000000-0005-0000-0000-000063940000}"/>
    <cellStyle name="Notas 4 2 2 9 3 3 4" xfId="37838" xr:uid="{00000000-0005-0000-0000-000064940000}"/>
    <cellStyle name="Notas 4 2 2 9 3 4" xfId="37839" xr:uid="{00000000-0005-0000-0000-000065940000}"/>
    <cellStyle name="Notas 4 2 2 9 3 5" xfId="37840" xr:uid="{00000000-0005-0000-0000-000066940000}"/>
    <cellStyle name="Notas 4 2 2 9 3 6" xfId="37841" xr:uid="{00000000-0005-0000-0000-000067940000}"/>
    <cellStyle name="Notas 4 2 2 9 4" xfId="37842" xr:uid="{00000000-0005-0000-0000-000068940000}"/>
    <cellStyle name="Notas 4 2 2 9 4 2" xfId="37843" xr:uid="{00000000-0005-0000-0000-000069940000}"/>
    <cellStyle name="Notas 4 2 2 9 4 3" xfId="37844" xr:uid="{00000000-0005-0000-0000-00006A940000}"/>
    <cellStyle name="Notas 4 2 2 9 4 4" xfId="37845" xr:uid="{00000000-0005-0000-0000-00006B940000}"/>
    <cellStyle name="Notas 4 2 2 9 5" xfId="37846" xr:uid="{00000000-0005-0000-0000-00006C940000}"/>
    <cellStyle name="Notas 4 2 2 9 6" xfId="37847" xr:uid="{00000000-0005-0000-0000-00006D940000}"/>
    <cellStyle name="Notas 4 2 3" xfId="37848" xr:uid="{00000000-0005-0000-0000-00006E940000}"/>
    <cellStyle name="Notas 4 2 3 10" xfId="37849" xr:uid="{00000000-0005-0000-0000-00006F940000}"/>
    <cellStyle name="Notas 4 2 3 10 2" xfId="37850" xr:uid="{00000000-0005-0000-0000-000070940000}"/>
    <cellStyle name="Notas 4 2 3 10 2 2" xfId="37851" xr:uid="{00000000-0005-0000-0000-000071940000}"/>
    <cellStyle name="Notas 4 2 3 10 2 2 2" xfId="37852" xr:uid="{00000000-0005-0000-0000-000072940000}"/>
    <cellStyle name="Notas 4 2 3 10 2 2 3" xfId="37853" xr:uid="{00000000-0005-0000-0000-000073940000}"/>
    <cellStyle name="Notas 4 2 3 10 2 2 4" xfId="37854" xr:uid="{00000000-0005-0000-0000-000074940000}"/>
    <cellStyle name="Notas 4 2 3 10 2 3" xfId="37855" xr:uid="{00000000-0005-0000-0000-000075940000}"/>
    <cellStyle name="Notas 4 2 3 10 2 3 2" xfId="37856" xr:uid="{00000000-0005-0000-0000-000076940000}"/>
    <cellStyle name="Notas 4 2 3 10 2 3 3" xfId="37857" xr:uid="{00000000-0005-0000-0000-000077940000}"/>
    <cellStyle name="Notas 4 2 3 10 2 3 4" xfId="37858" xr:uid="{00000000-0005-0000-0000-000078940000}"/>
    <cellStyle name="Notas 4 2 3 10 2 4" xfId="37859" xr:uid="{00000000-0005-0000-0000-000079940000}"/>
    <cellStyle name="Notas 4 2 3 10 2 5" xfId="37860" xr:uid="{00000000-0005-0000-0000-00007A940000}"/>
    <cellStyle name="Notas 4 2 3 10 2 6" xfId="37861" xr:uid="{00000000-0005-0000-0000-00007B940000}"/>
    <cellStyle name="Notas 4 2 3 10 3" xfId="37862" xr:uid="{00000000-0005-0000-0000-00007C940000}"/>
    <cellStyle name="Notas 4 2 3 10 3 2" xfId="37863" xr:uid="{00000000-0005-0000-0000-00007D940000}"/>
    <cellStyle name="Notas 4 2 3 10 3 2 2" xfId="37864" xr:uid="{00000000-0005-0000-0000-00007E940000}"/>
    <cellStyle name="Notas 4 2 3 10 3 2 3" xfId="37865" xr:uid="{00000000-0005-0000-0000-00007F940000}"/>
    <cellStyle name="Notas 4 2 3 10 3 2 4" xfId="37866" xr:uid="{00000000-0005-0000-0000-000080940000}"/>
    <cellStyle name="Notas 4 2 3 10 3 3" xfId="37867" xr:uid="{00000000-0005-0000-0000-000081940000}"/>
    <cellStyle name="Notas 4 2 3 10 3 3 2" xfId="37868" xr:uid="{00000000-0005-0000-0000-000082940000}"/>
    <cellStyle name="Notas 4 2 3 10 3 3 3" xfId="37869" xr:uid="{00000000-0005-0000-0000-000083940000}"/>
    <cellStyle name="Notas 4 2 3 10 3 3 4" xfId="37870" xr:uid="{00000000-0005-0000-0000-000084940000}"/>
    <cellStyle name="Notas 4 2 3 10 3 4" xfId="37871" xr:uid="{00000000-0005-0000-0000-000085940000}"/>
    <cellStyle name="Notas 4 2 3 10 3 5" xfId="37872" xr:uid="{00000000-0005-0000-0000-000086940000}"/>
    <cellStyle name="Notas 4 2 3 10 3 6" xfId="37873" xr:uid="{00000000-0005-0000-0000-000087940000}"/>
    <cellStyle name="Notas 4 2 3 10 4" xfId="37874" xr:uid="{00000000-0005-0000-0000-000088940000}"/>
    <cellStyle name="Notas 4 2 3 10 5" xfId="37875" xr:uid="{00000000-0005-0000-0000-000089940000}"/>
    <cellStyle name="Notas 4 2 3 10 6" xfId="37876" xr:uid="{00000000-0005-0000-0000-00008A940000}"/>
    <cellStyle name="Notas 4 2 3 11" xfId="37877" xr:uid="{00000000-0005-0000-0000-00008B940000}"/>
    <cellStyle name="Notas 4 2 3 12" xfId="37878" xr:uid="{00000000-0005-0000-0000-00008C940000}"/>
    <cellStyle name="Notas 4 2 3 2" xfId="37879" xr:uid="{00000000-0005-0000-0000-00008D940000}"/>
    <cellStyle name="Notas 4 2 3 2 2" xfId="37880" xr:uid="{00000000-0005-0000-0000-00008E940000}"/>
    <cellStyle name="Notas 4 2 3 2 2 2" xfId="37881" xr:uid="{00000000-0005-0000-0000-00008F940000}"/>
    <cellStyle name="Notas 4 2 3 2 2 2 2" xfId="37882" xr:uid="{00000000-0005-0000-0000-000090940000}"/>
    <cellStyle name="Notas 4 2 3 2 2 2 2 2" xfId="37883" xr:uid="{00000000-0005-0000-0000-000091940000}"/>
    <cellStyle name="Notas 4 2 3 2 2 2 2 3" xfId="37884" xr:uid="{00000000-0005-0000-0000-000092940000}"/>
    <cellStyle name="Notas 4 2 3 2 2 2 2 4" xfId="37885" xr:uid="{00000000-0005-0000-0000-000093940000}"/>
    <cellStyle name="Notas 4 2 3 2 2 2 3" xfId="37886" xr:uid="{00000000-0005-0000-0000-000094940000}"/>
    <cellStyle name="Notas 4 2 3 2 2 2 3 2" xfId="37887" xr:uid="{00000000-0005-0000-0000-000095940000}"/>
    <cellStyle name="Notas 4 2 3 2 2 2 3 3" xfId="37888" xr:uid="{00000000-0005-0000-0000-000096940000}"/>
    <cellStyle name="Notas 4 2 3 2 2 2 3 4" xfId="37889" xr:uid="{00000000-0005-0000-0000-000097940000}"/>
    <cellStyle name="Notas 4 2 3 2 2 2 4" xfId="37890" xr:uid="{00000000-0005-0000-0000-000098940000}"/>
    <cellStyle name="Notas 4 2 3 2 2 2 5" xfId="37891" xr:uid="{00000000-0005-0000-0000-000099940000}"/>
    <cellStyle name="Notas 4 2 3 2 2 2 6" xfId="37892" xr:uid="{00000000-0005-0000-0000-00009A940000}"/>
    <cellStyle name="Notas 4 2 3 2 2 3" xfId="37893" xr:uid="{00000000-0005-0000-0000-00009B940000}"/>
    <cellStyle name="Notas 4 2 3 2 2 3 2" xfId="37894" xr:uid="{00000000-0005-0000-0000-00009C940000}"/>
    <cellStyle name="Notas 4 2 3 2 2 3 2 2" xfId="37895" xr:uid="{00000000-0005-0000-0000-00009D940000}"/>
    <cellStyle name="Notas 4 2 3 2 2 3 2 3" xfId="37896" xr:uid="{00000000-0005-0000-0000-00009E940000}"/>
    <cellStyle name="Notas 4 2 3 2 2 3 2 4" xfId="37897" xr:uid="{00000000-0005-0000-0000-00009F940000}"/>
    <cellStyle name="Notas 4 2 3 2 2 3 3" xfId="37898" xr:uid="{00000000-0005-0000-0000-0000A0940000}"/>
    <cellStyle name="Notas 4 2 3 2 2 3 3 2" xfId="37899" xr:uid="{00000000-0005-0000-0000-0000A1940000}"/>
    <cellStyle name="Notas 4 2 3 2 2 3 3 3" xfId="37900" xr:uid="{00000000-0005-0000-0000-0000A2940000}"/>
    <cellStyle name="Notas 4 2 3 2 2 3 3 4" xfId="37901" xr:uid="{00000000-0005-0000-0000-0000A3940000}"/>
    <cellStyle name="Notas 4 2 3 2 2 3 4" xfId="37902" xr:uid="{00000000-0005-0000-0000-0000A4940000}"/>
    <cellStyle name="Notas 4 2 3 2 2 3 5" xfId="37903" xr:uid="{00000000-0005-0000-0000-0000A5940000}"/>
    <cellStyle name="Notas 4 2 3 2 2 3 6" xfId="37904" xr:uid="{00000000-0005-0000-0000-0000A6940000}"/>
    <cellStyle name="Notas 4 2 3 2 2 4" xfId="37905" xr:uid="{00000000-0005-0000-0000-0000A7940000}"/>
    <cellStyle name="Notas 4 2 3 2 2 5" xfId="37906" xr:uid="{00000000-0005-0000-0000-0000A8940000}"/>
    <cellStyle name="Notas 4 2 3 2 2 6" xfId="37907" xr:uid="{00000000-0005-0000-0000-0000A9940000}"/>
    <cellStyle name="Notas 4 2 3 2 3" xfId="37908" xr:uid="{00000000-0005-0000-0000-0000AA940000}"/>
    <cellStyle name="Notas 4 2 3 2 4" xfId="37909" xr:uid="{00000000-0005-0000-0000-0000AB940000}"/>
    <cellStyle name="Notas 4 2 3 3" xfId="37910" xr:uid="{00000000-0005-0000-0000-0000AC940000}"/>
    <cellStyle name="Notas 4 2 3 3 2" xfId="37911" xr:uid="{00000000-0005-0000-0000-0000AD940000}"/>
    <cellStyle name="Notas 4 2 3 3 2 2" xfId="37912" xr:uid="{00000000-0005-0000-0000-0000AE940000}"/>
    <cellStyle name="Notas 4 2 3 3 2 2 2" xfId="37913" xr:uid="{00000000-0005-0000-0000-0000AF940000}"/>
    <cellStyle name="Notas 4 2 3 3 2 2 2 2" xfId="37914" xr:uid="{00000000-0005-0000-0000-0000B0940000}"/>
    <cellStyle name="Notas 4 2 3 3 2 2 2 3" xfId="37915" xr:uid="{00000000-0005-0000-0000-0000B1940000}"/>
    <cellStyle name="Notas 4 2 3 3 2 2 2 4" xfId="37916" xr:uid="{00000000-0005-0000-0000-0000B2940000}"/>
    <cellStyle name="Notas 4 2 3 3 2 2 3" xfId="37917" xr:uid="{00000000-0005-0000-0000-0000B3940000}"/>
    <cellStyle name="Notas 4 2 3 3 2 2 3 2" xfId="37918" xr:uid="{00000000-0005-0000-0000-0000B4940000}"/>
    <cellStyle name="Notas 4 2 3 3 2 2 3 3" xfId="37919" xr:uid="{00000000-0005-0000-0000-0000B5940000}"/>
    <cellStyle name="Notas 4 2 3 3 2 2 3 4" xfId="37920" xr:uid="{00000000-0005-0000-0000-0000B6940000}"/>
    <cellStyle name="Notas 4 2 3 3 2 2 4" xfId="37921" xr:uid="{00000000-0005-0000-0000-0000B7940000}"/>
    <cellStyle name="Notas 4 2 3 3 2 2 5" xfId="37922" xr:uid="{00000000-0005-0000-0000-0000B8940000}"/>
    <cellStyle name="Notas 4 2 3 3 2 2 6" xfId="37923" xr:uid="{00000000-0005-0000-0000-0000B9940000}"/>
    <cellStyle name="Notas 4 2 3 3 2 3" xfId="37924" xr:uid="{00000000-0005-0000-0000-0000BA940000}"/>
    <cellStyle name="Notas 4 2 3 3 2 3 2" xfId="37925" xr:uid="{00000000-0005-0000-0000-0000BB940000}"/>
    <cellStyle name="Notas 4 2 3 3 2 3 2 2" xfId="37926" xr:uid="{00000000-0005-0000-0000-0000BC940000}"/>
    <cellStyle name="Notas 4 2 3 3 2 3 2 3" xfId="37927" xr:uid="{00000000-0005-0000-0000-0000BD940000}"/>
    <cellStyle name="Notas 4 2 3 3 2 3 2 4" xfId="37928" xr:uid="{00000000-0005-0000-0000-0000BE940000}"/>
    <cellStyle name="Notas 4 2 3 3 2 3 3" xfId="37929" xr:uid="{00000000-0005-0000-0000-0000BF940000}"/>
    <cellStyle name="Notas 4 2 3 3 2 3 3 2" xfId="37930" xr:uid="{00000000-0005-0000-0000-0000C0940000}"/>
    <cellStyle name="Notas 4 2 3 3 2 3 3 3" xfId="37931" xr:uid="{00000000-0005-0000-0000-0000C1940000}"/>
    <cellStyle name="Notas 4 2 3 3 2 3 3 4" xfId="37932" xr:uid="{00000000-0005-0000-0000-0000C2940000}"/>
    <cellStyle name="Notas 4 2 3 3 2 3 4" xfId="37933" xr:uid="{00000000-0005-0000-0000-0000C3940000}"/>
    <cellStyle name="Notas 4 2 3 3 2 3 5" xfId="37934" xr:uid="{00000000-0005-0000-0000-0000C4940000}"/>
    <cellStyle name="Notas 4 2 3 3 2 3 6" xfId="37935" xr:uid="{00000000-0005-0000-0000-0000C5940000}"/>
    <cellStyle name="Notas 4 2 3 3 2 4" xfId="37936" xr:uid="{00000000-0005-0000-0000-0000C6940000}"/>
    <cellStyle name="Notas 4 2 3 3 2 5" xfId="37937" xr:uid="{00000000-0005-0000-0000-0000C7940000}"/>
    <cellStyle name="Notas 4 2 3 3 2 6" xfId="37938" xr:uid="{00000000-0005-0000-0000-0000C8940000}"/>
    <cellStyle name="Notas 4 2 3 3 3" xfId="37939" xr:uid="{00000000-0005-0000-0000-0000C9940000}"/>
    <cellStyle name="Notas 4 2 3 3 4" xfId="37940" xr:uid="{00000000-0005-0000-0000-0000CA940000}"/>
    <cellStyle name="Notas 4 2 3 4" xfId="37941" xr:uid="{00000000-0005-0000-0000-0000CB940000}"/>
    <cellStyle name="Notas 4 2 3 4 2" xfId="37942" xr:uid="{00000000-0005-0000-0000-0000CC940000}"/>
    <cellStyle name="Notas 4 2 3 4 2 2" xfId="37943" xr:uid="{00000000-0005-0000-0000-0000CD940000}"/>
    <cellStyle name="Notas 4 2 3 4 2 2 2" xfId="37944" xr:uid="{00000000-0005-0000-0000-0000CE940000}"/>
    <cellStyle name="Notas 4 2 3 4 2 2 2 2" xfId="37945" xr:uid="{00000000-0005-0000-0000-0000CF940000}"/>
    <cellStyle name="Notas 4 2 3 4 2 2 2 3" xfId="37946" xr:uid="{00000000-0005-0000-0000-0000D0940000}"/>
    <cellStyle name="Notas 4 2 3 4 2 2 2 4" xfId="37947" xr:uid="{00000000-0005-0000-0000-0000D1940000}"/>
    <cellStyle name="Notas 4 2 3 4 2 2 3" xfId="37948" xr:uid="{00000000-0005-0000-0000-0000D2940000}"/>
    <cellStyle name="Notas 4 2 3 4 2 2 3 2" xfId="37949" xr:uid="{00000000-0005-0000-0000-0000D3940000}"/>
    <cellStyle name="Notas 4 2 3 4 2 2 3 3" xfId="37950" xr:uid="{00000000-0005-0000-0000-0000D4940000}"/>
    <cellStyle name="Notas 4 2 3 4 2 2 3 4" xfId="37951" xr:uid="{00000000-0005-0000-0000-0000D5940000}"/>
    <cellStyle name="Notas 4 2 3 4 2 2 4" xfId="37952" xr:uid="{00000000-0005-0000-0000-0000D6940000}"/>
    <cellStyle name="Notas 4 2 3 4 2 2 5" xfId="37953" xr:uid="{00000000-0005-0000-0000-0000D7940000}"/>
    <cellStyle name="Notas 4 2 3 4 2 2 6" xfId="37954" xr:uid="{00000000-0005-0000-0000-0000D8940000}"/>
    <cellStyle name="Notas 4 2 3 4 2 3" xfId="37955" xr:uid="{00000000-0005-0000-0000-0000D9940000}"/>
    <cellStyle name="Notas 4 2 3 4 2 3 2" xfId="37956" xr:uid="{00000000-0005-0000-0000-0000DA940000}"/>
    <cellStyle name="Notas 4 2 3 4 2 3 2 2" xfId="37957" xr:uid="{00000000-0005-0000-0000-0000DB940000}"/>
    <cellStyle name="Notas 4 2 3 4 2 3 2 3" xfId="37958" xr:uid="{00000000-0005-0000-0000-0000DC940000}"/>
    <cellStyle name="Notas 4 2 3 4 2 3 2 4" xfId="37959" xr:uid="{00000000-0005-0000-0000-0000DD940000}"/>
    <cellStyle name="Notas 4 2 3 4 2 3 3" xfId="37960" xr:uid="{00000000-0005-0000-0000-0000DE940000}"/>
    <cellStyle name="Notas 4 2 3 4 2 3 3 2" xfId="37961" xr:uid="{00000000-0005-0000-0000-0000DF940000}"/>
    <cellStyle name="Notas 4 2 3 4 2 3 3 3" xfId="37962" xr:uid="{00000000-0005-0000-0000-0000E0940000}"/>
    <cellStyle name="Notas 4 2 3 4 2 3 3 4" xfId="37963" xr:uid="{00000000-0005-0000-0000-0000E1940000}"/>
    <cellStyle name="Notas 4 2 3 4 2 3 4" xfId="37964" xr:uid="{00000000-0005-0000-0000-0000E2940000}"/>
    <cellStyle name="Notas 4 2 3 4 2 3 5" xfId="37965" xr:uid="{00000000-0005-0000-0000-0000E3940000}"/>
    <cellStyle name="Notas 4 2 3 4 2 3 6" xfId="37966" xr:uid="{00000000-0005-0000-0000-0000E4940000}"/>
    <cellStyle name="Notas 4 2 3 4 2 4" xfId="37967" xr:uid="{00000000-0005-0000-0000-0000E5940000}"/>
    <cellStyle name="Notas 4 2 3 4 2 5" xfId="37968" xr:uid="{00000000-0005-0000-0000-0000E6940000}"/>
    <cellStyle name="Notas 4 2 3 4 2 6" xfId="37969" xr:uid="{00000000-0005-0000-0000-0000E7940000}"/>
    <cellStyle name="Notas 4 2 3 4 3" xfId="37970" xr:uid="{00000000-0005-0000-0000-0000E8940000}"/>
    <cellStyle name="Notas 4 2 3 4 4" xfId="37971" xr:uid="{00000000-0005-0000-0000-0000E9940000}"/>
    <cellStyle name="Notas 4 2 3 5" xfId="37972" xr:uid="{00000000-0005-0000-0000-0000EA940000}"/>
    <cellStyle name="Notas 4 2 3 5 2" xfId="37973" xr:uid="{00000000-0005-0000-0000-0000EB940000}"/>
    <cellStyle name="Notas 4 2 3 5 2 2" xfId="37974" xr:uid="{00000000-0005-0000-0000-0000EC940000}"/>
    <cellStyle name="Notas 4 2 3 5 2 2 2" xfId="37975" xr:uid="{00000000-0005-0000-0000-0000ED940000}"/>
    <cellStyle name="Notas 4 2 3 5 2 2 2 2" xfId="37976" xr:uid="{00000000-0005-0000-0000-0000EE940000}"/>
    <cellStyle name="Notas 4 2 3 5 2 2 2 3" xfId="37977" xr:uid="{00000000-0005-0000-0000-0000EF940000}"/>
    <cellStyle name="Notas 4 2 3 5 2 2 2 4" xfId="37978" xr:uid="{00000000-0005-0000-0000-0000F0940000}"/>
    <cellStyle name="Notas 4 2 3 5 2 2 3" xfId="37979" xr:uid="{00000000-0005-0000-0000-0000F1940000}"/>
    <cellStyle name="Notas 4 2 3 5 2 2 3 2" xfId="37980" xr:uid="{00000000-0005-0000-0000-0000F2940000}"/>
    <cellStyle name="Notas 4 2 3 5 2 2 3 3" xfId="37981" xr:uid="{00000000-0005-0000-0000-0000F3940000}"/>
    <cellStyle name="Notas 4 2 3 5 2 2 3 4" xfId="37982" xr:uid="{00000000-0005-0000-0000-0000F4940000}"/>
    <cellStyle name="Notas 4 2 3 5 2 2 4" xfId="37983" xr:uid="{00000000-0005-0000-0000-0000F5940000}"/>
    <cellStyle name="Notas 4 2 3 5 2 2 5" xfId="37984" xr:uid="{00000000-0005-0000-0000-0000F6940000}"/>
    <cellStyle name="Notas 4 2 3 5 2 2 6" xfId="37985" xr:uid="{00000000-0005-0000-0000-0000F7940000}"/>
    <cellStyle name="Notas 4 2 3 5 2 3" xfId="37986" xr:uid="{00000000-0005-0000-0000-0000F8940000}"/>
    <cellStyle name="Notas 4 2 3 5 2 3 2" xfId="37987" xr:uid="{00000000-0005-0000-0000-0000F9940000}"/>
    <cellStyle name="Notas 4 2 3 5 2 3 2 2" xfId="37988" xr:uid="{00000000-0005-0000-0000-0000FA940000}"/>
    <cellStyle name="Notas 4 2 3 5 2 3 2 3" xfId="37989" xr:uid="{00000000-0005-0000-0000-0000FB940000}"/>
    <cellStyle name="Notas 4 2 3 5 2 3 2 4" xfId="37990" xr:uid="{00000000-0005-0000-0000-0000FC940000}"/>
    <cellStyle name="Notas 4 2 3 5 2 3 3" xfId="37991" xr:uid="{00000000-0005-0000-0000-0000FD940000}"/>
    <cellStyle name="Notas 4 2 3 5 2 3 3 2" xfId="37992" xr:uid="{00000000-0005-0000-0000-0000FE940000}"/>
    <cellStyle name="Notas 4 2 3 5 2 3 3 3" xfId="37993" xr:uid="{00000000-0005-0000-0000-0000FF940000}"/>
    <cellStyle name="Notas 4 2 3 5 2 3 3 4" xfId="37994" xr:uid="{00000000-0005-0000-0000-000000950000}"/>
    <cellStyle name="Notas 4 2 3 5 2 3 4" xfId="37995" xr:uid="{00000000-0005-0000-0000-000001950000}"/>
    <cellStyle name="Notas 4 2 3 5 2 3 5" xfId="37996" xr:uid="{00000000-0005-0000-0000-000002950000}"/>
    <cellStyle name="Notas 4 2 3 5 2 3 6" xfId="37997" xr:uid="{00000000-0005-0000-0000-000003950000}"/>
    <cellStyle name="Notas 4 2 3 5 2 4" xfId="37998" xr:uid="{00000000-0005-0000-0000-000004950000}"/>
    <cellStyle name="Notas 4 2 3 5 2 5" xfId="37999" xr:uid="{00000000-0005-0000-0000-000005950000}"/>
    <cellStyle name="Notas 4 2 3 5 2 6" xfId="38000" xr:uid="{00000000-0005-0000-0000-000006950000}"/>
    <cellStyle name="Notas 4 2 3 5 3" xfId="38001" xr:uid="{00000000-0005-0000-0000-000007950000}"/>
    <cellStyle name="Notas 4 2 3 5 4" xfId="38002" xr:uid="{00000000-0005-0000-0000-000008950000}"/>
    <cellStyle name="Notas 4 2 3 6" xfId="38003" xr:uid="{00000000-0005-0000-0000-000009950000}"/>
    <cellStyle name="Notas 4 2 3 6 2" xfId="38004" xr:uid="{00000000-0005-0000-0000-00000A950000}"/>
    <cellStyle name="Notas 4 2 3 6 2 2" xfId="38005" xr:uid="{00000000-0005-0000-0000-00000B950000}"/>
    <cellStyle name="Notas 4 2 3 6 2 2 2" xfId="38006" xr:uid="{00000000-0005-0000-0000-00000C950000}"/>
    <cellStyle name="Notas 4 2 3 6 2 2 3" xfId="38007" xr:uid="{00000000-0005-0000-0000-00000D950000}"/>
    <cellStyle name="Notas 4 2 3 6 2 2 4" xfId="38008" xr:uid="{00000000-0005-0000-0000-00000E950000}"/>
    <cellStyle name="Notas 4 2 3 6 2 3" xfId="38009" xr:uid="{00000000-0005-0000-0000-00000F950000}"/>
    <cellStyle name="Notas 4 2 3 6 2 3 2" xfId="38010" xr:uid="{00000000-0005-0000-0000-000010950000}"/>
    <cellStyle name="Notas 4 2 3 6 2 3 3" xfId="38011" xr:uid="{00000000-0005-0000-0000-000011950000}"/>
    <cellStyle name="Notas 4 2 3 6 2 3 4" xfId="38012" xr:uid="{00000000-0005-0000-0000-000012950000}"/>
    <cellStyle name="Notas 4 2 3 6 2 4" xfId="38013" xr:uid="{00000000-0005-0000-0000-000013950000}"/>
    <cellStyle name="Notas 4 2 3 6 2 5" xfId="38014" xr:uid="{00000000-0005-0000-0000-000014950000}"/>
    <cellStyle name="Notas 4 2 3 6 2 6" xfId="38015" xr:uid="{00000000-0005-0000-0000-000015950000}"/>
    <cellStyle name="Notas 4 2 3 6 3" xfId="38016" xr:uid="{00000000-0005-0000-0000-000016950000}"/>
    <cellStyle name="Notas 4 2 3 6 3 2" xfId="38017" xr:uid="{00000000-0005-0000-0000-000017950000}"/>
    <cellStyle name="Notas 4 2 3 6 3 2 2" xfId="38018" xr:uid="{00000000-0005-0000-0000-000018950000}"/>
    <cellStyle name="Notas 4 2 3 6 3 2 3" xfId="38019" xr:uid="{00000000-0005-0000-0000-000019950000}"/>
    <cellStyle name="Notas 4 2 3 6 3 2 4" xfId="38020" xr:uid="{00000000-0005-0000-0000-00001A950000}"/>
    <cellStyle name="Notas 4 2 3 6 3 3" xfId="38021" xr:uid="{00000000-0005-0000-0000-00001B950000}"/>
    <cellStyle name="Notas 4 2 3 6 3 3 2" xfId="38022" xr:uid="{00000000-0005-0000-0000-00001C950000}"/>
    <cellStyle name="Notas 4 2 3 6 3 3 3" xfId="38023" xr:uid="{00000000-0005-0000-0000-00001D950000}"/>
    <cellStyle name="Notas 4 2 3 6 3 3 4" xfId="38024" xr:uid="{00000000-0005-0000-0000-00001E950000}"/>
    <cellStyle name="Notas 4 2 3 6 3 4" xfId="38025" xr:uid="{00000000-0005-0000-0000-00001F950000}"/>
    <cellStyle name="Notas 4 2 3 6 3 5" xfId="38026" xr:uid="{00000000-0005-0000-0000-000020950000}"/>
    <cellStyle name="Notas 4 2 3 6 3 6" xfId="38027" xr:uid="{00000000-0005-0000-0000-000021950000}"/>
    <cellStyle name="Notas 4 2 3 6 4" xfId="38028" xr:uid="{00000000-0005-0000-0000-000022950000}"/>
    <cellStyle name="Notas 4 2 3 6 4 2" xfId="38029" xr:uid="{00000000-0005-0000-0000-000023950000}"/>
    <cellStyle name="Notas 4 2 3 6 4 3" xfId="38030" xr:uid="{00000000-0005-0000-0000-000024950000}"/>
    <cellStyle name="Notas 4 2 3 6 4 4" xfId="38031" xr:uid="{00000000-0005-0000-0000-000025950000}"/>
    <cellStyle name="Notas 4 2 3 6 5" xfId="38032" xr:uid="{00000000-0005-0000-0000-000026950000}"/>
    <cellStyle name="Notas 4 2 3 6 6" xfId="38033" xr:uid="{00000000-0005-0000-0000-000027950000}"/>
    <cellStyle name="Notas 4 2 3 7" xfId="38034" xr:uid="{00000000-0005-0000-0000-000028950000}"/>
    <cellStyle name="Notas 4 2 3 7 2" xfId="38035" xr:uid="{00000000-0005-0000-0000-000029950000}"/>
    <cellStyle name="Notas 4 2 3 7 2 2" xfId="38036" xr:uid="{00000000-0005-0000-0000-00002A950000}"/>
    <cellStyle name="Notas 4 2 3 7 2 2 2" xfId="38037" xr:uid="{00000000-0005-0000-0000-00002B950000}"/>
    <cellStyle name="Notas 4 2 3 7 2 2 3" xfId="38038" xr:uid="{00000000-0005-0000-0000-00002C950000}"/>
    <cellStyle name="Notas 4 2 3 7 2 2 4" xfId="38039" xr:uid="{00000000-0005-0000-0000-00002D950000}"/>
    <cellStyle name="Notas 4 2 3 7 2 3" xfId="38040" xr:uid="{00000000-0005-0000-0000-00002E950000}"/>
    <cellStyle name="Notas 4 2 3 7 2 3 2" xfId="38041" xr:uid="{00000000-0005-0000-0000-00002F950000}"/>
    <cellStyle name="Notas 4 2 3 7 2 3 3" xfId="38042" xr:uid="{00000000-0005-0000-0000-000030950000}"/>
    <cellStyle name="Notas 4 2 3 7 2 3 4" xfId="38043" xr:uid="{00000000-0005-0000-0000-000031950000}"/>
    <cellStyle name="Notas 4 2 3 7 2 4" xfId="38044" xr:uid="{00000000-0005-0000-0000-000032950000}"/>
    <cellStyle name="Notas 4 2 3 7 2 5" xfId="38045" xr:uid="{00000000-0005-0000-0000-000033950000}"/>
    <cellStyle name="Notas 4 2 3 7 2 6" xfId="38046" xr:uid="{00000000-0005-0000-0000-000034950000}"/>
    <cellStyle name="Notas 4 2 3 7 3" xfId="38047" xr:uid="{00000000-0005-0000-0000-000035950000}"/>
    <cellStyle name="Notas 4 2 3 7 3 2" xfId="38048" xr:uid="{00000000-0005-0000-0000-000036950000}"/>
    <cellStyle name="Notas 4 2 3 7 3 2 2" xfId="38049" xr:uid="{00000000-0005-0000-0000-000037950000}"/>
    <cellStyle name="Notas 4 2 3 7 3 2 3" xfId="38050" xr:uid="{00000000-0005-0000-0000-000038950000}"/>
    <cellStyle name="Notas 4 2 3 7 3 2 4" xfId="38051" xr:uid="{00000000-0005-0000-0000-000039950000}"/>
    <cellStyle name="Notas 4 2 3 7 3 3" xfId="38052" xr:uid="{00000000-0005-0000-0000-00003A950000}"/>
    <cellStyle name="Notas 4 2 3 7 3 3 2" xfId="38053" xr:uid="{00000000-0005-0000-0000-00003B950000}"/>
    <cellStyle name="Notas 4 2 3 7 3 3 3" xfId="38054" xr:uid="{00000000-0005-0000-0000-00003C950000}"/>
    <cellStyle name="Notas 4 2 3 7 3 3 4" xfId="38055" xr:uid="{00000000-0005-0000-0000-00003D950000}"/>
    <cellStyle name="Notas 4 2 3 7 3 4" xfId="38056" xr:uid="{00000000-0005-0000-0000-00003E950000}"/>
    <cellStyle name="Notas 4 2 3 7 3 5" xfId="38057" xr:uid="{00000000-0005-0000-0000-00003F950000}"/>
    <cellStyle name="Notas 4 2 3 7 3 6" xfId="38058" xr:uid="{00000000-0005-0000-0000-000040950000}"/>
    <cellStyle name="Notas 4 2 3 7 4" xfId="38059" xr:uid="{00000000-0005-0000-0000-000041950000}"/>
    <cellStyle name="Notas 4 2 3 7 4 2" xfId="38060" xr:uid="{00000000-0005-0000-0000-000042950000}"/>
    <cellStyle name="Notas 4 2 3 7 4 3" xfId="38061" xr:uid="{00000000-0005-0000-0000-000043950000}"/>
    <cellStyle name="Notas 4 2 3 7 4 4" xfId="38062" xr:uid="{00000000-0005-0000-0000-000044950000}"/>
    <cellStyle name="Notas 4 2 3 7 5" xfId="38063" xr:uid="{00000000-0005-0000-0000-000045950000}"/>
    <cellStyle name="Notas 4 2 3 7 6" xfId="38064" xr:uid="{00000000-0005-0000-0000-000046950000}"/>
    <cellStyle name="Notas 4 2 3 8" xfId="38065" xr:uid="{00000000-0005-0000-0000-000047950000}"/>
    <cellStyle name="Notas 4 2 3 8 2" xfId="38066" xr:uid="{00000000-0005-0000-0000-000048950000}"/>
    <cellStyle name="Notas 4 2 3 8 2 2" xfId="38067" xr:uid="{00000000-0005-0000-0000-000049950000}"/>
    <cellStyle name="Notas 4 2 3 8 2 2 2" xfId="38068" xr:uid="{00000000-0005-0000-0000-00004A950000}"/>
    <cellStyle name="Notas 4 2 3 8 2 2 3" xfId="38069" xr:uid="{00000000-0005-0000-0000-00004B950000}"/>
    <cellStyle name="Notas 4 2 3 8 2 2 4" xfId="38070" xr:uid="{00000000-0005-0000-0000-00004C950000}"/>
    <cellStyle name="Notas 4 2 3 8 2 3" xfId="38071" xr:uid="{00000000-0005-0000-0000-00004D950000}"/>
    <cellStyle name="Notas 4 2 3 8 2 3 2" xfId="38072" xr:uid="{00000000-0005-0000-0000-00004E950000}"/>
    <cellStyle name="Notas 4 2 3 8 2 3 3" xfId="38073" xr:uid="{00000000-0005-0000-0000-00004F950000}"/>
    <cellStyle name="Notas 4 2 3 8 2 3 4" xfId="38074" xr:uid="{00000000-0005-0000-0000-000050950000}"/>
    <cellStyle name="Notas 4 2 3 8 2 4" xfId="38075" xr:uid="{00000000-0005-0000-0000-000051950000}"/>
    <cellStyle name="Notas 4 2 3 8 2 5" xfId="38076" xr:uid="{00000000-0005-0000-0000-000052950000}"/>
    <cellStyle name="Notas 4 2 3 8 2 6" xfId="38077" xr:uid="{00000000-0005-0000-0000-000053950000}"/>
    <cellStyle name="Notas 4 2 3 8 3" xfId="38078" xr:uid="{00000000-0005-0000-0000-000054950000}"/>
    <cellStyle name="Notas 4 2 3 8 3 2" xfId="38079" xr:uid="{00000000-0005-0000-0000-000055950000}"/>
    <cellStyle name="Notas 4 2 3 8 3 2 2" xfId="38080" xr:uid="{00000000-0005-0000-0000-000056950000}"/>
    <cellStyle name="Notas 4 2 3 8 3 2 3" xfId="38081" xr:uid="{00000000-0005-0000-0000-000057950000}"/>
    <cellStyle name="Notas 4 2 3 8 3 2 4" xfId="38082" xr:uid="{00000000-0005-0000-0000-000058950000}"/>
    <cellStyle name="Notas 4 2 3 8 3 3" xfId="38083" xr:uid="{00000000-0005-0000-0000-000059950000}"/>
    <cellStyle name="Notas 4 2 3 8 3 3 2" xfId="38084" xr:uid="{00000000-0005-0000-0000-00005A950000}"/>
    <cellStyle name="Notas 4 2 3 8 3 3 3" xfId="38085" xr:uid="{00000000-0005-0000-0000-00005B950000}"/>
    <cellStyle name="Notas 4 2 3 8 3 3 4" xfId="38086" xr:uid="{00000000-0005-0000-0000-00005C950000}"/>
    <cellStyle name="Notas 4 2 3 8 3 4" xfId="38087" xr:uid="{00000000-0005-0000-0000-00005D950000}"/>
    <cellStyle name="Notas 4 2 3 8 3 5" xfId="38088" xr:uid="{00000000-0005-0000-0000-00005E950000}"/>
    <cellStyle name="Notas 4 2 3 8 3 6" xfId="38089" xr:uid="{00000000-0005-0000-0000-00005F950000}"/>
    <cellStyle name="Notas 4 2 3 8 4" xfId="38090" xr:uid="{00000000-0005-0000-0000-000060950000}"/>
    <cellStyle name="Notas 4 2 3 8 4 2" xfId="38091" xr:uid="{00000000-0005-0000-0000-000061950000}"/>
    <cellStyle name="Notas 4 2 3 8 4 3" xfId="38092" xr:uid="{00000000-0005-0000-0000-000062950000}"/>
    <cellStyle name="Notas 4 2 3 8 4 4" xfId="38093" xr:uid="{00000000-0005-0000-0000-000063950000}"/>
    <cellStyle name="Notas 4 2 3 8 5" xfId="38094" xr:uid="{00000000-0005-0000-0000-000064950000}"/>
    <cellStyle name="Notas 4 2 3 8 6" xfId="38095" xr:uid="{00000000-0005-0000-0000-000065950000}"/>
    <cellStyle name="Notas 4 2 3 9" xfId="38096" xr:uid="{00000000-0005-0000-0000-000066950000}"/>
    <cellStyle name="Notas 4 2 3 9 2" xfId="38097" xr:uid="{00000000-0005-0000-0000-000067950000}"/>
    <cellStyle name="Notas 4 2 3 9 2 2" xfId="38098" xr:uid="{00000000-0005-0000-0000-000068950000}"/>
    <cellStyle name="Notas 4 2 3 9 2 2 2" xfId="38099" xr:uid="{00000000-0005-0000-0000-000069950000}"/>
    <cellStyle name="Notas 4 2 3 9 2 2 3" xfId="38100" xr:uid="{00000000-0005-0000-0000-00006A950000}"/>
    <cellStyle name="Notas 4 2 3 9 2 2 4" xfId="38101" xr:uid="{00000000-0005-0000-0000-00006B950000}"/>
    <cellStyle name="Notas 4 2 3 9 2 3" xfId="38102" xr:uid="{00000000-0005-0000-0000-00006C950000}"/>
    <cellStyle name="Notas 4 2 3 9 2 3 2" xfId="38103" xr:uid="{00000000-0005-0000-0000-00006D950000}"/>
    <cellStyle name="Notas 4 2 3 9 2 3 3" xfId="38104" xr:uid="{00000000-0005-0000-0000-00006E950000}"/>
    <cellStyle name="Notas 4 2 3 9 2 3 4" xfId="38105" xr:uid="{00000000-0005-0000-0000-00006F950000}"/>
    <cellStyle name="Notas 4 2 3 9 2 4" xfId="38106" xr:uid="{00000000-0005-0000-0000-000070950000}"/>
    <cellStyle name="Notas 4 2 3 9 2 5" xfId="38107" xr:uid="{00000000-0005-0000-0000-000071950000}"/>
    <cellStyle name="Notas 4 2 3 9 2 6" xfId="38108" xr:uid="{00000000-0005-0000-0000-000072950000}"/>
    <cellStyle name="Notas 4 2 3 9 3" xfId="38109" xr:uid="{00000000-0005-0000-0000-000073950000}"/>
    <cellStyle name="Notas 4 2 3 9 3 2" xfId="38110" xr:uid="{00000000-0005-0000-0000-000074950000}"/>
    <cellStyle name="Notas 4 2 3 9 3 2 2" xfId="38111" xr:uid="{00000000-0005-0000-0000-000075950000}"/>
    <cellStyle name="Notas 4 2 3 9 3 2 3" xfId="38112" xr:uid="{00000000-0005-0000-0000-000076950000}"/>
    <cellStyle name="Notas 4 2 3 9 3 2 4" xfId="38113" xr:uid="{00000000-0005-0000-0000-000077950000}"/>
    <cellStyle name="Notas 4 2 3 9 3 3" xfId="38114" xr:uid="{00000000-0005-0000-0000-000078950000}"/>
    <cellStyle name="Notas 4 2 3 9 3 3 2" xfId="38115" xr:uid="{00000000-0005-0000-0000-000079950000}"/>
    <cellStyle name="Notas 4 2 3 9 3 3 3" xfId="38116" xr:uid="{00000000-0005-0000-0000-00007A950000}"/>
    <cellStyle name="Notas 4 2 3 9 3 3 4" xfId="38117" xr:uid="{00000000-0005-0000-0000-00007B950000}"/>
    <cellStyle name="Notas 4 2 3 9 3 4" xfId="38118" xr:uid="{00000000-0005-0000-0000-00007C950000}"/>
    <cellStyle name="Notas 4 2 3 9 3 5" xfId="38119" xr:uid="{00000000-0005-0000-0000-00007D950000}"/>
    <cellStyle name="Notas 4 2 3 9 3 6" xfId="38120" xr:uid="{00000000-0005-0000-0000-00007E950000}"/>
    <cellStyle name="Notas 4 2 3 9 4" xfId="38121" xr:uid="{00000000-0005-0000-0000-00007F950000}"/>
    <cellStyle name="Notas 4 2 3 9 4 2" xfId="38122" xr:uid="{00000000-0005-0000-0000-000080950000}"/>
    <cellStyle name="Notas 4 2 3 9 4 3" xfId="38123" xr:uid="{00000000-0005-0000-0000-000081950000}"/>
    <cellStyle name="Notas 4 2 3 9 4 4" xfId="38124" xr:uid="{00000000-0005-0000-0000-000082950000}"/>
    <cellStyle name="Notas 4 2 3 9 5" xfId="38125" xr:uid="{00000000-0005-0000-0000-000083950000}"/>
    <cellStyle name="Notas 4 2 3 9 6" xfId="38126" xr:uid="{00000000-0005-0000-0000-000084950000}"/>
    <cellStyle name="Notas 4 2 4" xfId="38127" xr:uid="{00000000-0005-0000-0000-000085950000}"/>
    <cellStyle name="Notas 4 2 4 2" xfId="38128" xr:uid="{00000000-0005-0000-0000-000086950000}"/>
    <cellStyle name="Notas 4 2 4 2 2" xfId="38129" xr:uid="{00000000-0005-0000-0000-000087950000}"/>
    <cellStyle name="Notas 4 2 4 2 2 2" xfId="38130" xr:uid="{00000000-0005-0000-0000-000088950000}"/>
    <cellStyle name="Notas 4 2 4 2 2 2 2" xfId="38131" xr:uid="{00000000-0005-0000-0000-000089950000}"/>
    <cellStyle name="Notas 4 2 4 2 2 2 3" xfId="38132" xr:uid="{00000000-0005-0000-0000-00008A950000}"/>
    <cellStyle name="Notas 4 2 4 2 2 2 4" xfId="38133" xr:uid="{00000000-0005-0000-0000-00008B950000}"/>
    <cellStyle name="Notas 4 2 4 2 2 3" xfId="38134" xr:uid="{00000000-0005-0000-0000-00008C950000}"/>
    <cellStyle name="Notas 4 2 4 2 2 3 2" xfId="38135" xr:uid="{00000000-0005-0000-0000-00008D950000}"/>
    <cellStyle name="Notas 4 2 4 2 2 3 3" xfId="38136" xr:uid="{00000000-0005-0000-0000-00008E950000}"/>
    <cellStyle name="Notas 4 2 4 2 2 3 4" xfId="38137" xr:uid="{00000000-0005-0000-0000-00008F950000}"/>
    <cellStyle name="Notas 4 2 4 2 2 4" xfId="38138" xr:uid="{00000000-0005-0000-0000-000090950000}"/>
    <cellStyle name="Notas 4 2 4 2 2 5" xfId="38139" xr:uid="{00000000-0005-0000-0000-000091950000}"/>
    <cellStyle name="Notas 4 2 4 2 2 6" xfId="38140" xr:uid="{00000000-0005-0000-0000-000092950000}"/>
    <cellStyle name="Notas 4 2 4 2 3" xfId="38141" xr:uid="{00000000-0005-0000-0000-000093950000}"/>
    <cellStyle name="Notas 4 2 4 2 3 2" xfId="38142" xr:uid="{00000000-0005-0000-0000-000094950000}"/>
    <cellStyle name="Notas 4 2 4 2 3 2 2" xfId="38143" xr:uid="{00000000-0005-0000-0000-000095950000}"/>
    <cellStyle name="Notas 4 2 4 2 3 2 3" xfId="38144" xr:uid="{00000000-0005-0000-0000-000096950000}"/>
    <cellStyle name="Notas 4 2 4 2 3 2 4" xfId="38145" xr:uid="{00000000-0005-0000-0000-000097950000}"/>
    <cellStyle name="Notas 4 2 4 2 3 3" xfId="38146" xr:uid="{00000000-0005-0000-0000-000098950000}"/>
    <cellStyle name="Notas 4 2 4 2 3 3 2" xfId="38147" xr:uid="{00000000-0005-0000-0000-000099950000}"/>
    <cellStyle name="Notas 4 2 4 2 3 3 3" xfId="38148" xr:uid="{00000000-0005-0000-0000-00009A950000}"/>
    <cellStyle name="Notas 4 2 4 2 3 3 4" xfId="38149" xr:uid="{00000000-0005-0000-0000-00009B950000}"/>
    <cellStyle name="Notas 4 2 4 2 3 4" xfId="38150" xr:uid="{00000000-0005-0000-0000-00009C950000}"/>
    <cellStyle name="Notas 4 2 4 2 3 5" xfId="38151" xr:uid="{00000000-0005-0000-0000-00009D950000}"/>
    <cellStyle name="Notas 4 2 4 2 3 6" xfId="38152" xr:uid="{00000000-0005-0000-0000-00009E950000}"/>
    <cellStyle name="Notas 4 2 4 2 4" xfId="38153" xr:uid="{00000000-0005-0000-0000-00009F950000}"/>
    <cellStyle name="Notas 4 2 4 2 5" xfId="38154" xr:uid="{00000000-0005-0000-0000-0000A0950000}"/>
    <cellStyle name="Notas 4 2 4 2 6" xfId="38155" xr:uid="{00000000-0005-0000-0000-0000A1950000}"/>
    <cellStyle name="Notas 4 2 4 3" xfId="38156" xr:uid="{00000000-0005-0000-0000-0000A2950000}"/>
    <cellStyle name="Notas 4 2 4 4" xfId="38157" xr:uid="{00000000-0005-0000-0000-0000A3950000}"/>
    <cellStyle name="Notas 4 2 5" xfId="38158" xr:uid="{00000000-0005-0000-0000-0000A4950000}"/>
    <cellStyle name="Notas 4 2 5 2" xfId="38159" xr:uid="{00000000-0005-0000-0000-0000A5950000}"/>
    <cellStyle name="Notas 4 2 5 2 2" xfId="38160" xr:uid="{00000000-0005-0000-0000-0000A6950000}"/>
    <cellStyle name="Notas 4 2 5 2 2 2" xfId="38161" xr:uid="{00000000-0005-0000-0000-0000A7950000}"/>
    <cellStyle name="Notas 4 2 5 2 2 2 2" xfId="38162" xr:uid="{00000000-0005-0000-0000-0000A8950000}"/>
    <cellStyle name="Notas 4 2 5 2 2 2 3" xfId="38163" xr:uid="{00000000-0005-0000-0000-0000A9950000}"/>
    <cellStyle name="Notas 4 2 5 2 2 2 4" xfId="38164" xr:uid="{00000000-0005-0000-0000-0000AA950000}"/>
    <cellStyle name="Notas 4 2 5 2 2 3" xfId="38165" xr:uid="{00000000-0005-0000-0000-0000AB950000}"/>
    <cellStyle name="Notas 4 2 5 2 2 3 2" xfId="38166" xr:uid="{00000000-0005-0000-0000-0000AC950000}"/>
    <cellStyle name="Notas 4 2 5 2 2 3 3" xfId="38167" xr:uid="{00000000-0005-0000-0000-0000AD950000}"/>
    <cellStyle name="Notas 4 2 5 2 2 3 4" xfId="38168" xr:uid="{00000000-0005-0000-0000-0000AE950000}"/>
    <cellStyle name="Notas 4 2 5 2 2 4" xfId="38169" xr:uid="{00000000-0005-0000-0000-0000AF950000}"/>
    <cellStyle name="Notas 4 2 5 2 2 5" xfId="38170" xr:uid="{00000000-0005-0000-0000-0000B0950000}"/>
    <cellStyle name="Notas 4 2 5 2 2 6" xfId="38171" xr:uid="{00000000-0005-0000-0000-0000B1950000}"/>
    <cellStyle name="Notas 4 2 5 2 3" xfId="38172" xr:uid="{00000000-0005-0000-0000-0000B2950000}"/>
    <cellStyle name="Notas 4 2 5 2 3 2" xfId="38173" xr:uid="{00000000-0005-0000-0000-0000B3950000}"/>
    <cellStyle name="Notas 4 2 5 2 3 2 2" xfId="38174" xr:uid="{00000000-0005-0000-0000-0000B4950000}"/>
    <cellStyle name="Notas 4 2 5 2 3 2 3" xfId="38175" xr:uid="{00000000-0005-0000-0000-0000B5950000}"/>
    <cellStyle name="Notas 4 2 5 2 3 2 4" xfId="38176" xr:uid="{00000000-0005-0000-0000-0000B6950000}"/>
    <cellStyle name="Notas 4 2 5 2 3 3" xfId="38177" xr:uid="{00000000-0005-0000-0000-0000B7950000}"/>
    <cellStyle name="Notas 4 2 5 2 3 3 2" xfId="38178" xr:uid="{00000000-0005-0000-0000-0000B8950000}"/>
    <cellStyle name="Notas 4 2 5 2 3 3 3" xfId="38179" xr:uid="{00000000-0005-0000-0000-0000B9950000}"/>
    <cellStyle name="Notas 4 2 5 2 3 3 4" xfId="38180" xr:uid="{00000000-0005-0000-0000-0000BA950000}"/>
    <cellStyle name="Notas 4 2 5 2 3 4" xfId="38181" xr:uid="{00000000-0005-0000-0000-0000BB950000}"/>
    <cellStyle name="Notas 4 2 5 2 3 5" xfId="38182" xr:uid="{00000000-0005-0000-0000-0000BC950000}"/>
    <cellStyle name="Notas 4 2 5 2 3 6" xfId="38183" xr:uid="{00000000-0005-0000-0000-0000BD950000}"/>
    <cellStyle name="Notas 4 2 5 2 4" xfId="38184" xr:uid="{00000000-0005-0000-0000-0000BE950000}"/>
    <cellStyle name="Notas 4 2 5 2 5" xfId="38185" xr:uid="{00000000-0005-0000-0000-0000BF950000}"/>
    <cellStyle name="Notas 4 2 5 2 6" xfId="38186" xr:uid="{00000000-0005-0000-0000-0000C0950000}"/>
    <cellStyle name="Notas 4 2 5 3" xfId="38187" xr:uid="{00000000-0005-0000-0000-0000C1950000}"/>
    <cellStyle name="Notas 4 2 5 4" xfId="38188" xr:uid="{00000000-0005-0000-0000-0000C2950000}"/>
    <cellStyle name="Notas 4 2 6" xfId="38189" xr:uid="{00000000-0005-0000-0000-0000C3950000}"/>
    <cellStyle name="Notas 4 2 6 2" xfId="38190" xr:uid="{00000000-0005-0000-0000-0000C4950000}"/>
    <cellStyle name="Notas 4 2 6 2 2" xfId="38191" xr:uid="{00000000-0005-0000-0000-0000C5950000}"/>
    <cellStyle name="Notas 4 2 6 2 2 2" xfId="38192" xr:uid="{00000000-0005-0000-0000-0000C6950000}"/>
    <cellStyle name="Notas 4 2 6 2 2 2 2" xfId="38193" xr:uid="{00000000-0005-0000-0000-0000C7950000}"/>
    <cellStyle name="Notas 4 2 6 2 2 2 3" xfId="38194" xr:uid="{00000000-0005-0000-0000-0000C8950000}"/>
    <cellStyle name="Notas 4 2 6 2 2 2 4" xfId="38195" xr:uid="{00000000-0005-0000-0000-0000C9950000}"/>
    <cellStyle name="Notas 4 2 6 2 2 3" xfId="38196" xr:uid="{00000000-0005-0000-0000-0000CA950000}"/>
    <cellStyle name="Notas 4 2 6 2 2 3 2" xfId="38197" xr:uid="{00000000-0005-0000-0000-0000CB950000}"/>
    <cellStyle name="Notas 4 2 6 2 2 3 3" xfId="38198" xr:uid="{00000000-0005-0000-0000-0000CC950000}"/>
    <cellStyle name="Notas 4 2 6 2 2 3 4" xfId="38199" xr:uid="{00000000-0005-0000-0000-0000CD950000}"/>
    <cellStyle name="Notas 4 2 6 2 2 4" xfId="38200" xr:uid="{00000000-0005-0000-0000-0000CE950000}"/>
    <cellStyle name="Notas 4 2 6 2 2 5" xfId="38201" xr:uid="{00000000-0005-0000-0000-0000CF950000}"/>
    <cellStyle name="Notas 4 2 6 2 2 6" xfId="38202" xr:uid="{00000000-0005-0000-0000-0000D0950000}"/>
    <cellStyle name="Notas 4 2 6 2 3" xfId="38203" xr:uid="{00000000-0005-0000-0000-0000D1950000}"/>
    <cellStyle name="Notas 4 2 6 2 3 2" xfId="38204" xr:uid="{00000000-0005-0000-0000-0000D2950000}"/>
    <cellStyle name="Notas 4 2 6 2 3 2 2" xfId="38205" xr:uid="{00000000-0005-0000-0000-0000D3950000}"/>
    <cellStyle name="Notas 4 2 6 2 3 2 3" xfId="38206" xr:uid="{00000000-0005-0000-0000-0000D4950000}"/>
    <cellStyle name="Notas 4 2 6 2 3 2 4" xfId="38207" xr:uid="{00000000-0005-0000-0000-0000D5950000}"/>
    <cellStyle name="Notas 4 2 6 2 3 3" xfId="38208" xr:uid="{00000000-0005-0000-0000-0000D6950000}"/>
    <cellStyle name="Notas 4 2 6 2 3 3 2" xfId="38209" xr:uid="{00000000-0005-0000-0000-0000D7950000}"/>
    <cellStyle name="Notas 4 2 6 2 3 3 3" xfId="38210" xr:uid="{00000000-0005-0000-0000-0000D8950000}"/>
    <cellStyle name="Notas 4 2 6 2 3 3 4" xfId="38211" xr:uid="{00000000-0005-0000-0000-0000D9950000}"/>
    <cellStyle name="Notas 4 2 6 2 3 4" xfId="38212" xr:uid="{00000000-0005-0000-0000-0000DA950000}"/>
    <cellStyle name="Notas 4 2 6 2 3 5" xfId="38213" xr:uid="{00000000-0005-0000-0000-0000DB950000}"/>
    <cellStyle name="Notas 4 2 6 2 3 6" xfId="38214" xr:uid="{00000000-0005-0000-0000-0000DC950000}"/>
    <cellStyle name="Notas 4 2 6 2 4" xfId="38215" xr:uid="{00000000-0005-0000-0000-0000DD950000}"/>
    <cellStyle name="Notas 4 2 6 2 5" xfId="38216" xr:uid="{00000000-0005-0000-0000-0000DE950000}"/>
    <cellStyle name="Notas 4 2 6 2 6" xfId="38217" xr:uid="{00000000-0005-0000-0000-0000DF950000}"/>
    <cellStyle name="Notas 4 2 6 3" xfId="38218" xr:uid="{00000000-0005-0000-0000-0000E0950000}"/>
    <cellStyle name="Notas 4 2 6 4" xfId="38219" xr:uid="{00000000-0005-0000-0000-0000E1950000}"/>
    <cellStyle name="Notas 4 2 7" xfId="38220" xr:uid="{00000000-0005-0000-0000-0000E2950000}"/>
    <cellStyle name="Notas 4 2 7 2" xfId="38221" xr:uid="{00000000-0005-0000-0000-0000E3950000}"/>
    <cellStyle name="Notas 4 2 7 2 2" xfId="38222" xr:uid="{00000000-0005-0000-0000-0000E4950000}"/>
    <cellStyle name="Notas 4 2 7 2 2 2" xfId="38223" xr:uid="{00000000-0005-0000-0000-0000E5950000}"/>
    <cellStyle name="Notas 4 2 7 2 2 2 2" xfId="38224" xr:uid="{00000000-0005-0000-0000-0000E6950000}"/>
    <cellStyle name="Notas 4 2 7 2 2 2 3" xfId="38225" xr:uid="{00000000-0005-0000-0000-0000E7950000}"/>
    <cellStyle name="Notas 4 2 7 2 2 2 4" xfId="38226" xr:uid="{00000000-0005-0000-0000-0000E8950000}"/>
    <cellStyle name="Notas 4 2 7 2 2 3" xfId="38227" xr:uid="{00000000-0005-0000-0000-0000E9950000}"/>
    <cellStyle name="Notas 4 2 7 2 2 3 2" xfId="38228" xr:uid="{00000000-0005-0000-0000-0000EA950000}"/>
    <cellStyle name="Notas 4 2 7 2 2 3 3" xfId="38229" xr:uid="{00000000-0005-0000-0000-0000EB950000}"/>
    <cellStyle name="Notas 4 2 7 2 2 3 4" xfId="38230" xr:uid="{00000000-0005-0000-0000-0000EC950000}"/>
    <cellStyle name="Notas 4 2 7 2 2 4" xfId="38231" xr:uid="{00000000-0005-0000-0000-0000ED950000}"/>
    <cellStyle name="Notas 4 2 7 2 2 5" xfId="38232" xr:uid="{00000000-0005-0000-0000-0000EE950000}"/>
    <cellStyle name="Notas 4 2 7 2 2 6" xfId="38233" xr:uid="{00000000-0005-0000-0000-0000EF950000}"/>
    <cellStyle name="Notas 4 2 7 2 3" xfId="38234" xr:uid="{00000000-0005-0000-0000-0000F0950000}"/>
    <cellStyle name="Notas 4 2 7 2 3 2" xfId="38235" xr:uid="{00000000-0005-0000-0000-0000F1950000}"/>
    <cellStyle name="Notas 4 2 7 2 3 2 2" xfId="38236" xr:uid="{00000000-0005-0000-0000-0000F2950000}"/>
    <cellStyle name="Notas 4 2 7 2 3 2 3" xfId="38237" xr:uid="{00000000-0005-0000-0000-0000F3950000}"/>
    <cellStyle name="Notas 4 2 7 2 3 2 4" xfId="38238" xr:uid="{00000000-0005-0000-0000-0000F4950000}"/>
    <cellStyle name="Notas 4 2 7 2 3 3" xfId="38239" xr:uid="{00000000-0005-0000-0000-0000F5950000}"/>
    <cellStyle name="Notas 4 2 7 2 3 3 2" xfId="38240" xr:uid="{00000000-0005-0000-0000-0000F6950000}"/>
    <cellStyle name="Notas 4 2 7 2 3 3 3" xfId="38241" xr:uid="{00000000-0005-0000-0000-0000F7950000}"/>
    <cellStyle name="Notas 4 2 7 2 3 3 4" xfId="38242" xr:uid="{00000000-0005-0000-0000-0000F8950000}"/>
    <cellStyle name="Notas 4 2 7 2 3 4" xfId="38243" xr:uid="{00000000-0005-0000-0000-0000F9950000}"/>
    <cellStyle name="Notas 4 2 7 2 3 5" xfId="38244" xr:uid="{00000000-0005-0000-0000-0000FA950000}"/>
    <cellStyle name="Notas 4 2 7 2 3 6" xfId="38245" xr:uid="{00000000-0005-0000-0000-0000FB950000}"/>
    <cellStyle name="Notas 4 2 7 2 4" xfId="38246" xr:uid="{00000000-0005-0000-0000-0000FC950000}"/>
    <cellStyle name="Notas 4 2 7 2 5" xfId="38247" xr:uid="{00000000-0005-0000-0000-0000FD950000}"/>
    <cellStyle name="Notas 4 2 7 2 6" xfId="38248" xr:uid="{00000000-0005-0000-0000-0000FE950000}"/>
    <cellStyle name="Notas 4 2 7 3" xfId="38249" xr:uid="{00000000-0005-0000-0000-0000FF950000}"/>
    <cellStyle name="Notas 4 2 7 4" xfId="38250" xr:uid="{00000000-0005-0000-0000-000000960000}"/>
    <cellStyle name="Notas 4 2 8" xfId="38251" xr:uid="{00000000-0005-0000-0000-000001960000}"/>
    <cellStyle name="Notas 4 2 8 2" xfId="38252" xr:uid="{00000000-0005-0000-0000-000002960000}"/>
    <cellStyle name="Notas 4 2 8 2 2" xfId="38253" xr:uid="{00000000-0005-0000-0000-000003960000}"/>
    <cellStyle name="Notas 4 2 8 2 2 2" xfId="38254" xr:uid="{00000000-0005-0000-0000-000004960000}"/>
    <cellStyle name="Notas 4 2 8 2 2 3" xfId="38255" xr:uid="{00000000-0005-0000-0000-000005960000}"/>
    <cellStyle name="Notas 4 2 8 2 2 4" xfId="38256" xr:uid="{00000000-0005-0000-0000-000006960000}"/>
    <cellStyle name="Notas 4 2 8 2 3" xfId="38257" xr:uid="{00000000-0005-0000-0000-000007960000}"/>
    <cellStyle name="Notas 4 2 8 2 3 2" xfId="38258" xr:uid="{00000000-0005-0000-0000-000008960000}"/>
    <cellStyle name="Notas 4 2 8 2 3 3" xfId="38259" xr:uid="{00000000-0005-0000-0000-000009960000}"/>
    <cellStyle name="Notas 4 2 8 2 3 4" xfId="38260" xr:uid="{00000000-0005-0000-0000-00000A960000}"/>
    <cellStyle name="Notas 4 2 8 2 4" xfId="38261" xr:uid="{00000000-0005-0000-0000-00000B960000}"/>
    <cellStyle name="Notas 4 2 8 2 5" xfId="38262" xr:uid="{00000000-0005-0000-0000-00000C960000}"/>
    <cellStyle name="Notas 4 2 8 2 6" xfId="38263" xr:uid="{00000000-0005-0000-0000-00000D960000}"/>
    <cellStyle name="Notas 4 2 8 3" xfId="38264" xr:uid="{00000000-0005-0000-0000-00000E960000}"/>
    <cellStyle name="Notas 4 2 8 3 2" xfId="38265" xr:uid="{00000000-0005-0000-0000-00000F960000}"/>
    <cellStyle name="Notas 4 2 8 3 2 2" xfId="38266" xr:uid="{00000000-0005-0000-0000-000010960000}"/>
    <cellStyle name="Notas 4 2 8 3 2 3" xfId="38267" xr:uid="{00000000-0005-0000-0000-000011960000}"/>
    <cellStyle name="Notas 4 2 8 3 2 4" xfId="38268" xr:uid="{00000000-0005-0000-0000-000012960000}"/>
    <cellStyle name="Notas 4 2 8 3 3" xfId="38269" xr:uid="{00000000-0005-0000-0000-000013960000}"/>
    <cellStyle name="Notas 4 2 8 3 3 2" xfId="38270" xr:uid="{00000000-0005-0000-0000-000014960000}"/>
    <cellStyle name="Notas 4 2 8 3 3 3" xfId="38271" xr:uid="{00000000-0005-0000-0000-000015960000}"/>
    <cellStyle name="Notas 4 2 8 3 3 4" xfId="38272" xr:uid="{00000000-0005-0000-0000-000016960000}"/>
    <cellStyle name="Notas 4 2 8 3 4" xfId="38273" xr:uid="{00000000-0005-0000-0000-000017960000}"/>
    <cellStyle name="Notas 4 2 8 3 5" xfId="38274" xr:uid="{00000000-0005-0000-0000-000018960000}"/>
    <cellStyle name="Notas 4 2 8 3 6" xfId="38275" xr:uid="{00000000-0005-0000-0000-000019960000}"/>
    <cellStyle name="Notas 4 2 8 4" xfId="38276" xr:uid="{00000000-0005-0000-0000-00001A960000}"/>
    <cellStyle name="Notas 4 2 8 4 2" xfId="38277" xr:uid="{00000000-0005-0000-0000-00001B960000}"/>
    <cellStyle name="Notas 4 2 8 4 3" xfId="38278" xr:uid="{00000000-0005-0000-0000-00001C960000}"/>
    <cellStyle name="Notas 4 2 8 4 4" xfId="38279" xr:uid="{00000000-0005-0000-0000-00001D960000}"/>
    <cellStyle name="Notas 4 2 8 5" xfId="38280" xr:uid="{00000000-0005-0000-0000-00001E960000}"/>
    <cellStyle name="Notas 4 2 8 6" xfId="38281" xr:uid="{00000000-0005-0000-0000-00001F960000}"/>
    <cellStyle name="Notas 4 2 9" xfId="38282" xr:uid="{00000000-0005-0000-0000-000020960000}"/>
    <cellStyle name="Notas 4 2 9 2" xfId="38283" xr:uid="{00000000-0005-0000-0000-000021960000}"/>
    <cellStyle name="Notas 4 2 9 2 2" xfId="38284" xr:uid="{00000000-0005-0000-0000-000022960000}"/>
    <cellStyle name="Notas 4 2 9 2 2 2" xfId="38285" xr:uid="{00000000-0005-0000-0000-000023960000}"/>
    <cellStyle name="Notas 4 2 9 2 2 3" xfId="38286" xr:uid="{00000000-0005-0000-0000-000024960000}"/>
    <cellStyle name="Notas 4 2 9 2 2 4" xfId="38287" xr:uid="{00000000-0005-0000-0000-000025960000}"/>
    <cellStyle name="Notas 4 2 9 2 3" xfId="38288" xr:uid="{00000000-0005-0000-0000-000026960000}"/>
    <cellStyle name="Notas 4 2 9 2 3 2" xfId="38289" xr:uid="{00000000-0005-0000-0000-000027960000}"/>
    <cellStyle name="Notas 4 2 9 2 3 3" xfId="38290" xr:uid="{00000000-0005-0000-0000-000028960000}"/>
    <cellStyle name="Notas 4 2 9 2 3 4" xfId="38291" xr:uid="{00000000-0005-0000-0000-000029960000}"/>
    <cellStyle name="Notas 4 2 9 2 4" xfId="38292" xr:uid="{00000000-0005-0000-0000-00002A960000}"/>
    <cellStyle name="Notas 4 2 9 2 5" xfId="38293" xr:uid="{00000000-0005-0000-0000-00002B960000}"/>
    <cellStyle name="Notas 4 2 9 2 6" xfId="38294" xr:uid="{00000000-0005-0000-0000-00002C960000}"/>
    <cellStyle name="Notas 4 2 9 3" xfId="38295" xr:uid="{00000000-0005-0000-0000-00002D960000}"/>
    <cellStyle name="Notas 4 2 9 3 2" xfId="38296" xr:uid="{00000000-0005-0000-0000-00002E960000}"/>
    <cellStyle name="Notas 4 2 9 3 2 2" xfId="38297" xr:uid="{00000000-0005-0000-0000-00002F960000}"/>
    <cellStyle name="Notas 4 2 9 3 2 3" xfId="38298" xr:uid="{00000000-0005-0000-0000-000030960000}"/>
    <cellStyle name="Notas 4 2 9 3 2 4" xfId="38299" xr:uid="{00000000-0005-0000-0000-000031960000}"/>
    <cellStyle name="Notas 4 2 9 3 3" xfId="38300" xr:uid="{00000000-0005-0000-0000-000032960000}"/>
    <cellStyle name="Notas 4 2 9 3 3 2" xfId="38301" xr:uid="{00000000-0005-0000-0000-000033960000}"/>
    <cellStyle name="Notas 4 2 9 3 3 3" xfId="38302" xr:uid="{00000000-0005-0000-0000-000034960000}"/>
    <cellStyle name="Notas 4 2 9 3 3 4" xfId="38303" xr:uid="{00000000-0005-0000-0000-000035960000}"/>
    <cellStyle name="Notas 4 2 9 3 4" xfId="38304" xr:uid="{00000000-0005-0000-0000-000036960000}"/>
    <cellStyle name="Notas 4 2 9 3 5" xfId="38305" xr:uid="{00000000-0005-0000-0000-000037960000}"/>
    <cellStyle name="Notas 4 2 9 3 6" xfId="38306" xr:uid="{00000000-0005-0000-0000-000038960000}"/>
    <cellStyle name="Notas 4 2 9 4" xfId="38307" xr:uid="{00000000-0005-0000-0000-000039960000}"/>
    <cellStyle name="Notas 4 2 9 4 2" xfId="38308" xr:uid="{00000000-0005-0000-0000-00003A960000}"/>
    <cellStyle name="Notas 4 2 9 4 3" xfId="38309" xr:uid="{00000000-0005-0000-0000-00003B960000}"/>
    <cellStyle name="Notas 4 2 9 4 4" xfId="38310" xr:uid="{00000000-0005-0000-0000-00003C960000}"/>
    <cellStyle name="Notas 4 2 9 5" xfId="38311" xr:uid="{00000000-0005-0000-0000-00003D960000}"/>
    <cellStyle name="Notas 4 2 9 6" xfId="38312" xr:uid="{00000000-0005-0000-0000-00003E960000}"/>
    <cellStyle name="Notas 4 3" xfId="38313" xr:uid="{00000000-0005-0000-0000-00003F960000}"/>
    <cellStyle name="Notas 4 3 10" xfId="38314" xr:uid="{00000000-0005-0000-0000-000040960000}"/>
    <cellStyle name="Notas 4 3 10 2" xfId="38315" xr:uid="{00000000-0005-0000-0000-000041960000}"/>
    <cellStyle name="Notas 4 3 10 2 2" xfId="38316" xr:uid="{00000000-0005-0000-0000-000042960000}"/>
    <cellStyle name="Notas 4 3 10 2 2 2" xfId="38317" xr:uid="{00000000-0005-0000-0000-000043960000}"/>
    <cellStyle name="Notas 4 3 10 2 2 3" xfId="38318" xr:uid="{00000000-0005-0000-0000-000044960000}"/>
    <cellStyle name="Notas 4 3 10 2 2 4" xfId="38319" xr:uid="{00000000-0005-0000-0000-000045960000}"/>
    <cellStyle name="Notas 4 3 10 2 3" xfId="38320" xr:uid="{00000000-0005-0000-0000-000046960000}"/>
    <cellStyle name="Notas 4 3 10 2 3 2" xfId="38321" xr:uid="{00000000-0005-0000-0000-000047960000}"/>
    <cellStyle name="Notas 4 3 10 2 3 3" xfId="38322" xr:uid="{00000000-0005-0000-0000-000048960000}"/>
    <cellStyle name="Notas 4 3 10 2 3 4" xfId="38323" xr:uid="{00000000-0005-0000-0000-000049960000}"/>
    <cellStyle name="Notas 4 3 10 2 4" xfId="38324" xr:uid="{00000000-0005-0000-0000-00004A960000}"/>
    <cellStyle name="Notas 4 3 10 2 5" xfId="38325" xr:uid="{00000000-0005-0000-0000-00004B960000}"/>
    <cellStyle name="Notas 4 3 10 2 6" xfId="38326" xr:uid="{00000000-0005-0000-0000-00004C960000}"/>
    <cellStyle name="Notas 4 3 10 3" xfId="38327" xr:uid="{00000000-0005-0000-0000-00004D960000}"/>
    <cellStyle name="Notas 4 3 10 3 2" xfId="38328" xr:uid="{00000000-0005-0000-0000-00004E960000}"/>
    <cellStyle name="Notas 4 3 10 3 2 2" xfId="38329" xr:uid="{00000000-0005-0000-0000-00004F960000}"/>
    <cellStyle name="Notas 4 3 10 3 2 3" xfId="38330" xr:uid="{00000000-0005-0000-0000-000050960000}"/>
    <cellStyle name="Notas 4 3 10 3 2 4" xfId="38331" xr:uid="{00000000-0005-0000-0000-000051960000}"/>
    <cellStyle name="Notas 4 3 10 3 3" xfId="38332" xr:uid="{00000000-0005-0000-0000-000052960000}"/>
    <cellStyle name="Notas 4 3 10 3 3 2" xfId="38333" xr:uid="{00000000-0005-0000-0000-000053960000}"/>
    <cellStyle name="Notas 4 3 10 3 3 3" xfId="38334" xr:uid="{00000000-0005-0000-0000-000054960000}"/>
    <cellStyle name="Notas 4 3 10 3 3 4" xfId="38335" xr:uid="{00000000-0005-0000-0000-000055960000}"/>
    <cellStyle name="Notas 4 3 10 3 4" xfId="38336" xr:uid="{00000000-0005-0000-0000-000056960000}"/>
    <cellStyle name="Notas 4 3 10 3 5" xfId="38337" xr:uid="{00000000-0005-0000-0000-000057960000}"/>
    <cellStyle name="Notas 4 3 10 3 6" xfId="38338" xr:uid="{00000000-0005-0000-0000-000058960000}"/>
    <cellStyle name="Notas 4 3 10 4" xfId="38339" xr:uid="{00000000-0005-0000-0000-000059960000}"/>
    <cellStyle name="Notas 4 3 10 5" xfId="38340" xr:uid="{00000000-0005-0000-0000-00005A960000}"/>
    <cellStyle name="Notas 4 3 10 6" xfId="38341" xr:uid="{00000000-0005-0000-0000-00005B960000}"/>
    <cellStyle name="Notas 4 3 11" xfId="38342" xr:uid="{00000000-0005-0000-0000-00005C960000}"/>
    <cellStyle name="Notas 4 3 12" xfId="38343" xr:uid="{00000000-0005-0000-0000-00005D960000}"/>
    <cellStyle name="Notas 4 3 2" xfId="38344" xr:uid="{00000000-0005-0000-0000-00005E960000}"/>
    <cellStyle name="Notas 4 3 2 2" xfId="38345" xr:uid="{00000000-0005-0000-0000-00005F960000}"/>
    <cellStyle name="Notas 4 3 2 2 2" xfId="38346" xr:uid="{00000000-0005-0000-0000-000060960000}"/>
    <cellStyle name="Notas 4 3 2 2 2 2" xfId="38347" xr:uid="{00000000-0005-0000-0000-000061960000}"/>
    <cellStyle name="Notas 4 3 2 2 2 2 2" xfId="38348" xr:uid="{00000000-0005-0000-0000-000062960000}"/>
    <cellStyle name="Notas 4 3 2 2 2 2 3" xfId="38349" xr:uid="{00000000-0005-0000-0000-000063960000}"/>
    <cellStyle name="Notas 4 3 2 2 2 2 4" xfId="38350" xr:uid="{00000000-0005-0000-0000-000064960000}"/>
    <cellStyle name="Notas 4 3 2 2 2 3" xfId="38351" xr:uid="{00000000-0005-0000-0000-000065960000}"/>
    <cellStyle name="Notas 4 3 2 2 2 3 2" xfId="38352" xr:uid="{00000000-0005-0000-0000-000066960000}"/>
    <cellStyle name="Notas 4 3 2 2 2 3 3" xfId="38353" xr:uid="{00000000-0005-0000-0000-000067960000}"/>
    <cellStyle name="Notas 4 3 2 2 2 3 4" xfId="38354" xr:uid="{00000000-0005-0000-0000-000068960000}"/>
    <cellStyle name="Notas 4 3 2 2 2 4" xfId="38355" xr:uid="{00000000-0005-0000-0000-000069960000}"/>
    <cellStyle name="Notas 4 3 2 2 2 5" xfId="38356" xr:uid="{00000000-0005-0000-0000-00006A960000}"/>
    <cellStyle name="Notas 4 3 2 2 2 6" xfId="38357" xr:uid="{00000000-0005-0000-0000-00006B960000}"/>
    <cellStyle name="Notas 4 3 2 2 3" xfId="38358" xr:uid="{00000000-0005-0000-0000-00006C960000}"/>
    <cellStyle name="Notas 4 3 2 2 3 2" xfId="38359" xr:uid="{00000000-0005-0000-0000-00006D960000}"/>
    <cellStyle name="Notas 4 3 2 2 3 2 2" xfId="38360" xr:uid="{00000000-0005-0000-0000-00006E960000}"/>
    <cellStyle name="Notas 4 3 2 2 3 2 3" xfId="38361" xr:uid="{00000000-0005-0000-0000-00006F960000}"/>
    <cellStyle name="Notas 4 3 2 2 3 2 4" xfId="38362" xr:uid="{00000000-0005-0000-0000-000070960000}"/>
    <cellStyle name="Notas 4 3 2 2 3 3" xfId="38363" xr:uid="{00000000-0005-0000-0000-000071960000}"/>
    <cellStyle name="Notas 4 3 2 2 3 3 2" xfId="38364" xr:uid="{00000000-0005-0000-0000-000072960000}"/>
    <cellStyle name="Notas 4 3 2 2 3 3 3" xfId="38365" xr:uid="{00000000-0005-0000-0000-000073960000}"/>
    <cellStyle name="Notas 4 3 2 2 3 3 4" xfId="38366" xr:uid="{00000000-0005-0000-0000-000074960000}"/>
    <cellStyle name="Notas 4 3 2 2 3 4" xfId="38367" xr:uid="{00000000-0005-0000-0000-000075960000}"/>
    <cellStyle name="Notas 4 3 2 2 3 5" xfId="38368" xr:uid="{00000000-0005-0000-0000-000076960000}"/>
    <cellStyle name="Notas 4 3 2 2 3 6" xfId="38369" xr:uid="{00000000-0005-0000-0000-000077960000}"/>
    <cellStyle name="Notas 4 3 2 2 4" xfId="38370" xr:uid="{00000000-0005-0000-0000-000078960000}"/>
    <cellStyle name="Notas 4 3 2 2 5" xfId="38371" xr:uid="{00000000-0005-0000-0000-000079960000}"/>
    <cellStyle name="Notas 4 3 2 2 6" xfId="38372" xr:uid="{00000000-0005-0000-0000-00007A960000}"/>
    <cellStyle name="Notas 4 3 2 3" xfId="38373" xr:uid="{00000000-0005-0000-0000-00007B960000}"/>
    <cellStyle name="Notas 4 3 2 4" xfId="38374" xr:uid="{00000000-0005-0000-0000-00007C960000}"/>
    <cellStyle name="Notas 4 3 3" xfId="38375" xr:uid="{00000000-0005-0000-0000-00007D960000}"/>
    <cellStyle name="Notas 4 3 3 2" xfId="38376" xr:uid="{00000000-0005-0000-0000-00007E960000}"/>
    <cellStyle name="Notas 4 3 3 2 2" xfId="38377" xr:uid="{00000000-0005-0000-0000-00007F960000}"/>
    <cellStyle name="Notas 4 3 3 2 2 2" xfId="38378" xr:uid="{00000000-0005-0000-0000-000080960000}"/>
    <cellStyle name="Notas 4 3 3 2 2 2 2" xfId="38379" xr:uid="{00000000-0005-0000-0000-000081960000}"/>
    <cellStyle name="Notas 4 3 3 2 2 2 3" xfId="38380" xr:uid="{00000000-0005-0000-0000-000082960000}"/>
    <cellStyle name="Notas 4 3 3 2 2 2 4" xfId="38381" xr:uid="{00000000-0005-0000-0000-000083960000}"/>
    <cellStyle name="Notas 4 3 3 2 2 3" xfId="38382" xr:uid="{00000000-0005-0000-0000-000084960000}"/>
    <cellStyle name="Notas 4 3 3 2 2 3 2" xfId="38383" xr:uid="{00000000-0005-0000-0000-000085960000}"/>
    <cellStyle name="Notas 4 3 3 2 2 3 3" xfId="38384" xr:uid="{00000000-0005-0000-0000-000086960000}"/>
    <cellStyle name="Notas 4 3 3 2 2 3 4" xfId="38385" xr:uid="{00000000-0005-0000-0000-000087960000}"/>
    <cellStyle name="Notas 4 3 3 2 2 4" xfId="38386" xr:uid="{00000000-0005-0000-0000-000088960000}"/>
    <cellStyle name="Notas 4 3 3 2 2 5" xfId="38387" xr:uid="{00000000-0005-0000-0000-000089960000}"/>
    <cellStyle name="Notas 4 3 3 2 2 6" xfId="38388" xr:uid="{00000000-0005-0000-0000-00008A960000}"/>
    <cellStyle name="Notas 4 3 3 2 3" xfId="38389" xr:uid="{00000000-0005-0000-0000-00008B960000}"/>
    <cellStyle name="Notas 4 3 3 2 3 2" xfId="38390" xr:uid="{00000000-0005-0000-0000-00008C960000}"/>
    <cellStyle name="Notas 4 3 3 2 3 2 2" xfId="38391" xr:uid="{00000000-0005-0000-0000-00008D960000}"/>
    <cellStyle name="Notas 4 3 3 2 3 2 3" xfId="38392" xr:uid="{00000000-0005-0000-0000-00008E960000}"/>
    <cellStyle name="Notas 4 3 3 2 3 2 4" xfId="38393" xr:uid="{00000000-0005-0000-0000-00008F960000}"/>
    <cellStyle name="Notas 4 3 3 2 3 3" xfId="38394" xr:uid="{00000000-0005-0000-0000-000090960000}"/>
    <cellStyle name="Notas 4 3 3 2 3 3 2" xfId="38395" xr:uid="{00000000-0005-0000-0000-000091960000}"/>
    <cellStyle name="Notas 4 3 3 2 3 3 3" xfId="38396" xr:uid="{00000000-0005-0000-0000-000092960000}"/>
    <cellStyle name="Notas 4 3 3 2 3 3 4" xfId="38397" xr:uid="{00000000-0005-0000-0000-000093960000}"/>
    <cellStyle name="Notas 4 3 3 2 3 4" xfId="38398" xr:uid="{00000000-0005-0000-0000-000094960000}"/>
    <cellStyle name="Notas 4 3 3 2 3 5" xfId="38399" xr:uid="{00000000-0005-0000-0000-000095960000}"/>
    <cellStyle name="Notas 4 3 3 2 3 6" xfId="38400" xr:uid="{00000000-0005-0000-0000-000096960000}"/>
    <cellStyle name="Notas 4 3 3 2 4" xfId="38401" xr:uid="{00000000-0005-0000-0000-000097960000}"/>
    <cellStyle name="Notas 4 3 3 2 5" xfId="38402" xr:uid="{00000000-0005-0000-0000-000098960000}"/>
    <cellStyle name="Notas 4 3 3 2 6" xfId="38403" xr:uid="{00000000-0005-0000-0000-000099960000}"/>
    <cellStyle name="Notas 4 3 3 3" xfId="38404" xr:uid="{00000000-0005-0000-0000-00009A960000}"/>
    <cellStyle name="Notas 4 3 3 4" xfId="38405" xr:uid="{00000000-0005-0000-0000-00009B960000}"/>
    <cellStyle name="Notas 4 3 4" xfId="38406" xr:uid="{00000000-0005-0000-0000-00009C960000}"/>
    <cellStyle name="Notas 4 3 4 2" xfId="38407" xr:uid="{00000000-0005-0000-0000-00009D960000}"/>
    <cellStyle name="Notas 4 3 4 2 2" xfId="38408" xr:uid="{00000000-0005-0000-0000-00009E960000}"/>
    <cellStyle name="Notas 4 3 4 2 2 2" xfId="38409" xr:uid="{00000000-0005-0000-0000-00009F960000}"/>
    <cellStyle name="Notas 4 3 4 2 2 2 2" xfId="38410" xr:uid="{00000000-0005-0000-0000-0000A0960000}"/>
    <cellStyle name="Notas 4 3 4 2 2 2 3" xfId="38411" xr:uid="{00000000-0005-0000-0000-0000A1960000}"/>
    <cellStyle name="Notas 4 3 4 2 2 2 4" xfId="38412" xr:uid="{00000000-0005-0000-0000-0000A2960000}"/>
    <cellStyle name="Notas 4 3 4 2 2 3" xfId="38413" xr:uid="{00000000-0005-0000-0000-0000A3960000}"/>
    <cellStyle name="Notas 4 3 4 2 2 3 2" xfId="38414" xr:uid="{00000000-0005-0000-0000-0000A4960000}"/>
    <cellStyle name="Notas 4 3 4 2 2 3 3" xfId="38415" xr:uid="{00000000-0005-0000-0000-0000A5960000}"/>
    <cellStyle name="Notas 4 3 4 2 2 3 4" xfId="38416" xr:uid="{00000000-0005-0000-0000-0000A6960000}"/>
    <cellStyle name="Notas 4 3 4 2 2 4" xfId="38417" xr:uid="{00000000-0005-0000-0000-0000A7960000}"/>
    <cellStyle name="Notas 4 3 4 2 2 5" xfId="38418" xr:uid="{00000000-0005-0000-0000-0000A8960000}"/>
    <cellStyle name="Notas 4 3 4 2 2 6" xfId="38419" xr:uid="{00000000-0005-0000-0000-0000A9960000}"/>
    <cellStyle name="Notas 4 3 4 2 3" xfId="38420" xr:uid="{00000000-0005-0000-0000-0000AA960000}"/>
    <cellStyle name="Notas 4 3 4 2 3 2" xfId="38421" xr:uid="{00000000-0005-0000-0000-0000AB960000}"/>
    <cellStyle name="Notas 4 3 4 2 3 2 2" xfId="38422" xr:uid="{00000000-0005-0000-0000-0000AC960000}"/>
    <cellStyle name="Notas 4 3 4 2 3 2 3" xfId="38423" xr:uid="{00000000-0005-0000-0000-0000AD960000}"/>
    <cellStyle name="Notas 4 3 4 2 3 2 4" xfId="38424" xr:uid="{00000000-0005-0000-0000-0000AE960000}"/>
    <cellStyle name="Notas 4 3 4 2 3 3" xfId="38425" xr:uid="{00000000-0005-0000-0000-0000AF960000}"/>
    <cellStyle name="Notas 4 3 4 2 3 3 2" xfId="38426" xr:uid="{00000000-0005-0000-0000-0000B0960000}"/>
    <cellStyle name="Notas 4 3 4 2 3 3 3" xfId="38427" xr:uid="{00000000-0005-0000-0000-0000B1960000}"/>
    <cellStyle name="Notas 4 3 4 2 3 3 4" xfId="38428" xr:uid="{00000000-0005-0000-0000-0000B2960000}"/>
    <cellStyle name="Notas 4 3 4 2 3 4" xfId="38429" xr:uid="{00000000-0005-0000-0000-0000B3960000}"/>
    <cellStyle name="Notas 4 3 4 2 3 5" xfId="38430" xr:uid="{00000000-0005-0000-0000-0000B4960000}"/>
    <cellStyle name="Notas 4 3 4 2 3 6" xfId="38431" xr:uid="{00000000-0005-0000-0000-0000B5960000}"/>
    <cellStyle name="Notas 4 3 4 2 4" xfId="38432" xr:uid="{00000000-0005-0000-0000-0000B6960000}"/>
    <cellStyle name="Notas 4 3 4 2 5" xfId="38433" xr:uid="{00000000-0005-0000-0000-0000B7960000}"/>
    <cellStyle name="Notas 4 3 4 2 6" xfId="38434" xr:uid="{00000000-0005-0000-0000-0000B8960000}"/>
    <cellStyle name="Notas 4 3 4 3" xfId="38435" xr:uid="{00000000-0005-0000-0000-0000B9960000}"/>
    <cellStyle name="Notas 4 3 4 4" xfId="38436" xr:uid="{00000000-0005-0000-0000-0000BA960000}"/>
    <cellStyle name="Notas 4 3 5" xfId="38437" xr:uid="{00000000-0005-0000-0000-0000BB960000}"/>
    <cellStyle name="Notas 4 3 5 2" xfId="38438" xr:uid="{00000000-0005-0000-0000-0000BC960000}"/>
    <cellStyle name="Notas 4 3 5 2 2" xfId="38439" xr:uid="{00000000-0005-0000-0000-0000BD960000}"/>
    <cellStyle name="Notas 4 3 5 2 2 2" xfId="38440" xr:uid="{00000000-0005-0000-0000-0000BE960000}"/>
    <cellStyle name="Notas 4 3 5 2 2 2 2" xfId="38441" xr:uid="{00000000-0005-0000-0000-0000BF960000}"/>
    <cellStyle name="Notas 4 3 5 2 2 2 3" xfId="38442" xr:uid="{00000000-0005-0000-0000-0000C0960000}"/>
    <cellStyle name="Notas 4 3 5 2 2 2 4" xfId="38443" xr:uid="{00000000-0005-0000-0000-0000C1960000}"/>
    <cellStyle name="Notas 4 3 5 2 2 3" xfId="38444" xr:uid="{00000000-0005-0000-0000-0000C2960000}"/>
    <cellStyle name="Notas 4 3 5 2 2 3 2" xfId="38445" xr:uid="{00000000-0005-0000-0000-0000C3960000}"/>
    <cellStyle name="Notas 4 3 5 2 2 3 3" xfId="38446" xr:uid="{00000000-0005-0000-0000-0000C4960000}"/>
    <cellStyle name="Notas 4 3 5 2 2 3 4" xfId="38447" xr:uid="{00000000-0005-0000-0000-0000C5960000}"/>
    <cellStyle name="Notas 4 3 5 2 2 4" xfId="38448" xr:uid="{00000000-0005-0000-0000-0000C6960000}"/>
    <cellStyle name="Notas 4 3 5 2 2 5" xfId="38449" xr:uid="{00000000-0005-0000-0000-0000C7960000}"/>
    <cellStyle name="Notas 4 3 5 2 2 6" xfId="38450" xr:uid="{00000000-0005-0000-0000-0000C8960000}"/>
    <cellStyle name="Notas 4 3 5 2 3" xfId="38451" xr:uid="{00000000-0005-0000-0000-0000C9960000}"/>
    <cellStyle name="Notas 4 3 5 2 3 2" xfId="38452" xr:uid="{00000000-0005-0000-0000-0000CA960000}"/>
    <cellStyle name="Notas 4 3 5 2 3 2 2" xfId="38453" xr:uid="{00000000-0005-0000-0000-0000CB960000}"/>
    <cellStyle name="Notas 4 3 5 2 3 2 3" xfId="38454" xr:uid="{00000000-0005-0000-0000-0000CC960000}"/>
    <cellStyle name="Notas 4 3 5 2 3 2 4" xfId="38455" xr:uid="{00000000-0005-0000-0000-0000CD960000}"/>
    <cellStyle name="Notas 4 3 5 2 3 3" xfId="38456" xr:uid="{00000000-0005-0000-0000-0000CE960000}"/>
    <cellStyle name="Notas 4 3 5 2 3 3 2" xfId="38457" xr:uid="{00000000-0005-0000-0000-0000CF960000}"/>
    <cellStyle name="Notas 4 3 5 2 3 3 3" xfId="38458" xr:uid="{00000000-0005-0000-0000-0000D0960000}"/>
    <cellStyle name="Notas 4 3 5 2 3 3 4" xfId="38459" xr:uid="{00000000-0005-0000-0000-0000D1960000}"/>
    <cellStyle name="Notas 4 3 5 2 3 4" xfId="38460" xr:uid="{00000000-0005-0000-0000-0000D2960000}"/>
    <cellStyle name="Notas 4 3 5 2 3 5" xfId="38461" xr:uid="{00000000-0005-0000-0000-0000D3960000}"/>
    <cellStyle name="Notas 4 3 5 2 3 6" xfId="38462" xr:uid="{00000000-0005-0000-0000-0000D4960000}"/>
    <cellStyle name="Notas 4 3 5 2 4" xfId="38463" xr:uid="{00000000-0005-0000-0000-0000D5960000}"/>
    <cellStyle name="Notas 4 3 5 2 5" xfId="38464" xr:uid="{00000000-0005-0000-0000-0000D6960000}"/>
    <cellStyle name="Notas 4 3 5 2 6" xfId="38465" xr:uid="{00000000-0005-0000-0000-0000D7960000}"/>
    <cellStyle name="Notas 4 3 5 3" xfId="38466" xr:uid="{00000000-0005-0000-0000-0000D8960000}"/>
    <cellStyle name="Notas 4 3 5 4" xfId="38467" xr:uid="{00000000-0005-0000-0000-0000D9960000}"/>
    <cellStyle name="Notas 4 3 6" xfId="38468" xr:uid="{00000000-0005-0000-0000-0000DA960000}"/>
    <cellStyle name="Notas 4 3 6 2" xfId="38469" xr:uid="{00000000-0005-0000-0000-0000DB960000}"/>
    <cellStyle name="Notas 4 3 6 2 2" xfId="38470" xr:uid="{00000000-0005-0000-0000-0000DC960000}"/>
    <cellStyle name="Notas 4 3 6 2 2 2" xfId="38471" xr:uid="{00000000-0005-0000-0000-0000DD960000}"/>
    <cellStyle name="Notas 4 3 6 2 2 3" xfId="38472" xr:uid="{00000000-0005-0000-0000-0000DE960000}"/>
    <cellStyle name="Notas 4 3 6 2 2 4" xfId="38473" xr:uid="{00000000-0005-0000-0000-0000DF960000}"/>
    <cellStyle name="Notas 4 3 6 2 3" xfId="38474" xr:uid="{00000000-0005-0000-0000-0000E0960000}"/>
    <cellStyle name="Notas 4 3 6 2 3 2" xfId="38475" xr:uid="{00000000-0005-0000-0000-0000E1960000}"/>
    <cellStyle name="Notas 4 3 6 2 3 3" xfId="38476" xr:uid="{00000000-0005-0000-0000-0000E2960000}"/>
    <cellStyle name="Notas 4 3 6 2 3 4" xfId="38477" xr:uid="{00000000-0005-0000-0000-0000E3960000}"/>
    <cellStyle name="Notas 4 3 6 2 4" xfId="38478" xr:uid="{00000000-0005-0000-0000-0000E4960000}"/>
    <cellStyle name="Notas 4 3 6 2 5" xfId="38479" xr:uid="{00000000-0005-0000-0000-0000E5960000}"/>
    <cellStyle name="Notas 4 3 6 2 6" xfId="38480" xr:uid="{00000000-0005-0000-0000-0000E6960000}"/>
    <cellStyle name="Notas 4 3 6 3" xfId="38481" xr:uid="{00000000-0005-0000-0000-0000E7960000}"/>
    <cellStyle name="Notas 4 3 6 3 2" xfId="38482" xr:uid="{00000000-0005-0000-0000-0000E8960000}"/>
    <cellStyle name="Notas 4 3 6 3 2 2" xfId="38483" xr:uid="{00000000-0005-0000-0000-0000E9960000}"/>
    <cellStyle name="Notas 4 3 6 3 2 3" xfId="38484" xr:uid="{00000000-0005-0000-0000-0000EA960000}"/>
    <cellStyle name="Notas 4 3 6 3 2 4" xfId="38485" xr:uid="{00000000-0005-0000-0000-0000EB960000}"/>
    <cellStyle name="Notas 4 3 6 3 3" xfId="38486" xr:uid="{00000000-0005-0000-0000-0000EC960000}"/>
    <cellStyle name="Notas 4 3 6 3 3 2" xfId="38487" xr:uid="{00000000-0005-0000-0000-0000ED960000}"/>
    <cellStyle name="Notas 4 3 6 3 3 3" xfId="38488" xr:uid="{00000000-0005-0000-0000-0000EE960000}"/>
    <cellStyle name="Notas 4 3 6 3 3 4" xfId="38489" xr:uid="{00000000-0005-0000-0000-0000EF960000}"/>
    <cellStyle name="Notas 4 3 6 3 4" xfId="38490" xr:uid="{00000000-0005-0000-0000-0000F0960000}"/>
    <cellStyle name="Notas 4 3 6 3 5" xfId="38491" xr:uid="{00000000-0005-0000-0000-0000F1960000}"/>
    <cellStyle name="Notas 4 3 6 3 6" xfId="38492" xr:uid="{00000000-0005-0000-0000-0000F2960000}"/>
    <cellStyle name="Notas 4 3 6 4" xfId="38493" xr:uid="{00000000-0005-0000-0000-0000F3960000}"/>
    <cellStyle name="Notas 4 3 6 4 2" xfId="38494" xr:uid="{00000000-0005-0000-0000-0000F4960000}"/>
    <cellStyle name="Notas 4 3 6 4 3" xfId="38495" xr:uid="{00000000-0005-0000-0000-0000F5960000}"/>
    <cellStyle name="Notas 4 3 6 4 4" xfId="38496" xr:uid="{00000000-0005-0000-0000-0000F6960000}"/>
    <cellStyle name="Notas 4 3 6 5" xfId="38497" xr:uid="{00000000-0005-0000-0000-0000F7960000}"/>
    <cellStyle name="Notas 4 3 6 6" xfId="38498" xr:uid="{00000000-0005-0000-0000-0000F8960000}"/>
    <cellStyle name="Notas 4 3 7" xfId="38499" xr:uid="{00000000-0005-0000-0000-0000F9960000}"/>
    <cellStyle name="Notas 4 3 7 2" xfId="38500" xr:uid="{00000000-0005-0000-0000-0000FA960000}"/>
    <cellStyle name="Notas 4 3 7 2 2" xfId="38501" xr:uid="{00000000-0005-0000-0000-0000FB960000}"/>
    <cellStyle name="Notas 4 3 7 2 2 2" xfId="38502" xr:uid="{00000000-0005-0000-0000-0000FC960000}"/>
    <cellStyle name="Notas 4 3 7 2 2 3" xfId="38503" xr:uid="{00000000-0005-0000-0000-0000FD960000}"/>
    <cellStyle name="Notas 4 3 7 2 2 4" xfId="38504" xr:uid="{00000000-0005-0000-0000-0000FE960000}"/>
    <cellStyle name="Notas 4 3 7 2 3" xfId="38505" xr:uid="{00000000-0005-0000-0000-0000FF960000}"/>
    <cellStyle name="Notas 4 3 7 2 3 2" xfId="38506" xr:uid="{00000000-0005-0000-0000-000000970000}"/>
    <cellStyle name="Notas 4 3 7 2 3 3" xfId="38507" xr:uid="{00000000-0005-0000-0000-000001970000}"/>
    <cellStyle name="Notas 4 3 7 2 3 4" xfId="38508" xr:uid="{00000000-0005-0000-0000-000002970000}"/>
    <cellStyle name="Notas 4 3 7 2 4" xfId="38509" xr:uid="{00000000-0005-0000-0000-000003970000}"/>
    <cellStyle name="Notas 4 3 7 2 5" xfId="38510" xr:uid="{00000000-0005-0000-0000-000004970000}"/>
    <cellStyle name="Notas 4 3 7 2 6" xfId="38511" xr:uid="{00000000-0005-0000-0000-000005970000}"/>
    <cellStyle name="Notas 4 3 7 3" xfId="38512" xr:uid="{00000000-0005-0000-0000-000006970000}"/>
    <cellStyle name="Notas 4 3 7 3 2" xfId="38513" xr:uid="{00000000-0005-0000-0000-000007970000}"/>
    <cellStyle name="Notas 4 3 7 3 2 2" xfId="38514" xr:uid="{00000000-0005-0000-0000-000008970000}"/>
    <cellStyle name="Notas 4 3 7 3 2 3" xfId="38515" xr:uid="{00000000-0005-0000-0000-000009970000}"/>
    <cellStyle name="Notas 4 3 7 3 2 4" xfId="38516" xr:uid="{00000000-0005-0000-0000-00000A970000}"/>
    <cellStyle name="Notas 4 3 7 3 3" xfId="38517" xr:uid="{00000000-0005-0000-0000-00000B970000}"/>
    <cellStyle name="Notas 4 3 7 3 3 2" xfId="38518" xr:uid="{00000000-0005-0000-0000-00000C970000}"/>
    <cellStyle name="Notas 4 3 7 3 3 3" xfId="38519" xr:uid="{00000000-0005-0000-0000-00000D970000}"/>
    <cellStyle name="Notas 4 3 7 3 3 4" xfId="38520" xr:uid="{00000000-0005-0000-0000-00000E970000}"/>
    <cellStyle name="Notas 4 3 7 3 4" xfId="38521" xr:uid="{00000000-0005-0000-0000-00000F970000}"/>
    <cellStyle name="Notas 4 3 7 3 5" xfId="38522" xr:uid="{00000000-0005-0000-0000-000010970000}"/>
    <cellStyle name="Notas 4 3 7 3 6" xfId="38523" xr:uid="{00000000-0005-0000-0000-000011970000}"/>
    <cellStyle name="Notas 4 3 7 4" xfId="38524" xr:uid="{00000000-0005-0000-0000-000012970000}"/>
    <cellStyle name="Notas 4 3 7 4 2" xfId="38525" xr:uid="{00000000-0005-0000-0000-000013970000}"/>
    <cellStyle name="Notas 4 3 7 4 3" xfId="38526" xr:uid="{00000000-0005-0000-0000-000014970000}"/>
    <cellStyle name="Notas 4 3 7 4 4" xfId="38527" xr:uid="{00000000-0005-0000-0000-000015970000}"/>
    <cellStyle name="Notas 4 3 7 5" xfId="38528" xr:uid="{00000000-0005-0000-0000-000016970000}"/>
    <cellStyle name="Notas 4 3 7 6" xfId="38529" xr:uid="{00000000-0005-0000-0000-000017970000}"/>
    <cellStyle name="Notas 4 3 8" xfId="38530" xr:uid="{00000000-0005-0000-0000-000018970000}"/>
    <cellStyle name="Notas 4 3 8 2" xfId="38531" xr:uid="{00000000-0005-0000-0000-000019970000}"/>
    <cellStyle name="Notas 4 3 8 2 2" xfId="38532" xr:uid="{00000000-0005-0000-0000-00001A970000}"/>
    <cellStyle name="Notas 4 3 8 2 2 2" xfId="38533" xr:uid="{00000000-0005-0000-0000-00001B970000}"/>
    <cellStyle name="Notas 4 3 8 2 2 3" xfId="38534" xr:uid="{00000000-0005-0000-0000-00001C970000}"/>
    <cellStyle name="Notas 4 3 8 2 2 4" xfId="38535" xr:uid="{00000000-0005-0000-0000-00001D970000}"/>
    <cellStyle name="Notas 4 3 8 2 3" xfId="38536" xr:uid="{00000000-0005-0000-0000-00001E970000}"/>
    <cellStyle name="Notas 4 3 8 2 3 2" xfId="38537" xr:uid="{00000000-0005-0000-0000-00001F970000}"/>
    <cellStyle name="Notas 4 3 8 2 3 3" xfId="38538" xr:uid="{00000000-0005-0000-0000-000020970000}"/>
    <cellStyle name="Notas 4 3 8 2 3 4" xfId="38539" xr:uid="{00000000-0005-0000-0000-000021970000}"/>
    <cellStyle name="Notas 4 3 8 2 4" xfId="38540" xr:uid="{00000000-0005-0000-0000-000022970000}"/>
    <cellStyle name="Notas 4 3 8 2 5" xfId="38541" xr:uid="{00000000-0005-0000-0000-000023970000}"/>
    <cellStyle name="Notas 4 3 8 2 6" xfId="38542" xr:uid="{00000000-0005-0000-0000-000024970000}"/>
    <cellStyle name="Notas 4 3 8 3" xfId="38543" xr:uid="{00000000-0005-0000-0000-000025970000}"/>
    <cellStyle name="Notas 4 3 8 3 2" xfId="38544" xr:uid="{00000000-0005-0000-0000-000026970000}"/>
    <cellStyle name="Notas 4 3 8 3 2 2" xfId="38545" xr:uid="{00000000-0005-0000-0000-000027970000}"/>
    <cellStyle name="Notas 4 3 8 3 2 3" xfId="38546" xr:uid="{00000000-0005-0000-0000-000028970000}"/>
    <cellStyle name="Notas 4 3 8 3 2 4" xfId="38547" xr:uid="{00000000-0005-0000-0000-000029970000}"/>
    <cellStyle name="Notas 4 3 8 3 3" xfId="38548" xr:uid="{00000000-0005-0000-0000-00002A970000}"/>
    <cellStyle name="Notas 4 3 8 3 3 2" xfId="38549" xr:uid="{00000000-0005-0000-0000-00002B970000}"/>
    <cellStyle name="Notas 4 3 8 3 3 3" xfId="38550" xr:uid="{00000000-0005-0000-0000-00002C970000}"/>
    <cellStyle name="Notas 4 3 8 3 3 4" xfId="38551" xr:uid="{00000000-0005-0000-0000-00002D970000}"/>
    <cellStyle name="Notas 4 3 8 3 4" xfId="38552" xr:uid="{00000000-0005-0000-0000-00002E970000}"/>
    <cellStyle name="Notas 4 3 8 3 5" xfId="38553" xr:uid="{00000000-0005-0000-0000-00002F970000}"/>
    <cellStyle name="Notas 4 3 8 3 6" xfId="38554" xr:uid="{00000000-0005-0000-0000-000030970000}"/>
    <cellStyle name="Notas 4 3 8 4" xfId="38555" xr:uid="{00000000-0005-0000-0000-000031970000}"/>
    <cellStyle name="Notas 4 3 8 4 2" xfId="38556" xr:uid="{00000000-0005-0000-0000-000032970000}"/>
    <cellStyle name="Notas 4 3 8 4 3" xfId="38557" xr:uid="{00000000-0005-0000-0000-000033970000}"/>
    <cellStyle name="Notas 4 3 8 4 4" xfId="38558" xr:uid="{00000000-0005-0000-0000-000034970000}"/>
    <cellStyle name="Notas 4 3 8 5" xfId="38559" xr:uid="{00000000-0005-0000-0000-000035970000}"/>
    <cellStyle name="Notas 4 3 8 6" xfId="38560" xr:uid="{00000000-0005-0000-0000-000036970000}"/>
    <cellStyle name="Notas 4 3 9" xfId="38561" xr:uid="{00000000-0005-0000-0000-000037970000}"/>
    <cellStyle name="Notas 4 3 9 2" xfId="38562" xr:uid="{00000000-0005-0000-0000-000038970000}"/>
    <cellStyle name="Notas 4 3 9 2 2" xfId="38563" xr:uid="{00000000-0005-0000-0000-000039970000}"/>
    <cellStyle name="Notas 4 3 9 2 2 2" xfId="38564" xr:uid="{00000000-0005-0000-0000-00003A970000}"/>
    <cellStyle name="Notas 4 3 9 2 2 3" xfId="38565" xr:uid="{00000000-0005-0000-0000-00003B970000}"/>
    <cellStyle name="Notas 4 3 9 2 2 4" xfId="38566" xr:uid="{00000000-0005-0000-0000-00003C970000}"/>
    <cellStyle name="Notas 4 3 9 2 3" xfId="38567" xr:uid="{00000000-0005-0000-0000-00003D970000}"/>
    <cellStyle name="Notas 4 3 9 2 3 2" xfId="38568" xr:uid="{00000000-0005-0000-0000-00003E970000}"/>
    <cellStyle name="Notas 4 3 9 2 3 3" xfId="38569" xr:uid="{00000000-0005-0000-0000-00003F970000}"/>
    <cellStyle name="Notas 4 3 9 2 3 4" xfId="38570" xr:uid="{00000000-0005-0000-0000-000040970000}"/>
    <cellStyle name="Notas 4 3 9 2 4" xfId="38571" xr:uid="{00000000-0005-0000-0000-000041970000}"/>
    <cellStyle name="Notas 4 3 9 2 5" xfId="38572" xr:uid="{00000000-0005-0000-0000-000042970000}"/>
    <cellStyle name="Notas 4 3 9 2 6" xfId="38573" xr:uid="{00000000-0005-0000-0000-000043970000}"/>
    <cellStyle name="Notas 4 3 9 3" xfId="38574" xr:uid="{00000000-0005-0000-0000-000044970000}"/>
    <cellStyle name="Notas 4 3 9 3 2" xfId="38575" xr:uid="{00000000-0005-0000-0000-000045970000}"/>
    <cellStyle name="Notas 4 3 9 3 2 2" xfId="38576" xr:uid="{00000000-0005-0000-0000-000046970000}"/>
    <cellStyle name="Notas 4 3 9 3 2 3" xfId="38577" xr:uid="{00000000-0005-0000-0000-000047970000}"/>
    <cellStyle name="Notas 4 3 9 3 2 4" xfId="38578" xr:uid="{00000000-0005-0000-0000-000048970000}"/>
    <cellStyle name="Notas 4 3 9 3 3" xfId="38579" xr:uid="{00000000-0005-0000-0000-000049970000}"/>
    <cellStyle name="Notas 4 3 9 3 3 2" xfId="38580" xr:uid="{00000000-0005-0000-0000-00004A970000}"/>
    <cellStyle name="Notas 4 3 9 3 3 3" xfId="38581" xr:uid="{00000000-0005-0000-0000-00004B970000}"/>
    <cellStyle name="Notas 4 3 9 3 3 4" xfId="38582" xr:uid="{00000000-0005-0000-0000-00004C970000}"/>
    <cellStyle name="Notas 4 3 9 3 4" xfId="38583" xr:uid="{00000000-0005-0000-0000-00004D970000}"/>
    <cellStyle name="Notas 4 3 9 3 5" xfId="38584" xr:uid="{00000000-0005-0000-0000-00004E970000}"/>
    <cellStyle name="Notas 4 3 9 3 6" xfId="38585" xr:uid="{00000000-0005-0000-0000-00004F970000}"/>
    <cellStyle name="Notas 4 3 9 4" xfId="38586" xr:uid="{00000000-0005-0000-0000-000050970000}"/>
    <cellStyle name="Notas 4 3 9 4 2" xfId="38587" xr:uid="{00000000-0005-0000-0000-000051970000}"/>
    <cellStyle name="Notas 4 3 9 4 3" xfId="38588" xr:uid="{00000000-0005-0000-0000-000052970000}"/>
    <cellStyle name="Notas 4 3 9 4 4" xfId="38589" xr:uid="{00000000-0005-0000-0000-000053970000}"/>
    <cellStyle name="Notas 4 3 9 5" xfId="38590" xr:uid="{00000000-0005-0000-0000-000054970000}"/>
    <cellStyle name="Notas 4 3 9 6" xfId="38591" xr:uid="{00000000-0005-0000-0000-000055970000}"/>
    <cellStyle name="Notas 4 4" xfId="38592" xr:uid="{00000000-0005-0000-0000-000056970000}"/>
    <cellStyle name="Notas 4 4 10" xfId="38593" xr:uid="{00000000-0005-0000-0000-000057970000}"/>
    <cellStyle name="Notas 4 4 10 2" xfId="38594" xr:uid="{00000000-0005-0000-0000-000058970000}"/>
    <cellStyle name="Notas 4 4 10 2 2" xfId="38595" xr:uid="{00000000-0005-0000-0000-000059970000}"/>
    <cellStyle name="Notas 4 4 10 2 2 2" xfId="38596" xr:uid="{00000000-0005-0000-0000-00005A970000}"/>
    <cellStyle name="Notas 4 4 10 2 2 3" xfId="38597" xr:uid="{00000000-0005-0000-0000-00005B970000}"/>
    <cellStyle name="Notas 4 4 10 2 2 4" xfId="38598" xr:uid="{00000000-0005-0000-0000-00005C970000}"/>
    <cellStyle name="Notas 4 4 10 2 3" xfId="38599" xr:uid="{00000000-0005-0000-0000-00005D970000}"/>
    <cellStyle name="Notas 4 4 10 2 3 2" xfId="38600" xr:uid="{00000000-0005-0000-0000-00005E970000}"/>
    <cellStyle name="Notas 4 4 10 2 3 3" xfId="38601" xr:uid="{00000000-0005-0000-0000-00005F970000}"/>
    <cellStyle name="Notas 4 4 10 2 3 4" xfId="38602" xr:uid="{00000000-0005-0000-0000-000060970000}"/>
    <cellStyle name="Notas 4 4 10 2 4" xfId="38603" xr:uid="{00000000-0005-0000-0000-000061970000}"/>
    <cellStyle name="Notas 4 4 10 2 5" xfId="38604" xr:uid="{00000000-0005-0000-0000-000062970000}"/>
    <cellStyle name="Notas 4 4 10 2 6" xfId="38605" xr:uid="{00000000-0005-0000-0000-000063970000}"/>
    <cellStyle name="Notas 4 4 10 3" xfId="38606" xr:uid="{00000000-0005-0000-0000-000064970000}"/>
    <cellStyle name="Notas 4 4 10 3 2" xfId="38607" xr:uid="{00000000-0005-0000-0000-000065970000}"/>
    <cellStyle name="Notas 4 4 10 3 2 2" xfId="38608" xr:uid="{00000000-0005-0000-0000-000066970000}"/>
    <cellStyle name="Notas 4 4 10 3 2 3" xfId="38609" xr:uid="{00000000-0005-0000-0000-000067970000}"/>
    <cellStyle name="Notas 4 4 10 3 2 4" xfId="38610" xr:uid="{00000000-0005-0000-0000-000068970000}"/>
    <cellStyle name="Notas 4 4 10 3 3" xfId="38611" xr:uid="{00000000-0005-0000-0000-000069970000}"/>
    <cellStyle name="Notas 4 4 10 3 3 2" xfId="38612" xr:uid="{00000000-0005-0000-0000-00006A970000}"/>
    <cellStyle name="Notas 4 4 10 3 3 3" xfId="38613" xr:uid="{00000000-0005-0000-0000-00006B970000}"/>
    <cellStyle name="Notas 4 4 10 3 3 4" xfId="38614" xr:uid="{00000000-0005-0000-0000-00006C970000}"/>
    <cellStyle name="Notas 4 4 10 3 4" xfId="38615" xr:uid="{00000000-0005-0000-0000-00006D970000}"/>
    <cellStyle name="Notas 4 4 10 3 5" xfId="38616" xr:uid="{00000000-0005-0000-0000-00006E970000}"/>
    <cellStyle name="Notas 4 4 10 3 6" xfId="38617" xr:uid="{00000000-0005-0000-0000-00006F970000}"/>
    <cellStyle name="Notas 4 4 10 4" xfId="38618" xr:uid="{00000000-0005-0000-0000-000070970000}"/>
    <cellStyle name="Notas 4 4 10 5" xfId="38619" xr:uid="{00000000-0005-0000-0000-000071970000}"/>
    <cellStyle name="Notas 4 4 10 6" xfId="38620" xr:uid="{00000000-0005-0000-0000-000072970000}"/>
    <cellStyle name="Notas 4 4 11" xfId="38621" xr:uid="{00000000-0005-0000-0000-000073970000}"/>
    <cellStyle name="Notas 4 4 12" xfId="38622" xr:uid="{00000000-0005-0000-0000-000074970000}"/>
    <cellStyle name="Notas 4 4 2" xfId="38623" xr:uid="{00000000-0005-0000-0000-000075970000}"/>
    <cellStyle name="Notas 4 4 2 2" xfId="38624" xr:uid="{00000000-0005-0000-0000-000076970000}"/>
    <cellStyle name="Notas 4 4 2 2 2" xfId="38625" xr:uid="{00000000-0005-0000-0000-000077970000}"/>
    <cellStyle name="Notas 4 4 2 2 2 2" xfId="38626" xr:uid="{00000000-0005-0000-0000-000078970000}"/>
    <cellStyle name="Notas 4 4 2 2 2 2 2" xfId="38627" xr:uid="{00000000-0005-0000-0000-000079970000}"/>
    <cellStyle name="Notas 4 4 2 2 2 2 3" xfId="38628" xr:uid="{00000000-0005-0000-0000-00007A970000}"/>
    <cellStyle name="Notas 4 4 2 2 2 2 4" xfId="38629" xr:uid="{00000000-0005-0000-0000-00007B970000}"/>
    <cellStyle name="Notas 4 4 2 2 2 3" xfId="38630" xr:uid="{00000000-0005-0000-0000-00007C970000}"/>
    <cellStyle name="Notas 4 4 2 2 2 3 2" xfId="38631" xr:uid="{00000000-0005-0000-0000-00007D970000}"/>
    <cellStyle name="Notas 4 4 2 2 2 3 3" xfId="38632" xr:uid="{00000000-0005-0000-0000-00007E970000}"/>
    <cellStyle name="Notas 4 4 2 2 2 3 4" xfId="38633" xr:uid="{00000000-0005-0000-0000-00007F970000}"/>
    <cellStyle name="Notas 4 4 2 2 2 4" xfId="38634" xr:uid="{00000000-0005-0000-0000-000080970000}"/>
    <cellStyle name="Notas 4 4 2 2 2 5" xfId="38635" xr:uid="{00000000-0005-0000-0000-000081970000}"/>
    <cellStyle name="Notas 4 4 2 2 2 6" xfId="38636" xr:uid="{00000000-0005-0000-0000-000082970000}"/>
    <cellStyle name="Notas 4 4 2 2 3" xfId="38637" xr:uid="{00000000-0005-0000-0000-000083970000}"/>
    <cellStyle name="Notas 4 4 2 2 3 2" xfId="38638" xr:uid="{00000000-0005-0000-0000-000084970000}"/>
    <cellStyle name="Notas 4 4 2 2 3 2 2" xfId="38639" xr:uid="{00000000-0005-0000-0000-000085970000}"/>
    <cellStyle name="Notas 4 4 2 2 3 2 3" xfId="38640" xr:uid="{00000000-0005-0000-0000-000086970000}"/>
    <cellStyle name="Notas 4 4 2 2 3 2 4" xfId="38641" xr:uid="{00000000-0005-0000-0000-000087970000}"/>
    <cellStyle name="Notas 4 4 2 2 3 3" xfId="38642" xr:uid="{00000000-0005-0000-0000-000088970000}"/>
    <cellStyle name="Notas 4 4 2 2 3 3 2" xfId="38643" xr:uid="{00000000-0005-0000-0000-000089970000}"/>
    <cellStyle name="Notas 4 4 2 2 3 3 3" xfId="38644" xr:uid="{00000000-0005-0000-0000-00008A970000}"/>
    <cellStyle name="Notas 4 4 2 2 3 3 4" xfId="38645" xr:uid="{00000000-0005-0000-0000-00008B970000}"/>
    <cellStyle name="Notas 4 4 2 2 3 4" xfId="38646" xr:uid="{00000000-0005-0000-0000-00008C970000}"/>
    <cellStyle name="Notas 4 4 2 2 3 5" xfId="38647" xr:uid="{00000000-0005-0000-0000-00008D970000}"/>
    <cellStyle name="Notas 4 4 2 2 3 6" xfId="38648" xr:uid="{00000000-0005-0000-0000-00008E970000}"/>
    <cellStyle name="Notas 4 4 2 2 4" xfId="38649" xr:uid="{00000000-0005-0000-0000-00008F970000}"/>
    <cellStyle name="Notas 4 4 2 2 5" xfId="38650" xr:uid="{00000000-0005-0000-0000-000090970000}"/>
    <cellStyle name="Notas 4 4 2 2 6" xfId="38651" xr:uid="{00000000-0005-0000-0000-000091970000}"/>
    <cellStyle name="Notas 4 4 2 3" xfId="38652" xr:uid="{00000000-0005-0000-0000-000092970000}"/>
    <cellStyle name="Notas 4 4 2 4" xfId="38653" xr:uid="{00000000-0005-0000-0000-000093970000}"/>
    <cellStyle name="Notas 4 4 3" xfId="38654" xr:uid="{00000000-0005-0000-0000-000094970000}"/>
    <cellStyle name="Notas 4 4 3 2" xfId="38655" xr:uid="{00000000-0005-0000-0000-000095970000}"/>
    <cellStyle name="Notas 4 4 3 2 2" xfId="38656" xr:uid="{00000000-0005-0000-0000-000096970000}"/>
    <cellStyle name="Notas 4 4 3 2 2 2" xfId="38657" xr:uid="{00000000-0005-0000-0000-000097970000}"/>
    <cellStyle name="Notas 4 4 3 2 2 2 2" xfId="38658" xr:uid="{00000000-0005-0000-0000-000098970000}"/>
    <cellStyle name="Notas 4 4 3 2 2 2 3" xfId="38659" xr:uid="{00000000-0005-0000-0000-000099970000}"/>
    <cellStyle name="Notas 4 4 3 2 2 2 4" xfId="38660" xr:uid="{00000000-0005-0000-0000-00009A970000}"/>
    <cellStyle name="Notas 4 4 3 2 2 3" xfId="38661" xr:uid="{00000000-0005-0000-0000-00009B970000}"/>
    <cellStyle name="Notas 4 4 3 2 2 3 2" xfId="38662" xr:uid="{00000000-0005-0000-0000-00009C970000}"/>
    <cellStyle name="Notas 4 4 3 2 2 3 3" xfId="38663" xr:uid="{00000000-0005-0000-0000-00009D970000}"/>
    <cellStyle name="Notas 4 4 3 2 2 3 4" xfId="38664" xr:uid="{00000000-0005-0000-0000-00009E970000}"/>
    <cellStyle name="Notas 4 4 3 2 2 4" xfId="38665" xr:uid="{00000000-0005-0000-0000-00009F970000}"/>
    <cellStyle name="Notas 4 4 3 2 2 5" xfId="38666" xr:uid="{00000000-0005-0000-0000-0000A0970000}"/>
    <cellStyle name="Notas 4 4 3 2 2 6" xfId="38667" xr:uid="{00000000-0005-0000-0000-0000A1970000}"/>
    <cellStyle name="Notas 4 4 3 2 3" xfId="38668" xr:uid="{00000000-0005-0000-0000-0000A2970000}"/>
    <cellStyle name="Notas 4 4 3 2 3 2" xfId="38669" xr:uid="{00000000-0005-0000-0000-0000A3970000}"/>
    <cellStyle name="Notas 4 4 3 2 3 2 2" xfId="38670" xr:uid="{00000000-0005-0000-0000-0000A4970000}"/>
    <cellStyle name="Notas 4 4 3 2 3 2 3" xfId="38671" xr:uid="{00000000-0005-0000-0000-0000A5970000}"/>
    <cellStyle name="Notas 4 4 3 2 3 2 4" xfId="38672" xr:uid="{00000000-0005-0000-0000-0000A6970000}"/>
    <cellStyle name="Notas 4 4 3 2 3 3" xfId="38673" xr:uid="{00000000-0005-0000-0000-0000A7970000}"/>
    <cellStyle name="Notas 4 4 3 2 3 3 2" xfId="38674" xr:uid="{00000000-0005-0000-0000-0000A8970000}"/>
    <cellStyle name="Notas 4 4 3 2 3 3 3" xfId="38675" xr:uid="{00000000-0005-0000-0000-0000A9970000}"/>
    <cellStyle name="Notas 4 4 3 2 3 3 4" xfId="38676" xr:uid="{00000000-0005-0000-0000-0000AA970000}"/>
    <cellStyle name="Notas 4 4 3 2 3 4" xfId="38677" xr:uid="{00000000-0005-0000-0000-0000AB970000}"/>
    <cellStyle name="Notas 4 4 3 2 3 5" xfId="38678" xr:uid="{00000000-0005-0000-0000-0000AC970000}"/>
    <cellStyle name="Notas 4 4 3 2 3 6" xfId="38679" xr:uid="{00000000-0005-0000-0000-0000AD970000}"/>
    <cellStyle name="Notas 4 4 3 2 4" xfId="38680" xr:uid="{00000000-0005-0000-0000-0000AE970000}"/>
    <cellStyle name="Notas 4 4 3 2 5" xfId="38681" xr:uid="{00000000-0005-0000-0000-0000AF970000}"/>
    <cellStyle name="Notas 4 4 3 2 6" xfId="38682" xr:uid="{00000000-0005-0000-0000-0000B0970000}"/>
    <cellStyle name="Notas 4 4 3 3" xfId="38683" xr:uid="{00000000-0005-0000-0000-0000B1970000}"/>
    <cellStyle name="Notas 4 4 3 4" xfId="38684" xr:uid="{00000000-0005-0000-0000-0000B2970000}"/>
    <cellStyle name="Notas 4 4 4" xfId="38685" xr:uid="{00000000-0005-0000-0000-0000B3970000}"/>
    <cellStyle name="Notas 4 4 4 2" xfId="38686" xr:uid="{00000000-0005-0000-0000-0000B4970000}"/>
    <cellStyle name="Notas 4 4 4 2 2" xfId="38687" xr:uid="{00000000-0005-0000-0000-0000B5970000}"/>
    <cellStyle name="Notas 4 4 4 2 2 2" xfId="38688" xr:uid="{00000000-0005-0000-0000-0000B6970000}"/>
    <cellStyle name="Notas 4 4 4 2 2 2 2" xfId="38689" xr:uid="{00000000-0005-0000-0000-0000B7970000}"/>
    <cellStyle name="Notas 4 4 4 2 2 2 3" xfId="38690" xr:uid="{00000000-0005-0000-0000-0000B8970000}"/>
    <cellStyle name="Notas 4 4 4 2 2 2 4" xfId="38691" xr:uid="{00000000-0005-0000-0000-0000B9970000}"/>
    <cellStyle name="Notas 4 4 4 2 2 3" xfId="38692" xr:uid="{00000000-0005-0000-0000-0000BA970000}"/>
    <cellStyle name="Notas 4 4 4 2 2 3 2" xfId="38693" xr:uid="{00000000-0005-0000-0000-0000BB970000}"/>
    <cellStyle name="Notas 4 4 4 2 2 3 3" xfId="38694" xr:uid="{00000000-0005-0000-0000-0000BC970000}"/>
    <cellStyle name="Notas 4 4 4 2 2 3 4" xfId="38695" xr:uid="{00000000-0005-0000-0000-0000BD970000}"/>
    <cellStyle name="Notas 4 4 4 2 2 4" xfId="38696" xr:uid="{00000000-0005-0000-0000-0000BE970000}"/>
    <cellStyle name="Notas 4 4 4 2 2 5" xfId="38697" xr:uid="{00000000-0005-0000-0000-0000BF970000}"/>
    <cellStyle name="Notas 4 4 4 2 2 6" xfId="38698" xr:uid="{00000000-0005-0000-0000-0000C0970000}"/>
    <cellStyle name="Notas 4 4 4 2 3" xfId="38699" xr:uid="{00000000-0005-0000-0000-0000C1970000}"/>
    <cellStyle name="Notas 4 4 4 2 3 2" xfId="38700" xr:uid="{00000000-0005-0000-0000-0000C2970000}"/>
    <cellStyle name="Notas 4 4 4 2 3 2 2" xfId="38701" xr:uid="{00000000-0005-0000-0000-0000C3970000}"/>
    <cellStyle name="Notas 4 4 4 2 3 2 3" xfId="38702" xr:uid="{00000000-0005-0000-0000-0000C4970000}"/>
    <cellStyle name="Notas 4 4 4 2 3 2 4" xfId="38703" xr:uid="{00000000-0005-0000-0000-0000C5970000}"/>
    <cellStyle name="Notas 4 4 4 2 3 3" xfId="38704" xr:uid="{00000000-0005-0000-0000-0000C6970000}"/>
    <cellStyle name="Notas 4 4 4 2 3 3 2" xfId="38705" xr:uid="{00000000-0005-0000-0000-0000C7970000}"/>
    <cellStyle name="Notas 4 4 4 2 3 3 3" xfId="38706" xr:uid="{00000000-0005-0000-0000-0000C8970000}"/>
    <cellStyle name="Notas 4 4 4 2 3 3 4" xfId="38707" xr:uid="{00000000-0005-0000-0000-0000C9970000}"/>
    <cellStyle name="Notas 4 4 4 2 3 4" xfId="38708" xr:uid="{00000000-0005-0000-0000-0000CA970000}"/>
    <cellStyle name="Notas 4 4 4 2 3 5" xfId="38709" xr:uid="{00000000-0005-0000-0000-0000CB970000}"/>
    <cellStyle name="Notas 4 4 4 2 3 6" xfId="38710" xr:uid="{00000000-0005-0000-0000-0000CC970000}"/>
    <cellStyle name="Notas 4 4 4 2 4" xfId="38711" xr:uid="{00000000-0005-0000-0000-0000CD970000}"/>
    <cellStyle name="Notas 4 4 4 2 5" xfId="38712" xr:uid="{00000000-0005-0000-0000-0000CE970000}"/>
    <cellStyle name="Notas 4 4 4 2 6" xfId="38713" xr:uid="{00000000-0005-0000-0000-0000CF970000}"/>
    <cellStyle name="Notas 4 4 4 3" xfId="38714" xr:uid="{00000000-0005-0000-0000-0000D0970000}"/>
    <cellStyle name="Notas 4 4 4 4" xfId="38715" xr:uid="{00000000-0005-0000-0000-0000D1970000}"/>
    <cellStyle name="Notas 4 4 5" xfId="38716" xr:uid="{00000000-0005-0000-0000-0000D2970000}"/>
    <cellStyle name="Notas 4 4 5 2" xfId="38717" xr:uid="{00000000-0005-0000-0000-0000D3970000}"/>
    <cellStyle name="Notas 4 4 5 2 2" xfId="38718" xr:uid="{00000000-0005-0000-0000-0000D4970000}"/>
    <cellStyle name="Notas 4 4 5 2 2 2" xfId="38719" xr:uid="{00000000-0005-0000-0000-0000D5970000}"/>
    <cellStyle name="Notas 4 4 5 2 2 2 2" xfId="38720" xr:uid="{00000000-0005-0000-0000-0000D6970000}"/>
    <cellStyle name="Notas 4 4 5 2 2 2 3" xfId="38721" xr:uid="{00000000-0005-0000-0000-0000D7970000}"/>
    <cellStyle name="Notas 4 4 5 2 2 2 4" xfId="38722" xr:uid="{00000000-0005-0000-0000-0000D8970000}"/>
    <cellStyle name="Notas 4 4 5 2 2 3" xfId="38723" xr:uid="{00000000-0005-0000-0000-0000D9970000}"/>
    <cellStyle name="Notas 4 4 5 2 2 3 2" xfId="38724" xr:uid="{00000000-0005-0000-0000-0000DA970000}"/>
    <cellStyle name="Notas 4 4 5 2 2 3 3" xfId="38725" xr:uid="{00000000-0005-0000-0000-0000DB970000}"/>
    <cellStyle name="Notas 4 4 5 2 2 3 4" xfId="38726" xr:uid="{00000000-0005-0000-0000-0000DC970000}"/>
    <cellStyle name="Notas 4 4 5 2 2 4" xfId="38727" xr:uid="{00000000-0005-0000-0000-0000DD970000}"/>
    <cellStyle name="Notas 4 4 5 2 2 5" xfId="38728" xr:uid="{00000000-0005-0000-0000-0000DE970000}"/>
    <cellStyle name="Notas 4 4 5 2 2 6" xfId="38729" xr:uid="{00000000-0005-0000-0000-0000DF970000}"/>
    <cellStyle name="Notas 4 4 5 2 3" xfId="38730" xr:uid="{00000000-0005-0000-0000-0000E0970000}"/>
    <cellStyle name="Notas 4 4 5 2 3 2" xfId="38731" xr:uid="{00000000-0005-0000-0000-0000E1970000}"/>
    <cellStyle name="Notas 4 4 5 2 3 2 2" xfId="38732" xr:uid="{00000000-0005-0000-0000-0000E2970000}"/>
    <cellStyle name="Notas 4 4 5 2 3 2 3" xfId="38733" xr:uid="{00000000-0005-0000-0000-0000E3970000}"/>
    <cellStyle name="Notas 4 4 5 2 3 2 4" xfId="38734" xr:uid="{00000000-0005-0000-0000-0000E4970000}"/>
    <cellStyle name="Notas 4 4 5 2 3 3" xfId="38735" xr:uid="{00000000-0005-0000-0000-0000E5970000}"/>
    <cellStyle name="Notas 4 4 5 2 3 3 2" xfId="38736" xr:uid="{00000000-0005-0000-0000-0000E6970000}"/>
    <cellStyle name="Notas 4 4 5 2 3 3 3" xfId="38737" xr:uid="{00000000-0005-0000-0000-0000E7970000}"/>
    <cellStyle name="Notas 4 4 5 2 3 3 4" xfId="38738" xr:uid="{00000000-0005-0000-0000-0000E8970000}"/>
    <cellStyle name="Notas 4 4 5 2 3 4" xfId="38739" xr:uid="{00000000-0005-0000-0000-0000E9970000}"/>
    <cellStyle name="Notas 4 4 5 2 3 5" xfId="38740" xr:uid="{00000000-0005-0000-0000-0000EA970000}"/>
    <cellStyle name="Notas 4 4 5 2 3 6" xfId="38741" xr:uid="{00000000-0005-0000-0000-0000EB970000}"/>
    <cellStyle name="Notas 4 4 5 2 4" xfId="38742" xr:uid="{00000000-0005-0000-0000-0000EC970000}"/>
    <cellStyle name="Notas 4 4 5 2 5" xfId="38743" xr:uid="{00000000-0005-0000-0000-0000ED970000}"/>
    <cellStyle name="Notas 4 4 5 2 6" xfId="38744" xr:uid="{00000000-0005-0000-0000-0000EE970000}"/>
    <cellStyle name="Notas 4 4 5 3" xfId="38745" xr:uid="{00000000-0005-0000-0000-0000EF970000}"/>
    <cellStyle name="Notas 4 4 5 4" xfId="38746" xr:uid="{00000000-0005-0000-0000-0000F0970000}"/>
    <cellStyle name="Notas 4 4 6" xfId="38747" xr:uid="{00000000-0005-0000-0000-0000F1970000}"/>
    <cellStyle name="Notas 4 4 6 2" xfId="38748" xr:uid="{00000000-0005-0000-0000-0000F2970000}"/>
    <cellStyle name="Notas 4 4 6 2 2" xfId="38749" xr:uid="{00000000-0005-0000-0000-0000F3970000}"/>
    <cellStyle name="Notas 4 4 6 2 2 2" xfId="38750" xr:uid="{00000000-0005-0000-0000-0000F4970000}"/>
    <cellStyle name="Notas 4 4 6 2 2 3" xfId="38751" xr:uid="{00000000-0005-0000-0000-0000F5970000}"/>
    <cellStyle name="Notas 4 4 6 2 2 4" xfId="38752" xr:uid="{00000000-0005-0000-0000-0000F6970000}"/>
    <cellStyle name="Notas 4 4 6 2 3" xfId="38753" xr:uid="{00000000-0005-0000-0000-0000F7970000}"/>
    <cellStyle name="Notas 4 4 6 2 3 2" xfId="38754" xr:uid="{00000000-0005-0000-0000-0000F8970000}"/>
    <cellStyle name="Notas 4 4 6 2 3 3" xfId="38755" xr:uid="{00000000-0005-0000-0000-0000F9970000}"/>
    <cellStyle name="Notas 4 4 6 2 3 4" xfId="38756" xr:uid="{00000000-0005-0000-0000-0000FA970000}"/>
    <cellStyle name="Notas 4 4 6 2 4" xfId="38757" xr:uid="{00000000-0005-0000-0000-0000FB970000}"/>
    <cellStyle name="Notas 4 4 6 2 5" xfId="38758" xr:uid="{00000000-0005-0000-0000-0000FC970000}"/>
    <cellStyle name="Notas 4 4 6 2 6" xfId="38759" xr:uid="{00000000-0005-0000-0000-0000FD970000}"/>
    <cellStyle name="Notas 4 4 6 3" xfId="38760" xr:uid="{00000000-0005-0000-0000-0000FE970000}"/>
    <cellStyle name="Notas 4 4 6 3 2" xfId="38761" xr:uid="{00000000-0005-0000-0000-0000FF970000}"/>
    <cellStyle name="Notas 4 4 6 3 2 2" xfId="38762" xr:uid="{00000000-0005-0000-0000-000000980000}"/>
    <cellStyle name="Notas 4 4 6 3 2 3" xfId="38763" xr:uid="{00000000-0005-0000-0000-000001980000}"/>
    <cellStyle name="Notas 4 4 6 3 2 4" xfId="38764" xr:uid="{00000000-0005-0000-0000-000002980000}"/>
    <cellStyle name="Notas 4 4 6 3 3" xfId="38765" xr:uid="{00000000-0005-0000-0000-000003980000}"/>
    <cellStyle name="Notas 4 4 6 3 3 2" xfId="38766" xr:uid="{00000000-0005-0000-0000-000004980000}"/>
    <cellStyle name="Notas 4 4 6 3 3 3" xfId="38767" xr:uid="{00000000-0005-0000-0000-000005980000}"/>
    <cellStyle name="Notas 4 4 6 3 3 4" xfId="38768" xr:uid="{00000000-0005-0000-0000-000006980000}"/>
    <cellStyle name="Notas 4 4 6 3 4" xfId="38769" xr:uid="{00000000-0005-0000-0000-000007980000}"/>
    <cellStyle name="Notas 4 4 6 3 5" xfId="38770" xr:uid="{00000000-0005-0000-0000-000008980000}"/>
    <cellStyle name="Notas 4 4 6 3 6" xfId="38771" xr:uid="{00000000-0005-0000-0000-000009980000}"/>
    <cellStyle name="Notas 4 4 6 4" xfId="38772" xr:uid="{00000000-0005-0000-0000-00000A980000}"/>
    <cellStyle name="Notas 4 4 6 4 2" xfId="38773" xr:uid="{00000000-0005-0000-0000-00000B980000}"/>
    <cellStyle name="Notas 4 4 6 4 3" xfId="38774" xr:uid="{00000000-0005-0000-0000-00000C980000}"/>
    <cellStyle name="Notas 4 4 6 4 4" xfId="38775" xr:uid="{00000000-0005-0000-0000-00000D980000}"/>
    <cellStyle name="Notas 4 4 6 5" xfId="38776" xr:uid="{00000000-0005-0000-0000-00000E980000}"/>
    <cellStyle name="Notas 4 4 6 6" xfId="38777" xr:uid="{00000000-0005-0000-0000-00000F980000}"/>
    <cellStyle name="Notas 4 4 7" xfId="38778" xr:uid="{00000000-0005-0000-0000-000010980000}"/>
    <cellStyle name="Notas 4 4 7 2" xfId="38779" xr:uid="{00000000-0005-0000-0000-000011980000}"/>
    <cellStyle name="Notas 4 4 7 2 2" xfId="38780" xr:uid="{00000000-0005-0000-0000-000012980000}"/>
    <cellStyle name="Notas 4 4 7 2 2 2" xfId="38781" xr:uid="{00000000-0005-0000-0000-000013980000}"/>
    <cellStyle name="Notas 4 4 7 2 2 3" xfId="38782" xr:uid="{00000000-0005-0000-0000-000014980000}"/>
    <cellStyle name="Notas 4 4 7 2 2 4" xfId="38783" xr:uid="{00000000-0005-0000-0000-000015980000}"/>
    <cellStyle name="Notas 4 4 7 2 3" xfId="38784" xr:uid="{00000000-0005-0000-0000-000016980000}"/>
    <cellStyle name="Notas 4 4 7 2 3 2" xfId="38785" xr:uid="{00000000-0005-0000-0000-000017980000}"/>
    <cellStyle name="Notas 4 4 7 2 3 3" xfId="38786" xr:uid="{00000000-0005-0000-0000-000018980000}"/>
    <cellStyle name="Notas 4 4 7 2 3 4" xfId="38787" xr:uid="{00000000-0005-0000-0000-000019980000}"/>
    <cellStyle name="Notas 4 4 7 2 4" xfId="38788" xr:uid="{00000000-0005-0000-0000-00001A980000}"/>
    <cellStyle name="Notas 4 4 7 2 5" xfId="38789" xr:uid="{00000000-0005-0000-0000-00001B980000}"/>
    <cellStyle name="Notas 4 4 7 2 6" xfId="38790" xr:uid="{00000000-0005-0000-0000-00001C980000}"/>
    <cellStyle name="Notas 4 4 7 3" xfId="38791" xr:uid="{00000000-0005-0000-0000-00001D980000}"/>
    <cellStyle name="Notas 4 4 7 3 2" xfId="38792" xr:uid="{00000000-0005-0000-0000-00001E980000}"/>
    <cellStyle name="Notas 4 4 7 3 2 2" xfId="38793" xr:uid="{00000000-0005-0000-0000-00001F980000}"/>
    <cellStyle name="Notas 4 4 7 3 2 3" xfId="38794" xr:uid="{00000000-0005-0000-0000-000020980000}"/>
    <cellStyle name="Notas 4 4 7 3 2 4" xfId="38795" xr:uid="{00000000-0005-0000-0000-000021980000}"/>
    <cellStyle name="Notas 4 4 7 3 3" xfId="38796" xr:uid="{00000000-0005-0000-0000-000022980000}"/>
    <cellStyle name="Notas 4 4 7 3 3 2" xfId="38797" xr:uid="{00000000-0005-0000-0000-000023980000}"/>
    <cellStyle name="Notas 4 4 7 3 3 3" xfId="38798" xr:uid="{00000000-0005-0000-0000-000024980000}"/>
    <cellStyle name="Notas 4 4 7 3 3 4" xfId="38799" xr:uid="{00000000-0005-0000-0000-000025980000}"/>
    <cellStyle name="Notas 4 4 7 3 4" xfId="38800" xr:uid="{00000000-0005-0000-0000-000026980000}"/>
    <cellStyle name="Notas 4 4 7 3 5" xfId="38801" xr:uid="{00000000-0005-0000-0000-000027980000}"/>
    <cellStyle name="Notas 4 4 7 3 6" xfId="38802" xr:uid="{00000000-0005-0000-0000-000028980000}"/>
    <cellStyle name="Notas 4 4 7 4" xfId="38803" xr:uid="{00000000-0005-0000-0000-000029980000}"/>
    <cellStyle name="Notas 4 4 7 4 2" xfId="38804" xr:uid="{00000000-0005-0000-0000-00002A980000}"/>
    <cellStyle name="Notas 4 4 7 4 3" xfId="38805" xr:uid="{00000000-0005-0000-0000-00002B980000}"/>
    <cellStyle name="Notas 4 4 7 4 4" xfId="38806" xr:uid="{00000000-0005-0000-0000-00002C980000}"/>
    <cellStyle name="Notas 4 4 7 5" xfId="38807" xr:uid="{00000000-0005-0000-0000-00002D980000}"/>
    <cellStyle name="Notas 4 4 7 6" xfId="38808" xr:uid="{00000000-0005-0000-0000-00002E980000}"/>
    <cellStyle name="Notas 4 4 8" xfId="38809" xr:uid="{00000000-0005-0000-0000-00002F980000}"/>
    <cellStyle name="Notas 4 4 8 2" xfId="38810" xr:uid="{00000000-0005-0000-0000-000030980000}"/>
    <cellStyle name="Notas 4 4 8 2 2" xfId="38811" xr:uid="{00000000-0005-0000-0000-000031980000}"/>
    <cellStyle name="Notas 4 4 8 2 2 2" xfId="38812" xr:uid="{00000000-0005-0000-0000-000032980000}"/>
    <cellStyle name="Notas 4 4 8 2 2 3" xfId="38813" xr:uid="{00000000-0005-0000-0000-000033980000}"/>
    <cellStyle name="Notas 4 4 8 2 2 4" xfId="38814" xr:uid="{00000000-0005-0000-0000-000034980000}"/>
    <cellStyle name="Notas 4 4 8 2 3" xfId="38815" xr:uid="{00000000-0005-0000-0000-000035980000}"/>
    <cellStyle name="Notas 4 4 8 2 3 2" xfId="38816" xr:uid="{00000000-0005-0000-0000-000036980000}"/>
    <cellStyle name="Notas 4 4 8 2 3 3" xfId="38817" xr:uid="{00000000-0005-0000-0000-000037980000}"/>
    <cellStyle name="Notas 4 4 8 2 3 4" xfId="38818" xr:uid="{00000000-0005-0000-0000-000038980000}"/>
    <cellStyle name="Notas 4 4 8 2 4" xfId="38819" xr:uid="{00000000-0005-0000-0000-000039980000}"/>
    <cellStyle name="Notas 4 4 8 2 5" xfId="38820" xr:uid="{00000000-0005-0000-0000-00003A980000}"/>
    <cellStyle name="Notas 4 4 8 2 6" xfId="38821" xr:uid="{00000000-0005-0000-0000-00003B980000}"/>
    <cellStyle name="Notas 4 4 8 3" xfId="38822" xr:uid="{00000000-0005-0000-0000-00003C980000}"/>
    <cellStyle name="Notas 4 4 8 3 2" xfId="38823" xr:uid="{00000000-0005-0000-0000-00003D980000}"/>
    <cellStyle name="Notas 4 4 8 3 2 2" xfId="38824" xr:uid="{00000000-0005-0000-0000-00003E980000}"/>
    <cellStyle name="Notas 4 4 8 3 2 3" xfId="38825" xr:uid="{00000000-0005-0000-0000-00003F980000}"/>
    <cellStyle name="Notas 4 4 8 3 2 4" xfId="38826" xr:uid="{00000000-0005-0000-0000-000040980000}"/>
    <cellStyle name="Notas 4 4 8 3 3" xfId="38827" xr:uid="{00000000-0005-0000-0000-000041980000}"/>
    <cellStyle name="Notas 4 4 8 3 3 2" xfId="38828" xr:uid="{00000000-0005-0000-0000-000042980000}"/>
    <cellStyle name="Notas 4 4 8 3 3 3" xfId="38829" xr:uid="{00000000-0005-0000-0000-000043980000}"/>
    <cellStyle name="Notas 4 4 8 3 3 4" xfId="38830" xr:uid="{00000000-0005-0000-0000-000044980000}"/>
    <cellStyle name="Notas 4 4 8 3 4" xfId="38831" xr:uid="{00000000-0005-0000-0000-000045980000}"/>
    <cellStyle name="Notas 4 4 8 3 5" xfId="38832" xr:uid="{00000000-0005-0000-0000-000046980000}"/>
    <cellStyle name="Notas 4 4 8 3 6" xfId="38833" xr:uid="{00000000-0005-0000-0000-000047980000}"/>
    <cellStyle name="Notas 4 4 8 4" xfId="38834" xr:uid="{00000000-0005-0000-0000-000048980000}"/>
    <cellStyle name="Notas 4 4 8 4 2" xfId="38835" xr:uid="{00000000-0005-0000-0000-000049980000}"/>
    <cellStyle name="Notas 4 4 8 4 3" xfId="38836" xr:uid="{00000000-0005-0000-0000-00004A980000}"/>
    <cellStyle name="Notas 4 4 8 4 4" xfId="38837" xr:uid="{00000000-0005-0000-0000-00004B980000}"/>
    <cellStyle name="Notas 4 4 8 5" xfId="38838" xr:uid="{00000000-0005-0000-0000-00004C980000}"/>
    <cellStyle name="Notas 4 4 8 6" xfId="38839" xr:uid="{00000000-0005-0000-0000-00004D980000}"/>
    <cellStyle name="Notas 4 4 9" xfId="38840" xr:uid="{00000000-0005-0000-0000-00004E980000}"/>
    <cellStyle name="Notas 4 4 9 2" xfId="38841" xr:uid="{00000000-0005-0000-0000-00004F980000}"/>
    <cellStyle name="Notas 4 4 9 2 2" xfId="38842" xr:uid="{00000000-0005-0000-0000-000050980000}"/>
    <cellStyle name="Notas 4 4 9 2 2 2" xfId="38843" xr:uid="{00000000-0005-0000-0000-000051980000}"/>
    <cellStyle name="Notas 4 4 9 2 2 3" xfId="38844" xr:uid="{00000000-0005-0000-0000-000052980000}"/>
    <cellStyle name="Notas 4 4 9 2 2 4" xfId="38845" xr:uid="{00000000-0005-0000-0000-000053980000}"/>
    <cellStyle name="Notas 4 4 9 2 3" xfId="38846" xr:uid="{00000000-0005-0000-0000-000054980000}"/>
    <cellStyle name="Notas 4 4 9 2 3 2" xfId="38847" xr:uid="{00000000-0005-0000-0000-000055980000}"/>
    <cellStyle name="Notas 4 4 9 2 3 3" xfId="38848" xr:uid="{00000000-0005-0000-0000-000056980000}"/>
    <cellStyle name="Notas 4 4 9 2 3 4" xfId="38849" xr:uid="{00000000-0005-0000-0000-000057980000}"/>
    <cellStyle name="Notas 4 4 9 2 4" xfId="38850" xr:uid="{00000000-0005-0000-0000-000058980000}"/>
    <cellStyle name="Notas 4 4 9 2 5" xfId="38851" xr:uid="{00000000-0005-0000-0000-000059980000}"/>
    <cellStyle name="Notas 4 4 9 2 6" xfId="38852" xr:uid="{00000000-0005-0000-0000-00005A980000}"/>
    <cellStyle name="Notas 4 4 9 3" xfId="38853" xr:uid="{00000000-0005-0000-0000-00005B980000}"/>
    <cellStyle name="Notas 4 4 9 3 2" xfId="38854" xr:uid="{00000000-0005-0000-0000-00005C980000}"/>
    <cellStyle name="Notas 4 4 9 3 2 2" xfId="38855" xr:uid="{00000000-0005-0000-0000-00005D980000}"/>
    <cellStyle name="Notas 4 4 9 3 2 3" xfId="38856" xr:uid="{00000000-0005-0000-0000-00005E980000}"/>
    <cellStyle name="Notas 4 4 9 3 2 4" xfId="38857" xr:uid="{00000000-0005-0000-0000-00005F980000}"/>
    <cellStyle name="Notas 4 4 9 3 3" xfId="38858" xr:uid="{00000000-0005-0000-0000-000060980000}"/>
    <cellStyle name="Notas 4 4 9 3 3 2" xfId="38859" xr:uid="{00000000-0005-0000-0000-000061980000}"/>
    <cellStyle name="Notas 4 4 9 3 3 3" xfId="38860" xr:uid="{00000000-0005-0000-0000-000062980000}"/>
    <cellStyle name="Notas 4 4 9 3 3 4" xfId="38861" xr:uid="{00000000-0005-0000-0000-000063980000}"/>
    <cellStyle name="Notas 4 4 9 3 4" xfId="38862" xr:uid="{00000000-0005-0000-0000-000064980000}"/>
    <cellStyle name="Notas 4 4 9 3 5" xfId="38863" xr:uid="{00000000-0005-0000-0000-000065980000}"/>
    <cellStyle name="Notas 4 4 9 3 6" xfId="38864" xr:uid="{00000000-0005-0000-0000-000066980000}"/>
    <cellStyle name="Notas 4 4 9 4" xfId="38865" xr:uid="{00000000-0005-0000-0000-000067980000}"/>
    <cellStyle name="Notas 4 4 9 4 2" xfId="38866" xr:uid="{00000000-0005-0000-0000-000068980000}"/>
    <cellStyle name="Notas 4 4 9 4 3" xfId="38867" xr:uid="{00000000-0005-0000-0000-000069980000}"/>
    <cellStyle name="Notas 4 4 9 4 4" xfId="38868" xr:uid="{00000000-0005-0000-0000-00006A980000}"/>
    <cellStyle name="Notas 4 4 9 5" xfId="38869" xr:uid="{00000000-0005-0000-0000-00006B980000}"/>
    <cellStyle name="Notas 4 4 9 6" xfId="38870" xr:uid="{00000000-0005-0000-0000-00006C980000}"/>
    <cellStyle name="Notas 4 5" xfId="38871" xr:uid="{00000000-0005-0000-0000-00006D980000}"/>
    <cellStyle name="Notas 4 5 2" xfId="38872" xr:uid="{00000000-0005-0000-0000-00006E980000}"/>
    <cellStyle name="Notas 4 5 2 2" xfId="38873" xr:uid="{00000000-0005-0000-0000-00006F980000}"/>
    <cellStyle name="Notas 4 5 2 2 2" xfId="38874" xr:uid="{00000000-0005-0000-0000-000070980000}"/>
    <cellStyle name="Notas 4 5 2 2 2 2" xfId="38875" xr:uid="{00000000-0005-0000-0000-000071980000}"/>
    <cellStyle name="Notas 4 5 2 2 2 3" xfId="38876" xr:uid="{00000000-0005-0000-0000-000072980000}"/>
    <cellStyle name="Notas 4 5 2 2 2 4" xfId="38877" xr:uid="{00000000-0005-0000-0000-000073980000}"/>
    <cellStyle name="Notas 4 5 2 2 3" xfId="38878" xr:uid="{00000000-0005-0000-0000-000074980000}"/>
    <cellStyle name="Notas 4 5 2 2 3 2" xfId="38879" xr:uid="{00000000-0005-0000-0000-000075980000}"/>
    <cellStyle name="Notas 4 5 2 2 3 3" xfId="38880" xr:uid="{00000000-0005-0000-0000-000076980000}"/>
    <cellStyle name="Notas 4 5 2 2 3 4" xfId="38881" xr:uid="{00000000-0005-0000-0000-000077980000}"/>
    <cellStyle name="Notas 4 5 2 2 4" xfId="38882" xr:uid="{00000000-0005-0000-0000-000078980000}"/>
    <cellStyle name="Notas 4 5 2 2 5" xfId="38883" xr:uid="{00000000-0005-0000-0000-000079980000}"/>
    <cellStyle name="Notas 4 5 2 2 6" xfId="38884" xr:uid="{00000000-0005-0000-0000-00007A980000}"/>
    <cellStyle name="Notas 4 5 2 3" xfId="38885" xr:uid="{00000000-0005-0000-0000-00007B980000}"/>
    <cellStyle name="Notas 4 5 2 3 2" xfId="38886" xr:uid="{00000000-0005-0000-0000-00007C980000}"/>
    <cellStyle name="Notas 4 5 2 3 2 2" xfId="38887" xr:uid="{00000000-0005-0000-0000-00007D980000}"/>
    <cellStyle name="Notas 4 5 2 3 2 3" xfId="38888" xr:uid="{00000000-0005-0000-0000-00007E980000}"/>
    <cellStyle name="Notas 4 5 2 3 2 4" xfId="38889" xr:uid="{00000000-0005-0000-0000-00007F980000}"/>
    <cellStyle name="Notas 4 5 2 3 3" xfId="38890" xr:uid="{00000000-0005-0000-0000-000080980000}"/>
    <cellStyle name="Notas 4 5 2 3 3 2" xfId="38891" xr:uid="{00000000-0005-0000-0000-000081980000}"/>
    <cellStyle name="Notas 4 5 2 3 3 3" xfId="38892" xr:uid="{00000000-0005-0000-0000-000082980000}"/>
    <cellStyle name="Notas 4 5 2 3 3 4" xfId="38893" xr:uid="{00000000-0005-0000-0000-000083980000}"/>
    <cellStyle name="Notas 4 5 2 3 4" xfId="38894" xr:uid="{00000000-0005-0000-0000-000084980000}"/>
    <cellStyle name="Notas 4 5 2 3 5" xfId="38895" xr:uid="{00000000-0005-0000-0000-000085980000}"/>
    <cellStyle name="Notas 4 5 2 3 6" xfId="38896" xr:uid="{00000000-0005-0000-0000-000086980000}"/>
    <cellStyle name="Notas 4 5 2 4" xfId="38897" xr:uid="{00000000-0005-0000-0000-000087980000}"/>
    <cellStyle name="Notas 4 5 2 5" xfId="38898" xr:uid="{00000000-0005-0000-0000-000088980000}"/>
    <cellStyle name="Notas 4 5 2 6" xfId="38899" xr:uid="{00000000-0005-0000-0000-000089980000}"/>
    <cellStyle name="Notas 4 5 3" xfId="38900" xr:uid="{00000000-0005-0000-0000-00008A980000}"/>
    <cellStyle name="Notas 4 5 4" xfId="38901" xr:uid="{00000000-0005-0000-0000-00008B980000}"/>
    <cellStyle name="Notas 4 6" xfId="38902" xr:uid="{00000000-0005-0000-0000-00008C980000}"/>
    <cellStyle name="Notas 4 6 2" xfId="38903" xr:uid="{00000000-0005-0000-0000-00008D980000}"/>
    <cellStyle name="Notas 4 6 2 2" xfId="38904" xr:uid="{00000000-0005-0000-0000-00008E980000}"/>
    <cellStyle name="Notas 4 6 2 2 2" xfId="38905" xr:uid="{00000000-0005-0000-0000-00008F980000}"/>
    <cellStyle name="Notas 4 6 2 2 2 2" xfId="38906" xr:uid="{00000000-0005-0000-0000-000090980000}"/>
    <cellStyle name="Notas 4 6 2 2 2 3" xfId="38907" xr:uid="{00000000-0005-0000-0000-000091980000}"/>
    <cellStyle name="Notas 4 6 2 2 2 4" xfId="38908" xr:uid="{00000000-0005-0000-0000-000092980000}"/>
    <cellStyle name="Notas 4 6 2 2 3" xfId="38909" xr:uid="{00000000-0005-0000-0000-000093980000}"/>
    <cellStyle name="Notas 4 6 2 2 3 2" xfId="38910" xr:uid="{00000000-0005-0000-0000-000094980000}"/>
    <cellStyle name="Notas 4 6 2 2 3 3" xfId="38911" xr:uid="{00000000-0005-0000-0000-000095980000}"/>
    <cellStyle name="Notas 4 6 2 2 3 4" xfId="38912" xr:uid="{00000000-0005-0000-0000-000096980000}"/>
    <cellStyle name="Notas 4 6 2 2 4" xfId="38913" xr:uid="{00000000-0005-0000-0000-000097980000}"/>
    <cellStyle name="Notas 4 6 2 2 5" xfId="38914" xr:uid="{00000000-0005-0000-0000-000098980000}"/>
    <cellStyle name="Notas 4 6 2 2 6" xfId="38915" xr:uid="{00000000-0005-0000-0000-000099980000}"/>
    <cellStyle name="Notas 4 6 2 3" xfId="38916" xr:uid="{00000000-0005-0000-0000-00009A980000}"/>
    <cellStyle name="Notas 4 6 2 3 2" xfId="38917" xr:uid="{00000000-0005-0000-0000-00009B980000}"/>
    <cellStyle name="Notas 4 6 2 3 2 2" xfId="38918" xr:uid="{00000000-0005-0000-0000-00009C980000}"/>
    <cellStyle name="Notas 4 6 2 3 2 3" xfId="38919" xr:uid="{00000000-0005-0000-0000-00009D980000}"/>
    <cellStyle name="Notas 4 6 2 3 2 4" xfId="38920" xr:uid="{00000000-0005-0000-0000-00009E980000}"/>
    <cellStyle name="Notas 4 6 2 3 3" xfId="38921" xr:uid="{00000000-0005-0000-0000-00009F980000}"/>
    <cellStyle name="Notas 4 6 2 3 3 2" xfId="38922" xr:uid="{00000000-0005-0000-0000-0000A0980000}"/>
    <cellStyle name="Notas 4 6 2 3 3 3" xfId="38923" xr:uid="{00000000-0005-0000-0000-0000A1980000}"/>
    <cellStyle name="Notas 4 6 2 3 3 4" xfId="38924" xr:uid="{00000000-0005-0000-0000-0000A2980000}"/>
    <cellStyle name="Notas 4 6 2 3 4" xfId="38925" xr:uid="{00000000-0005-0000-0000-0000A3980000}"/>
    <cellStyle name="Notas 4 6 2 3 5" xfId="38926" xr:uid="{00000000-0005-0000-0000-0000A4980000}"/>
    <cellStyle name="Notas 4 6 2 3 6" xfId="38927" xr:uid="{00000000-0005-0000-0000-0000A5980000}"/>
    <cellStyle name="Notas 4 6 2 4" xfId="38928" xr:uid="{00000000-0005-0000-0000-0000A6980000}"/>
    <cellStyle name="Notas 4 6 2 5" xfId="38929" xr:uid="{00000000-0005-0000-0000-0000A7980000}"/>
    <cellStyle name="Notas 4 6 2 6" xfId="38930" xr:uid="{00000000-0005-0000-0000-0000A8980000}"/>
    <cellStyle name="Notas 4 6 3" xfId="38931" xr:uid="{00000000-0005-0000-0000-0000A9980000}"/>
    <cellStyle name="Notas 4 6 4" xfId="38932" xr:uid="{00000000-0005-0000-0000-0000AA980000}"/>
    <cellStyle name="Notas 4 7" xfId="38933" xr:uid="{00000000-0005-0000-0000-0000AB980000}"/>
    <cellStyle name="Notas 4 7 2" xfId="38934" xr:uid="{00000000-0005-0000-0000-0000AC980000}"/>
    <cellStyle name="Notas 4 7 2 2" xfId="38935" xr:uid="{00000000-0005-0000-0000-0000AD980000}"/>
    <cellStyle name="Notas 4 7 2 2 2" xfId="38936" xr:uid="{00000000-0005-0000-0000-0000AE980000}"/>
    <cellStyle name="Notas 4 7 2 2 2 2" xfId="38937" xr:uid="{00000000-0005-0000-0000-0000AF980000}"/>
    <cellStyle name="Notas 4 7 2 2 2 3" xfId="38938" xr:uid="{00000000-0005-0000-0000-0000B0980000}"/>
    <cellStyle name="Notas 4 7 2 2 2 4" xfId="38939" xr:uid="{00000000-0005-0000-0000-0000B1980000}"/>
    <cellStyle name="Notas 4 7 2 2 3" xfId="38940" xr:uid="{00000000-0005-0000-0000-0000B2980000}"/>
    <cellStyle name="Notas 4 7 2 2 3 2" xfId="38941" xr:uid="{00000000-0005-0000-0000-0000B3980000}"/>
    <cellStyle name="Notas 4 7 2 2 3 3" xfId="38942" xr:uid="{00000000-0005-0000-0000-0000B4980000}"/>
    <cellStyle name="Notas 4 7 2 2 3 4" xfId="38943" xr:uid="{00000000-0005-0000-0000-0000B5980000}"/>
    <cellStyle name="Notas 4 7 2 2 4" xfId="38944" xr:uid="{00000000-0005-0000-0000-0000B6980000}"/>
    <cellStyle name="Notas 4 7 2 2 5" xfId="38945" xr:uid="{00000000-0005-0000-0000-0000B7980000}"/>
    <cellStyle name="Notas 4 7 2 2 6" xfId="38946" xr:uid="{00000000-0005-0000-0000-0000B8980000}"/>
    <cellStyle name="Notas 4 7 2 3" xfId="38947" xr:uid="{00000000-0005-0000-0000-0000B9980000}"/>
    <cellStyle name="Notas 4 7 2 3 2" xfId="38948" xr:uid="{00000000-0005-0000-0000-0000BA980000}"/>
    <cellStyle name="Notas 4 7 2 3 2 2" xfId="38949" xr:uid="{00000000-0005-0000-0000-0000BB980000}"/>
    <cellStyle name="Notas 4 7 2 3 2 3" xfId="38950" xr:uid="{00000000-0005-0000-0000-0000BC980000}"/>
    <cellStyle name="Notas 4 7 2 3 2 4" xfId="38951" xr:uid="{00000000-0005-0000-0000-0000BD980000}"/>
    <cellStyle name="Notas 4 7 2 3 3" xfId="38952" xr:uid="{00000000-0005-0000-0000-0000BE980000}"/>
    <cellStyle name="Notas 4 7 2 3 3 2" xfId="38953" xr:uid="{00000000-0005-0000-0000-0000BF980000}"/>
    <cellStyle name="Notas 4 7 2 3 3 3" xfId="38954" xr:uid="{00000000-0005-0000-0000-0000C0980000}"/>
    <cellStyle name="Notas 4 7 2 3 3 4" xfId="38955" xr:uid="{00000000-0005-0000-0000-0000C1980000}"/>
    <cellStyle name="Notas 4 7 2 3 4" xfId="38956" xr:uid="{00000000-0005-0000-0000-0000C2980000}"/>
    <cellStyle name="Notas 4 7 2 3 5" xfId="38957" xr:uid="{00000000-0005-0000-0000-0000C3980000}"/>
    <cellStyle name="Notas 4 7 2 3 6" xfId="38958" xr:uid="{00000000-0005-0000-0000-0000C4980000}"/>
    <cellStyle name="Notas 4 7 2 4" xfId="38959" xr:uid="{00000000-0005-0000-0000-0000C5980000}"/>
    <cellStyle name="Notas 4 7 2 5" xfId="38960" xr:uid="{00000000-0005-0000-0000-0000C6980000}"/>
    <cellStyle name="Notas 4 7 2 6" xfId="38961" xr:uid="{00000000-0005-0000-0000-0000C7980000}"/>
    <cellStyle name="Notas 4 7 3" xfId="38962" xr:uid="{00000000-0005-0000-0000-0000C8980000}"/>
    <cellStyle name="Notas 4 7 4" xfId="38963" xr:uid="{00000000-0005-0000-0000-0000C9980000}"/>
    <cellStyle name="Notas 4 8" xfId="38964" xr:uid="{00000000-0005-0000-0000-0000CA980000}"/>
    <cellStyle name="Notas 4 8 2" xfId="38965" xr:uid="{00000000-0005-0000-0000-0000CB980000}"/>
    <cellStyle name="Notas 4 8 2 2" xfId="38966" xr:uid="{00000000-0005-0000-0000-0000CC980000}"/>
    <cellStyle name="Notas 4 8 2 2 2" xfId="38967" xr:uid="{00000000-0005-0000-0000-0000CD980000}"/>
    <cellStyle name="Notas 4 8 2 2 2 2" xfId="38968" xr:uid="{00000000-0005-0000-0000-0000CE980000}"/>
    <cellStyle name="Notas 4 8 2 2 2 3" xfId="38969" xr:uid="{00000000-0005-0000-0000-0000CF980000}"/>
    <cellStyle name="Notas 4 8 2 2 2 4" xfId="38970" xr:uid="{00000000-0005-0000-0000-0000D0980000}"/>
    <cellStyle name="Notas 4 8 2 2 3" xfId="38971" xr:uid="{00000000-0005-0000-0000-0000D1980000}"/>
    <cellStyle name="Notas 4 8 2 2 3 2" xfId="38972" xr:uid="{00000000-0005-0000-0000-0000D2980000}"/>
    <cellStyle name="Notas 4 8 2 2 3 3" xfId="38973" xr:uid="{00000000-0005-0000-0000-0000D3980000}"/>
    <cellStyle name="Notas 4 8 2 2 3 4" xfId="38974" xr:uid="{00000000-0005-0000-0000-0000D4980000}"/>
    <cellStyle name="Notas 4 8 2 2 4" xfId="38975" xr:uid="{00000000-0005-0000-0000-0000D5980000}"/>
    <cellStyle name="Notas 4 8 2 2 5" xfId="38976" xr:uid="{00000000-0005-0000-0000-0000D6980000}"/>
    <cellStyle name="Notas 4 8 2 2 6" xfId="38977" xr:uid="{00000000-0005-0000-0000-0000D7980000}"/>
    <cellStyle name="Notas 4 8 2 3" xfId="38978" xr:uid="{00000000-0005-0000-0000-0000D8980000}"/>
    <cellStyle name="Notas 4 8 2 3 2" xfId="38979" xr:uid="{00000000-0005-0000-0000-0000D9980000}"/>
    <cellStyle name="Notas 4 8 2 3 2 2" xfId="38980" xr:uid="{00000000-0005-0000-0000-0000DA980000}"/>
    <cellStyle name="Notas 4 8 2 3 2 3" xfId="38981" xr:uid="{00000000-0005-0000-0000-0000DB980000}"/>
    <cellStyle name="Notas 4 8 2 3 2 4" xfId="38982" xr:uid="{00000000-0005-0000-0000-0000DC980000}"/>
    <cellStyle name="Notas 4 8 2 3 3" xfId="38983" xr:uid="{00000000-0005-0000-0000-0000DD980000}"/>
    <cellStyle name="Notas 4 8 2 3 3 2" xfId="38984" xr:uid="{00000000-0005-0000-0000-0000DE980000}"/>
    <cellStyle name="Notas 4 8 2 3 3 3" xfId="38985" xr:uid="{00000000-0005-0000-0000-0000DF980000}"/>
    <cellStyle name="Notas 4 8 2 3 3 4" xfId="38986" xr:uid="{00000000-0005-0000-0000-0000E0980000}"/>
    <cellStyle name="Notas 4 8 2 3 4" xfId="38987" xr:uid="{00000000-0005-0000-0000-0000E1980000}"/>
    <cellStyle name="Notas 4 8 2 3 5" xfId="38988" xr:uid="{00000000-0005-0000-0000-0000E2980000}"/>
    <cellStyle name="Notas 4 8 2 3 6" xfId="38989" xr:uid="{00000000-0005-0000-0000-0000E3980000}"/>
    <cellStyle name="Notas 4 8 2 4" xfId="38990" xr:uid="{00000000-0005-0000-0000-0000E4980000}"/>
    <cellStyle name="Notas 4 8 2 5" xfId="38991" xr:uid="{00000000-0005-0000-0000-0000E5980000}"/>
    <cellStyle name="Notas 4 8 2 6" xfId="38992" xr:uid="{00000000-0005-0000-0000-0000E6980000}"/>
    <cellStyle name="Notas 4 8 3" xfId="38993" xr:uid="{00000000-0005-0000-0000-0000E7980000}"/>
    <cellStyle name="Notas 4 8 4" xfId="38994" xr:uid="{00000000-0005-0000-0000-0000E8980000}"/>
    <cellStyle name="Notas 4 9" xfId="38995" xr:uid="{00000000-0005-0000-0000-0000E9980000}"/>
    <cellStyle name="Notas 4 9 2" xfId="38996" xr:uid="{00000000-0005-0000-0000-0000EA980000}"/>
    <cellStyle name="Notas 4 9 2 2" xfId="38997" xr:uid="{00000000-0005-0000-0000-0000EB980000}"/>
    <cellStyle name="Notas 4 9 2 2 2" xfId="38998" xr:uid="{00000000-0005-0000-0000-0000EC980000}"/>
    <cellStyle name="Notas 4 9 2 2 3" xfId="38999" xr:uid="{00000000-0005-0000-0000-0000ED980000}"/>
    <cellStyle name="Notas 4 9 2 2 4" xfId="39000" xr:uid="{00000000-0005-0000-0000-0000EE980000}"/>
    <cellStyle name="Notas 4 9 2 3" xfId="39001" xr:uid="{00000000-0005-0000-0000-0000EF980000}"/>
    <cellStyle name="Notas 4 9 2 3 2" xfId="39002" xr:uid="{00000000-0005-0000-0000-0000F0980000}"/>
    <cellStyle name="Notas 4 9 2 3 3" xfId="39003" xr:uid="{00000000-0005-0000-0000-0000F1980000}"/>
    <cellStyle name="Notas 4 9 2 3 4" xfId="39004" xr:uid="{00000000-0005-0000-0000-0000F2980000}"/>
    <cellStyle name="Notas 4 9 2 4" xfId="39005" xr:uid="{00000000-0005-0000-0000-0000F3980000}"/>
    <cellStyle name="Notas 4 9 2 5" xfId="39006" xr:uid="{00000000-0005-0000-0000-0000F4980000}"/>
    <cellStyle name="Notas 4 9 2 6" xfId="39007" xr:uid="{00000000-0005-0000-0000-0000F5980000}"/>
    <cellStyle name="Notas 4 9 3" xfId="39008" xr:uid="{00000000-0005-0000-0000-0000F6980000}"/>
    <cellStyle name="Notas 4 9 3 2" xfId="39009" xr:uid="{00000000-0005-0000-0000-0000F7980000}"/>
    <cellStyle name="Notas 4 9 3 2 2" xfId="39010" xr:uid="{00000000-0005-0000-0000-0000F8980000}"/>
    <cellStyle name="Notas 4 9 3 2 3" xfId="39011" xr:uid="{00000000-0005-0000-0000-0000F9980000}"/>
    <cellStyle name="Notas 4 9 3 2 4" xfId="39012" xr:uid="{00000000-0005-0000-0000-0000FA980000}"/>
    <cellStyle name="Notas 4 9 3 3" xfId="39013" xr:uid="{00000000-0005-0000-0000-0000FB980000}"/>
    <cellStyle name="Notas 4 9 3 3 2" xfId="39014" xr:uid="{00000000-0005-0000-0000-0000FC980000}"/>
    <cellStyle name="Notas 4 9 3 3 3" xfId="39015" xr:uid="{00000000-0005-0000-0000-0000FD980000}"/>
    <cellStyle name="Notas 4 9 3 3 4" xfId="39016" xr:uid="{00000000-0005-0000-0000-0000FE980000}"/>
    <cellStyle name="Notas 4 9 3 4" xfId="39017" xr:uid="{00000000-0005-0000-0000-0000FF980000}"/>
    <cellStyle name="Notas 4 9 3 5" xfId="39018" xr:uid="{00000000-0005-0000-0000-000000990000}"/>
    <cellStyle name="Notas 4 9 3 6" xfId="39019" xr:uid="{00000000-0005-0000-0000-000001990000}"/>
    <cellStyle name="Notas 4 9 4" xfId="39020" xr:uid="{00000000-0005-0000-0000-000002990000}"/>
    <cellStyle name="Notas 4 9 4 2" xfId="39021" xr:uid="{00000000-0005-0000-0000-000003990000}"/>
    <cellStyle name="Notas 4 9 4 3" xfId="39022" xr:uid="{00000000-0005-0000-0000-000004990000}"/>
    <cellStyle name="Notas 4 9 4 4" xfId="39023" xr:uid="{00000000-0005-0000-0000-000005990000}"/>
    <cellStyle name="Notas 4 9 5" xfId="39024" xr:uid="{00000000-0005-0000-0000-000006990000}"/>
    <cellStyle name="Notas 4 9 6" xfId="39025" xr:uid="{00000000-0005-0000-0000-000007990000}"/>
    <cellStyle name="Notas 5" xfId="39026" xr:uid="{00000000-0005-0000-0000-000008990000}"/>
    <cellStyle name="Notas 5 10" xfId="39027" xr:uid="{00000000-0005-0000-0000-000009990000}"/>
    <cellStyle name="Notas 5 10 2" xfId="39028" xr:uid="{00000000-0005-0000-0000-00000A990000}"/>
    <cellStyle name="Notas 5 10 2 2" xfId="39029" xr:uid="{00000000-0005-0000-0000-00000B990000}"/>
    <cellStyle name="Notas 5 10 2 2 2" xfId="39030" xr:uid="{00000000-0005-0000-0000-00000C990000}"/>
    <cellStyle name="Notas 5 10 2 2 3" xfId="39031" xr:uid="{00000000-0005-0000-0000-00000D990000}"/>
    <cellStyle name="Notas 5 10 2 2 4" xfId="39032" xr:uid="{00000000-0005-0000-0000-00000E990000}"/>
    <cellStyle name="Notas 5 10 2 3" xfId="39033" xr:uid="{00000000-0005-0000-0000-00000F990000}"/>
    <cellStyle name="Notas 5 10 2 3 2" xfId="39034" xr:uid="{00000000-0005-0000-0000-000010990000}"/>
    <cellStyle name="Notas 5 10 2 3 3" xfId="39035" xr:uid="{00000000-0005-0000-0000-000011990000}"/>
    <cellStyle name="Notas 5 10 2 3 4" xfId="39036" xr:uid="{00000000-0005-0000-0000-000012990000}"/>
    <cellStyle name="Notas 5 10 2 4" xfId="39037" xr:uid="{00000000-0005-0000-0000-000013990000}"/>
    <cellStyle name="Notas 5 10 2 5" xfId="39038" xr:uid="{00000000-0005-0000-0000-000014990000}"/>
    <cellStyle name="Notas 5 10 2 6" xfId="39039" xr:uid="{00000000-0005-0000-0000-000015990000}"/>
    <cellStyle name="Notas 5 10 3" xfId="39040" xr:uid="{00000000-0005-0000-0000-000016990000}"/>
    <cellStyle name="Notas 5 10 3 2" xfId="39041" xr:uid="{00000000-0005-0000-0000-000017990000}"/>
    <cellStyle name="Notas 5 10 3 2 2" xfId="39042" xr:uid="{00000000-0005-0000-0000-000018990000}"/>
    <cellStyle name="Notas 5 10 3 2 3" xfId="39043" xr:uid="{00000000-0005-0000-0000-000019990000}"/>
    <cellStyle name="Notas 5 10 3 2 4" xfId="39044" xr:uid="{00000000-0005-0000-0000-00001A990000}"/>
    <cellStyle name="Notas 5 10 3 3" xfId="39045" xr:uid="{00000000-0005-0000-0000-00001B990000}"/>
    <cellStyle name="Notas 5 10 3 3 2" xfId="39046" xr:uid="{00000000-0005-0000-0000-00001C990000}"/>
    <cellStyle name="Notas 5 10 3 3 3" xfId="39047" xr:uid="{00000000-0005-0000-0000-00001D990000}"/>
    <cellStyle name="Notas 5 10 3 3 4" xfId="39048" xr:uid="{00000000-0005-0000-0000-00001E990000}"/>
    <cellStyle name="Notas 5 10 3 4" xfId="39049" xr:uid="{00000000-0005-0000-0000-00001F990000}"/>
    <cellStyle name="Notas 5 10 3 5" xfId="39050" xr:uid="{00000000-0005-0000-0000-000020990000}"/>
    <cellStyle name="Notas 5 10 3 6" xfId="39051" xr:uid="{00000000-0005-0000-0000-000021990000}"/>
    <cellStyle name="Notas 5 10 4" xfId="39052" xr:uid="{00000000-0005-0000-0000-000022990000}"/>
    <cellStyle name="Notas 5 10 4 2" xfId="39053" xr:uid="{00000000-0005-0000-0000-000023990000}"/>
    <cellStyle name="Notas 5 10 4 3" xfId="39054" xr:uid="{00000000-0005-0000-0000-000024990000}"/>
    <cellStyle name="Notas 5 10 4 4" xfId="39055" xr:uid="{00000000-0005-0000-0000-000025990000}"/>
    <cellStyle name="Notas 5 10 5" xfId="39056" xr:uid="{00000000-0005-0000-0000-000026990000}"/>
    <cellStyle name="Notas 5 10 6" xfId="39057" xr:uid="{00000000-0005-0000-0000-000027990000}"/>
    <cellStyle name="Notas 5 11" xfId="39058" xr:uid="{00000000-0005-0000-0000-000028990000}"/>
    <cellStyle name="Notas 5 11 2" xfId="39059" xr:uid="{00000000-0005-0000-0000-000029990000}"/>
    <cellStyle name="Notas 5 11 2 2" xfId="39060" xr:uid="{00000000-0005-0000-0000-00002A990000}"/>
    <cellStyle name="Notas 5 11 2 2 2" xfId="39061" xr:uid="{00000000-0005-0000-0000-00002B990000}"/>
    <cellStyle name="Notas 5 11 2 2 3" xfId="39062" xr:uid="{00000000-0005-0000-0000-00002C990000}"/>
    <cellStyle name="Notas 5 11 2 2 4" xfId="39063" xr:uid="{00000000-0005-0000-0000-00002D990000}"/>
    <cellStyle name="Notas 5 11 2 3" xfId="39064" xr:uid="{00000000-0005-0000-0000-00002E990000}"/>
    <cellStyle name="Notas 5 11 2 3 2" xfId="39065" xr:uid="{00000000-0005-0000-0000-00002F990000}"/>
    <cellStyle name="Notas 5 11 2 3 3" xfId="39066" xr:uid="{00000000-0005-0000-0000-000030990000}"/>
    <cellStyle name="Notas 5 11 2 3 4" xfId="39067" xr:uid="{00000000-0005-0000-0000-000031990000}"/>
    <cellStyle name="Notas 5 11 2 4" xfId="39068" xr:uid="{00000000-0005-0000-0000-000032990000}"/>
    <cellStyle name="Notas 5 11 2 5" xfId="39069" xr:uid="{00000000-0005-0000-0000-000033990000}"/>
    <cellStyle name="Notas 5 11 2 6" xfId="39070" xr:uid="{00000000-0005-0000-0000-000034990000}"/>
    <cellStyle name="Notas 5 11 3" xfId="39071" xr:uid="{00000000-0005-0000-0000-000035990000}"/>
    <cellStyle name="Notas 5 11 3 2" xfId="39072" xr:uid="{00000000-0005-0000-0000-000036990000}"/>
    <cellStyle name="Notas 5 11 3 2 2" xfId="39073" xr:uid="{00000000-0005-0000-0000-000037990000}"/>
    <cellStyle name="Notas 5 11 3 2 3" xfId="39074" xr:uid="{00000000-0005-0000-0000-000038990000}"/>
    <cellStyle name="Notas 5 11 3 2 4" xfId="39075" xr:uid="{00000000-0005-0000-0000-000039990000}"/>
    <cellStyle name="Notas 5 11 3 3" xfId="39076" xr:uid="{00000000-0005-0000-0000-00003A990000}"/>
    <cellStyle name="Notas 5 11 3 3 2" xfId="39077" xr:uid="{00000000-0005-0000-0000-00003B990000}"/>
    <cellStyle name="Notas 5 11 3 3 3" xfId="39078" xr:uid="{00000000-0005-0000-0000-00003C990000}"/>
    <cellStyle name="Notas 5 11 3 3 4" xfId="39079" xr:uid="{00000000-0005-0000-0000-00003D990000}"/>
    <cellStyle name="Notas 5 11 3 4" xfId="39080" xr:uid="{00000000-0005-0000-0000-00003E990000}"/>
    <cellStyle name="Notas 5 11 3 5" xfId="39081" xr:uid="{00000000-0005-0000-0000-00003F990000}"/>
    <cellStyle name="Notas 5 11 3 6" xfId="39082" xr:uid="{00000000-0005-0000-0000-000040990000}"/>
    <cellStyle name="Notas 5 11 4" xfId="39083" xr:uid="{00000000-0005-0000-0000-000041990000}"/>
    <cellStyle name="Notas 5 11 4 2" xfId="39084" xr:uid="{00000000-0005-0000-0000-000042990000}"/>
    <cellStyle name="Notas 5 11 4 3" xfId="39085" xr:uid="{00000000-0005-0000-0000-000043990000}"/>
    <cellStyle name="Notas 5 11 4 4" xfId="39086" xr:uid="{00000000-0005-0000-0000-000044990000}"/>
    <cellStyle name="Notas 5 11 5" xfId="39087" xr:uid="{00000000-0005-0000-0000-000045990000}"/>
    <cellStyle name="Notas 5 11 6" xfId="39088" xr:uid="{00000000-0005-0000-0000-000046990000}"/>
    <cellStyle name="Notas 5 12" xfId="39089" xr:uid="{00000000-0005-0000-0000-000047990000}"/>
    <cellStyle name="Notas 5 12 2" xfId="39090" xr:uid="{00000000-0005-0000-0000-000048990000}"/>
    <cellStyle name="Notas 5 12 2 2" xfId="39091" xr:uid="{00000000-0005-0000-0000-000049990000}"/>
    <cellStyle name="Notas 5 12 2 2 2" xfId="39092" xr:uid="{00000000-0005-0000-0000-00004A990000}"/>
    <cellStyle name="Notas 5 12 2 2 3" xfId="39093" xr:uid="{00000000-0005-0000-0000-00004B990000}"/>
    <cellStyle name="Notas 5 12 2 2 4" xfId="39094" xr:uid="{00000000-0005-0000-0000-00004C990000}"/>
    <cellStyle name="Notas 5 12 2 3" xfId="39095" xr:uid="{00000000-0005-0000-0000-00004D990000}"/>
    <cellStyle name="Notas 5 12 2 3 2" xfId="39096" xr:uid="{00000000-0005-0000-0000-00004E990000}"/>
    <cellStyle name="Notas 5 12 2 3 3" xfId="39097" xr:uid="{00000000-0005-0000-0000-00004F990000}"/>
    <cellStyle name="Notas 5 12 2 3 4" xfId="39098" xr:uid="{00000000-0005-0000-0000-000050990000}"/>
    <cellStyle name="Notas 5 12 2 4" xfId="39099" xr:uid="{00000000-0005-0000-0000-000051990000}"/>
    <cellStyle name="Notas 5 12 2 5" xfId="39100" xr:uid="{00000000-0005-0000-0000-000052990000}"/>
    <cellStyle name="Notas 5 12 2 6" xfId="39101" xr:uid="{00000000-0005-0000-0000-000053990000}"/>
    <cellStyle name="Notas 5 12 3" xfId="39102" xr:uid="{00000000-0005-0000-0000-000054990000}"/>
    <cellStyle name="Notas 5 12 3 2" xfId="39103" xr:uid="{00000000-0005-0000-0000-000055990000}"/>
    <cellStyle name="Notas 5 12 3 2 2" xfId="39104" xr:uid="{00000000-0005-0000-0000-000056990000}"/>
    <cellStyle name="Notas 5 12 3 2 3" xfId="39105" xr:uid="{00000000-0005-0000-0000-000057990000}"/>
    <cellStyle name="Notas 5 12 3 2 4" xfId="39106" xr:uid="{00000000-0005-0000-0000-000058990000}"/>
    <cellStyle name="Notas 5 12 3 3" xfId="39107" xr:uid="{00000000-0005-0000-0000-000059990000}"/>
    <cellStyle name="Notas 5 12 3 3 2" xfId="39108" xr:uid="{00000000-0005-0000-0000-00005A990000}"/>
    <cellStyle name="Notas 5 12 3 3 3" xfId="39109" xr:uid="{00000000-0005-0000-0000-00005B990000}"/>
    <cellStyle name="Notas 5 12 3 3 4" xfId="39110" xr:uid="{00000000-0005-0000-0000-00005C990000}"/>
    <cellStyle name="Notas 5 12 3 4" xfId="39111" xr:uid="{00000000-0005-0000-0000-00005D990000}"/>
    <cellStyle name="Notas 5 12 3 5" xfId="39112" xr:uid="{00000000-0005-0000-0000-00005E990000}"/>
    <cellStyle name="Notas 5 12 3 6" xfId="39113" xr:uid="{00000000-0005-0000-0000-00005F990000}"/>
    <cellStyle name="Notas 5 12 4" xfId="39114" xr:uid="{00000000-0005-0000-0000-000060990000}"/>
    <cellStyle name="Notas 5 12 4 2" xfId="39115" xr:uid="{00000000-0005-0000-0000-000061990000}"/>
    <cellStyle name="Notas 5 12 4 3" xfId="39116" xr:uid="{00000000-0005-0000-0000-000062990000}"/>
    <cellStyle name="Notas 5 12 4 4" xfId="39117" xr:uid="{00000000-0005-0000-0000-000063990000}"/>
    <cellStyle name="Notas 5 12 5" xfId="39118" xr:uid="{00000000-0005-0000-0000-000064990000}"/>
    <cellStyle name="Notas 5 12 6" xfId="39119" xr:uid="{00000000-0005-0000-0000-000065990000}"/>
    <cellStyle name="Notas 5 13" xfId="39120" xr:uid="{00000000-0005-0000-0000-000066990000}"/>
    <cellStyle name="Notas 5 13 2" xfId="39121" xr:uid="{00000000-0005-0000-0000-000067990000}"/>
    <cellStyle name="Notas 5 13 2 2" xfId="39122" xr:uid="{00000000-0005-0000-0000-000068990000}"/>
    <cellStyle name="Notas 5 13 2 2 2" xfId="39123" xr:uid="{00000000-0005-0000-0000-000069990000}"/>
    <cellStyle name="Notas 5 13 2 2 3" xfId="39124" xr:uid="{00000000-0005-0000-0000-00006A990000}"/>
    <cellStyle name="Notas 5 13 2 2 4" xfId="39125" xr:uid="{00000000-0005-0000-0000-00006B990000}"/>
    <cellStyle name="Notas 5 13 2 3" xfId="39126" xr:uid="{00000000-0005-0000-0000-00006C990000}"/>
    <cellStyle name="Notas 5 13 2 3 2" xfId="39127" xr:uid="{00000000-0005-0000-0000-00006D990000}"/>
    <cellStyle name="Notas 5 13 2 3 3" xfId="39128" xr:uid="{00000000-0005-0000-0000-00006E990000}"/>
    <cellStyle name="Notas 5 13 2 3 4" xfId="39129" xr:uid="{00000000-0005-0000-0000-00006F990000}"/>
    <cellStyle name="Notas 5 13 2 4" xfId="39130" xr:uid="{00000000-0005-0000-0000-000070990000}"/>
    <cellStyle name="Notas 5 13 2 5" xfId="39131" xr:uid="{00000000-0005-0000-0000-000071990000}"/>
    <cellStyle name="Notas 5 13 2 6" xfId="39132" xr:uid="{00000000-0005-0000-0000-000072990000}"/>
    <cellStyle name="Notas 5 13 3" xfId="39133" xr:uid="{00000000-0005-0000-0000-000073990000}"/>
    <cellStyle name="Notas 5 13 3 2" xfId="39134" xr:uid="{00000000-0005-0000-0000-000074990000}"/>
    <cellStyle name="Notas 5 13 3 2 2" xfId="39135" xr:uid="{00000000-0005-0000-0000-000075990000}"/>
    <cellStyle name="Notas 5 13 3 2 3" xfId="39136" xr:uid="{00000000-0005-0000-0000-000076990000}"/>
    <cellStyle name="Notas 5 13 3 2 4" xfId="39137" xr:uid="{00000000-0005-0000-0000-000077990000}"/>
    <cellStyle name="Notas 5 13 3 3" xfId="39138" xr:uid="{00000000-0005-0000-0000-000078990000}"/>
    <cellStyle name="Notas 5 13 3 3 2" xfId="39139" xr:uid="{00000000-0005-0000-0000-000079990000}"/>
    <cellStyle name="Notas 5 13 3 3 3" xfId="39140" xr:uid="{00000000-0005-0000-0000-00007A990000}"/>
    <cellStyle name="Notas 5 13 3 3 4" xfId="39141" xr:uid="{00000000-0005-0000-0000-00007B990000}"/>
    <cellStyle name="Notas 5 13 3 4" xfId="39142" xr:uid="{00000000-0005-0000-0000-00007C990000}"/>
    <cellStyle name="Notas 5 13 3 5" xfId="39143" xr:uid="{00000000-0005-0000-0000-00007D990000}"/>
    <cellStyle name="Notas 5 13 3 6" xfId="39144" xr:uid="{00000000-0005-0000-0000-00007E990000}"/>
    <cellStyle name="Notas 5 13 4" xfId="39145" xr:uid="{00000000-0005-0000-0000-00007F990000}"/>
    <cellStyle name="Notas 5 13 5" xfId="39146" xr:uid="{00000000-0005-0000-0000-000080990000}"/>
    <cellStyle name="Notas 5 13 6" xfId="39147" xr:uid="{00000000-0005-0000-0000-000081990000}"/>
    <cellStyle name="Notas 5 14" xfId="39148" xr:uid="{00000000-0005-0000-0000-000082990000}"/>
    <cellStyle name="Notas 5 15" xfId="39149" xr:uid="{00000000-0005-0000-0000-000083990000}"/>
    <cellStyle name="Notas 5 2" xfId="39150" xr:uid="{00000000-0005-0000-0000-000084990000}"/>
    <cellStyle name="Notas 5 2 10" xfId="39151" xr:uid="{00000000-0005-0000-0000-000085990000}"/>
    <cellStyle name="Notas 5 2 10 2" xfId="39152" xr:uid="{00000000-0005-0000-0000-000086990000}"/>
    <cellStyle name="Notas 5 2 10 2 2" xfId="39153" xr:uid="{00000000-0005-0000-0000-000087990000}"/>
    <cellStyle name="Notas 5 2 10 2 2 2" xfId="39154" xr:uid="{00000000-0005-0000-0000-000088990000}"/>
    <cellStyle name="Notas 5 2 10 2 2 3" xfId="39155" xr:uid="{00000000-0005-0000-0000-000089990000}"/>
    <cellStyle name="Notas 5 2 10 2 2 4" xfId="39156" xr:uid="{00000000-0005-0000-0000-00008A990000}"/>
    <cellStyle name="Notas 5 2 10 2 3" xfId="39157" xr:uid="{00000000-0005-0000-0000-00008B990000}"/>
    <cellStyle name="Notas 5 2 10 2 3 2" xfId="39158" xr:uid="{00000000-0005-0000-0000-00008C990000}"/>
    <cellStyle name="Notas 5 2 10 2 3 3" xfId="39159" xr:uid="{00000000-0005-0000-0000-00008D990000}"/>
    <cellStyle name="Notas 5 2 10 2 3 4" xfId="39160" xr:uid="{00000000-0005-0000-0000-00008E990000}"/>
    <cellStyle name="Notas 5 2 10 2 4" xfId="39161" xr:uid="{00000000-0005-0000-0000-00008F990000}"/>
    <cellStyle name="Notas 5 2 10 2 5" xfId="39162" xr:uid="{00000000-0005-0000-0000-000090990000}"/>
    <cellStyle name="Notas 5 2 10 2 6" xfId="39163" xr:uid="{00000000-0005-0000-0000-000091990000}"/>
    <cellStyle name="Notas 5 2 10 3" xfId="39164" xr:uid="{00000000-0005-0000-0000-000092990000}"/>
    <cellStyle name="Notas 5 2 10 3 2" xfId="39165" xr:uid="{00000000-0005-0000-0000-000093990000}"/>
    <cellStyle name="Notas 5 2 10 3 2 2" xfId="39166" xr:uid="{00000000-0005-0000-0000-000094990000}"/>
    <cellStyle name="Notas 5 2 10 3 2 3" xfId="39167" xr:uid="{00000000-0005-0000-0000-000095990000}"/>
    <cellStyle name="Notas 5 2 10 3 2 4" xfId="39168" xr:uid="{00000000-0005-0000-0000-000096990000}"/>
    <cellStyle name="Notas 5 2 10 3 3" xfId="39169" xr:uid="{00000000-0005-0000-0000-000097990000}"/>
    <cellStyle name="Notas 5 2 10 3 3 2" xfId="39170" xr:uid="{00000000-0005-0000-0000-000098990000}"/>
    <cellStyle name="Notas 5 2 10 3 3 3" xfId="39171" xr:uid="{00000000-0005-0000-0000-000099990000}"/>
    <cellStyle name="Notas 5 2 10 3 3 4" xfId="39172" xr:uid="{00000000-0005-0000-0000-00009A990000}"/>
    <cellStyle name="Notas 5 2 10 3 4" xfId="39173" xr:uid="{00000000-0005-0000-0000-00009B990000}"/>
    <cellStyle name="Notas 5 2 10 3 5" xfId="39174" xr:uid="{00000000-0005-0000-0000-00009C990000}"/>
    <cellStyle name="Notas 5 2 10 3 6" xfId="39175" xr:uid="{00000000-0005-0000-0000-00009D990000}"/>
    <cellStyle name="Notas 5 2 10 4" xfId="39176" xr:uid="{00000000-0005-0000-0000-00009E990000}"/>
    <cellStyle name="Notas 5 2 10 4 2" xfId="39177" xr:uid="{00000000-0005-0000-0000-00009F990000}"/>
    <cellStyle name="Notas 5 2 10 4 3" xfId="39178" xr:uid="{00000000-0005-0000-0000-0000A0990000}"/>
    <cellStyle name="Notas 5 2 10 4 4" xfId="39179" xr:uid="{00000000-0005-0000-0000-0000A1990000}"/>
    <cellStyle name="Notas 5 2 10 5" xfId="39180" xr:uid="{00000000-0005-0000-0000-0000A2990000}"/>
    <cellStyle name="Notas 5 2 10 6" xfId="39181" xr:uid="{00000000-0005-0000-0000-0000A3990000}"/>
    <cellStyle name="Notas 5 2 11" xfId="39182" xr:uid="{00000000-0005-0000-0000-0000A4990000}"/>
    <cellStyle name="Notas 5 2 11 2" xfId="39183" xr:uid="{00000000-0005-0000-0000-0000A5990000}"/>
    <cellStyle name="Notas 5 2 11 2 2" xfId="39184" xr:uid="{00000000-0005-0000-0000-0000A6990000}"/>
    <cellStyle name="Notas 5 2 11 2 2 2" xfId="39185" xr:uid="{00000000-0005-0000-0000-0000A7990000}"/>
    <cellStyle name="Notas 5 2 11 2 2 3" xfId="39186" xr:uid="{00000000-0005-0000-0000-0000A8990000}"/>
    <cellStyle name="Notas 5 2 11 2 2 4" xfId="39187" xr:uid="{00000000-0005-0000-0000-0000A9990000}"/>
    <cellStyle name="Notas 5 2 11 2 3" xfId="39188" xr:uid="{00000000-0005-0000-0000-0000AA990000}"/>
    <cellStyle name="Notas 5 2 11 2 3 2" xfId="39189" xr:uid="{00000000-0005-0000-0000-0000AB990000}"/>
    <cellStyle name="Notas 5 2 11 2 3 3" xfId="39190" xr:uid="{00000000-0005-0000-0000-0000AC990000}"/>
    <cellStyle name="Notas 5 2 11 2 3 4" xfId="39191" xr:uid="{00000000-0005-0000-0000-0000AD990000}"/>
    <cellStyle name="Notas 5 2 11 2 4" xfId="39192" xr:uid="{00000000-0005-0000-0000-0000AE990000}"/>
    <cellStyle name="Notas 5 2 11 2 5" xfId="39193" xr:uid="{00000000-0005-0000-0000-0000AF990000}"/>
    <cellStyle name="Notas 5 2 11 2 6" xfId="39194" xr:uid="{00000000-0005-0000-0000-0000B0990000}"/>
    <cellStyle name="Notas 5 2 11 3" xfId="39195" xr:uid="{00000000-0005-0000-0000-0000B1990000}"/>
    <cellStyle name="Notas 5 2 11 3 2" xfId="39196" xr:uid="{00000000-0005-0000-0000-0000B2990000}"/>
    <cellStyle name="Notas 5 2 11 3 2 2" xfId="39197" xr:uid="{00000000-0005-0000-0000-0000B3990000}"/>
    <cellStyle name="Notas 5 2 11 3 2 3" xfId="39198" xr:uid="{00000000-0005-0000-0000-0000B4990000}"/>
    <cellStyle name="Notas 5 2 11 3 2 4" xfId="39199" xr:uid="{00000000-0005-0000-0000-0000B5990000}"/>
    <cellStyle name="Notas 5 2 11 3 3" xfId="39200" xr:uid="{00000000-0005-0000-0000-0000B6990000}"/>
    <cellStyle name="Notas 5 2 11 3 3 2" xfId="39201" xr:uid="{00000000-0005-0000-0000-0000B7990000}"/>
    <cellStyle name="Notas 5 2 11 3 3 3" xfId="39202" xr:uid="{00000000-0005-0000-0000-0000B8990000}"/>
    <cellStyle name="Notas 5 2 11 3 3 4" xfId="39203" xr:uid="{00000000-0005-0000-0000-0000B9990000}"/>
    <cellStyle name="Notas 5 2 11 3 4" xfId="39204" xr:uid="{00000000-0005-0000-0000-0000BA990000}"/>
    <cellStyle name="Notas 5 2 11 3 5" xfId="39205" xr:uid="{00000000-0005-0000-0000-0000BB990000}"/>
    <cellStyle name="Notas 5 2 11 3 6" xfId="39206" xr:uid="{00000000-0005-0000-0000-0000BC990000}"/>
    <cellStyle name="Notas 5 2 11 4" xfId="39207" xr:uid="{00000000-0005-0000-0000-0000BD990000}"/>
    <cellStyle name="Notas 5 2 11 4 2" xfId="39208" xr:uid="{00000000-0005-0000-0000-0000BE990000}"/>
    <cellStyle name="Notas 5 2 11 4 3" xfId="39209" xr:uid="{00000000-0005-0000-0000-0000BF990000}"/>
    <cellStyle name="Notas 5 2 11 4 4" xfId="39210" xr:uid="{00000000-0005-0000-0000-0000C0990000}"/>
    <cellStyle name="Notas 5 2 11 5" xfId="39211" xr:uid="{00000000-0005-0000-0000-0000C1990000}"/>
    <cellStyle name="Notas 5 2 11 6" xfId="39212" xr:uid="{00000000-0005-0000-0000-0000C2990000}"/>
    <cellStyle name="Notas 5 2 12" xfId="39213" xr:uid="{00000000-0005-0000-0000-0000C3990000}"/>
    <cellStyle name="Notas 5 2 12 2" xfId="39214" xr:uid="{00000000-0005-0000-0000-0000C4990000}"/>
    <cellStyle name="Notas 5 2 12 2 2" xfId="39215" xr:uid="{00000000-0005-0000-0000-0000C5990000}"/>
    <cellStyle name="Notas 5 2 12 2 2 2" xfId="39216" xr:uid="{00000000-0005-0000-0000-0000C6990000}"/>
    <cellStyle name="Notas 5 2 12 2 2 3" xfId="39217" xr:uid="{00000000-0005-0000-0000-0000C7990000}"/>
    <cellStyle name="Notas 5 2 12 2 2 4" xfId="39218" xr:uid="{00000000-0005-0000-0000-0000C8990000}"/>
    <cellStyle name="Notas 5 2 12 2 3" xfId="39219" xr:uid="{00000000-0005-0000-0000-0000C9990000}"/>
    <cellStyle name="Notas 5 2 12 2 3 2" xfId="39220" xr:uid="{00000000-0005-0000-0000-0000CA990000}"/>
    <cellStyle name="Notas 5 2 12 2 3 3" xfId="39221" xr:uid="{00000000-0005-0000-0000-0000CB990000}"/>
    <cellStyle name="Notas 5 2 12 2 3 4" xfId="39222" xr:uid="{00000000-0005-0000-0000-0000CC990000}"/>
    <cellStyle name="Notas 5 2 12 2 4" xfId="39223" xr:uid="{00000000-0005-0000-0000-0000CD990000}"/>
    <cellStyle name="Notas 5 2 12 2 5" xfId="39224" xr:uid="{00000000-0005-0000-0000-0000CE990000}"/>
    <cellStyle name="Notas 5 2 12 2 6" xfId="39225" xr:uid="{00000000-0005-0000-0000-0000CF990000}"/>
    <cellStyle name="Notas 5 2 12 3" xfId="39226" xr:uid="{00000000-0005-0000-0000-0000D0990000}"/>
    <cellStyle name="Notas 5 2 12 3 2" xfId="39227" xr:uid="{00000000-0005-0000-0000-0000D1990000}"/>
    <cellStyle name="Notas 5 2 12 3 2 2" xfId="39228" xr:uid="{00000000-0005-0000-0000-0000D2990000}"/>
    <cellStyle name="Notas 5 2 12 3 2 3" xfId="39229" xr:uid="{00000000-0005-0000-0000-0000D3990000}"/>
    <cellStyle name="Notas 5 2 12 3 2 4" xfId="39230" xr:uid="{00000000-0005-0000-0000-0000D4990000}"/>
    <cellStyle name="Notas 5 2 12 3 3" xfId="39231" xr:uid="{00000000-0005-0000-0000-0000D5990000}"/>
    <cellStyle name="Notas 5 2 12 3 3 2" xfId="39232" xr:uid="{00000000-0005-0000-0000-0000D6990000}"/>
    <cellStyle name="Notas 5 2 12 3 3 3" xfId="39233" xr:uid="{00000000-0005-0000-0000-0000D7990000}"/>
    <cellStyle name="Notas 5 2 12 3 3 4" xfId="39234" xr:uid="{00000000-0005-0000-0000-0000D8990000}"/>
    <cellStyle name="Notas 5 2 12 3 4" xfId="39235" xr:uid="{00000000-0005-0000-0000-0000D9990000}"/>
    <cellStyle name="Notas 5 2 12 3 5" xfId="39236" xr:uid="{00000000-0005-0000-0000-0000DA990000}"/>
    <cellStyle name="Notas 5 2 12 3 6" xfId="39237" xr:uid="{00000000-0005-0000-0000-0000DB990000}"/>
    <cellStyle name="Notas 5 2 12 4" xfId="39238" xr:uid="{00000000-0005-0000-0000-0000DC990000}"/>
    <cellStyle name="Notas 5 2 12 5" xfId="39239" xr:uid="{00000000-0005-0000-0000-0000DD990000}"/>
    <cellStyle name="Notas 5 2 12 6" xfId="39240" xr:uid="{00000000-0005-0000-0000-0000DE990000}"/>
    <cellStyle name="Notas 5 2 13" xfId="39241" xr:uid="{00000000-0005-0000-0000-0000DF990000}"/>
    <cellStyle name="Notas 5 2 14" xfId="39242" xr:uid="{00000000-0005-0000-0000-0000E0990000}"/>
    <cellStyle name="Notas 5 2 2" xfId="39243" xr:uid="{00000000-0005-0000-0000-0000E1990000}"/>
    <cellStyle name="Notas 5 2 2 10" xfId="39244" xr:uid="{00000000-0005-0000-0000-0000E2990000}"/>
    <cellStyle name="Notas 5 2 2 10 2" xfId="39245" xr:uid="{00000000-0005-0000-0000-0000E3990000}"/>
    <cellStyle name="Notas 5 2 2 10 2 2" xfId="39246" xr:uid="{00000000-0005-0000-0000-0000E4990000}"/>
    <cellStyle name="Notas 5 2 2 10 2 2 2" xfId="39247" xr:uid="{00000000-0005-0000-0000-0000E5990000}"/>
    <cellStyle name="Notas 5 2 2 10 2 2 3" xfId="39248" xr:uid="{00000000-0005-0000-0000-0000E6990000}"/>
    <cellStyle name="Notas 5 2 2 10 2 2 4" xfId="39249" xr:uid="{00000000-0005-0000-0000-0000E7990000}"/>
    <cellStyle name="Notas 5 2 2 10 2 3" xfId="39250" xr:uid="{00000000-0005-0000-0000-0000E8990000}"/>
    <cellStyle name="Notas 5 2 2 10 2 3 2" xfId="39251" xr:uid="{00000000-0005-0000-0000-0000E9990000}"/>
    <cellStyle name="Notas 5 2 2 10 2 3 3" xfId="39252" xr:uid="{00000000-0005-0000-0000-0000EA990000}"/>
    <cellStyle name="Notas 5 2 2 10 2 3 4" xfId="39253" xr:uid="{00000000-0005-0000-0000-0000EB990000}"/>
    <cellStyle name="Notas 5 2 2 10 2 4" xfId="39254" xr:uid="{00000000-0005-0000-0000-0000EC990000}"/>
    <cellStyle name="Notas 5 2 2 10 2 5" xfId="39255" xr:uid="{00000000-0005-0000-0000-0000ED990000}"/>
    <cellStyle name="Notas 5 2 2 10 2 6" xfId="39256" xr:uid="{00000000-0005-0000-0000-0000EE990000}"/>
    <cellStyle name="Notas 5 2 2 10 3" xfId="39257" xr:uid="{00000000-0005-0000-0000-0000EF990000}"/>
    <cellStyle name="Notas 5 2 2 10 3 2" xfId="39258" xr:uid="{00000000-0005-0000-0000-0000F0990000}"/>
    <cellStyle name="Notas 5 2 2 10 3 2 2" xfId="39259" xr:uid="{00000000-0005-0000-0000-0000F1990000}"/>
    <cellStyle name="Notas 5 2 2 10 3 2 3" xfId="39260" xr:uid="{00000000-0005-0000-0000-0000F2990000}"/>
    <cellStyle name="Notas 5 2 2 10 3 2 4" xfId="39261" xr:uid="{00000000-0005-0000-0000-0000F3990000}"/>
    <cellStyle name="Notas 5 2 2 10 3 3" xfId="39262" xr:uid="{00000000-0005-0000-0000-0000F4990000}"/>
    <cellStyle name="Notas 5 2 2 10 3 3 2" xfId="39263" xr:uid="{00000000-0005-0000-0000-0000F5990000}"/>
    <cellStyle name="Notas 5 2 2 10 3 3 3" xfId="39264" xr:uid="{00000000-0005-0000-0000-0000F6990000}"/>
    <cellStyle name="Notas 5 2 2 10 3 3 4" xfId="39265" xr:uid="{00000000-0005-0000-0000-0000F7990000}"/>
    <cellStyle name="Notas 5 2 2 10 3 4" xfId="39266" xr:uid="{00000000-0005-0000-0000-0000F8990000}"/>
    <cellStyle name="Notas 5 2 2 10 3 5" xfId="39267" xr:uid="{00000000-0005-0000-0000-0000F9990000}"/>
    <cellStyle name="Notas 5 2 2 10 3 6" xfId="39268" xr:uid="{00000000-0005-0000-0000-0000FA990000}"/>
    <cellStyle name="Notas 5 2 2 10 4" xfId="39269" xr:uid="{00000000-0005-0000-0000-0000FB990000}"/>
    <cellStyle name="Notas 5 2 2 10 5" xfId="39270" xr:uid="{00000000-0005-0000-0000-0000FC990000}"/>
    <cellStyle name="Notas 5 2 2 10 6" xfId="39271" xr:uid="{00000000-0005-0000-0000-0000FD990000}"/>
    <cellStyle name="Notas 5 2 2 11" xfId="39272" xr:uid="{00000000-0005-0000-0000-0000FE990000}"/>
    <cellStyle name="Notas 5 2 2 12" xfId="39273" xr:uid="{00000000-0005-0000-0000-0000FF990000}"/>
    <cellStyle name="Notas 5 2 2 2" xfId="39274" xr:uid="{00000000-0005-0000-0000-0000009A0000}"/>
    <cellStyle name="Notas 5 2 2 2 2" xfId="39275" xr:uid="{00000000-0005-0000-0000-0000019A0000}"/>
    <cellStyle name="Notas 5 2 2 2 2 2" xfId="39276" xr:uid="{00000000-0005-0000-0000-0000029A0000}"/>
    <cellStyle name="Notas 5 2 2 2 2 2 2" xfId="39277" xr:uid="{00000000-0005-0000-0000-0000039A0000}"/>
    <cellStyle name="Notas 5 2 2 2 2 2 2 2" xfId="39278" xr:uid="{00000000-0005-0000-0000-0000049A0000}"/>
    <cellStyle name="Notas 5 2 2 2 2 2 2 3" xfId="39279" xr:uid="{00000000-0005-0000-0000-0000059A0000}"/>
    <cellStyle name="Notas 5 2 2 2 2 2 2 4" xfId="39280" xr:uid="{00000000-0005-0000-0000-0000069A0000}"/>
    <cellStyle name="Notas 5 2 2 2 2 2 3" xfId="39281" xr:uid="{00000000-0005-0000-0000-0000079A0000}"/>
    <cellStyle name="Notas 5 2 2 2 2 2 3 2" xfId="39282" xr:uid="{00000000-0005-0000-0000-0000089A0000}"/>
    <cellStyle name="Notas 5 2 2 2 2 2 3 3" xfId="39283" xr:uid="{00000000-0005-0000-0000-0000099A0000}"/>
    <cellStyle name="Notas 5 2 2 2 2 2 3 4" xfId="39284" xr:uid="{00000000-0005-0000-0000-00000A9A0000}"/>
    <cellStyle name="Notas 5 2 2 2 2 2 4" xfId="39285" xr:uid="{00000000-0005-0000-0000-00000B9A0000}"/>
    <cellStyle name="Notas 5 2 2 2 2 2 5" xfId="39286" xr:uid="{00000000-0005-0000-0000-00000C9A0000}"/>
    <cellStyle name="Notas 5 2 2 2 2 2 6" xfId="39287" xr:uid="{00000000-0005-0000-0000-00000D9A0000}"/>
    <cellStyle name="Notas 5 2 2 2 2 3" xfId="39288" xr:uid="{00000000-0005-0000-0000-00000E9A0000}"/>
    <cellStyle name="Notas 5 2 2 2 2 3 2" xfId="39289" xr:uid="{00000000-0005-0000-0000-00000F9A0000}"/>
    <cellStyle name="Notas 5 2 2 2 2 3 2 2" xfId="39290" xr:uid="{00000000-0005-0000-0000-0000109A0000}"/>
    <cellStyle name="Notas 5 2 2 2 2 3 2 3" xfId="39291" xr:uid="{00000000-0005-0000-0000-0000119A0000}"/>
    <cellStyle name="Notas 5 2 2 2 2 3 2 4" xfId="39292" xr:uid="{00000000-0005-0000-0000-0000129A0000}"/>
    <cellStyle name="Notas 5 2 2 2 2 3 3" xfId="39293" xr:uid="{00000000-0005-0000-0000-0000139A0000}"/>
    <cellStyle name="Notas 5 2 2 2 2 3 3 2" xfId="39294" xr:uid="{00000000-0005-0000-0000-0000149A0000}"/>
    <cellStyle name="Notas 5 2 2 2 2 3 3 3" xfId="39295" xr:uid="{00000000-0005-0000-0000-0000159A0000}"/>
    <cellStyle name="Notas 5 2 2 2 2 3 3 4" xfId="39296" xr:uid="{00000000-0005-0000-0000-0000169A0000}"/>
    <cellStyle name="Notas 5 2 2 2 2 3 4" xfId="39297" xr:uid="{00000000-0005-0000-0000-0000179A0000}"/>
    <cellStyle name="Notas 5 2 2 2 2 3 5" xfId="39298" xr:uid="{00000000-0005-0000-0000-0000189A0000}"/>
    <cellStyle name="Notas 5 2 2 2 2 3 6" xfId="39299" xr:uid="{00000000-0005-0000-0000-0000199A0000}"/>
    <cellStyle name="Notas 5 2 2 2 2 4" xfId="39300" xr:uid="{00000000-0005-0000-0000-00001A9A0000}"/>
    <cellStyle name="Notas 5 2 2 2 2 5" xfId="39301" xr:uid="{00000000-0005-0000-0000-00001B9A0000}"/>
    <cellStyle name="Notas 5 2 2 2 2 6" xfId="39302" xr:uid="{00000000-0005-0000-0000-00001C9A0000}"/>
    <cellStyle name="Notas 5 2 2 2 3" xfId="39303" xr:uid="{00000000-0005-0000-0000-00001D9A0000}"/>
    <cellStyle name="Notas 5 2 2 2 4" xfId="39304" xr:uid="{00000000-0005-0000-0000-00001E9A0000}"/>
    <cellStyle name="Notas 5 2 2 3" xfId="39305" xr:uid="{00000000-0005-0000-0000-00001F9A0000}"/>
    <cellStyle name="Notas 5 2 2 3 2" xfId="39306" xr:uid="{00000000-0005-0000-0000-0000209A0000}"/>
    <cellStyle name="Notas 5 2 2 3 2 2" xfId="39307" xr:uid="{00000000-0005-0000-0000-0000219A0000}"/>
    <cellStyle name="Notas 5 2 2 3 2 2 2" xfId="39308" xr:uid="{00000000-0005-0000-0000-0000229A0000}"/>
    <cellStyle name="Notas 5 2 2 3 2 2 2 2" xfId="39309" xr:uid="{00000000-0005-0000-0000-0000239A0000}"/>
    <cellStyle name="Notas 5 2 2 3 2 2 2 3" xfId="39310" xr:uid="{00000000-0005-0000-0000-0000249A0000}"/>
    <cellStyle name="Notas 5 2 2 3 2 2 2 4" xfId="39311" xr:uid="{00000000-0005-0000-0000-0000259A0000}"/>
    <cellStyle name="Notas 5 2 2 3 2 2 3" xfId="39312" xr:uid="{00000000-0005-0000-0000-0000269A0000}"/>
    <cellStyle name="Notas 5 2 2 3 2 2 3 2" xfId="39313" xr:uid="{00000000-0005-0000-0000-0000279A0000}"/>
    <cellStyle name="Notas 5 2 2 3 2 2 3 3" xfId="39314" xr:uid="{00000000-0005-0000-0000-0000289A0000}"/>
    <cellStyle name="Notas 5 2 2 3 2 2 3 4" xfId="39315" xr:uid="{00000000-0005-0000-0000-0000299A0000}"/>
    <cellStyle name="Notas 5 2 2 3 2 2 4" xfId="39316" xr:uid="{00000000-0005-0000-0000-00002A9A0000}"/>
    <cellStyle name="Notas 5 2 2 3 2 2 5" xfId="39317" xr:uid="{00000000-0005-0000-0000-00002B9A0000}"/>
    <cellStyle name="Notas 5 2 2 3 2 2 6" xfId="39318" xr:uid="{00000000-0005-0000-0000-00002C9A0000}"/>
    <cellStyle name="Notas 5 2 2 3 2 3" xfId="39319" xr:uid="{00000000-0005-0000-0000-00002D9A0000}"/>
    <cellStyle name="Notas 5 2 2 3 2 3 2" xfId="39320" xr:uid="{00000000-0005-0000-0000-00002E9A0000}"/>
    <cellStyle name="Notas 5 2 2 3 2 3 2 2" xfId="39321" xr:uid="{00000000-0005-0000-0000-00002F9A0000}"/>
    <cellStyle name="Notas 5 2 2 3 2 3 2 3" xfId="39322" xr:uid="{00000000-0005-0000-0000-0000309A0000}"/>
    <cellStyle name="Notas 5 2 2 3 2 3 2 4" xfId="39323" xr:uid="{00000000-0005-0000-0000-0000319A0000}"/>
    <cellStyle name="Notas 5 2 2 3 2 3 3" xfId="39324" xr:uid="{00000000-0005-0000-0000-0000329A0000}"/>
    <cellStyle name="Notas 5 2 2 3 2 3 3 2" xfId="39325" xr:uid="{00000000-0005-0000-0000-0000339A0000}"/>
    <cellStyle name="Notas 5 2 2 3 2 3 3 3" xfId="39326" xr:uid="{00000000-0005-0000-0000-0000349A0000}"/>
    <cellStyle name="Notas 5 2 2 3 2 3 3 4" xfId="39327" xr:uid="{00000000-0005-0000-0000-0000359A0000}"/>
    <cellStyle name="Notas 5 2 2 3 2 3 4" xfId="39328" xr:uid="{00000000-0005-0000-0000-0000369A0000}"/>
    <cellStyle name="Notas 5 2 2 3 2 3 5" xfId="39329" xr:uid="{00000000-0005-0000-0000-0000379A0000}"/>
    <cellStyle name="Notas 5 2 2 3 2 3 6" xfId="39330" xr:uid="{00000000-0005-0000-0000-0000389A0000}"/>
    <cellStyle name="Notas 5 2 2 3 2 4" xfId="39331" xr:uid="{00000000-0005-0000-0000-0000399A0000}"/>
    <cellStyle name="Notas 5 2 2 3 2 5" xfId="39332" xr:uid="{00000000-0005-0000-0000-00003A9A0000}"/>
    <cellStyle name="Notas 5 2 2 3 2 6" xfId="39333" xr:uid="{00000000-0005-0000-0000-00003B9A0000}"/>
    <cellStyle name="Notas 5 2 2 3 3" xfId="39334" xr:uid="{00000000-0005-0000-0000-00003C9A0000}"/>
    <cellStyle name="Notas 5 2 2 3 4" xfId="39335" xr:uid="{00000000-0005-0000-0000-00003D9A0000}"/>
    <cellStyle name="Notas 5 2 2 4" xfId="39336" xr:uid="{00000000-0005-0000-0000-00003E9A0000}"/>
    <cellStyle name="Notas 5 2 2 4 2" xfId="39337" xr:uid="{00000000-0005-0000-0000-00003F9A0000}"/>
    <cellStyle name="Notas 5 2 2 4 2 2" xfId="39338" xr:uid="{00000000-0005-0000-0000-0000409A0000}"/>
    <cellStyle name="Notas 5 2 2 4 2 2 2" xfId="39339" xr:uid="{00000000-0005-0000-0000-0000419A0000}"/>
    <cellStyle name="Notas 5 2 2 4 2 2 2 2" xfId="39340" xr:uid="{00000000-0005-0000-0000-0000429A0000}"/>
    <cellStyle name="Notas 5 2 2 4 2 2 2 3" xfId="39341" xr:uid="{00000000-0005-0000-0000-0000439A0000}"/>
    <cellStyle name="Notas 5 2 2 4 2 2 2 4" xfId="39342" xr:uid="{00000000-0005-0000-0000-0000449A0000}"/>
    <cellStyle name="Notas 5 2 2 4 2 2 3" xfId="39343" xr:uid="{00000000-0005-0000-0000-0000459A0000}"/>
    <cellStyle name="Notas 5 2 2 4 2 2 3 2" xfId="39344" xr:uid="{00000000-0005-0000-0000-0000469A0000}"/>
    <cellStyle name="Notas 5 2 2 4 2 2 3 3" xfId="39345" xr:uid="{00000000-0005-0000-0000-0000479A0000}"/>
    <cellStyle name="Notas 5 2 2 4 2 2 3 4" xfId="39346" xr:uid="{00000000-0005-0000-0000-0000489A0000}"/>
    <cellStyle name="Notas 5 2 2 4 2 2 4" xfId="39347" xr:uid="{00000000-0005-0000-0000-0000499A0000}"/>
    <cellStyle name="Notas 5 2 2 4 2 2 5" xfId="39348" xr:uid="{00000000-0005-0000-0000-00004A9A0000}"/>
    <cellStyle name="Notas 5 2 2 4 2 2 6" xfId="39349" xr:uid="{00000000-0005-0000-0000-00004B9A0000}"/>
    <cellStyle name="Notas 5 2 2 4 2 3" xfId="39350" xr:uid="{00000000-0005-0000-0000-00004C9A0000}"/>
    <cellStyle name="Notas 5 2 2 4 2 3 2" xfId="39351" xr:uid="{00000000-0005-0000-0000-00004D9A0000}"/>
    <cellStyle name="Notas 5 2 2 4 2 3 2 2" xfId="39352" xr:uid="{00000000-0005-0000-0000-00004E9A0000}"/>
    <cellStyle name="Notas 5 2 2 4 2 3 2 3" xfId="39353" xr:uid="{00000000-0005-0000-0000-00004F9A0000}"/>
    <cellStyle name="Notas 5 2 2 4 2 3 2 4" xfId="39354" xr:uid="{00000000-0005-0000-0000-0000509A0000}"/>
    <cellStyle name="Notas 5 2 2 4 2 3 3" xfId="39355" xr:uid="{00000000-0005-0000-0000-0000519A0000}"/>
    <cellStyle name="Notas 5 2 2 4 2 3 3 2" xfId="39356" xr:uid="{00000000-0005-0000-0000-0000529A0000}"/>
    <cellStyle name="Notas 5 2 2 4 2 3 3 3" xfId="39357" xr:uid="{00000000-0005-0000-0000-0000539A0000}"/>
    <cellStyle name="Notas 5 2 2 4 2 3 3 4" xfId="39358" xr:uid="{00000000-0005-0000-0000-0000549A0000}"/>
    <cellStyle name="Notas 5 2 2 4 2 3 4" xfId="39359" xr:uid="{00000000-0005-0000-0000-0000559A0000}"/>
    <cellStyle name="Notas 5 2 2 4 2 3 5" xfId="39360" xr:uid="{00000000-0005-0000-0000-0000569A0000}"/>
    <cellStyle name="Notas 5 2 2 4 2 3 6" xfId="39361" xr:uid="{00000000-0005-0000-0000-0000579A0000}"/>
    <cellStyle name="Notas 5 2 2 4 2 4" xfId="39362" xr:uid="{00000000-0005-0000-0000-0000589A0000}"/>
    <cellStyle name="Notas 5 2 2 4 2 5" xfId="39363" xr:uid="{00000000-0005-0000-0000-0000599A0000}"/>
    <cellStyle name="Notas 5 2 2 4 2 6" xfId="39364" xr:uid="{00000000-0005-0000-0000-00005A9A0000}"/>
    <cellStyle name="Notas 5 2 2 4 3" xfId="39365" xr:uid="{00000000-0005-0000-0000-00005B9A0000}"/>
    <cellStyle name="Notas 5 2 2 4 4" xfId="39366" xr:uid="{00000000-0005-0000-0000-00005C9A0000}"/>
    <cellStyle name="Notas 5 2 2 5" xfId="39367" xr:uid="{00000000-0005-0000-0000-00005D9A0000}"/>
    <cellStyle name="Notas 5 2 2 5 2" xfId="39368" xr:uid="{00000000-0005-0000-0000-00005E9A0000}"/>
    <cellStyle name="Notas 5 2 2 5 2 2" xfId="39369" xr:uid="{00000000-0005-0000-0000-00005F9A0000}"/>
    <cellStyle name="Notas 5 2 2 5 2 2 2" xfId="39370" xr:uid="{00000000-0005-0000-0000-0000609A0000}"/>
    <cellStyle name="Notas 5 2 2 5 2 2 2 2" xfId="39371" xr:uid="{00000000-0005-0000-0000-0000619A0000}"/>
    <cellStyle name="Notas 5 2 2 5 2 2 2 3" xfId="39372" xr:uid="{00000000-0005-0000-0000-0000629A0000}"/>
    <cellStyle name="Notas 5 2 2 5 2 2 2 4" xfId="39373" xr:uid="{00000000-0005-0000-0000-0000639A0000}"/>
    <cellStyle name="Notas 5 2 2 5 2 2 3" xfId="39374" xr:uid="{00000000-0005-0000-0000-0000649A0000}"/>
    <cellStyle name="Notas 5 2 2 5 2 2 3 2" xfId="39375" xr:uid="{00000000-0005-0000-0000-0000659A0000}"/>
    <cellStyle name="Notas 5 2 2 5 2 2 3 3" xfId="39376" xr:uid="{00000000-0005-0000-0000-0000669A0000}"/>
    <cellStyle name="Notas 5 2 2 5 2 2 3 4" xfId="39377" xr:uid="{00000000-0005-0000-0000-0000679A0000}"/>
    <cellStyle name="Notas 5 2 2 5 2 2 4" xfId="39378" xr:uid="{00000000-0005-0000-0000-0000689A0000}"/>
    <cellStyle name="Notas 5 2 2 5 2 2 5" xfId="39379" xr:uid="{00000000-0005-0000-0000-0000699A0000}"/>
    <cellStyle name="Notas 5 2 2 5 2 2 6" xfId="39380" xr:uid="{00000000-0005-0000-0000-00006A9A0000}"/>
    <cellStyle name="Notas 5 2 2 5 2 3" xfId="39381" xr:uid="{00000000-0005-0000-0000-00006B9A0000}"/>
    <cellStyle name="Notas 5 2 2 5 2 3 2" xfId="39382" xr:uid="{00000000-0005-0000-0000-00006C9A0000}"/>
    <cellStyle name="Notas 5 2 2 5 2 3 2 2" xfId="39383" xr:uid="{00000000-0005-0000-0000-00006D9A0000}"/>
    <cellStyle name="Notas 5 2 2 5 2 3 2 3" xfId="39384" xr:uid="{00000000-0005-0000-0000-00006E9A0000}"/>
    <cellStyle name="Notas 5 2 2 5 2 3 2 4" xfId="39385" xr:uid="{00000000-0005-0000-0000-00006F9A0000}"/>
    <cellStyle name="Notas 5 2 2 5 2 3 3" xfId="39386" xr:uid="{00000000-0005-0000-0000-0000709A0000}"/>
    <cellStyle name="Notas 5 2 2 5 2 3 3 2" xfId="39387" xr:uid="{00000000-0005-0000-0000-0000719A0000}"/>
    <cellStyle name="Notas 5 2 2 5 2 3 3 3" xfId="39388" xr:uid="{00000000-0005-0000-0000-0000729A0000}"/>
    <cellStyle name="Notas 5 2 2 5 2 3 3 4" xfId="39389" xr:uid="{00000000-0005-0000-0000-0000739A0000}"/>
    <cellStyle name="Notas 5 2 2 5 2 3 4" xfId="39390" xr:uid="{00000000-0005-0000-0000-0000749A0000}"/>
    <cellStyle name="Notas 5 2 2 5 2 3 5" xfId="39391" xr:uid="{00000000-0005-0000-0000-0000759A0000}"/>
    <cellStyle name="Notas 5 2 2 5 2 3 6" xfId="39392" xr:uid="{00000000-0005-0000-0000-0000769A0000}"/>
    <cellStyle name="Notas 5 2 2 5 2 4" xfId="39393" xr:uid="{00000000-0005-0000-0000-0000779A0000}"/>
    <cellStyle name="Notas 5 2 2 5 2 5" xfId="39394" xr:uid="{00000000-0005-0000-0000-0000789A0000}"/>
    <cellStyle name="Notas 5 2 2 5 2 6" xfId="39395" xr:uid="{00000000-0005-0000-0000-0000799A0000}"/>
    <cellStyle name="Notas 5 2 2 5 3" xfId="39396" xr:uid="{00000000-0005-0000-0000-00007A9A0000}"/>
    <cellStyle name="Notas 5 2 2 5 4" xfId="39397" xr:uid="{00000000-0005-0000-0000-00007B9A0000}"/>
    <cellStyle name="Notas 5 2 2 6" xfId="39398" xr:uid="{00000000-0005-0000-0000-00007C9A0000}"/>
    <cellStyle name="Notas 5 2 2 6 2" xfId="39399" xr:uid="{00000000-0005-0000-0000-00007D9A0000}"/>
    <cellStyle name="Notas 5 2 2 6 2 2" xfId="39400" xr:uid="{00000000-0005-0000-0000-00007E9A0000}"/>
    <cellStyle name="Notas 5 2 2 6 2 2 2" xfId="39401" xr:uid="{00000000-0005-0000-0000-00007F9A0000}"/>
    <cellStyle name="Notas 5 2 2 6 2 2 3" xfId="39402" xr:uid="{00000000-0005-0000-0000-0000809A0000}"/>
    <cellStyle name="Notas 5 2 2 6 2 2 4" xfId="39403" xr:uid="{00000000-0005-0000-0000-0000819A0000}"/>
    <cellStyle name="Notas 5 2 2 6 2 3" xfId="39404" xr:uid="{00000000-0005-0000-0000-0000829A0000}"/>
    <cellStyle name="Notas 5 2 2 6 2 3 2" xfId="39405" xr:uid="{00000000-0005-0000-0000-0000839A0000}"/>
    <cellStyle name="Notas 5 2 2 6 2 3 3" xfId="39406" xr:uid="{00000000-0005-0000-0000-0000849A0000}"/>
    <cellStyle name="Notas 5 2 2 6 2 3 4" xfId="39407" xr:uid="{00000000-0005-0000-0000-0000859A0000}"/>
    <cellStyle name="Notas 5 2 2 6 2 4" xfId="39408" xr:uid="{00000000-0005-0000-0000-0000869A0000}"/>
    <cellStyle name="Notas 5 2 2 6 2 5" xfId="39409" xr:uid="{00000000-0005-0000-0000-0000879A0000}"/>
    <cellStyle name="Notas 5 2 2 6 2 6" xfId="39410" xr:uid="{00000000-0005-0000-0000-0000889A0000}"/>
    <cellStyle name="Notas 5 2 2 6 3" xfId="39411" xr:uid="{00000000-0005-0000-0000-0000899A0000}"/>
    <cellStyle name="Notas 5 2 2 6 3 2" xfId="39412" xr:uid="{00000000-0005-0000-0000-00008A9A0000}"/>
    <cellStyle name="Notas 5 2 2 6 3 2 2" xfId="39413" xr:uid="{00000000-0005-0000-0000-00008B9A0000}"/>
    <cellStyle name="Notas 5 2 2 6 3 2 3" xfId="39414" xr:uid="{00000000-0005-0000-0000-00008C9A0000}"/>
    <cellStyle name="Notas 5 2 2 6 3 2 4" xfId="39415" xr:uid="{00000000-0005-0000-0000-00008D9A0000}"/>
    <cellStyle name="Notas 5 2 2 6 3 3" xfId="39416" xr:uid="{00000000-0005-0000-0000-00008E9A0000}"/>
    <cellStyle name="Notas 5 2 2 6 3 3 2" xfId="39417" xr:uid="{00000000-0005-0000-0000-00008F9A0000}"/>
    <cellStyle name="Notas 5 2 2 6 3 3 3" xfId="39418" xr:uid="{00000000-0005-0000-0000-0000909A0000}"/>
    <cellStyle name="Notas 5 2 2 6 3 3 4" xfId="39419" xr:uid="{00000000-0005-0000-0000-0000919A0000}"/>
    <cellStyle name="Notas 5 2 2 6 3 4" xfId="39420" xr:uid="{00000000-0005-0000-0000-0000929A0000}"/>
    <cellStyle name="Notas 5 2 2 6 3 5" xfId="39421" xr:uid="{00000000-0005-0000-0000-0000939A0000}"/>
    <cellStyle name="Notas 5 2 2 6 3 6" xfId="39422" xr:uid="{00000000-0005-0000-0000-0000949A0000}"/>
    <cellStyle name="Notas 5 2 2 6 4" xfId="39423" xr:uid="{00000000-0005-0000-0000-0000959A0000}"/>
    <cellStyle name="Notas 5 2 2 6 4 2" xfId="39424" xr:uid="{00000000-0005-0000-0000-0000969A0000}"/>
    <cellStyle name="Notas 5 2 2 6 4 3" xfId="39425" xr:uid="{00000000-0005-0000-0000-0000979A0000}"/>
    <cellStyle name="Notas 5 2 2 6 4 4" xfId="39426" xr:uid="{00000000-0005-0000-0000-0000989A0000}"/>
    <cellStyle name="Notas 5 2 2 6 5" xfId="39427" xr:uid="{00000000-0005-0000-0000-0000999A0000}"/>
    <cellStyle name="Notas 5 2 2 6 6" xfId="39428" xr:uid="{00000000-0005-0000-0000-00009A9A0000}"/>
    <cellStyle name="Notas 5 2 2 7" xfId="39429" xr:uid="{00000000-0005-0000-0000-00009B9A0000}"/>
    <cellStyle name="Notas 5 2 2 7 2" xfId="39430" xr:uid="{00000000-0005-0000-0000-00009C9A0000}"/>
    <cellStyle name="Notas 5 2 2 7 2 2" xfId="39431" xr:uid="{00000000-0005-0000-0000-00009D9A0000}"/>
    <cellStyle name="Notas 5 2 2 7 2 2 2" xfId="39432" xr:uid="{00000000-0005-0000-0000-00009E9A0000}"/>
    <cellStyle name="Notas 5 2 2 7 2 2 3" xfId="39433" xr:uid="{00000000-0005-0000-0000-00009F9A0000}"/>
    <cellStyle name="Notas 5 2 2 7 2 2 4" xfId="39434" xr:uid="{00000000-0005-0000-0000-0000A09A0000}"/>
    <cellStyle name="Notas 5 2 2 7 2 3" xfId="39435" xr:uid="{00000000-0005-0000-0000-0000A19A0000}"/>
    <cellStyle name="Notas 5 2 2 7 2 3 2" xfId="39436" xr:uid="{00000000-0005-0000-0000-0000A29A0000}"/>
    <cellStyle name="Notas 5 2 2 7 2 3 3" xfId="39437" xr:uid="{00000000-0005-0000-0000-0000A39A0000}"/>
    <cellStyle name="Notas 5 2 2 7 2 3 4" xfId="39438" xr:uid="{00000000-0005-0000-0000-0000A49A0000}"/>
    <cellStyle name="Notas 5 2 2 7 2 4" xfId="39439" xr:uid="{00000000-0005-0000-0000-0000A59A0000}"/>
    <cellStyle name="Notas 5 2 2 7 2 5" xfId="39440" xr:uid="{00000000-0005-0000-0000-0000A69A0000}"/>
    <cellStyle name="Notas 5 2 2 7 2 6" xfId="39441" xr:uid="{00000000-0005-0000-0000-0000A79A0000}"/>
    <cellStyle name="Notas 5 2 2 7 3" xfId="39442" xr:uid="{00000000-0005-0000-0000-0000A89A0000}"/>
    <cellStyle name="Notas 5 2 2 7 3 2" xfId="39443" xr:uid="{00000000-0005-0000-0000-0000A99A0000}"/>
    <cellStyle name="Notas 5 2 2 7 3 2 2" xfId="39444" xr:uid="{00000000-0005-0000-0000-0000AA9A0000}"/>
    <cellStyle name="Notas 5 2 2 7 3 2 3" xfId="39445" xr:uid="{00000000-0005-0000-0000-0000AB9A0000}"/>
    <cellStyle name="Notas 5 2 2 7 3 2 4" xfId="39446" xr:uid="{00000000-0005-0000-0000-0000AC9A0000}"/>
    <cellStyle name="Notas 5 2 2 7 3 3" xfId="39447" xr:uid="{00000000-0005-0000-0000-0000AD9A0000}"/>
    <cellStyle name="Notas 5 2 2 7 3 3 2" xfId="39448" xr:uid="{00000000-0005-0000-0000-0000AE9A0000}"/>
    <cellStyle name="Notas 5 2 2 7 3 3 3" xfId="39449" xr:uid="{00000000-0005-0000-0000-0000AF9A0000}"/>
    <cellStyle name="Notas 5 2 2 7 3 3 4" xfId="39450" xr:uid="{00000000-0005-0000-0000-0000B09A0000}"/>
    <cellStyle name="Notas 5 2 2 7 3 4" xfId="39451" xr:uid="{00000000-0005-0000-0000-0000B19A0000}"/>
    <cellStyle name="Notas 5 2 2 7 3 5" xfId="39452" xr:uid="{00000000-0005-0000-0000-0000B29A0000}"/>
    <cellStyle name="Notas 5 2 2 7 3 6" xfId="39453" xr:uid="{00000000-0005-0000-0000-0000B39A0000}"/>
    <cellStyle name="Notas 5 2 2 7 4" xfId="39454" xr:uid="{00000000-0005-0000-0000-0000B49A0000}"/>
    <cellStyle name="Notas 5 2 2 7 4 2" xfId="39455" xr:uid="{00000000-0005-0000-0000-0000B59A0000}"/>
    <cellStyle name="Notas 5 2 2 7 4 3" xfId="39456" xr:uid="{00000000-0005-0000-0000-0000B69A0000}"/>
    <cellStyle name="Notas 5 2 2 7 4 4" xfId="39457" xr:uid="{00000000-0005-0000-0000-0000B79A0000}"/>
    <cellStyle name="Notas 5 2 2 7 5" xfId="39458" xr:uid="{00000000-0005-0000-0000-0000B89A0000}"/>
    <cellStyle name="Notas 5 2 2 7 6" xfId="39459" xr:uid="{00000000-0005-0000-0000-0000B99A0000}"/>
    <cellStyle name="Notas 5 2 2 8" xfId="39460" xr:uid="{00000000-0005-0000-0000-0000BA9A0000}"/>
    <cellStyle name="Notas 5 2 2 8 2" xfId="39461" xr:uid="{00000000-0005-0000-0000-0000BB9A0000}"/>
    <cellStyle name="Notas 5 2 2 8 2 2" xfId="39462" xr:uid="{00000000-0005-0000-0000-0000BC9A0000}"/>
    <cellStyle name="Notas 5 2 2 8 2 2 2" xfId="39463" xr:uid="{00000000-0005-0000-0000-0000BD9A0000}"/>
    <cellStyle name="Notas 5 2 2 8 2 2 3" xfId="39464" xr:uid="{00000000-0005-0000-0000-0000BE9A0000}"/>
    <cellStyle name="Notas 5 2 2 8 2 2 4" xfId="39465" xr:uid="{00000000-0005-0000-0000-0000BF9A0000}"/>
    <cellStyle name="Notas 5 2 2 8 2 3" xfId="39466" xr:uid="{00000000-0005-0000-0000-0000C09A0000}"/>
    <cellStyle name="Notas 5 2 2 8 2 3 2" xfId="39467" xr:uid="{00000000-0005-0000-0000-0000C19A0000}"/>
    <cellStyle name="Notas 5 2 2 8 2 3 3" xfId="39468" xr:uid="{00000000-0005-0000-0000-0000C29A0000}"/>
    <cellStyle name="Notas 5 2 2 8 2 3 4" xfId="39469" xr:uid="{00000000-0005-0000-0000-0000C39A0000}"/>
    <cellStyle name="Notas 5 2 2 8 2 4" xfId="39470" xr:uid="{00000000-0005-0000-0000-0000C49A0000}"/>
    <cellStyle name="Notas 5 2 2 8 2 5" xfId="39471" xr:uid="{00000000-0005-0000-0000-0000C59A0000}"/>
    <cellStyle name="Notas 5 2 2 8 2 6" xfId="39472" xr:uid="{00000000-0005-0000-0000-0000C69A0000}"/>
    <cellStyle name="Notas 5 2 2 8 3" xfId="39473" xr:uid="{00000000-0005-0000-0000-0000C79A0000}"/>
    <cellStyle name="Notas 5 2 2 8 3 2" xfId="39474" xr:uid="{00000000-0005-0000-0000-0000C89A0000}"/>
    <cellStyle name="Notas 5 2 2 8 3 2 2" xfId="39475" xr:uid="{00000000-0005-0000-0000-0000C99A0000}"/>
    <cellStyle name="Notas 5 2 2 8 3 2 3" xfId="39476" xr:uid="{00000000-0005-0000-0000-0000CA9A0000}"/>
    <cellStyle name="Notas 5 2 2 8 3 2 4" xfId="39477" xr:uid="{00000000-0005-0000-0000-0000CB9A0000}"/>
    <cellStyle name="Notas 5 2 2 8 3 3" xfId="39478" xr:uid="{00000000-0005-0000-0000-0000CC9A0000}"/>
    <cellStyle name="Notas 5 2 2 8 3 3 2" xfId="39479" xr:uid="{00000000-0005-0000-0000-0000CD9A0000}"/>
    <cellStyle name="Notas 5 2 2 8 3 3 3" xfId="39480" xr:uid="{00000000-0005-0000-0000-0000CE9A0000}"/>
    <cellStyle name="Notas 5 2 2 8 3 3 4" xfId="39481" xr:uid="{00000000-0005-0000-0000-0000CF9A0000}"/>
    <cellStyle name="Notas 5 2 2 8 3 4" xfId="39482" xr:uid="{00000000-0005-0000-0000-0000D09A0000}"/>
    <cellStyle name="Notas 5 2 2 8 3 5" xfId="39483" xr:uid="{00000000-0005-0000-0000-0000D19A0000}"/>
    <cellStyle name="Notas 5 2 2 8 3 6" xfId="39484" xr:uid="{00000000-0005-0000-0000-0000D29A0000}"/>
    <cellStyle name="Notas 5 2 2 8 4" xfId="39485" xr:uid="{00000000-0005-0000-0000-0000D39A0000}"/>
    <cellStyle name="Notas 5 2 2 8 4 2" xfId="39486" xr:uid="{00000000-0005-0000-0000-0000D49A0000}"/>
    <cellStyle name="Notas 5 2 2 8 4 3" xfId="39487" xr:uid="{00000000-0005-0000-0000-0000D59A0000}"/>
    <cellStyle name="Notas 5 2 2 8 4 4" xfId="39488" xr:uid="{00000000-0005-0000-0000-0000D69A0000}"/>
    <cellStyle name="Notas 5 2 2 8 5" xfId="39489" xr:uid="{00000000-0005-0000-0000-0000D79A0000}"/>
    <cellStyle name="Notas 5 2 2 8 6" xfId="39490" xr:uid="{00000000-0005-0000-0000-0000D89A0000}"/>
    <cellStyle name="Notas 5 2 2 9" xfId="39491" xr:uid="{00000000-0005-0000-0000-0000D99A0000}"/>
    <cellStyle name="Notas 5 2 2 9 2" xfId="39492" xr:uid="{00000000-0005-0000-0000-0000DA9A0000}"/>
    <cellStyle name="Notas 5 2 2 9 2 2" xfId="39493" xr:uid="{00000000-0005-0000-0000-0000DB9A0000}"/>
    <cellStyle name="Notas 5 2 2 9 2 2 2" xfId="39494" xr:uid="{00000000-0005-0000-0000-0000DC9A0000}"/>
    <cellStyle name="Notas 5 2 2 9 2 2 3" xfId="39495" xr:uid="{00000000-0005-0000-0000-0000DD9A0000}"/>
    <cellStyle name="Notas 5 2 2 9 2 2 4" xfId="39496" xr:uid="{00000000-0005-0000-0000-0000DE9A0000}"/>
    <cellStyle name="Notas 5 2 2 9 2 3" xfId="39497" xr:uid="{00000000-0005-0000-0000-0000DF9A0000}"/>
    <cellStyle name="Notas 5 2 2 9 2 3 2" xfId="39498" xr:uid="{00000000-0005-0000-0000-0000E09A0000}"/>
    <cellStyle name="Notas 5 2 2 9 2 3 3" xfId="39499" xr:uid="{00000000-0005-0000-0000-0000E19A0000}"/>
    <cellStyle name="Notas 5 2 2 9 2 3 4" xfId="39500" xr:uid="{00000000-0005-0000-0000-0000E29A0000}"/>
    <cellStyle name="Notas 5 2 2 9 2 4" xfId="39501" xr:uid="{00000000-0005-0000-0000-0000E39A0000}"/>
    <cellStyle name="Notas 5 2 2 9 2 5" xfId="39502" xr:uid="{00000000-0005-0000-0000-0000E49A0000}"/>
    <cellStyle name="Notas 5 2 2 9 2 6" xfId="39503" xr:uid="{00000000-0005-0000-0000-0000E59A0000}"/>
    <cellStyle name="Notas 5 2 2 9 3" xfId="39504" xr:uid="{00000000-0005-0000-0000-0000E69A0000}"/>
    <cellStyle name="Notas 5 2 2 9 3 2" xfId="39505" xr:uid="{00000000-0005-0000-0000-0000E79A0000}"/>
    <cellStyle name="Notas 5 2 2 9 3 2 2" xfId="39506" xr:uid="{00000000-0005-0000-0000-0000E89A0000}"/>
    <cellStyle name="Notas 5 2 2 9 3 2 3" xfId="39507" xr:uid="{00000000-0005-0000-0000-0000E99A0000}"/>
    <cellStyle name="Notas 5 2 2 9 3 2 4" xfId="39508" xr:uid="{00000000-0005-0000-0000-0000EA9A0000}"/>
    <cellStyle name="Notas 5 2 2 9 3 3" xfId="39509" xr:uid="{00000000-0005-0000-0000-0000EB9A0000}"/>
    <cellStyle name="Notas 5 2 2 9 3 3 2" xfId="39510" xr:uid="{00000000-0005-0000-0000-0000EC9A0000}"/>
    <cellStyle name="Notas 5 2 2 9 3 3 3" xfId="39511" xr:uid="{00000000-0005-0000-0000-0000ED9A0000}"/>
    <cellStyle name="Notas 5 2 2 9 3 3 4" xfId="39512" xr:uid="{00000000-0005-0000-0000-0000EE9A0000}"/>
    <cellStyle name="Notas 5 2 2 9 3 4" xfId="39513" xr:uid="{00000000-0005-0000-0000-0000EF9A0000}"/>
    <cellStyle name="Notas 5 2 2 9 3 5" xfId="39514" xr:uid="{00000000-0005-0000-0000-0000F09A0000}"/>
    <cellStyle name="Notas 5 2 2 9 3 6" xfId="39515" xr:uid="{00000000-0005-0000-0000-0000F19A0000}"/>
    <cellStyle name="Notas 5 2 2 9 4" xfId="39516" xr:uid="{00000000-0005-0000-0000-0000F29A0000}"/>
    <cellStyle name="Notas 5 2 2 9 4 2" xfId="39517" xr:uid="{00000000-0005-0000-0000-0000F39A0000}"/>
    <cellStyle name="Notas 5 2 2 9 4 3" xfId="39518" xr:uid="{00000000-0005-0000-0000-0000F49A0000}"/>
    <cellStyle name="Notas 5 2 2 9 4 4" xfId="39519" xr:uid="{00000000-0005-0000-0000-0000F59A0000}"/>
    <cellStyle name="Notas 5 2 2 9 5" xfId="39520" xr:uid="{00000000-0005-0000-0000-0000F69A0000}"/>
    <cellStyle name="Notas 5 2 2 9 6" xfId="39521" xr:uid="{00000000-0005-0000-0000-0000F79A0000}"/>
    <cellStyle name="Notas 5 2 3" xfId="39522" xr:uid="{00000000-0005-0000-0000-0000F89A0000}"/>
    <cellStyle name="Notas 5 2 3 10" xfId="39523" xr:uid="{00000000-0005-0000-0000-0000F99A0000}"/>
    <cellStyle name="Notas 5 2 3 10 2" xfId="39524" xr:uid="{00000000-0005-0000-0000-0000FA9A0000}"/>
    <cellStyle name="Notas 5 2 3 10 2 2" xfId="39525" xr:uid="{00000000-0005-0000-0000-0000FB9A0000}"/>
    <cellStyle name="Notas 5 2 3 10 2 2 2" xfId="39526" xr:uid="{00000000-0005-0000-0000-0000FC9A0000}"/>
    <cellStyle name="Notas 5 2 3 10 2 2 3" xfId="39527" xr:uid="{00000000-0005-0000-0000-0000FD9A0000}"/>
    <cellStyle name="Notas 5 2 3 10 2 2 4" xfId="39528" xr:uid="{00000000-0005-0000-0000-0000FE9A0000}"/>
    <cellStyle name="Notas 5 2 3 10 2 3" xfId="39529" xr:uid="{00000000-0005-0000-0000-0000FF9A0000}"/>
    <cellStyle name="Notas 5 2 3 10 2 3 2" xfId="39530" xr:uid="{00000000-0005-0000-0000-0000009B0000}"/>
    <cellStyle name="Notas 5 2 3 10 2 3 3" xfId="39531" xr:uid="{00000000-0005-0000-0000-0000019B0000}"/>
    <cellStyle name="Notas 5 2 3 10 2 3 4" xfId="39532" xr:uid="{00000000-0005-0000-0000-0000029B0000}"/>
    <cellStyle name="Notas 5 2 3 10 2 4" xfId="39533" xr:uid="{00000000-0005-0000-0000-0000039B0000}"/>
    <cellStyle name="Notas 5 2 3 10 2 5" xfId="39534" xr:uid="{00000000-0005-0000-0000-0000049B0000}"/>
    <cellStyle name="Notas 5 2 3 10 2 6" xfId="39535" xr:uid="{00000000-0005-0000-0000-0000059B0000}"/>
    <cellStyle name="Notas 5 2 3 10 3" xfId="39536" xr:uid="{00000000-0005-0000-0000-0000069B0000}"/>
    <cellStyle name="Notas 5 2 3 10 3 2" xfId="39537" xr:uid="{00000000-0005-0000-0000-0000079B0000}"/>
    <cellStyle name="Notas 5 2 3 10 3 2 2" xfId="39538" xr:uid="{00000000-0005-0000-0000-0000089B0000}"/>
    <cellStyle name="Notas 5 2 3 10 3 2 3" xfId="39539" xr:uid="{00000000-0005-0000-0000-0000099B0000}"/>
    <cellStyle name="Notas 5 2 3 10 3 2 4" xfId="39540" xr:uid="{00000000-0005-0000-0000-00000A9B0000}"/>
    <cellStyle name="Notas 5 2 3 10 3 3" xfId="39541" xr:uid="{00000000-0005-0000-0000-00000B9B0000}"/>
    <cellStyle name="Notas 5 2 3 10 3 3 2" xfId="39542" xr:uid="{00000000-0005-0000-0000-00000C9B0000}"/>
    <cellStyle name="Notas 5 2 3 10 3 3 3" xfId="39543" xr:uid="{00000000-0005-0000-0000-00000D9B0000}"/>
    <cellStyle name="Notas 5 2 3 10 3 3 4" xfId="39544" xr:uid="{00000000-0005-0000-0000-00000E9B0000}"/>
    <cellStyle name="Notas 5 2 3 10 3 4" xfId="39545" xr:uid="{00000000-0005-0000-0000-00000F9B0000}"/>
    <cellStyle name="Notas 5 2 3 10 3 5" xfId="39546" xr:uid="{00000000-0005-0000-0000-0000109B0000}"/>
    <cellStyle name="Notas 5 2 3 10 3 6" xfId="39547" xr:uid="{00000000-0005-0000-0000-0000119B0000}"/>
    <cellStyle name="Notas 5 2 3 10 4" xfId="39548" xr:uid="{00000000-0005-0000-0000-0000129B0000}"/>
    <cellStyle name="Notas 5 2 3 10 5" xfId="39549" xr:uid="{00000000-0005-0000-0000-0000139B0000}"/>
    <cellStyle name="Notas 5 2 3 10 6" xfId="39550" xr:uid="{00000000-0005-0000-0000-0000149B0000}"/>
    <cellStyle name="Notas 5 2 3 11" xfId="39551" xr:uid="{00000000-0005-0000-0000-0000159B0000}"/>
    <cellStyle name="Notas 5 2 3 12" xfId="39552" xr:uid="{00000000-0005-0000-0000-0000169B0000}"/>
    <cellStyle name="Notas 5 2 3 2" xfId="39553" xr:uid="{00000000-0005-0000-0000-0000179B0000}"/>
    <cellStyle name="Notas 5 2 3 2 2" xfId="39554" xr:uid="{00000000-0005-0000-0000-0000189B0000}"/>
    <cellStyle name="Notas 5 2 3 2 2 2" xfId="39555" xr:uid="{00000000-0005-0000-0000-0000199B0000}"/>
    <cellStyle name="Notas 5 2 3 2 2 2 2" xfId="39556" xr:uid="{00000000-0005-0000-0000-00001A9B0000}"/>
    <cellStyle name="Notas 5 2 3 2 2 2 2 2" xfId="39557" xr:uid="{00000000-0005-0000-0000-00001B9B0000}"/>
    <cellStyle name="Notas 5 2 3 2 2 2 2 3" xfId="39558" xr:uid="{00000000-0005-0000-0000-00001C9B0000}"/>
    <cellStyle name="Notas 5 2 3 2 2 2 2 4" xfId="39559" xr:uid="{00000000-0005-0000-0000-00001D9B0000}"/>
    <cellStyle name="Notas 5 2 3 2 2 2 3" xfId="39560" xr:uid="{00000000-0005-0000-0000-00001E9B0000}"/>
    <cellStyle name="Notas 5 2 3 2 2 2 3 2" xfId="39561" xr:uid="{00000000-0005-0000-0000-00001F9B0000}"/>
    <cellStyle name="Notas 5 2 3 2 2 2 3 3" xfId="39562" xr:uid="{00000000-0005-0000-0000-0000209B0000}"/>
    <cellStyle name="Notas 5 2 3 2 2 2 3 4" xfId="39563" xr:uid="{00000000-0005-0000-0000-0000219B0000}"/>
    <cellStyle name="Notas 5 2 3 2 2 2 4" xfId="39564" xr:uid="{00000000-0005-0000-0000-0000229B0000}"/>
    <cellStyle name="Notas 5 2 3 2 2 2 5" xfId="39565" xr:uid="{00000000-0005-0000-0000-0000239B0000}"/>
    <cellStyle name="Notas 5 2 3 2 2 2 6" xfId="39566" xr:uid="{00000000-0005-0000-0000-0000249B0000}"/>
    <cellStyle name="Notas 5 2 3 2 2 3" xfId="39567" xr:uid="{00000000-0005-0000-0000-0000259B0000}"/>
    <cellStyle name="Notas 5 2 3 2 2 3 2" xfId="39568" xr:uid="{00000000-0005-0000-0000-0000269B0000}"/>
    <cellStyle name="Notas 5 2 3 2 2 3 2 2" xfId="39569" xr:uid="{00000000-0005-0000-0000-0000279B0000}"/>
    <cellStyle name="Notas 5 2 3 2 2 3 2 3" xfId="39570" xr:uid="{00000000-0005-0000-0000-0000289B0000}"/>
    <cellStyle name="Notas 5 2 3 2 2 3 2 4" xfId="39571" xr:uid="{00000000-0005-0000-0000-0000299B0000}"/>
    <cellStyle name="Notas 5 2 3 2 2 3 3" xfId="39572" xr:uid="{00000000-0005-0000-0000-00002A9B0000}"/>
    <cellStyle name="Notas 5 2 3 2 2 3 3 2" xfId="39573" xr:uid="{00000000-0005-0000-0000-00002B9B0000}"/>
    <cellStyle name="Notas 5 2 3 2 2 3 3 3" xfId="39574" xr:uid="{00000000-0005-0000-0000-00002C9B0000}"/>
    <cellStyle name="Notas 5 2 3 2 2 3 3 4" xfId="39575" xr:uid="{00000000-0005-0000-0000-00002D9B0000}"/>
    <cellStyle name="Notas 5 2 3 2 2 3 4" xfId="39576" xr:uid="{00000000-0005-0000-0000-00002E9B0000}"/>
    <cellStyle name="Notas 5 2 3 2 2 3 5" xfId="39577" xr:uid="{00000000-0005-0000-0000-00002F9B0000}"/>
    <cellStyle name="Notas 5 2 3 2 2 3 6" xfId="39578" xr:uid="{00000000-0005-0000-0000-0000309B0000}"/>
    <cellStyle name="Notas 5 2 3 2 2 4" xfId="39579" xr:uid="{00000000-0005-0000-0000-0000319B0000}"/>
    <cellStyle name="Notas 5 2 3 2 2 5" xfId="39580" xr:uid="{00000000-0005-0000-0000-0000329B0000}"/>
    <cellStyle name="Notas 5 2 3 2 2 6" xfId="39581" xr:uid="{00000000-0005-0000-0000-0000339B0000}"/>
    <cellStyle name="Notas 5 2 3 2 3" xfId="39582" xr:uid="{00000000-0005-0000-0000-0000349B0000}"/>
    <cellStyle name="Notas 5 2 3 2 4" xfId="39583" xr:uid="{00000000-0005-0000-0000-0000359B0000}"/>
    <cellStyle name="Notas 5 2 3 3" xfId="39584" xr:uid="{00000000-0005-0000-0000-0000369B0000}"/>
    <cellStyle name="Notas 5 2 3 3 2" xfId="39585" xr:uid="{00000000-0005-0000-0000-0000379B0000}"/>
    <cellStyle name="Notas 5 2 3 3 2 2" xfId="39586" xr:uid="{00000000-0005-0000-0000-0000389B0000}"/>
    <cellStyle name="Notas 5 2 3 3 2 2 2" xfId="39587" xr:uid="{00000000-0005-0000-0000-0000399B0000}"/>
    <cellStyle name="Notas 5 2 3 3 2 2 2 2" xfId="39588" xr:uid="{00000000-0005-0000-0000-00003A9B0000}"/>
    <cellStyle name="Notas 5 2 3 3 2 2 2 3" xfId="39589" xr:uid="{00000000-0005-0000-0000-00003B9B0000}"/>
    <cellStyle name="Notas 5 2 3 3 2 2 2 4" xfId="39590" xr:uid="{00000000-0005-0000-0000-00003C9B0000}"/>
    <cellStyle name="Notas 5 2 3 3 2 2 3" xfId="39591" xr:uid="{00000000-0005-0000-0000-00003D9B0000}"/>
    <cellStyle name="Notas 5 2 3 3 2 2 3 2" xfId="39592" xr:uid="{00000000-0005-0000-0000-00003E9B0000}"/>
    <cellStyle name="Notas 5 2 3 3 2 2 3 3" xfId="39593" xr:uid="{00000000-0005-0000-0000-00003F9B0000}"/>
    <cellStyle name="Notas 5 2 3 3 2 2 3 4" xfId="39594" xr:uid="{00000000-0005-0000-0000-0000409B0000}"/>
    <cellStyle name="Notas 5 2 3 3 2 2 4" xfId="39595" xr:uid="{00000000-0005-0000-0000-0000419B0000}"/>
    <cellStyle name="Notas 5 2 3 3 2 2 5" xfId="39596" xr:uid="{00000000-0005-0000-0000-0000429B0000}"/>
    <cellStyle name="Notas 5 2 3 3 2 2 6" xfId="39597" xr:uid="{00000000-0005-0000-0000-0000439B0000}"/>
    <cellStyle name="Notas 5 2 3 3 2 3" xfId="39598" xr:uid="{00000000-0005-0000-0000-0000449B0000}"/>
    <cellStyle name="Notas 5 2 3 3 2 3 2" xfId="39599" xr:uid="{00000000-0005-0000-0000-0000459B0000}"/>
    <cellStyle name="Notas 5 2 3 3 2 3 2 2" xfId="39600" xr:uid="{00000000-0005-0000-0000-0000469B0000}"/>
    <cellStyle name="Notas 5 2 3 3 2 3 2 3" xfId="39601" xr:uid="{00000000-0005-0000-0000-0000479B0000}"/>
    <cellStyle name="Notas 5 2 3 3 2 3 2 4" xfId="39602" xr:uid="{00000000-0005-0000-0000-0000489B0000}"/>
    <cellStyle name="Notas 5 2 3 3 2 3 3" xfId="39603" xr:uid="{00000000-0005-0000-0000-0000499B0000}"/>
    <cellStyle name="Notas 5 2 3 3 2 3 3 2" xfId="39604" xr:uid="{00000000-0005-0000-0000-00004A9B0000}"/>
    <cellStyle name="Notas 5 2 3 3 2 3 3 3" xfId="39605" xr:uid="{00000000-0005-0000-0000-00004B9B0000}"/>
    <cellStyle name="Notas 5 2 3 3 2 3 3 4" xfId="39606" xr:uid="{00000000-0005-0000-0000-00004C9B0000}"/>
    <cellStyle name="Notas 5 2 3 3 2 3 4" xfId="39607" xr:uid="{00000000-0005-0000-0000-00004D9B0000}"/>
    <cellStyle name="Notas 5 2 3 3 2 3 5" xfId="39608" xr:uid="{00000000-0005-0000-0000-00004E9B0000}"/>
    <cellStyle name="Notas 5 2 3 3 2 3 6" xfId="39609" xr:uid="{00000000-0005-0000-0000-00004F9B0000}"/>
    <cellStyle name="Notas 5 2 3 3 2 4" xfId="39610" xr:uid="{00000000-0005-0000-0000-0000509B0000}"/>
    <cellStyle name="Notas 5 2 3 3 2 5" xfId="39611" xr:uid="{00000000-0005-0000-0000-0000519B0000}"/>
    <cellStyle name="Notas 5 2 3 3 2 6" xfId="39612" xr:uid="{00000000-0005-0000-0000-0000529B0000}"/>
    <cellStyle name="Notas 5 2 3 3 3" xfId="39613" xr:uid="{00000000-0005-0000-0000-0000539B0000}"/>
    <cellStyle name="Notas 5 2 3 3 4" xfId="39614" xr:uid="{00000000-0005-0000-0000-0000549B0000}"/>
    <cellStyle name="Notas 5 2 3 4" xfId="39615" xr:uid="{00000000-0005-0000-0000-0000559B0000}"/>
    <cellStyle name="Notas 5 2 3 4 2" xfId="39616" xr:uid="{00000000-0005-0000-0000-0000569B0000}"/>
    <cellStyle name="Notas 5 2 3 4 2 2" xfId="39617" xr:uid="{00000000-0005-0000-0000-0000579B0000}"/>
    <cellStyle name="Notas 5 2 3 4 2 2 2" xfId="39618" xr:uid="{00000000-0005-0000-0000-0000589B0000}"/>
    <cellStyle name="Notas 5 2 3 4 2 2 2 2" xfId="39619" xr:uid="{00000000-0005-0000-0000-0000599B0000}"/>
    <cellStyle name="Notas 5 2 3 4 2 2 2 3" xfId="39620" xr:uid="{00000000-0005-0000-0000-00005A9B0000}"/>
    <cellStyle name="Notas 5 2 3 4 2 2 2 4" xfId="39621" xr:uid="{00000000-0005-0000-0000-00005B9B0000}"/>
    <cellStyle name="Notas 5 2 3 4 2 2 3" xfId="39622" xr:uid="{00000000-0005-0000-0000-00005C9B0000}"/>
    <cellStyle name="Notas 5 2 3 4 2 2 3 2" xfId="39623" xr:uid="{00000000-0005-0000-0000-00005D9B0000}"/>
    <cellStyle name="Notas 5 2 3 4 2 2 3 3" xfId="39624" xr:uid="{00000000-0005-0000-0000-00005E9B0000}"/>
    <cellStyle name="Notas 5 2 3 4 2 2 3 4" xfId="39625" xr:uid="{00000000-0005-0000-0000-00005F9B0000}"/>
    <cellStyle name="Notas 5 2 3 4 2 2 4" xfId="39626" xr:uid="{00000000-0005-0000-0000-0000609B0000}"/>
    <cellStyle name="Notas 5 2 3 4 2 2 5" xfId="39627" xr:uid="{00000000-0005-0000-0000-0000619B0000}"/>
    <cellStyle name="Notas 5 2 3 4 2 2 6" xfId="39628" xr:uid="{00000000-0005-0000-0000-0000629B0000}"/>
    <cellStyle name="Notas 5 2 3 4 2 3" xfId="39629" xr:uid="{00000000-0005-0000-0000-0000639B0000}"/>
    <cellStyle name="Notas 5 2 3 4 2 3 2" xfId="39630" xr:uid="{00000000-0005-0000-0000-0000649B0000}"/>
    <cellStyle name="Notas 5 2 3 4 2 3 2 2" xfId="39631" xr:uid="{00000000-0005-0000-0000-0000659B0000}"/>
    <cellStyle name="Notas 5 2 3 4 2 3 2 3" xfId="39632" xr:uid="{00000000-0005-0000-0000-0000669B0000}"/>
    <cellStyle name="Notas 5 2 3 4 2 3 2 4" xfId="39633" xr:uid="{00000000-0005-0000-0000-0000679B0000}"/>
    <cellStyle name="Notas 5 2 3 4 2 3 3" xfId="39634" xr:uid="{00000000-0005-0000-0000-0000689B0000}"/>
    <cellStyle name="Notas 5 2 3 4 2 3 3 2" xfId="39635" xr:uid="{00000000-0005-0000-0000-0000699B0000}"/>
    <cellStyle name="Notas 5 2 3 4 2 3 3 3" xfId="39636" xr:uid="{00000000-0005-0000-0000-00006A9B0000}"/>
    <cellStyle name="Notas 5 2 3 4 2 3 3 4" xfId="39637" xr:uid="{00000000-0005-0000-0000-00006B9B0000}"/>
    <cellStyle name="Notas 5 2 3 4 2 3 4" xfId="39638" xr:uid="{00000000-0005-0000-0000-00006C9B0000}"/>
    <cellStyle name="Notas 5 2 3 4 2 3 5" xfId="39639" xr:uid="{00000000-0005-0000-0000-00006D9B0000}"/>
    <cellStyle name="Notas 5 2 3 4 2 3 6" xfId="39640" xr:uid="{00000000-0005-0000-0000-00006E9B0000}"/>
    <cellStyle name="Notas 5 2 3 4 2 4" xfId="39641" xr:uid="{00000000-0005-0000-0000-00006F9B0000}"/>
    <cellStyle name="Notas 5 2 3 4 2 5" xfId="39642" xr:uid="{00000000-0005-0000-0000-0000709B0000}"/>
    <cellStyle name="Notas 5 2 3 4 2 6" xfId="39643" xr:uid="{00000000-0005-0000-0000-0000719B0000}"/>
    <cellStyle name="Notas 5 2 3 4 3" xfId="39644" xr:uid="{00000000-0005-0000-0000-0000729B0000}"/>
    <cellStyle name="Notas 5 2 3 4 4" xfId="39645" xr:uid="{00000000-0005-0000-0000-0000739B0000}"/>
    <cellStyle name="Notas 5 2 3 5" xfId="39646" xr:uid="{00000000-0005-0000-0000-0000749B0000}"/>
    <cellStyle name="Notas 5 2 3 5 2" xfId="39647" xr:uid="{00000000-0005-0000-0000-0000759B0000}"/>
    <cellStyle name="Notas 5 2 3 5 2 2" xfId="39648" xr:uid="{00000000-0005-0000-0000-0000769B0000}"/>
    <cellStyle name="Notas 5 2 3 5 2 2 2" xfId="39649" xr:uid="{00000000-0005-0000-0000-0000779B0000}"/>
    <cellStyle name="Notas 5 2 3 5 2 2 2 2" xfId="39650" xr:uid="{00000000-0005-0000-0000-0000789B0000}"/>
    <cellStyle name="Notas 5 2 3 5 2 2 2 3" xfId="39651" xr:uid="{00000000-0005-0000-0000-0000799B0000}"/>
    <cellStyle name="Notas 5 2 3 5 2 2 2 4" xfId="39652" xr:uid="{00000000-0005-0000-0000-00007A9B0000}"/>
    <cellStyle name="Notas 5 2 3 5 2 2 3" xfId="39653" xr:uid="{00000000-0005-0000-0000-00007B9B0000}"/>
    <cellStyle name="Notas 5 2 3 5 2 2 3 2" xfId="39654" xr:uid="{00000000-0005-0000-0000-00007C9B0000}"/>
    <cellStyle name="Notas 5 2 3 5 2 2 3 3" xfId="39655" xr:uid="{00000000-0005-0000-0000-00007D9B0000}"/>
    <cellStyle name="Notas 5 2 3 5 2 2 3 4" xfId="39656" xr:uid="{00000000-0005-0000-0000-00007E9B0000}"/>
    <cellStyle name="Notas 5 2 3 5 2 2 4" xfId="39657" xr:uid="{00000000-0005-0000-0000-00007F9B0000}"/>
    <cellStyle name="Notas 5 2 3 5 2 2 5" xfId="39658" xr:uid="{00000000-0005-0000-0000-0000809B0000}"/>
    <cellStyle name="Notas 5 2 3 5 2 2 6" xfId="39659" xr:uid="{00000000-0005-0000-0000-0000819B0000}"/>
    <cellStyle name="Notas 5 2 3 5 2 3" xfId="39660" xr:uid="{00000000-0005-0000-0000-0000829B0000}"/>
    <cellStyle name="Notas 5 2 3 5 2 3 2" xfId="39661" xr:uid="{00000000-0005-0000-0000-0000839B0000}"/>
    <cellStyle name="Notas 5 2 3 5 2 3 2 2" xfId="39662" xr:uid="{00000000-0005-0000-0000-0000849B0000}"/>
    <cellStyle name="Notas 5 2 3 5 2 3 2 3" xfId="39663" xr:uid="{00000000-0005-0000-0000-0000859B0000}"/>
    <cellStyle name="Notas 5 2 3 5 2 3 2 4" xfId="39664" xr:uid="{00000000-0005-0000-0000-0000869B0000}"/>
    <cellStyle name="Notas 5 2 3 5 2 3 3" xfId="39665" xr:uid="{00000000-0005-0000-0000-0000879B0000}"/>
    <cellStyle name="Notas 5 2 3 5 2 3 3 2" xfId="39666" xr:uid="{00000000-0005-0000-0000-0000889B0000}"/>
    <cellStyle name="Notas 5 2 3 5 2 3 3 3" xfId="39667" xr:uid="{00000000-0005-0000-0000-0000899B0000}"/>
    <cellStyle name="Notas 5 2 3 5 2 3 3 4" xfId="39668" xr:uid="{00000000-0005-0000-0000-00008A9B0000}"/>
    <cellStyle name="Notas 5 2 3 5 2 3 4" xfId="39669" xr:uid="{00000000-0005-0000-0000-00008B9B0000}"/>
    <cellStyle name="Notas 5 2 3 5 2 3 5" xfId="39670" xr:uid="{00000000-0005-0000-0000-00008C9B0000}"/>
    <cellStyle name="Notas 5 2 3 5 2 3 6" xfId="39671" xr:uid="{00000000-0005-0000-0000-00008D9B0000}"/>
    <cellStyle name="Notas 5 2 3 5 2 4" xfId="39672" xr:uid="{00000000-0005-0000-0000-00008E9B0000}"/>
    <cellStyle name="Notas 5 2 3 5 2 5" xfId="39673" xr:uid="{00000000-0005-0000-0000-00008F9B0000}"/>
    <cellStyle name="Notas 5 2 3 5 2 6" xfId="39674" xr:uid="{00000000-0005-0000-0000-0000909B0000}"/>
    <cellStyle name="Notas 5 2 3 5 3" xfId="39675" xr:uid="{00000000-0005-0000-0000-0000919B0000}"/>
    <cellStyle name="Notas 5 2 3 5 4" xfId="39676" xr:uid="{00000000-0005-0000-0000-0000929B0000}"/>
    <cellStyle name="Notas 5 2 3 6" xfId="39677" xr:uid="{00000000-0005-0000-0000-0000939B0000}"/>
    <cellStyle name="Notas 5 2 3 6 2" xfId="39678" xr:uid="{00000000-0005-0000-0000-0000949B0000}"/>
    <cellStyle name="Notas 5 2 3 6 2 2" xfId="39679" xr:uid="{00000000-0005-0000-0000-0000959B0000}"/>
    <cellStyle name="Notas 5 2 3 6 2 2 2" xfId="39680" xr:uid="{00000000-0005-0000-0000-0000969B0000}"/>
    <cellStyle name="Notas 5 2 3 6 2 2 3" xfId="39681" xr:uid="{00000000-0005-0000-0000-0000979B0000}"/>
    <cellStyle name="Notas 5 2 3 6 2 2 4" xfId="39682" xr:uid="{00000000-0005-0000-0000-0000989B0000}"/>
    <cellStyle name="Notas 5 2 3 6 2 3" xfId="39683" xr:uid="{00000000-0005-0000-0000-0000999B0000}"/>
    <cellStyle name="Notas 5 2 3 6 2 3 2" xfId="39684" xr:uid="{00000000-0005-0000-0000-00009A9B0000}"/>
    <cellStyle name="Notas 5 2 3 6 2 3 3" xfId="39685" xr:uid="{00000000-0005-0000-0000-00009B9B0000}"/>
    <cellStyle name="Notas 5 2 3 6 2 3 4" xfId="39686" xr:uid="{00000000-0005-0000-0000-00009C9B0000}"/>
    <cellStyle name="Notas 5 2 3 6 2 4" xfId="39687" xr:uid="{00000000-0005-0000-0000-00009D9B0000}"/>
    <cellStyle name="Notas 5 2 3 6 2 5" xfId="39688" xr:uid="{00000000-0005-0000-0000-00009E9B0000}"/>
    <cellStyle name="Notas 5 2 3 6 2 6" xfId="39689" xr:uid="{00000000-0005-0000-0000-00009F9B0000}"/>
    <cellStyle name="Notas 5 2 3 6 3" xfId="39690" xr:uid="{00000000-0005-0000-0000-0000A09B0000}"/>
    <cellStyle name="Notas 5 2 3 6 3 2" xfId="39691" xr:uid="{00000000-0005-0000-0000-0000A19B0000}"/>
    <cellStyle name="Notas 5 2 3 6 3 2 2" xfId="39692" xr:uid="{00000000-0005-0000-0000-0000A29B0000}"/>
    <cellStyle name="Notas 5 2 3 6 3 2 3" xfId="39693" xr:uid="{00000000-0005-0000-0000-0000A39B0000}"/>
    <cellStyle name="Notas 5 2 3 6 3 2 4" xfId="39694" xr:uid="{00000000-0005-0000-0000-0000A49B0000}"/>
    <cellStyle name="Notas 5 2 3 6 3 3" xfId="39695" xr:uid="{00000000-0005-0000-0000-0000A59B0000}"/>
    <cellStyle name="Notas 5 2 3 6 3 3 2" xfId="39696" xr:uid="{00000000-0005-0000-0000-0000A69B0000}"/>
    <cellStyle name="Notas 5 2 3 6 3 3 3" xfId="39697" xr:uid="{00000000-0005-0000-0000-0000A79B0000}"/>
    <cellStyle name="Notas 5 2 3 6 3 3 4" xfId="39698" xr:uid="{00000000-0005-0000-0000-0000A89B0000}"/>
    <cellStyle name="Notas 5 2 3 6 3 4" xfId="39699" xr:uid="{00000000-0005-0000-0000-0000A99B0000}"/>
    <cellStyle name="Notas 5 2 3 6 3 5" xfId="39700" xr:uid="{00000000-0005-0000-0000-0000AA9B0000}"/>
    <cellStyle name="Notas 5 2 3 6 3 6" xfId="39701" xr:uid="{00000000-0005-0000-0000-0000AB9B0000}"/>
    <cellStyle name="Notas 5 2 3 6 4" xfId="39702" xr:uid="{00000000-0005-0000-0000-0000AC9B0000}"/>
    <cellStyle name="Notas 5 2 3 6 4 2" xfId="39703" xr:uid="{00000000-0005-0000-0000-0000AD9B0000}"/>
    <cellStyle name="Notas 5 2 3 6 4 3" xfId="39704" xr:uid="{00000000-0005-0000-0000-0000AE9B0000}"/>
    <cellStyle name="Notas 5 2 3 6 4 4" xfId="39705" xr:uid="{00000000-0005-0000-0000-0000AF9B0000}"/>
    <cellStyle name="Notas 5 2 3 6 5" xfId="39706" xr:uid="{00000000-0005-0000-0000-0000B09B0000}"/>
    <cellStyle name="Notas 5 2 3 6 6" xfId="39707" xr:uid="{00000000-0005-0000-0000-0000B19B0000}"/>
    <cellStyle name="Notas 5 2 3 7" xfId="39708" xr:uid="{00000000-0005-0000-0000-0000B29B0000}"/>
    <cellStyle name="Notas 5 2 3 7 2" xfId="39709" xr:uid="{00000000-0005-0000-0000-0000B39B0000}"/>
    <cellStyle name="Notas 5 2 3 7 2 2" xfId="39710" xr:uid="{00000000-0005-0000-0000-0000B49B0000}"/>
    <cellStyle name="Notas 5 2 3 7 2 2 2" xfId="39711" xr:uid="{00000000-0005-0000-0000-0000B59B0000}"/>
    <cellStyle name="Notas 5 2 3 7 2 2 3" xfId="39712" xr:uid="{00000000-0005-0000-0000-0000B69B0000}"/>
    <cellStyle name="Notas 5 2 3 7 2 2 4" xfId="39713" xr:uid="{00000000-0005-0000-0000-0000B79B0000}"/>
    <cellStyle name="Notas 5 2 3 7 2 3" xfId="39714" xr:uid="{00000000-0005-0000-0000-0000B89B0000}"/>
    <cellStyle name="Notas 5 2 3 7 2 3 2" xfId="39715" xr:uid="{00000000-0005-0000-0000-0000B99B0000}"/>
    <cellStyle name="Notas 5 2 3 7 2 3 3" xfId="39716" xr:uid="{00000000-0005-0000-0000-0000BA9B0000}"/>
    <cellStyle name="Notas 5 2 3 7 2 3 4" xfId="39717" xr:uid="{00000000-0005-0000-0000-0000BB9B0000}"/>
    <cellStyle name="Notas 5 2 3 7 2 4" xfId="39718" xr:uid="{00000000-0005-0000-0000-0000BC9B0000}"/>
    <cellStyle name="Notas 5 2 3 7 2 5" xfId="39719" xr:uid="{00000000-0005-0000-0000-0000BD9B0000}"/>
    <cellStyle name="Notas 5 2 3 7 2 6" xfId="39720" xr:uid="{00000000-0005-0000-0000-0000BE9B0000}"/>
    <cellStyle name="Notas 5 2 3 7 3" xfId="39721" xr:uid="{00000000-0005-0000-0000-0000BF9B0000}"/>
    <cellStyle name="Notas 5 2 3 7 3 2" xfId="39722" xr:uid="{00000000-0005-0000-0000-0000C09B0000}"/>
    <cellStyle name="Notas 5 2 3 7 3 2 2" xfId="39723" xr:uid="{00000000-0005-0000-0000-0000C19B0000}"/>
    <cellStyle name="Notas 5 2 3 7 3 2 3" xfId="39724" xr:uid="{00000000-0005-0000-0000-0000C29B0000}"/>
    <cellStyle name="Notas 5 2 3 7 3 2 4" xfId="39725" xr:uid="{00000000-0005-0000-0000-0000C39B0000}"/>
    <cellStyle name="Notas 5 2 3 7 3 3" xfId="39726" xr:uid="{00000000-0005-0000-0000-0000C49B0000}"/>
    <cellStyle name="Notas 5 2 3 7 3 3 2" xfId="39727" xr:uid="{00000000-0005-0000-0000-0000C59B0000}"/>
    <cellStyle name="Notas 5 2 3 7 3 3 3" xfId="39728" xr:uid="{00000000-0005-0000-0000-0000C69B0000}"/>
    <cellStyle name="Notas 5 2 3 7 3 3 4" xfId="39729" xr:uid="{00000000-0005-0000-0000-0000C79B0000}"/>
    <cellStyle name="Notas 5 2 3 7 3 4" xfId="39730" xr:uid="{00000000-0005-0000-0000-0000C89B0000}"/>
    <cellStyle name="Notas 5 2 3 7 3 5" xfId="39731" xr:uid="{00000000-0005-0000-0000-0000C99B0000}"/>
    <cellStyle name="Notas 5 2 3 7 3 6" xfId="39732" xr:uid="{00000000-0005-0000-0000-0000CA9B0000}"/>
    <cellStyle name="Notas 5 2 3 7 4" xfId="39733" xr:uid="{00000000-0005-0000-0000-0000CB9B0000}"/>
    <cellStyle name="Notas 5 2 3 7 4 2" xfId="39734" xr:uid="{00000000-0005-0000-0000-0000CC9B0000}"/>
    <cellStyle name="Notas 5 2 3 7 4 3" xfId="39735" xr:uid="{00000000-0005-0000-0000-0000CD9B0000}"/>
    <cellStyle name="Notas 5 2 3 7 4 4" xfId="39736" xr:uid="{00000000-0005-0000-0000-0000CE9B0000}"/>
    <cellStyle name="Notas 5 2 3 7 5" xfId="39737" xr:uid="{00000000-0005-0000-0000-0000CF9B0000}"/>
    <cellStyle name="Notas 5 2 3 7 6" xfId="39738" xr:uid="{00000000-0005-0000-0000-0000D09B0000}"/>
    <cellStyle name="Notas 5 2 3 8" xfId="39739" xr:uid="{00000000-0005-0000-0000-0000D19B0000}"/>
    <cellStyle name="Notas 5 2 3 8 2" xfId="39740" xr:uid="{00000000-0005-0000-0000-0000D29B0000}"/>
    <cellStyle name="Notas 5 2 3 8 2 2" xfId="39741" xr:uid="{00000000-0005-0000-0000-0000D39B0000}"/>
    <cellStyle name="Notas 5 2 3 8 2 2 2" xfId="39742" xr:uid="{00000000-0005-0000-0000-0000D49B0000}"/>
    <cellStyle name="Notas 5 2 3 8 2 2 3" xfId="39743" xr:uid="{00000000-0005-0000-0000-0000D59B0000}"/>
    <cellStyle name="Notas 5 2 3 8 2 2 4" xfId="39744" xr:uid="{00000000-0005-0000-0000-0000D69B0000}"/>
    <cellStyle name="Notas 5 2 3 8 2 3" xfId="39745" xr:uid="{00000000-0005-0000-0000-0000D79B0000}"/>
    <cellStyle name="Notas 5 2 3 8 2 3 2" xfId="39746" xr:uid="{00000000-0005-0000-0000-0000D89B0000}"/>
    <cellStyle name="Notas 5 2 3 8 2 3 3" xfId="39747" xr:uid="{00000000-0005-0000-0000-0000D99B0000}"/>
    <cellStyle name="Notas 5 2 3 8 2 3 4" xfId="39748" xr:uid="{00000000-0005-0000-0000-0000DA9B0000}"/>
    <cellStyle name="Notas 5 2 3 8 2 4" xfId="39749" xr:uid="{00000000-0005-0000-0000-0000DB9B0000}"/>
    <cellStyle name="Notas 5 2 3 8 2 5" xfId="39750" xr:uid="{00000000-0005-0000-0000-0000DC9B0000}"/>
    <cellStyle name="Notas 5 2 3 8 2 6" xfId="39751" xr:uid="{00000000-0005-0000-0000-0000DD9B0000}"/>
    <cellStyle name="Notas 5 2 3 8 3" xfId="39752" xr:uid="{00000000-0005-0000-0000-0000DE9B0000}"/>
    <cellStyle name="Notas 5 2 3 8 3 2" xfId="39753" xr:uid="{00000000-0005-0000-0000-0000DF9B0000}"/>
    <cellStyle name="Notas 5 2 3 8 3 2 2" xfId="39754" xr:uid="{00000000-0005-0000-0000-0000E09B0000}"/>
    <cellStyle name="Notas 5 2 3 8 3 2 3" xfId="39755" xr:uid="{00000000-0005-0000-0000-0000E19B0000}"/>
    <cellStyle name="Notas 5 2 3 8 3 2 4" xfId="39756" xr:uid="{00000000-0005-0000-0000-0000E29B0000}"/>
    <cellStyle name="Notas 5 2 3 8 3 3" xfId="39757" xr:uid="{00000000-0005-0000-0000-0000E39B0000}"/>
    <cellStyle name="Notas 5 2 3 8 3 3 2" xfId="39758" xr:uid="{00000000-0005-0000-0000-0000E49B0000}"/>
    <cellStyle name="Notas 5 2 3 8 3 3 3" xfId="39759" xr:uid="{00000000-0005-0000-0000-0000E59B0000}"/>
    <cellStyle name="Notas 5 2 3 8 3 3 4" xfId="39760" xr:uid="{00000000-0005-0000-0000-0000E69B0000}"/>
    <cellStyle name="Notas 5 2 3 8 3 4" xfId="39761" xr:uid="{00000000-0005-0000-0000-0000E79B0000}"/>
    <cellStyle name="Notas 5 2 3 8 3 5" xfId="39762" xr:uid="{00000000-0005-0000-0000-0000E89B0000}"/>
    <cellStyle name="Notas 5 2 3 8 3 6" xfId="39763" xr:uid="{00000000-0005-0000-0000-0000E99B0000}"/>
    <cellStyle name="Notas 5 2 3 8 4" xfId="39764" xr:uid="{00000000-0005-0000-0000-0000EA9B0000}"/>
    <cellStyle name="Notas 5 2 3 8 4 2" xfId="39765" xr:uid="{00000000-0005-0000-0000-0000EB9B0000}"/>
    <cellStyle name="Notas 5 2 3 8 4 3" xfId="39766" xr:uid="{00000000-0005-0000-0000-0000EC9B0000}"/>
    <cellStyle name="Notas 5 2 3 8 4 4" xfId="39767" xr:uid="{00000000-0005-0000-0000-0000ED9B0000}"/>
    <cellStyle name="Notas 5 2 3 8 5" xfId="39768" xr:uid="{00000000-0005-0000-0000-0000EE9B0000}"/>
    <cellStyle name="Notas 5 2 3 8 6" xfId="39769" xr:uid="{00000000-0005-0000-0000-0000EF9B0000}"/>
    <cellStyle name="Notas 5 2 3 9" xfId="39770" xr:uid="{00000000-0005-0000-0000-0000F09B0000}"/>
    <cellStyle name="Notas 5 2 3 9 2" xfId="39771" xr:uid="{00000000-0005-0000-0000-0000F19B0000}"/>
    <cellStyle name="Notas 5 2 3 9 2 2" xfId="39772" xr:uid="{00000000-0005-0000-0000-0000F29B0000}"/>
    <cellStyle name="Notas 5 2 3 9 2 2 2" xfId="39773" xr:uid="{00000000-0005-0000-0000-0000F39B0000}"/>
    <cellStyle name="Notas 5 2 3 9 2 2 3" xfId="39774" xr:uid="{00000000-0005-0000-0000-0000F49B0000}"/>
    <cellStyle name="Notas 5 2 3 9 2 2 4" xfId="39775" xr:uid="{00000000-0005-0000-0000-0000F59B0000}"/>
    <cellStyle name="Notas 5 2 3 9 2 3" xfId="39776" xr:uid="{00000000-0005-0000-0000-0000F69B0000}"/>
    <cellStyle name="Notas 5 2 3 9 2 3 2" xfId="39777" xr:uid="{00000000-0005-0000-0000-0000F79B0000}"/>
    <cellStyle name="Notas 5 2 3 9 2 3 3" xfId="39778" xr:uid="{00000000-0005-0000-0000-0000F89B0000}"/>
    <cellStyle name="Notas 5 2 3 9 2 3 4" xfId="39779" xr:uid="{00000000-0005-0000-0000-0000F99B0000}"/>
    <cellStyle name="Notas 5 2 3 9 2 4" xfId="39780" xr:uid="{00000000-0005-0000-0000-0000FA9B0000}"/>
    <cellStyle name="Notas 5 2 3 9 2 5" xfId="39781" xr:uid="{00000000-0005-0000-0000-0000FB9B0000}"/>
    <cellStyle name="Notas 5 2 3 9 2 6" xfId="39782" xr:uid="{00000000-0005-0000-0000-0000FC9B0000}"/>
    <cellStyle name="Notas 5 2 3 9 3" xfId="39783" xr:uid="{00000000-0005-0000-0000-0000FD9B0000}"/>
    <cellStyle name="Notas 5 2 3 9 3 2" xfId="39784" xr:uid="{00000000-0005-0000-0000-0000FE9B0000}"/>
    <cellStyle name="Notas 5 2 3 9 3 2 2" xfId="39785" xr:uid="{00000000-0005-0000-0000-0000FF9B0000}"/>
    <cellStyle name="Notas 5 2 3 9 3 2 3" xfId="39786" xr:uid="{00000000-0005-0000-0000-0000009C0000}"/>
    <cellStyle name="Notas 5 2 3 9 3 2 4" xfId="39787" xr:uid="{00000000-0005-0000-0000-0000019C0000}"/>
    <cellStyle name="Notas 5 2 3 9 3 3" xfId="39788" xr:uid="{00000000-0005-0000-0000-0000029C0000}"/>
    <cellStyle name="Notas 5 2 3 9 3 3 2" xfId="39789" xr:uid="{00000000-0005-0000-0000-0000039C0000}"/>
    <cellStyle name="Notas 5 2 3 9 3 3 3" xfId="39790" xr:uid="{00000000-0005-0000-0000-0000049C0000}"/>
    <cellStyle name="Notas 5 2 3 9 3 3 4" xfId="39791" xr:uid="{00000000-0005-0000-0000-0000059C0000}"/>
    <cellStyle name="Notas 5 2 3 9 3 4" xfId="39792" xr:uid="{00000000-0005-0000-0000-0000069C0000}"/>
    <cellStyle name="Notas 5 2 3 9 3 5" xfId="39793" xr:uid="{00000000-0005-0000-0000-0000079C0000}"/>
    <cellStyle name="Notas 5 2 3 9 3 6" xfId="39794" xr:uid="{00000000-0005-0000-0000-0000089C0000}"/>
    <cellStyle name="Notas 5 2 3 9 4" xfId="39795" xr:uid="{00000000-0005-0000-0000-0000099C0000}"/>
    <cellStyle name="Notas 5 2 3 9 4 2" xfId="39796" xr:uid="{00000000-0005-0000-0000-00000A9C0000}"/>
    <cellStyle name="Notas 5 2 3 9 4 3" xfId="39797" xr:uid="{00000000-0005-0000-0000-00000B9C0000}"/>
    <cellStyle name="Notas 5 2 3 9 4 4" xfId="39798" xr:uid="{00000000-0005-0000-0000-00000C9C0000}"/>
    <cellStyle name="Notas 5 2 3 9 5" xfId="39799" xr:uid="{00000000-0005-0000-0000-00000D9C0000}"/>
    <cellStyle name="Notas 5 2 3 9 6" xfId="39800" xr:uid="{00000000-0005-0000-0000-00000E9C0000}"/>
    <cellStyle name="Notas 5 2 4" xfId="39801" xr:uid="{00000000-0005-0000-0000-00000F9C0000}"/>
    <cellStyle name="Notas 5 2 4 2" xfId="39802" xr:uid="{00000000-0005-0000-0000-0000109C0000}"/>
    <cellStyle name="Notas 5 2 4 2 2" xfId="39803" xr:uid="{00000000-0005-0000-0000-0000119C0000}"/>
    <cellStyle name="Notas 5 2 4 2 2 2" xfId="39804" xr:uid="{00000000-0005-0000-0000-0000129C0000}"/>
    <cellStyle name="Notas 5 2 4 2 2 2 2" xfId="39805" xr:uid="{00000000-0005-0000-0000-0000139C0000}"/>
    <cellStyle name="Notas 5 2 4 2 2 2 3" xfId="39806" xr:uid="{00000000-0005-0000-0000-0000149C0000}"/>
    <cellStyle name="Notas 5 2 4 2 2 2 4" xfId="39807" xr:uid="{00000000-0005-0000-0000-0000159C0000}"/>
    <cellStyle name="Notas 5 2 4 2 2 3" xfId="39808" xr:uid="{00000000-0005-0000-0000-0000169C0000}"/>
    <cellStyle name="Notas 5 2 4 2 2 3 2" xfId="39809" xr:uid="{00000000-0005-0000-0000-0000179C0000}"/>
    <cellStyle name="Notas 5 2 4 2 2 3 3" xfId="39810" xr:uid="{00000000-0005-0000-0000-0000189C0000}"/>
    <cellStyle name="Notas 5 2 4 2 2 3 4" xfId="39811" xr:uid="{00000000-0005-0000-0000-0000199C0000}"/>
    <cellStyle name="Notas 5 2 4 2 2 4" xfId="39812" xr:uid="{00000000-0005-0000-0000-00001A9C0000}"/>
    <cellStyle name="Notas 5 2 4 2 2 5" xfId="39813" xr:uid="{00000000-0005-0000-0000-00001B9C0000}"/>
    <cellStyle name="Notas 5 2 4 2 2 6" xfId="39814" xr:uid="{00000000-0005-0000-0000-00001C9C0000}"/>
    <cellStyle name="Notas 5 2 4 2 3" xfId="39815" xr:uid="{00000000-0005-0000-0000-00001D9C0000}"/>
    <cellStyle name="Notas 5 2 4 2 3 2" xfId="39816" xr:uid="{00000000-0005-0000-0000-00001E9C0000}"/>
    <cellStyle name="Notas 5 2 4 2 3 2 2" xfId="39817" xr:uid="{00000000-0005-0000-0000-00001F9C0000}"/>
    <cellStyle name="Notas 5 2 4 2 3 2 3" xfId="39818" xr:uid="{00000000-0005-0000-0000-0000209C0000}"/>
    <cellStyle name="Notas 5 2 4 2 3 2 4" xfId="39819" xr:uid="{00000000-0005-0000-0000-0000219C0000}"/>
    <cellStyle name="Notas 5 2 4 2 3 3" xfId="39820" xr:uid="{00000000-0005-0000-0000-0000229C0000}"/>
    <cellStyle name="Notas 5 2 4 2 3 3 2" xfId="39821" xr:uid="{00000000-0005-0000-0000-0000239C0000}"/>
    <cellStyle name="Notas 5 2 4 2 3 3 3" xfId="39822" xr:uid="{00000000-0005-0000-0000-0000249C0000}"/>
    <cellStyle name="Notas 5 2 4 2 3 3 4" xfId="39823" xr:uid="{00000000-0005-0000-0000-0000259C0000}"/>
    <cellStyle name="Notas 5 2 4 2 3 4" xfId="39824" xr:uid="{00000000-0005-0000-0000-0000269C0000}"/>
    <cellStyle name="Notas 5 2 4 2 3 5" xfId="39825" xr:uid="{00000000-0005-0000-0000-0000279C0000}"/>
    <cellStyle name="Notas 5 2 4 2 3 6" xfId="39826" xr:uid="{00000000-0005-0000-0000-0000289C0000}"/>
    <cellStyle name="Notas 5 2 4 2 4" xfId="39827" xr:uid="{00000000-0005-0000-0000-0000299C0000}"/>
    <cellStyle name="Notas 5 2 4 2 5" xfId="39828" xr:uid="{00000000-0005-0000-0000-00002A9C0000}"/>
    <cellStyle name="Notas 5 2 4 2 6" xfId="39829" xr:uid="{00000000-0005-0000-0000-00002B9C0000}"/>
    <cellStyle name="Notas 5 2 4 3" xfId="39830" xr:uid="{00000000-0005-0000-0000-00002C9C0000}"/>
    <cellStyle name="Notas 5 2 4 4" xfId="39831" xr:uid="{00000000-0005-0000-0000-00002D9C0000}"/>
    <cellStyle name="Notas 5 2 5" xfId="39832" xr:uid="{00000000-0005-0000-0000-00002E9C0000}"/>
    <cellStyle name="Notas 5 2 5 2" xfId="39833" xr:uid="{00000000-0005-0000-0000-00002F9C0000}"/>
    <cellStyle name="Notas 5 2 5 2 2" xfId="39834" xr:uid="{00000000-0005-0000-0000-0000309C0000}"/>
    <cellStyle name="Notas 5 2 5 2 2 2" xfId="39835" xr:uid="{00000000-0005-0000-0000-0000319C0000}"/>
    <cellStyle name="Notas 5 2 5 2 2 2 2" xfId="39836" xr:uid="{00000000-0005-0000-0000-0000329C0000}"/>
    <cellStyle name="Notas 5 2 5 2 2 2 3" xfId="39837" xr:uid="{00000000-0005-0000-0000-0000339C0000}"/>
    <cellStyle name="Notas 5 2 5 2 2 2 4" xfId="39838" xr:uid="{00000000-0005-0000-0000-0000349C0000}"/>
    <cellStyle name="Notas 5 2 5 2 2 3" xfId="39839" xr:uid="{00000000-0005-0000-0000-0000359C0000}"/>
    <cellStyle name="Notas 5 2 5 2 2 3 2" xfId="39840" xr:uid="{00000000-0005-0000-0000-0000369C0000}"/>
    <cellStyle name="Notas 5 2 5 2 2 3 3" xfId="39841" xr:uid="{00000000-0005-0000-0000-0000379C0000}"/>
    <cellStyle name="Notas 5 2 5 2 2 3 4" xfId="39842" xr:uid="{00000000-0005-0000-0000-0000389C0000}"/>
    <cellStyle name="Notas 5 2 5 2 2 4" xfId="39843" xr:uid="{00000000-0005-0000-0000-0000399C0000}"/>
    <cellStyle name="Notas 5 2 5 2 2 5" xfId="39844" xr:uid="{00000000-0005-0000-0000-00003A9C0000}"/>
    <cellStyle name="Notas 5 2 5 2 2 6" xfId="39845" xr:uid="{00000000-0005-0000-0000-00003B9C0000}"/>
    <cellStyle name="Notas 5 2 5 2 3" xfId="39846" xr:uid="{00000000-0005-0000-0000-00003C9C0000}"/>
    <cellStyle name="Notas 5 2 5 2 3 2" xfId="39847" xr:uid="{00000000-0005-0000-0000-00003D9C0000}"/>
    <cellStyle name="Notas 5 2 5 2 3 2 2" xfId="39848" xr:uid="{00000000-0005-0000-0000-00003E9C0000}"/>
    <cellStyle name="Notas 5 2 5 2 3 2 3" xfId="39849" xr:uid="{00000000-0005-0000-0000-00003F9C0000}"/>
    <cellStyle name="Notas 5 2 5 2 3 2 4" xfId="39850" xr:uid="{00000000-0005-0000-0000-0000409C0000}"/>
    <cellStyle name="Notas 5 2 5 2 3 3" xfId="39851" xr:uid="{00000000-0005-0000-0000-0000419C0000}"/>
    <cellStyle name="Notas 5 2 5 2 3 3 2" xfId="39852" xr:uid="{00000000-0005-0000-0000-0000429C0000}"/>
    <cellStyle name="Notas 5 2 5 2 3 3 3" xfId="39853" xr:uid="{00000000-0005-0000-0000-0000439C0000}"/>
    <cellStyle name="Notas 5 2 5 2 3 3 4" xfId="39854" xr:uid="{00000000-0005-0000-0000-0000449C0000}"/>
    <cellStyle name="Notas 5 2 5 2 3 4" xfId="39855" xr:uid="{00000000-0005-0000-0000-0000459C0000}"/>
    <cellStyle name="Notas 5 2 5 2 3 5" xfId="39856" xr:uid="{00000000-0005-0000-0000-0000469C0000}"/>
    <cellStyle name="Notas 5 2 5 2 3 6" xfId="39857" xr:uid="{00000000-0005-0000-0000-0000479C0000}"/>
    <cellStyle name="Notas 5 2 5 2 4" xfId="39858" xr:uid="{00000000-0005-0000-0000-0000489C0000}"/>
    <cellStyle name="Notas 5 2 5 2 5" xfId="39859" xr:uid="{00000000-0005-0000-0000-0000499C0000}"/>
    <cellStyle name="Notas 5 2 5 2 6" xfId="39860" xr:uid="{00000000-0005-0000-0000-00004A9C0000}"/>
    <cellStyle name="Notas 5 2 5 3" xfId="39861" xr:uid="{00000000-0005-0000-0000-00004B9C0000}"/>
    <cellStyle name="Notas 5 2 5 4" xfId="39862" xr:uid="{00000000-0005-0000-0000-00004C9C0000}"/>
    <cellStyle name="Notas 5 2 6" xfId="39863" xr:uid="{00000000-0005-0000-0000-00004D9C0000}"/>
    <cellStyle name="Notas 5 2 6 2" xfId="39864" xr:uid="{00000000-0005-0000-0000-00004E9C0000}"/>
    <cellStyle name="Notas 5 2 6 2 2" xfId="39865" xr:uid="{00000000-0005-0000-0000-00004F9C0000}"/>
    <cellStyle name="Notas 5 2 6 2 2 2" xfId="39866" xr:uid="{00000000-0005-0000-0000-0000509C0000}"/>
    <cellStyle name="Notas 5 2 6 2 2 2 2" xfId="39867" xr:uid="{00000000-0005-0000-0000-0000519C0000}"/>
    <cellStyle name="Notas 5 2 6 2 2 2 3" xfId="39868" xr:uid="{00000000-0005-0000-0000-0000529C0000}"/>
    <cellStyle name="Notas 5 2 6 2 2 2 4" xfId="39869" xr:uid="{00000000-0005-0000-0000-0000539C0000}"/>
    <cellStyle name="Notas 5 2 6 2 2 3" xfId="39870" xr:uid="{00000000-0005-0000-0000-0000549C0000}"/>
    <cellStyle name="Notas 5 2 6 2 2 3 2" xfId="39871" xr:uid="{00000000-0005-0000-0000-0000559C0000}"/>
    <cellStyle name="Notas 5 2 6 2 2 3 3" xfId="39872" xr:uid="{00000000-0005-0000-0000-0000569C0000}"/>
    <cellStyle name="Notas 5 2 6 2 2 3 4" xfId="39873" xr:uid="{00000000-0005-0000-0000-0000579C0000}"/>
    <cellStyle name="Notas 5 2 6 2 2 4" xfId="39874" xr:uid="{00000000-0005-0000-0000-0000589C0000}"/>
    <cellStyle name="Notas 5 2 6 2 2 5" xfId="39875" xr:uid="{00000000-0005-0000-0000-0000599C0000}"/>
    <cellStyle name="Notas 5 2 6 2 2 6" xfId="39876" xr:uid="{00000000-0005-0000-0000-00005A9C0000}"/>
    <cellStyle name="Notas 5 2 6 2 3" xfId="39877" xr:uid="{00000000-0005-0000-0000-00005B9C0000}"/>
    <cellStyle name="Notas 5 2 6 2 3 2" xfId="39878" xr:uid="{00000000-0005-0000-0000-00005C9C0000}"/>
    <cellStyle name="Notas 5 2 6 2 3 2 2" xfId="39879" xr:uid="{00000000-0005-0000-0000-00005D9C0000}"/>
    <cellStyle name="Notas 5 2 6 2 3 2 3" xfId="39880" xr:uid="{00000000-0005-0000-0000-00005E9C0000}"/>
    <cellStyle name="Notas 5 2 6 2 3 2 4" xfId="39881" xr:uid="{00000000-0005-0000-0000-00005F9C0000}"/>
    <cellStyle name="Notas 5 2 6 2 3 3" xfId="39882" xr:uid="{00000000-0005-0000-0000-0000609C0000}"/>
    <cellStyle name="Notas 5 2 6 2 3 3 2" xfId="39883" xr:uid="{00000000-0005-0000-0000-0000619C0000}"/>
    <cellStyle name="Notas 5 2 6 2 3 3 3" xfId="39884" xr:uid="{00000000-0005-0000-0000-0000629C0000}"/>
    <cellStyle name="Notas 5 2 6 2 3 3 4" xfId="39885" xr:uid="{00000000-0005-0000-0000-0000639C0000}"/>
    <cellStyle name="Notas 5 2 6 2 3 4" xfId="39886" xr:uid="{00000000-0005-0000-0000-0000649C0000}"/>
    <cellStyle name="Notas 5 2 6 2 3 5" xfId="39887" xr:uid="{00000000-0005-0000-0000-0000659C0000}"/>
    <cellStyle name="Notas 5 2 6 2 3 6" xfId="39888" xr:uid="{00000000-0005-0000-0000-0000669C0000}"/>
    <cellStyle name="Notas 5 2 6 2 4" xfId="39889" xr:uid="{00000000-0005-0000-0000-0000679C0000}"/>
    <cellStyle name="Notas 5 2 6 2 5" xfId="39890" xr:uid="{00000000-0005-0000-0000-0000689C0000}"/>
    <cellStyle name="Notas 5 2 6 2 6" xfId="39891" xr:uid="{00000000-0005-0000-0000-0000699C0000}"/>
    <cellStyle name="Notas 5 2 6 3" xfId="39892" xr:uid="{00000000-0005-0000-0000-00006A9C0000}"/>
    <cellStyle name="Notas 5 2 6 4" xfId="39893" xr:uid="{00000000-0005-0000-0000-00006B9C0000}"/>
    <cellStyle name="Notas 5 2 7" xfId="39894" xr:uid="{00000000-0005-0000-0000-00006C9C0000}"/>
    <cellStyle name="Notas 5 2 7 2" xfId="39895" xr:uid="{00000000-0005-0000-0000-00006D9C0000}"/>
    <cellStyle name="Notas 5 2 7 2 2" xfId="39896" xr:uid="{00000000-0005-0000-0000-00006E9C0000}"/>
    <cellStyle name="Notas 5 2 7 2 2 2" xfId="39897" xr:uid="{00000000-0005-0000-0000-00006F9C0000}"/>
    <cellStyle name="Notas 5 2 7 2 2 2 2" xfId="39898" xr:uid="{00000000-0005-0000-0000-0000709C0000}"/>
    <cellStyle name="Notas 5 2 7 2 2 2 3" xfId="39899" xr:uid="{00000000-0005-0000-0000-0000719C0000}"/>
    <cellStyle name="Notas 5 2 7 2 2 2 4" xfId="39900" xr:uid="{00000000-0005-0000-0000-0000729C0000}"/>
    <cellStyle name="Notas 5 2 7 2 2 3" xfId="39901" xr:uid="{00000000-0005-0000-0000-0000739C0000}"/>
    <cellStyle name="Notas 5 2 7 2 2 3 2" xfId="39902" xr:uid="{00000000-0005-0000-0000-0000749C0000}"/>
    <cellStyle name="Notas 5 2 7 2 2 3 3" xfId="39903" xr:uid="{00000000-0005-0000-0000-0000759C0000}"/>
    <cellStyle name="Notas 5 2 7 2 2 3 4" xfId="39904" xr:uid="{00000000-0005-0000-0000-0000769C0000}"/>
    <cellStyle name="Notas 5 2 7 2 2 4" xfId="39905" xr:uid="{00000000-0005-0000-0000-0000779C0000}"/>
    <cellStyle name="Notas 5 2 7 2 2 5" xfId="39906" xr:uid="{00000000-0005-0000-0000-0000789C0000}"/>
    <cellStyle name="Notas 5 2 7 2 2 6" xfId="39907" xr:uid="{00000000-0005-0000-0000-0000799C0000}"/>
    <cellStyle name="Notas 5 2 7 2 3" xfId="39908" xr:uid="{00000000-0005-0000-0000-00007A9C0000}"/>
    <cellStyle name="Notas 5 2 7 2 3 2" xfId="39909" xr:uid="{00000000-0005-0000-0000-00007B9C0000}"/>
    <cellStyle name="Notas 5 2 7 2 3 2 2" xfId="39910" xr:uid="{00000000-0005-0000-0000-00007C9C0000}"/>
    <cellStyle name="Notas 5 2 7 2 3 2 3" xfId="39911" xr:uid="{00000000-0005-0000-0000-00007D9C0000}"/>
    <cellStyle name="Notas 5 2 7 2 3 2 4" xfId="39912" xr:uid="{00000000-0005-0000-0000-00007E9C0000}"/>
    <cellStyle name="Notas 5 2 7 2 3 3" xfId="39913" xr:uid="{00000000-0005-0000-0000-00007F9C0000}"/>
    <cellStyle name="Notas 5 2 7 2 3 3 2" xfId="39914" xr:uid="{00000000-0005-0000-0000-0000809C0000}"/>
    <cellStyle name="Notas 5 2 7 2 3 3 3" xfId="39915" xr:uid="{00000000-0005-0000-0000-0000819C0000}"/>
    <cellStyle name="Notas 5 2 7 2 3 3 4" xfId="39916" xr:uid="{00000000-0005-0000-0000-0000829C0000}"/>
    <cellStyle name="Notas 5 2 7 2 3 4" xfId="39917" xr:uid="{00000000-0005-0000-0000-0000839C0000}"/>
    <cellStyle name="Notas 5 2 7 2 3 5" xfId="39918" xr:uid="{00000000-0005-0000-0000-0000849C0000}"/>
    <cellStyle name="Notas 5 2 7 2 3 6" xfId="39919" xr:uid="{00000000-0005-0000-0000-0000859C0000}"/>
    <cellStyle name="Notas 5 2 7 2 4" xfId="39920" xr:uid="{00000000-0005-0000-0000-0000869C0000}"/>
    <cellStyle name="Notas 5 2 7 2 5" xfId="39921" xr:uid="{00000000-0005-0000-0000-0000879C0000}"/>
    <cellStyle name="Notas 5 2 7 2 6" xfId="39922" xr:uid="{00000000-0005-0000-0000-0000889C0000}"/>
    <cellStyle name="Notas 5 2 7 3" xfId="39923" xr:uid="{00000000-0005-0000-0000-0000899C0000}"/>
    <cellStyle name="Notas 5 2 7 4" xfId="39924" xr:uid="{00000000-0005-0000-0000-00008A9C0000}"/>
    <cellStyle name="Notas 5 2 8" xfId="39925" xr:uid="{00000000-0005-0000-0000-00008B9C0000}"/>
    <cellStyle name="Notas 5 2 8 2" xfId="39926" xr:uid="{00000000-0005-0000-0000-00008C9C0000}"/>
    <cellStyle name="Notas 5 2 8 2 2" xfId="39927" xr:uid="{00000000-0005-0000-0000-00008D9C0000}"/>
    <cellStyle name="Notas 5 2 8 2 2 2" xfId="39928" xr:uid="{00000000-0005-0000-0000-00008E9C0000}"/>
    <cellStyle name="Notas 5 2 8 2 2 3" xfId="39929" xr:uid="{00000000-0005-0000-0000-00008F9C0000}"/>
    <cellStyle name="Notas 5 2 8 2 2 4" xfId="39930" xr:uid="{00000000-0005-0000-0000-0000909C0000}"/>
    <cellStyle name="Notas 5 2 8 2 3" xfId="39931" xr:uid="{00000000-0005-0000-0000-0000919C0000}"/>
    <cellStyle name="Notas 5 2 8 2 3 2" xfId="39932" xr:uid="{00000000-0005-0000-0000-0000929C0000}"/>
    <cellStyle name="Notas 5 2 8 2 3 3" xfId="39933" xr:uid="{00000000-0005-0000-0000-0000939C0000}"/>
    <cellStyle name="Notas 5 2 8 2 3 4" xfId="39934" xr:uid="{00000000-0005-0000-0000-0000949C0000}"/>
    <cellStyle name="Notas 5 2 8 2 4" xfId="39935" xr:uid="{00000000-0005-0000-0000-0000959C0000}"/>
    <cellStyle name="Notas 5 2 8 2 5" xfId="39936" xr:uid="{00000000-0005-0000-0000-0000969C0000}"/>
    <cellStyle name="Notas 5 2 8 2 6" xfId="39937" xr:uid="{00000000-0005-0000-0000-0000979C0000}"/>
    <cellStyle name="Notas 5 2 8 3" xfId="39938" xr:uid="{00000000-0005-0000-0000-0000989C0000}"/>
    <cellStyle name="Notas 5 2 8 3 2" xfId="39939" xr:uid="{00000000-0005-0000-0000-0000999C0000}"/>
    <cellStyle name="Notas 5 2 8 3 2 2" xfId="39940" xr:uid="{00000000-0005-0000-0000-00009A9C0000}"/>
    <cellStyle name="Notas 5 2 8 3 2 3" xfId="39941" xr:uid="{00000000-0005-0000-0000-00009B9C0000}"/>
    <cellStyle name="Notas 5 2 8 3 2 4" xfId="39942" xr:uid="{00000000-0005-0000-0000-00009C9C0000}"/>
    <cellStyle name="Notas 5 2 8 3 3" xfId="39943" xr:uid="{00000000-0005-0000-0000-00009D9C0000}"/>
    <cellStyle name="Notas 5 2 8 3 3 2" xfId="39944" xr:uid="{00000000-0005-0000-0000-00009E9C0000}"/>
    <cellStyle name="Notas 5 2 8 3 3 3" xfId="39945" xr:uid="{00000000-0005-0000-0000-00009F9C0000}"/>
    <cellStyle name="Notas 5 2 8 3 3 4" xfId="39946" xr:uid="{00000000-0005-0000-0000-0000A09C0000}"/>
    <cellStyle name="Notas 5 2 8 3 4" xfId="39947" xr:uid="{00000000-0005-0000-0000-0000A19C0000}"/>
    <cellStyle name="Notas 5 2 8 3 5" xfId="39948" xr:uid="{00000000-0005-0000-0000-0000A29C0000}"/>
    <cellStyle name="Notas 5 2 8 3 6" xfId="39949" xr:uid="{00000000-0005-0000-0000-0000A39C0000}"/>
    <cellStyle name="Notas 5 2 8 4" xfId="39950" xr:uid="{00000000-0005-0000-0000-0000A49C0000}"/>
    <cellStyle name="Notas 5 2 8 4 2" xfId="39951" xr:uid="{00000000-0005-0000-0000-0000A59C0000}"/>
    <cellStyle name="Notas 5 2 8 4 3" xfId="39952" xr:uid="{00000000-0005-0000-0000-0000A69C0000}"/>
    <cellStyle name="Notas 5 2 8 4 4" xfId="39953" xr:uid="{00000000-0005-0000-0000-0000A79C0000}"/>
    <cellStyle name="Notas 5 2 8 5" xfId="39954" xr:uid="{00000000-0005-0000-0000-0000A89C0000}"/>
    <cellStyle name="Notas 5 2 8 6" xfId="39955" xr:uid="{00000000-0005-0000-0000-0000A99C0000}"/>
    <cellStyle name="Notas 5 2 9" xfId="39956" xr:uid="{00000000-0005-0000-0000-0000AA9C0000}"/>
    <cellStyle name="Notas 5 2 9 2" xfId="39957" xr:uid="{00000000-0005-0000-0000-0000AB9C0000}"/>
    <cellStyle name="Notas 5 2 9 2 2" xfId="39958" xr:uid="{00000000-0005-0000-0000-0000AC9C0000}"/>
    <cellStyle name="Notas 5 2 9 2 2 2" xfId="39959" xr:uid="{00000000-0005-0000-0000-0000AD9C0000}"/>
    <cellStyle name="Notas 5 2 9 2 2 3" xfId="39960" xr:uid="{00000000-0005-0000-0000-0000AE9C0000}"/>
    <cellStyle name="Notas 5 2 9 2 2 4" xfId="39961" xr:uid="{00000000-0005-0000-0000-0000AF9C0000}"/>
    <cellStyle name="Notas 5 2 9 2 3" xfId="39962" xr:uid="{00000000-0005-0000-0000-0000B09C0000}"/>
    <cellStyle name="Notas 5 2 9 2 3 2" xfId="39963" xr:uid="{00000000-0005-0000-0000-0000B19C0000}"/>
    <cellStyle name="Notas 5 2 9 2 3 3" xfId="39964" xr:uid="{00000000-0005-0000-0000-0000B29C0000}"/>
    <cellStyle name="Notas 5 2 9 2 3 4" xfId="39965" xr:uid="{00000000-0005-0000-0000-0000B39C0000}"/>
    <cellStyle name="Notas 5 2 9 2 4" xfId="39966" xr:uid="{00000000-0005-0000-0000-0000B49C0000}"/>
    <cellStyle name="Notas 5 2 9 2 5" xfId="39967" xr:uid="{00000000-0005-0000-0000-0000B59C0000}"/>
    <cellStyle name="Notas 5 2 9 2 6" xfId="39968" xr:uid="{00000000-0005-0000-0000-0000B69C0000}"/>
    <cellStyle name="Notas 5 2 9 3" xfId="39969" xr:uid="{00000000-0005-0000-0000-0000B79C0000}"/>
    <cellStyle name="Notas 5 2 9 3 2" xfId="39970" xr:uid="{00000000-0005-0000-0000-0000B89C0000}"/>
    <cellStyle name="Notas 5 2 9 3 2 2" xfId="39971" xr:uid="{00000000-0005-0000-0000-0000B99C0000}"/>
    <cellStyle name="Notas 5 2 9 3 2 3" xfId="39972" xr:uid="{00000000-0005-0000-0000-0000BA9C0000}"/>
    <cellStyle name="Notas 5 2 9 3 2 4" xfId="39973" xr:uid="{00000000-0005-0000-0000-0000BB9C0000}"/>
    <cellStyle name="Notas 5 2 9 3 3" xfId="39974" xr:uid="{00000000-0005-0000-0000-0000BC9C0000}"/>
    <cellStyle name="Notas 5 2 9 3 3 2" xfId="39975" xr:uid="{00000000-0005-0000-0000-0000BD9C0000}"/>
    <cellStyle name="Notas 5 2 9 3 3 3" xfId="39976" xr:uid="{00000000-0005-0000-0000-0000BE9C0000}"/>
    <cellStyle name="Notas 5 2 9 3 3 4" xfId="39977" xr:uid="{00000000-0005-0000-0000-0000BF9C0000}"/>
    <cellStyle name="Notas 5 2 9 3 4" xfId="39978" xr:uid="{00000000-0005-0000-0000-0000C09C0000}"/>
    <cellStyle name="Notas 5 2 9 3 5" xfId="39979" xr:uid="{00000000-0005-0000-0000-0000C19C0000}"/>
    <cellStyle name="Notas 5 2 9 3 6" xfId="39980" xr:uid="{00000000-0005-0000-0000-0000C29C0000}"/>
    <cellStyle name="Notas 5 2 9 4" xfId="39981" xr:uid="{00000000-0005-0000-0000-0000C39C0000}"/>
    <cellStyle name="Notas 5 2 9 4 2" xfId="39982" xr:uid="{00000000-0005-0000-0000-0000C49C0000}"/>
    <cellStyle name="Notas 5 2 9 4 3" xfId="39983" xr:uid="{00000000-0005-0000-0000-0000C59C0000}"/>
    <cellStyle name="Notas 5 2 9 4 4" xfId="39984" xr:uid="{00000000-0005-0000-0000-0000C69C0000}"/>
    <cellStyle name="Notas 5 2 9 5" xfId="39985" xr:uid="{00000000-0005-0000-0000-0000C79C0000}"/>
    <cellStyle name="Notas 5 2 9 6" xfId="39986" xr:uid="{00000000-0005-0000-0000-0000C89C0000}"/>
    <cellStyle name="Notas 5 3" xfId="39987" xr:uid="{00000000-0005-0000-0000-0000C99C0000}"/>
    <cellStyle name="Notas 5 3 10" xfId="39988" xr:uid="{00000000-0005-0000-0000-0000CA9C0000}"/>
    <cellStyle name="Notas 5 3 10 2" xfId="39989" xr:uid="{00000000-0005-0000-0000-0000CB9C0000}"/>
    <cellStyle name="Notas 5 3 10 2 2" xfId="39990" xr:uid="{00000000-0005-0000-0000-0000CC9C0000}"/>
    <cellStyle name="Notas 5 3 10 2 2 2" xfId="39991" xr:uid="{00000000-0005-0000-0000-0000CD9C0000}"/>
    <cellStyle name="Notas 5 3 10 2 2 3" xfId="39992" xr:uid="{00000000-0005-0000-0000-0000CE9C0000}"/>
    <cellStyle name="Notas 5 3 10 2 2 4" xfId="39993" xr:uid="{00000000-0005-0000-0000-0000CF9C0000}"/>
    <cellStyle name="Notas 5 3 10 2 3" xfId="39994" xr:uid="{00000000-0005-0000-0000-0000D09C0000}"/>
    <cellStyle name="Notas 5 3 10 2 3 2" xfId="39995" xr:uid="{00000000-0005-0000-0000-0000D19C0000}"/>
    <cellStyle name="Notas 5 3 10 2 3 3" xfId="39996" xr:uid="{00000000-0005-0000-0000-0000D29C0000}"/>
    <cellStyle name="Notas 5 3 10 2 3 4" xfId="39997" xr:uid="{00000000-0005-0000-0000-0000D39C0000}"/>
    <cellStyle name="Notas 5 3 10 2 4" xfId="39998" xr:uid="{00000000-0005-0000-0000-0000D49C0000}"/>
    <cellStyle name="Notas 5 3 10 2 5" xfId="39999" xr:uid="{00000000-0005-0000-0000-0000D59C0000}"/>
    <cellStyle name="Notas 5 3 10 2 6" xfId="40000" xr:uid="{00000000-0005-0000-0000-0000D69C0000}"/>
    <cellStyle name="Notas 5 3 10 3" xfId="40001" xr:uid="{00000000-0005-0000-0000-0000D79C0000}"/>
    <cellStyle name="Notas 5 3 10 3 2" xfId="40002" xr:uid="{00000000-0005-0000-0000-0000D89C0000}"/>
    <cellStyle name="Notas 5 3 10 3 2 2" xfId="40003" xr:uid="{00000000-0005-0000-0000-0000D99C0000}"/>
    <cellStyle name="Notas 5 3 10 3 2 3" xfId="40004" xr:uid="{00000000-0005-0000-0000-0000DA9C0000}"/>
    <cellStyle name="Notas 5 3 10 3 2 4" xfId="40005" xr:uid="{00000000-0005-0000-0000-0000DB9C0000}"/>
    <cellStyle name="Notas 5 3 10 3 3" xfId="40006" xr:uid="{00000000-0005-0000-0000-0000DC9C0000}"/>
    <cellStyle name="Notas 5 3 10 3 3 2" xfId="40007" xr:uid="{00000000-0005-0000-0000-0000DD9C0000}"/>
    <cellStyle name="Notas 5 3 10 3 3 3" xfId="40008" xr:uid="{00000000-0005-0000-0000-0000DE9C0000}"/>
    <cellStyle name="Notas 5 3 10 3 3 4" xfId="40009" xr:uid="{00000000-0005-0000-0000-0000DF9C0000}"/>
    <cellStyle name="Notas 5 3 10 3 4" xfId="40010" xr:uid="{00000000-0005-0000-0000-0000E09C0000}"/>
    <cellStyle name="Notas 5 3 10 3 5" xfId="40011" xr:uid="{00000000-0005-0000-0000-0000E19C0000}"/>
    <cellStyle name="Notas 5 3 10 3 6" xfId="40012" xr:uid="{00000000-0005-0000-0000-0000E29C0000}"/>
    <cellStyle name="Notas 5 3 10 4" xfId="40013" xr:uid="{00000000-0005-0000-0000-0000E39C0000}"/>
    <cellStyle name="Notas 5 3 10 5" xfId="40014" xr:uid="{00000000-0005-0000-0000-0000E49C0000}"/>
    <cellStyle name="Notas 5 3 10 6" xfId="40015" xr:uid="{00000000-0005-0000-0000-0000E59C0000}"/>
    <cellStyle name="Notas 5 3 11" xfId="40016" xr:uid="{00000000-0005-0000-0000-0000E69C0000}"/>
    <cellStyle name="Notas 5 3 12" xfId="40017" xr:uid="{00000000-0005-0000-0000-0000E79C0000}"/>
    <cellStyle name="Notas 5 3 2" xfId="40018" xr:uid="{00000000-0005-0000-0000-0000E89C0000}"/>
    <cellStyle name="Notas 5 3 2 2" xfId="40019" xr:uid="{00000000-0005-0000-0000-0000E99C0000}"/>
    <cellStyle name="Notas 5 3 2 2 2" xfId="40020" xr:uid="{00000000-0005-0000-0000-0000EA9C0000}"/>
    <cellStyle name="Notas 5 3 2 2 2 2" xfId="40021" xr:uid="{00000000-0005-0000-0000-0000EB9C0000}"/>
    <cellStyle name="Notas 5 3 2 2 2 2 2" xfId="40022" xr:uid="{00000000-0005-0000-0000-0000EC9C0000}"/>
    <cellStyle name="Notas 5 3 2 2 2 2 3" xfId="40023" xr:uid="{00000000-0005-0000-0000-0000ED9C0000}"/>
    <cellStyle name="Notas 5 3 2 2 2 2 4" xfId="40024" xr:uid="{00000000-0005-0000-0000-0000EE9C0000}"/>
    <cellStyle name="Notas 5 3 2 2 2 3" xfId="40025" xr:uid="{00000000-0005-0000-0000-0000EF9C0000}"/>
    <cellStyle name="Notas 5 3 2 2 2 3 2" xfId="40026" xr:uid="{00000000-0005-0000-0000-0000F09C0000}"/>
    <cellStyle name="Notas 5 3 2 2 2 3 3" xfId="40027" xr:uid="{00000000-0005-0000-0000-0000F19C0000}"/>
    <cellStyle name="Notas 5 3 2 2 2 3 4" xfId="40028" xr:uid="{00000000-0005-0000-0000-0000F29C0000}"/>
    <cellStyle name="Notas 5 3 2 2 2 4" xfId="40029" xr:uid="{00000000-0005-0000-0000-0000F39C0000}"/>
    <cellStyle name="Notas 5 3 2 2 2 5" xfId="40030" xr:uid="{00000000-0005-0000-0000-0000F49C0000}"/>
    <cellStyle name="Notas 5 3 2 2 2 6" xfId="40031" xr:uid="{00000000-0005-0000-0000-0000F59C0000}"/>
    <cellStyle name="Notas 5 3 2 2 3" xfId="40032" xr:uid="{00000000-0005-0000-0000-0000F69C0000}"/>
    <cellStyle name="Notas 5 3 2 2 3 2" xfId="40033" xr:uid="{00000000-0005-0000-0000-0000F79C0000}"/>
    <cellStyle name="Notas 5 3 2 2 3 2 2" xfId="40034" xr:uid="{00000000-0005-0000-0000-0000F89C0000}"/>
    <cellStyle name="Notas 5 3 2 2 3 2 3" xfId="40035" xr:uid="{00000000-0005-0000-0000-0000F99C0000}"/>
    <cellStyle name="Notas 5 3 2 2 3 2 4" xfId="40036" xr:uid="{00000000-0005-0000-0000-0000FA9C0000}"/>
    <cellStyle name="Notas 5 3 2 2 3 3" xfId="40037" xr:uid="{00000000-0005-0000-0000-0000FB9C0000}"/>
    <cellStyle name="Notas 5 3 2 2 3 3 2" xfId="40038" xr:uid="{00000000-0005-0000-0000-0000FC9C0000}"/>
    <cellStyle name="Notas 5 3 2 2 3 3 3" xfId="40039" xr:uid="{00000000-0005-0000-0000-0000FD9C0000}"/>
    <cellStyle name="Notas 5 3 2 2 3 3 4" xfId="40040" xr:uid="{00000000-0005-0000-0000-0000FE9C0000}"/>
    <cellStyle name="Notas 5 3 2 2 3 4" xfId="40041" xr:uid="{00000000-0005-0000-0000-0000FF9C0000}"/>
    <cellStyle name="Notas 5 3 2 2 3 5" xfId="40042" xr:uid="{00000000-0005-0000-0000-0000009D0000}"/>
    <cellStyle name="Notas 5 3 2 2 3 6" xfId="40043" xr:uid="{00000000-0005-0000-0000-0000019D0000}"/>
    <cellStyle name="Notas 5 3 2 2 4" xfId="40044" xr:uid="{00000000-0005-0000-0000-0000029D0000}"/>
    <cellStyle name="Notas 5 3 2 2 5" xfId="40045" xr:uid="{00000000-0005-0000-0000-0000039D0000}"/>
    <cellStyle name="Notas 5 3 2 2 6" xfId="40046" xr:uid="{00000000-0005-0000-0000-0000049D0000}"/>
    <cellStyle name="Notas 5 3 2 3" xfId="40047" xr:uid="{00000000-0005-0000-0000-0000059D0000}"/>
    <cellStyle name="Notas 5 3 2 4" xfId="40048" xr:uid="{00000000-0005-0000-0000-0000069D0000}"/>
    <cellStyle name="Notas 5 3 3" xfId="40049" xr:uid="{00000000-0005-0000-0000-0000079D0000}"/>
    <cellStyle name="Notas 5 3 3 2" xfId="40050" xr:uid="{00000000-0005-0000-0000-0000089D0000}"/>
    <cellStyle name="Notas 5 3 3 2 2" xfId="40051" xr:uid="{00000000-0005-0000-0000-0000099D0000}"/>
    <cellStyle name="Notas 5 3 3 2 2 2" xfId="40052" xr:uid="{00000000-0005-0000-0000-00000A9D0000}"/>
    <cellStyle name="Notas 5 3 3 2 2 2 2" xfId="40053" xr:uid="{00000000-0005-0000-0000-00000B9D0000}"/>
    <cellStyle name="Notas 5 3 3 2 2 2 3" xfId="40054" xr:uid="{00000000-0005-0000-0000-00000C9D0000}"/>
    <cellStyle name="Notas 5 3 3 2 2 2 4" xfId="40055" xr:uid="{00000000-0005-0000-0000-00000D9D0000}"/>
    <cellStyle name="Notas 5 3 3 2 2 3" xfId="40056" xr:uid="{00000000-0005-0000-0000-00000E9D0000}"/>
    <cellStyle name="Notas 5 3 3 2 2 3 2" xfId="40057" xr:uid="{00000000-0005-0000-0000-00000F9D0000}"/>
    <cellStyle name="Notas 5 3 3 2 2 3 3" xfId="40058" xr:uid="{00000000-0005-0000-0000-0000109D0000}"/>
    <cellStyle name="Notas 5 3 3 2 2 3 4" xfId="40059" xr:uid="{00000000-0005-0000-0000-0000119D0000}"/>
    <cellStyle name="Notas 5 3 3 2 2 4" xfId="40060" xr:uid="{00000000-0005-0000-0000-0000129D0000}"/>
    <cellStyle name="Notas 5 3 3 2 2 5" xfId="40061" xr:uid="{00000000-0005-0000-0000-0000139D0000}"/>
    <cellStyle name="Notas 5 3 3 2 2 6" xfId="40062" xr:uid="{00000000-0005-0000-0000-0000149D0000}"/>
    <cellStyle name="Notas 5 3 3 2 3" xfId="40063" xr:uid="{00000000-0005-0000-0000-0000159D0000}"/>
    <cellStyle name="Notas 5 3 3 2 3 2" xfId="40064" xr:uid="{00000000-0005-0000-0000-0000169D0000}"/>
    <cellStyle name="Notas 5 3 3 2 3 2 2" xfId="40065" xr:uid="{00000000-0005-0000-0000-0000179D0000}"/>
    <cellStyle name="Notas 5 3 3 2 3 2 3" xfId="40066" xr:uid="{00000000-0005-0000-0000-0000189D0000}"/>
    <cellStyle name="Notas 5 3 3 2 3 2 4" xfId="40067" xr:uid="{00000000-0005-0000-0000-0000199D0000}"/>
    <cellStyle name="Notas 5 3 3 2 3 3" xfId="40068" xr:uid="{00000000-0005-0000-0000-00001A9D0000}"/>
    <cellStyle name="Notas 5 3 3 2 3 3 2" xfId="40069" xr:uid="{00000000-0005-0000-0000-00001B9D0000}"/>
    <cellStyle name="Notas 5 3 3 2 3 3 3" xfId="40070" xr:uid="{00000000-0005-0000-0000-00001C9D0000}"/>
    <cellStyle name="Notas 5 3 3 2 3 3 4" xfId="40071" xr:uid="{00000000-0005-0000-0000-00001D9D0000}"/>
    <cellStyle name="Notas 5 3 3 2 3 4" xfId="40072" xr:uid="{00000000-0005-0000-0000-00001E9D0000}"/>
    <cellStyle name="Notas 5 3 3 2 3 5" xfId="40073" xr:uid="{00000000-0005-0000-0000-00001F9D0000}"/>
    <cellStyle name="Notas 5 3 3 2 3 6" xfId="40074" xr:uid="{00000000-0005-0000-0000-0000209D0000}"/>
    <cellStyle name="Notas 5 3 3 2 4" xfId="40075" xr:uid="{00000000-0005-0000-0000-0000219D0000}"/>
    <cellStyle name="Notas 5 3 3 2 5" xfId="40076" xr:uid="{00000000-0005-0000-0000-0000229D0000}"/>
    <cellStyle name="Notas 5 3 3 2 6" xfId="40077" xr:uid="{00000000-0005-0000-0000-0000239D0000}"/>
    <cellStyle name="Notas 5 3 3 3" xfId="40078" xr:uid="{00000000-0005-0000-0000-0000249D0000}"/>
    <cellStyle name="Notas 5 3 3 4" xfId="40079" xr:uid="{00000000-0005-0000-0000-0000259D0000}"/>
    <cellStyle name="Notas 5 3 4" xfId="40080" xr:uid="{00000000-0005-0000-0000-0000269D0000}"/>
    <cellStyle name="Notas 5 3 4 2" xfId="40081" xr:uid="{00000000-0005-0000-0000-0000279D0000}"/>
    <cellStyle name="Notas 5 3 4 2 2" xfId="40082" xr:uid="{00000000-0005-0000-0000-0000289D0000}"/>
    <cellStyle name="Notas 5 3 4 2 2 2" xfId="40083" xr:uid="{00000000-0005-0000-0000-0000299D0000}"/>
    <cellStyle name="Notas 5 3 4 2 2 2 2" xfId="40084" xr:uid="{00000000-0005-0000-0000-00002A9D0000}"/>
    <cellStyle name="Notas 5 3 4 2 2 2 3" xfId="40085" xr:uid="{00000000-0005-0000-0000-00002B9D0000}"/>
    <cellStyle name="Notas 5 3 4 2 2 2 4" xfId="40086" xr:uid="{00000000-0005-0000-0000-00002C9D0000}"/>
    <cellStyle name="Notas 5 3 4 2 2 3" xfId="40087" xr:uid="{00000000-0005-0000-0000-00002D9D0000}"/>
    <cellStyle name="Notas 5 3 4 2 2 3 2" xfId="40088" xr:uid="{00000000-0005-0000-0000-00002E9D0000}"/>
    <cellStyle name="Notas 5 3 4 2 2 3 3" xfId="40089" xr:uid="{00000000-0005-0000-0000-00002F9D0000}"/>
    <cellStyle name="Notas 5 3 4 2 2 3 4" xfId="40090" xr:uid="{00000000-0005-0000-0000-0000309D0000}"/>
    <cellStyle name="Notas 5 3 4 2 2 4" xfId="40091" xr:uid="{00000000-0005-0000-0000-0000319D0000}"/>
    <cellStyle name="Notas 5 3 4 2 2 5" xfId="40092" xr:uid="{00000000-0005-0000-0000-0000329D0000}"/>
    <cellStyle name="Notas 5 3 4 2 2 6" xfId="40093" xr:uid="{00000000-0005-0000-0000-0000339D0000}"/>
    <cellStyle name="Notas 5 3 4 2 3" xfId="40094" xr:uid="{00000000-0005-0000-0000-0000349D0000}"/>
    <cellStyle name="Notas 5 3 4 2 3 2" xfId="40095" xr:uid="{00000000-0005-0000-0000-0000359D0000}"/>
    <cellStyle name="Notas 5 3 4 2 3 2 2" xfId="40096" xr:uid="{00000000-0005-0000-0000-0000369D0000}"/>
    <cellStyle name="Notas 5 3 4 2 3 2 3" xfId="40097" xr:uid="{00000000-0005-0000-0000-0000379D0000}"/>
    <cellStyle name="Notas 5 3 4 2 3 2 4" xfId="40098" xr:uid="{00000000-0005-0000-0000-0000389D0000}"/>
    <cellStyle name="Notas 5 3 4 2 3 3" xfId="40099" xr:uid="{00000000-0005-0000-0000-0000399D0000}"/>
    <cellStyle name="Notas 5 3 4 2 3 3 2" xfId="40100" xr:uid="{00000000-0005-0000-0000-00003A9D0000}"/>
    <cellStyle name="Notas 5 3 4 2 3 3 3" xfId="40101" xr:uid="{00000000-0005-0000-0000-00003B9D0000}"/>
    <cellStyle name="Notas 5 3 4 2 3 3 4" xfId="40102" xr:uid="{00000000-0005-0000-0000-00003C9D0000}"/>
    <cellStyle name="Notas 5 3 4 2 3 4" xfId="40103" xr:uid="{00000000-0005-0000-0000-00003D9D0000}"/>
    <cellStyle name="Notas 5 3 4 2 3 5" xfId="40104" xr:uid="{00000000-0005-0000-0000-00003E9D0000}"/>
    <cellStyle name="Notas 5 3 4 2 3 6" xfId="40105" xr:uid="{00000000-0005-0000-0000-00003F9D0000}"/>
    <cellStyle name="Notas 5 3 4 2 4" xfId="40106" xr:uid="{00000000-0005-0000-0000-0000409D0000}"/>
    <cellStyle name="Notas 5 3 4 2 5" xfId="40107" xr:uid="{00000000-0005-0000-0000-0000419D0000}"/>
    <cellStyle name="Notas 5 3 4 2 6" xfId="40108" xr:uid="{00000000-0005-0000-0000-0000429D0000}"/>
    <cellStyle name="Notas 5 3 4 3" xfId="40109" xr:uid="{00000000-0005-0000-0000-0000439D0000}"/>
    <cellStyle name="Notas 5 3 4 4" xfId="40110" xr:uid="{00000000-0005-0000-0000-0000449D0000}"/>
    <cellStyle name="Notas 5 3 5" xfId="40111" xr:uid="{00000000-0005-0000-0000-0000459D0000}"/>
    <cellStyle name="Notas 5 3 5 2" xfId="40112" xr:uid="{00000000-0005-0000-0000-0000469D0000}"/>
    <cellStyle name="Notas 5 3 5 2 2" xfId="40113" xr:uid="{00000000-0005-0000-0000-0000479D0000}"/>
    <cellStyle name="Notas 5 3 5 2 2 2" xfId="40114" xr:uid="{00000000-0005-0000-0000-0000489D0000}"/>
    <cellStyle name="Notas 5 3 5 2 2 2 2" xfId="40115" xr:uid="{00000000-0005-0000-0000-0000499D0000}"/>
    <cellStyle name="Notas 5 3 5 2 2 2 3" xfId="40116" xr:uid="{00000000-0005-0000-0000-00004A9D0000}"/>
    <cellStyle name="Notas 5 3 5 2 2 2 4" xfId="40117" xr:uid="{00000000-0005-0000-0000-00004B9D0000}"/>
    <cellStyle name="Notas 5 3 5 2 2 3" xfId="40118" xr:uid="{00000000-0005-0000-0000-00004C9D0000}"/>
    <cellStyle name="Notas 5 3 5 2 2 3 2" xfId="40119" xr:uid="{00000000-0005-0000-0000-00004D9D0000}"/>
    <cellStyle name="Notas 5 3 5 2 2 3 3" xfId="40120" xr:uid="{00000000-0005-0000-0000-00004E9D0000}"/>
    <cellStyle name="Notas 5 3 5 2 2 3 4" xfId="40121" xr:uid="{00000000-0005-0000-0000-00004F9D0000}"/>
    <cellStyle name="Notas 5 3 5 2 2 4" xfId="40122" xr:uid="{00000000-0005-0000-0000-0000509D0000}"/>
    <cellStyle name="Notas 5 3 5 2 2 5" xfId="40123" xr:uid="{00000000-0005-0000-0000-0000519D0000}"/>
    <cellStyle name="Notas 5 3 5 2 2 6" xfId="40124" xr:uid="{00000000-0005-0000-0000-0000529D0000}"/>
    <cellStyle name="Notas 5 3 5 2 3" xfId="40125" xr:uid="{00000000-0005-0000-0000-0000539D0000}"/>
    <cellStyle name="Notas 5 3 5 2 3 2" xfId="40126" xr:uid="{00000000-0005-0000-0000-0000549D0000}"/>
    <cellStyle name="Notas 5 3 5 2 3 2 2" xfId="40127" xr:uid="{00000000-0005-0000-0000-0000559D0000}"/>
    <cellStyle name="Notas 5 3 5 2 3 2 3" xfId="40128" xr:uid="{00000000-0005-0000-0000-0000569D0000}"/>
    <cellStyle name="Notas 5 3 5 2 3 2 4" xfId="40129" xr:uid="{00000000-0005-0000-0000-0000579D0000}"/>
    <cellStyle name="Notas 5 3 5 2 3 3" xfId="40130" xr:uid="{00000000-0005-0000-0000-0000589D0000}"/>
    <cellStyle name="Notas 5 3 5 2 3 3 2" xfId="40131" xr:uid="{00000000-0005-0000-0000-0000599D0000}"/>
    <cellStyle name="Notas 5 3 5 2 3 3 3" xfId="40132" xr:uid="{00000000-0005-0000-0000-00005A9D0000}"/>
    <cellStyle name="Notas 5 3 5 2 3 3 4" xfId="40133" xr:uid="{00000000-0005-0000-0000-00005B9D0000}"/>
    <cellStyle name="Notas 5 3 5 2 3 4" xfId="40134" xr:uid="{00000000-0005-0000-0000-00005C9D0000}"/>
    <cellStyle name="Notas 5 3 5 2 3 5" xfId="40135" xr:uid="{00000000-0005-0000-0000-00005D9D0000}"/>
    <cellStyle name="Notas 5 3 5 2 3 6" xfId="40136" xr:uid="{00000000-0005-0000-0000-00005E9D0000}"/>
    <cellStyle name="Notas 5 3 5 2 4" xfId="40137" xr:uid="{00000000-0005-0000-0000-00005F9D0000}"/>
    <cellStyle name="Notas 5 3 5 2 5" xfId="40138" xr:uid="{00000000-0005-0000-0000-0000609D0000}"/>
    <cellStyle name="Notas 5 3 5 2 6" xfId="40139" xr:uid="{00000000-0005-0000-0000-0000619D0000}"/>
    <cellStyle name="Notas 5 3 5 3" xfId="40140" xr:uid="{00000000-0005-0000-0000-0000629D0000}"/>
    <cellStyle name="Notas 5 3 5 4" xfId="40141" xr:uid="{00000000-0005-0000-0000-0000639D0000}"/>
    <cellStyle name="Notas 5 3 6" xfId="40142" xr:uid="{00000000-0005-0000-0000-0000649D0000}"/>
    <cellStyle name="Notas 5 3 6 2" xfId="40143" xr:uid="{00000000-0005-0000-0000-0000659D0000}"/>
    <cellStyle name="Notas 5 3 6 2 2" xfId="40144" xr:uid="{00000000-0005-0000-0000-0000669D0000}"/>
    <cellStyle name="Notas 5 3 6 2 2 2" xfId="40145" xr:uid="{00000000-0005-0000-0000-0000679D0000}"/>
    <cellStyle name="Notas 5 3 6 2 2 3" xfId="40146" xr:uid="{00000000-0005-0000-0000-0000689D0000}"/>
    <cellStyle name="Notas 5 3 6 2 2 4" xfId="40147" xr:uid="{00000000-0005-0000-0000-0000699D0000}"/>
    <cellStyle name="Notas 5 3 6 2 3" xfId="40148" xr:uid="{00000000-0005-0000-0000-00006A9D0000}"/>
    <cellStyle name="Notas 5 3 6 2 3 2" xfId="40149" xr:uid="{00000000-0005-0000-0000-00006B9D0000}"/>
    <cellStyle name="Notas 5 3 6 2 3 3" xfId="40150" xr:uid="{00000000-0005-0000-0000-00006C9D0000}"/>
    <cellStyle name="Notas 5 3 6 2 3 4" xfId="40151" xr:uid="{00000000-0005-0000-0000-00006D9D0000}"/>
    <cellStyle name="Notas 5 3 6 2 4" xfId="40152" xr:uid="{00000000-0005-0000-0000-00006E9D0000}"/>
    <cellStyle name="Notas 5 3 6 2 5" xfId="40153" xr:uid="{00000000-0005-0000-0000-00006F9D0000}"/>
    <cellStyle name="Notas 5 3 6 2 6" xfId="40154" xr:uid="{00000000-0005-0000-0000-0000709D0000}"/>
    <cellStyle name="Notas 5 3 6 3" xfId="40155" xr:uid="{00000000-0005-0000-0000-0000719D0000}"/>
    <cellStyle name="Notas 5 3 6 3 2" xfId="40156" xr:uid="{00000000-0005-0000-0000-0000729D0000}"/>
    <cellStyle name="Notas 5 3 6 3 2 2" xfId="40157" xr:uid="{00000000-0005-0000-0000-0000739D0000}"/>
    <cellStyle name="Notas 5 3 6 3 2 3" xfId="40158" xr:uid="{00000000-0005-0000-0000-0000749D0000}"/>
    <cellStyle name="Notas 5 3 6 3 2 4" xfId="40159" xr:uid="{00000000-0005-0000-0000-0000759D0000}"/>
    <cellStyle name="Notas 5 3 6 3 3" xfId="40160" xr:uid="{00000000-0005-0000-0000-0000769D0000}"/>
    <cellStyle name="Notas 5 3 6 3 3 2" xfId="40161" xr:uid="{00000000-0005-0000-0000-0000779D0000}"/>
    <cellStyle name="Notas 5 3 6 3 3 3" xfId="40162" xr:uid="{00000000-0005-0000-0000-0000789D0000}"/>
    <cellStyle name="Notas 5 3 6 3 3 4" xfId="40163" xr:uid="{00000000-0005-0000-0000-0000799D0000}"/>
    <cellStyle name="Notas 5 3 6 3 4" xfId="40164" xr:uid="{00000000-0005-0000-0000-00007A9D0000}"/>
    <cellStyle name="Notas 5 3 6 3 5" xfId="40165" xr:uid="{00000000-0005-0000-0000-00007B9D0000}"/>
    <cellStyle name="Notas 5 3 6 3 6" xfId="40166" xr:uid="{00000000-0005-0000-0000-00007C9D0000}"/>
    <cellStyle name="Notas 5 3 6 4" xfId="40167" xr:uid="{00000000-0005-0000-0000-00007D9D0000}"/>
    <cellStyle name="Notas 5 3 6 4 2" xfId="40168" xr:uid="{00000000-0005-0000-0000-00007E9D0000}"/>
    <cellStyle name="Notas 5 3 6 4 3" xfId="40169" xr:uid="{00000000-0005-0000-0000-00007F9D0000}"/>
    <cellStyle name="Notas 5 3 6 4 4" xfId="40170" xr:uid="{00000000-0005-0000-0000-0000809D0000}"/>
    <cellStyle name="Notas 5 3 6 5" xfId="40171" xr:uid="{00000000-0005-0000-0000-0000819D0000}"/>
    <cellStyle name="Notas 5 3 6 6" xfId="40172" xr:uid="{00000000-0005-0000-0000-0000829D0000}"/>
    <cellStyle name="Notas 5 3 7" xfId="40173" xr:uid="{00000000-0005-0000-0000-0000839D0000}"/>
    <cellStyle name="Notas 5 3 7 2" xfId="40174" xr:uid="{00000000-0005-0000-0000-0000849D0000}"/>
    <cellStyle name="Notas 5 3 7 2 2" xfId="40175" xr:uid="{00000000-0005-0000-0000-0000859D0000}"/>
    <cellStyle name="Notas 5 3 7 2 2 2" xfId="40176" xr:uid="{00000000-0005-0000-0000-0000869D0000}"/>
    <cellStyle name="Notas 5 3 7 2 2 3" xfId="40177" xr:uid="{00000000-0005-0000-0000-0000879D0000}"/>
    <cellStyle name="Notas 5 3 7 2 2 4" xfId="40178" xr:uid="{00000000-0005-0000-0000-0000889D0000}"/>
    <cellStyle name="Notas 5 3 7 2 3" xfId="40179" xr:uid="{00000000-0005-0000-0000-0000899D0000}"/>
    <cellStyle name="Notas 5 3 7 2 3 2" xfId="40180" xr:uid="{00000000-0005-0000-0000-00008A9D0000}"/>
    <cellStyle name="Notas 5 3 7 2 3 3" xfId="40181" xr:uid="{00000000-0005-0000-0000-00008B9D0000}"/>
    <cellStyle name="Notas 5 3 7 2 3 4" xfId="40182" xr:uid="{00000000-0005-0000-0000-00008C9D0000}"/>
    <cellStyle name="Notas 5 3 7 2 4" xfId="40183" xr:uid="{00000000-0005-0000-0000-00008D9D0000}"/>
    <cellStyle name="Notas 5 3 7 2 5" xfId="40184" xr:uid="{00000000-0005-0000-0000-00008E9D0000}"/>
    <cellStyle name="Notas 5 3 7 2 6" xfId="40185" xr:uid="{00000000-0005-0000-0000-00008F9D0000}"/>
    <cellStyle name="Notas 5 3 7 3" xfId="40186" xr:uid="{00000000-0005-0000-0000-0000909D0000}"/>
    <cellStyle name="Notas 5 3 7 3 2" xfId="40187" xr:uid="{00000000-0005-0000-0000-0000919D0000}"/>
    <cellStyle name="Notas 5 3 7 3 2 2" xfId="40188" xr:uid="{00000000-0005-0000-0000-0000929D0000}"/>
    <cellStyle name="Notas 5 3 7 3 2 3" xfId="40189" xr:uid="{00000000-0005-0000-0000-0000939D0000}"/>
    <cellStyle name="Notas 5 3 7 3 2 4" xfId="40190" xr:uid="{00000000-0005-0000-0000-0000949D0000}"/>
    <cellStyle name="Notas 5 3 7 3 3" xfId="40191" xr:uid="{00000000-0005-0000-0000-0000959D0000}"/>
    <cellStyle name="Notas 5 3 7 3 3 2" xfId="40192" xr:uid="{00000000-0005-0000-0000-0000969D0000}"/>
    <cellStyle name="Notas 5 3 7 3 3 3" xfId="40193" xr:uid="{00000000-0005-0000-0000-0000979D0000}"/>
    <cellStyle name="Notas 5 3 7 3 3 4" xfId="40194" xr:uid="{00000000-0005-0000-0000-0000989D0000}"/>
    <cellStyle name="Notas 5 3 7 3 4" xfId="40195" xr:uid="{00000000-0005-0000-0000-0000999D0000}"/>
    <cellStyle name="Notas 5 3 7 3 5" xfId="40196" xr:uid="{00000000-0005-0000-0000-00009A9D0000}"/>
    <cellStyle name="Notas 5 3 7 3 6" xfId="40197" xr:uid="{00000000-0005-0000-0000-00009B9D0000}"/>
    <cellStyle name="Notas 5 3 7 4" xfId="40198" xr:uid="{00000000-0005-0000-0000-00009C9D0000}"/>
    <cellStyle name="Notas 5 3 7 4 2" xfId="40199" xr:uid="{00000000-0005-0000-0000-00009D9D0000}"/>
    <cellStyle name="Notas 5 3 7 4 3" xfId="40200" xr:uid="{00000000-0005-0000-0000-00009E9D0000}"/>
    <cellStyle name="Notas 5 3 7 4 4" xfId="40201" xr:uid="{00000000-0005-0000-0000-00009F9D0000}"/>
    <cellStyle name="Notas 5 3 7 5" xfId="40202" xr:uid="{00000000-0005-0000-0000-0000A09D0000}"/>
    <cellStyle name="Notas 5 3 7 6" xfId="40203" xr:uid="{00000000-0005-0000-0000-0000A19D0000}"/>
    <cellStyle name="Notas 5 3 8" xfId="40204" xr:uid="{00000000-0005-0000-0000-0000A29D0000}"/>
    <cellStyle name="Notas 5 3 8 2" xfId="40205" xr:uid="{00000000-0005-0000-0000-0000A39D0000}"/>
    <cellStyle name="Notas 5 3 8 2 2" xfId="40206" xr:uid="{00000000-0005-0000-0000-0000A49D0000}"/>
    <cellStyle name="Notas 5 3 8 2 2 2" xfId="40207" xr:uid="{00000000-0005-0000-0000-0000A59D0000}"/>
    <cellStyle name="Notas 5 3 8 2 2 3" xfId="40208" xr:uid="{00000000-0005-0000-0000-0000A69D0000}"/>
    <cellStyle name="Notas 5 3 8 2 2 4" xfId="40209" xr:uid="{00000000-0005-0000-0000-0000A79D0000}"/>
    <cellStyle name="Notas 5 3 8 2 3" xfId="40210" xr:uid="{00000000-0005-0000-0000-0000A89D0000}"/>
    <cellStyle name="Notas 5 3 8 2 3 2" xfId="40211" xr:uid="{00000000-0005-0000-0000-0000A99D0000}"/>
    <cellStyle name="Notas 5 3 8 2 3 3" xfId="40212" xr:uid="{00000000-0005-0000-0000-0000AA9D0000}"/>
    <cellStyle name="Notas 5 3 8 2 3 4" xfId="40213" xr:uid="{00000000-0005-0000-0000-0000AB9D0000}"/>
    <cellStyle name="Notas 5 3 8 2 4" xfId="40214" xr:uid="{00000000-0005-0000-0000-0000AC9D0000}"/>
    <cellStyle name="Notas 5 3 8 2 5" xfId="40215" xr:uid="{00000000-0005-0000-0000-0000AD9D0000}"/>
    <cellStyle name="Notas 5 3 8 2 6" xfId="40216" xr:uid="{00000000-0005-0000-0000-0000AE9D0000}"/>
    <cellStyle name="Notas 5 3 8 3" xfId="40217" xr:uid="{00000000-0005-0000-0000-0000AF9D0000}"/>
    <cellStyle name="Notas 5 3 8 3 2" xfId="40218" xr:uid="{00000000-0005-0000-0000-0000B09D0000}"/>
    <cellStyle name="Notas 5 3 8 3 2 2" xfId="40219" xr:uid="{00000000-0005-0000-0000-0000B19D0000}"/>
    <cellStyle name="Notas 5 3 8 3 2 3" xfId="40220" xr:uid="{00000000-0005-0000-0000-0000B29D0000}"/>
    <cellStyle name="Notas 5 3 8 3 2 4" xfId="40221" xr:uid="{00000000-0005-0000-0000-0000B39D0000}"/>
    <cellStyle name="Notas 5 3 8 3 3" xfId="40222" xr:uid="{00000000-0005-0000-0000-0000B49D0000}"/>
    <cellStyle name="Notas 5 3 8 3 3 2" xfId="40223" xr:uid="{00000000-0005-0000-0000-0000B59D0000}"/>
    <cellStyle name="Notas 5 3 8 3 3 3" xfId="40224" xr:uid="{00000000-0005-0000-0000-0000B69D0000}"/>
    <cellStyle name="Notas 5 3 8 3 3 4" xfId="40225" xr:uid="{00000000-0005-0000-0000-0000B79D0000}"/>
    <cellStyle name="Notas 5 3 8 3 4" xfId="40226" xr:uid="{00000000-0005-0000-0000-0000B89D0000}"/>
    <cellStyle name="Notas 5 3 8 3 5" xfId="40227" xr:uid="{00000000-0005-0000-0000-0000B99D0000}"/>
    <cellStyle name="Notas 5 3 8 3 6" xfId="40228" xr:uid="{00000000-0005-0000-0000-0000BA9D0000}"/>
    <cellStyle name="Notas 5 3 8 4" xfId="40229" xr:uid="{00000000-0005-0000-0000-0000BB9D0000}"/>
    <cellStyle name="Notas 5 3 8 4 2" xfId="40230" xr:uid="{00000000-0005-0000-0000-0000BC9D0000}"/>
    <cellStyle name="Notas 5 3 8 4 3" xfId="40231" xr:uid="{00000000-0005-0000-0000-0000BD9D0000}"/>
    <cellStyle name="Notas 5 3 8 4 4" xfId="40232" xr:uid="{00000000-0005-0000-0000-0000BE9D0000}"/>
    <cellStyle name="Notas 5 3 8 5" xfId="40233" xr:uid="{00000000-0005-0000-0000-0000BF9D0000}"/>
    <cellStyle name="Notas 5 3 8 6" xfId="40234" xr:uid="{00000000-0005-0000-0000-0000C09D0000}"/>
    <cellStyle name="Notas 5 3 9" xfId="40235" xr:uid="{00000000-0005-0000-0000-0000C19D0000}"/>
    <cellStyle name="Notas 5 3 9 2" xfId="40236" xr:uid="{00000000-0005-0000-0000-0000C29D0000}"/>
    <cellStyle name="Notas 5 3 9 2 2" xfId="40237" xr:uid="{00000000-0005-0000-0000-0000C39D0000}"/>
    <cellStyle name="Notas 5 3 9 2 2 2" xfId="40238" xr:uid="{00000000-0005-0000-0000-0000C49D0000}"/>
    <cellStyle name="Notas 5 3 9 2 2 3" xfId="40239" xr:uid="{00000000-0005-0000-0000-0000C59D0000}"/>
    <cellStyle name="Notas 5 3 9 2 2 4" xfId="40240" xr:uid="{00000000-0005-0000-0000-0000C69D0000}"/>
    <cellStyle name="Notas 5 3 9 2 3" xfId="40241" xr:uid="{00000000-0005-0000-0000-0000C79D0000}"/>
    <cellStyle name="Notas 5 3 9 2 3 2" xfId="40242" xr:uid="{00000000-0005-0000-0000-0000C89D0000}"/>
    <cellStyle name="Notas 5 3 9 2 3 3" xfId="40243" xr:uid="{00000000-0005-0000-0000-0000C99D0000}"/>
    <cellStyle name="Notas 5 3 9 2 3 4" xfId="40244" xr:uid="{00000000-0005-0000-0000-0000CA9D0000}"/>
    <cellStyle name="Notas 5 3 9 2 4" xfId="40245" xr:uid="{00000000-0005-0000-0000-0000CB9D0000}"/>
    <cellStyle name="Notas 5 3 9 2 5" xfId="40246" xr:uid="{00000000-0005-0000-0000-0000CC9D0000}"/>
    <cellStyle name="Notas 5 3 9 2 6" xfId="40247" xr:uid="{00000000-0005-0000-0000-0000CD9D0000}"/>
    <cellStyle name="Notas 5 3 9 3" xfId="40248" xr:uid="{00000000-0005-0000-0000-0000CE9D0000}"/>
    <cellStyle name="Notas 5 3 9 3 2" xfId="40249" xr:uid="{00000000-0005-0000-0000-0000CF9D0000}"/>
    <cellStyle name="Notas 5 3 9 3 2 2" xfId="40250" xr:uid="{00000000-0005-0000-0000-0000D09D0000}"/>
    <cellStyle name="Notas 5 3 9 3 2 3" xfId="40251" xr:uid="{00000000-0005-0000-0000-0000D19D0000}"/>
    <cellStyle name="Notas 5 3 9 3 2 4" xfId="40252" xr:uid="{00000000-0005-0000-0000-0000D29D0000}"/>
    <cellStyle name="Notas 5 3 9 3 3" xfId="40253" xr:uid="{00000000-0005-0000-0000-0000D39D0000}"/>
    <cellStyle name="Notas 5 3 9 3 3 2" xfId="40254" xr:uid="{00000000-0005-0000-0000-0000D49D0000}"/>
    <cellStyle name="Notas 5 3 9 3 3 3" xfId="40255" xr:uid="{00000000-0005-0000-0000-0000D59D0000}"/>
    <cellStyle name="Notas 5 3 9 3 3 4" xfId="40256" xr:uid="{00000000-0005-0000-0000-0000D69D0000}"/>
    <cellStyle name="Notas 5 3 9 3 4" xfId="40257" xr:uid="{00000000-0005-0000-0000-0000D79D0000}"/>
    <cellStyle name="Notas 5 3 9 3 5" xfId="40258" xr:uid="{00000000-0005-0000-0000-0000D89D0000}"/>
    <cellStyle name="Notas 5 3 9 3 6" xfId="40259" xr:uid="{00000000-0005-0000-0000-0000D99D0000}"/>
    <cellStyle name="Notas 5 3 9 4" xfId="40260" xr:uid="{00000000-0005-0000-0000-0000DA9D0000}"/>
    <cellStyle name="Notas 5 3 9 4 2" xfId="40261" xr:uid="{00000000-0005-0000-0000-0000DB9D0000}"/>
    <cellStyle name="Notas 5 3 9 4 3" xfId="40262" xr:uid="{00000000-0005-0000-0000-0000DC9D0000}"/>
    <cellStyle name="Notas 5 3 9 4 4" xfId="40263" xr:uid="{00000000-0005-0000-0000-0000DD9D0000}"/>
    <cellStyle name="Notas 5 3 9 5" xfId="40264" xr:uid="{00000000-0005-0000-0000-0000DE9D0000}"/>
    <cellStyle name="Notas 5 3 9 6" xfId="40265" xr:uid="{00000000-0005-0000-0000-0000DF9D0000}"/>
    <cellStyle name="Notas 5 4" xfId="40266" xr:uid="{00000000-0005-0000-0000-0000E09D0000}"/>
    <cellStyle name="Notas 5 4 10" xfId="40267" xr:uid="{00000000-0005-0000-0000-0000E19D0000}"/>
    <cellStyle name="Notas 5 4 10 2" xfId="40268" xr:uid="{00000000-0005-0000-0000-0000E29D0000}"/>
    <cellStyle name="Notas 5 4 10 2 2" xfId="40269" xr:uid="{00000000-0005-0000-0000-0000E39D0000}"/>
    <cellStyle name="Notas 5 4 10 2 2 2" xfId="40270" xr:uid="{00000000-0005-0000-0000-0000E49D0000}"/>
    <cellStyle name="Notas 5 4 10 2 2 3" xfId="40271" xr:uid="{00000000-0005-0000-0000-0000E59D0000}"/>
    <cellStyle name="Notas 5 4 10 2 2 4" xfId="40272" xr:uid="{00000000-0005-0000-0000-0000E69D0000}"/>
    <cellStyle name="Notas 5 4 10 2 3" xfId="40273" xr:uid="{00000000-0005-0000-0000-0000E79D0000}"/>
    <cellStyle name="Notas 5 4 10 2 3 2" xfId="40274" xr:uid="{00000000-0005-0000-0000-0000E89D0000}"/>
    <cellStyle name="Notas 5 4 10 2 3 3" xfId="40275" xr:uid="{00000000-0005-0000-0000-0000E99D0000}"/>
    <cellStyle name="Notas 5 4 10 2 3 4" xfId="40276" xr:uid="{00000000-0005-0000-0000-0000EA9D0000}"/>
    <cellStyle name="Notas 5 4 10 2 4" xfId="40277" xr:uid="{00000000-0005-0000-0000-0000EB9D0000}"/>
    <cellStyle name="Notas 5 4 10 2 5" xfId="40278" xr:uid="{00000000-0005-0000-0000-0000EC9D0000}"/>
    <cellStyle name="Notas 5 4 10 2 6" xfId="40279" xr:uid="{00000000-0005-0000-0000-0000ED9D0000}"/>
    <cellStyle name="Notas 5 4 10 3" xfId="40280" xr:uid="{00000000-0005-0000-0000-0000EE9D0000}"/>
    <cellStyle name="Notas 5 4 10 3 2" xfId="40281" xr:uid="{00000000-0005-0000-0000-0000EF9D0000}"/>
    <cellStyle name="Notas 5 4 10 3 2 2" xfId="40282" xr:uid="{00000000-0005-0000-0000-0000F09D0000}"/>
    <cellStyle name="Notas 5 4 10 3 2 3" xfId="40283" xr:uid="{00000000-0005-0000-0000-0000F19D0000}"/>
    <cellStyle name="Notas 5 4 10 3 2 4" xfId="40284" xr:uid="{00000000-0005-0000-0000-0000F29D0000}"/>
    <cellStyle name="Notas 5 4 10 3 3" xfId="40285" xr:uid="{00000000-0005-0000-0000-0000F39D0000}"/>
    <cellStyle name="Notas 5 4 10 3 3 2" xfId="40286" xr:uid="{00000000-0005-0000-0000-0000F49D0000}"/>
    <cellStyle name="Notas 5 4 10 3 3 3" xfId="40287" xr:uid="{00000000-0005-0000-0000-0000F59D0000}"/>
    <cellStyle name="Notas 5 4 10 3 3 4" xfId="40288" xr:uid="{00000000-0005-0000-0000-0000F69D0000}"/>
    <cellStyle name="Notas 5 4 10 3 4" xfId="40289" xr:uid="{00000000-0005-0000-0000-0000F79D0000}"/>
    <cellStyle name="Notas 5 4 10 3 5" xfId="40290" xr:uid="{00000000-0005-0000-0000-0000F89D0000}"/>
    <cellStyle name="Notas 5 4 10 3 6" xfId="40291" xr:uid="{00000000-0005-0000-0000-0000F99D0000}"/>
    <cellStyle name="Notas 5 4 10 4" xfId="40292" xr:uid="{00000000-0005-0000-0000-0000FA9D0000}"/>
    <cellStyle name="Notas 5 4 10 5" xfId="40293" xr:uid="{00000000-0005-0000-0000-0000FB9D0000}"/>
    <cellStyle name="Notas 5 4 10 6" xfId="40294" xr:uid="{00000000-0005-0000-0000-0000FC9D0000}"/>
    <cellStyle name="Notas 5 4 11" xfId="40295" xr:uid="{00000000-0005-0000-0000-0000FD9D0000}"/>
    <cellStyle name="Notas 5 4 12" xfId="40296" xr:uid="{00000000-0005-0000-0000-0000FE9D0000}"/>
    <cellStyle name="Notas 5 4 2" xfId="40297" xr:uid="{00000000-0005-0000-0000-0000FF9D0000}"/>
    <cellStyle name="Notas 5 4 2 2" xfId="40298" xr:uid="{00000000-0005-0000-0000-0000009E0000}"/>
    <cellStyle name="Notas 5 4 2 2 2" xfId="40299" xr:uid="{00000000-0005-0000-0000-0000019E0000}"/>
    <cellStyle name="Notas 5 4 2 2 2 2" xfId="40300" xr:uid="{00000000-0005-0000-0000-0000029E0000}"/>
    <cellStyle name="Notas 5 4 2 2 2 2 2" xfId="40301" xr:uid="{00000000-0005-0000-0000-0000039E0000}"/>
    <cellStyle name="Notas 5 4 2 2 2 2 3" xfId="40302" xr:uid="{00000000-0005-0000-0000-0000049E0000}"/>
    <cellStyle name="Notas 5 4 2 2 2 2 4" xfId="40303" xr:uid="{00000000-0005-0000-0000-0000059E0000}"/>
    <cellStyle name="Notas 5 4 2 2 2 3" xfId="40304" xr:uid="{00000000-0005-0000-0000-0000069E0000}"/>
    <cellStyle name="Notas 5 4 2 2 2 3 2" xfId="40305" xr:uid="{00000000-0005-0000-0000-0000079E0000}"/>
    <cellStyle name="Notas 5 4 2 2 2 3 3" xfId="40306" xr:uid="{00000000-0005-0000-0000-0000089E0000}"/>
    <cellStyle name="Notas 5 4 2 2 2 3 4" xfId="40307" xr:uid="{00000000-0005-0000-0000-0000099E0000}"/>
    <cellStyle name="Notas 5 4 2 2 2 4" xfId="40308" xr:uid="{00000000-0005-0000-0000-00000A9E0000}"/>
    <cellStyle name="Notas 5 4 2 2 2 5" xfId="40309" xr:uid="{00000000-0005-0000-0000-00000B9E0000}"/>
    <cellStyle name="Notas 5 4 2 2 2 6" xfId="40310" xr:uid="{00000000-0005-0000-0000-00000C9E0000}"/>
    <cellStyle name="Notas 5 4 2 2 3" xfId="40311" xr:uid="{00000000-0005-0000-0000-00000D9E0000}"/>
    <cellStyle name="Notas 5 4 2 2 3 2" xfId="40312" xr:uid="{00000000-0005-0000-0000-00000E9E0000}"/>
    <cellStyle name="Notas 5 4 2 2 3 2 2" xfId="40313" xr:uid="{00000000-0005-0000-0000-00000F9E0000}"/>
    <cellStyle name="Notas 5 4 2 2 3 2 3" xfId="40314" xr:uid="{00000000-0005-0000-0000-0000109E0000}"/>
    <cellStyle name="Notas 5 4 2 2 3 2 4" xfId="40315" xr:uid="{00000000-0005-0000-0000-0000119E0000}"/>
    <cellStyle name="Notas 5 4 2 2 3 3" xfId="40316" xr:uid="{00000000-0005-0000-0000-0000129E0000}"/>
    <cellStyle name="Notas 5 4 2 2 3 3 2" xfId="40317" xr:uid="{00000000-0005-0000-0000-0000139E0000}"/>
    <cellStyle name="Notas 5 4 2 2 3 3 3" xfId="40318" xr:uid="{00000000-0005-0000-0000-0000149E0000}"/>
    <cellStyle name="Notas 5 4 2 2 3 3 4" xfId="40319" xr:uid="{00000000-0005-0000-0000-0000159E0000}"/>
    <cellStyle name="Notas 5 4 2 2 3 4" xfId="40320" xr:uid="{00000000-0005-0000-0000-0000169E0000}"/>
    <cellStyle name="Notas 5 4 2 2 3 5" xfId="40321" xr:uid="{00000000-0005-0000-0000-0000179E0000}"/>
    <cellStyle name="Notas 5 4 2 2 3 6" xfId="40322" xr:uid="{00000000-0005-0000-0000-0000189E0000}"/>
    <cellStyle name="Notas 5 4 2 2 4" xfId="40323" xr:uid="{00000000-0005-0000-0000-0000199E0000}"/>
    <cellStyle name="Notas 5 4 2 2 5" xfId="40324" xr:uid="{00000000-0005-0000-0000-00001A9E0000}"/>
    <cellStyle name="Notas 5 4 2 2 6" xfId="40325" xr:uid="{00000000-0005-0000-0000-00001B9E0000}"/>
    <cellStyle name="Notas 5 4 2 3" xfId="40326" xr:uid="{00000000-0005-0000-0000-00001C9E0000}"/>
    <cellStyle name="Notas 5 4 2 4" xfId="40327" xr:uid="{00000000-0005-0000-0000-00001D9E0000}"/>
    <cellStyle name="Notas 5 4 3" xfId="40328" xr:uid="{00000000-0005-0000-0000-00001E9E0000}"/>
    <cellStyle name="Notas 5 4 3 2" xfId="40329" xr:uid="{00000000-0005-0000-0000-00001F9E0000}"/>
    <cellStyle name="Notas 5 4 3 2 2" xfId="40330" xr:uid="{00000000-0005-0000-0000-0000209E0000}"/>
    <cellStyle name="Notas 5 4 3 2 2 2" xfId="40331" xr:uid="{00000000-0005-0000-0000-0000219E0000}"/>
    <cellStyle name="Notas 5 4 3 2 2 2 2" xfId="40332" xr:uid="{00000000-0005-0000-0000-0000229E0000}"/>
    <cellStyle name="Notas 5 4 3 2 2 2 3" xfId="40333" xr:uid="{00000000-0005-0000-0000-0000239E0000}"/>
    <cellStyle name="Notas 5 4 3 2 2 2 4" xfId="40334" xr:uid="{00000000-0005-0000-0000-0000249E0000}"/>
    <cellStyle name="Notas 5 4 3 2 2 3" xfId="40335" xr:uid="{00000000-0005-0000-0000-0000259E0000}"/>
    <cellStyle name="Notas 5 4 3 2 2 3 2" xfId="40336" xr:uid="{00000000-0005-0000-0000-0000269E0000}"/>
    <cellStyle name="Notas 5 4 3 2 2 3 3" xfId="40337" xr:uid="{00000000-0005-0000-0000-0000279E0000}"/>
    <cellStyle name="Notas 5 4 3 2 2 3 4" xfId="40338" xr:uid="{00000000-0005-0000-0000-0000289E0000}"/>
    <cellStyle name="Notas 5 4 3 2 2 4" xfId="40339" xr:uid="{00000000-0005-0000-0000-0000299E0000}"/>
    <cellStyle name="Notas 5 4 3 2 2 5" xfId="40340" xr:uid="{00000000-0005-0000-0000-00002A9E0000}"/>
    <cellStyle name="Notas 5 4 3 2 2 6" xfId="40341" xr:uid="{00000000-0005-0000-0000-00002B9E0000}"/>
    <cellStyle name="Notas 5 4 3 2 3" xfId="40342" xr:uid="{00000000-0005-0000-0000-00002C9E0000}"/>
    <cellStyle name="Notas 5 4 3 2 3 2" xfId="40343" xr:uid="{00000000-0005-0000-0000-00002D9E0000}"/>
    <cellStyle name="Notas 5 4 3 2 3 2 2" xfId="40344" xr:uid="{00000000-0005-0000-0000-00002E9E0000}"/>
    <cellStyle name="Notas 5 4 3 2 3 2 3" xfId="40345" xr:uid="{00000000-0005-0000-0000-00002F9E0000}"/>
    <cellStyle name="Notas 5 4 3 2 3 2 4" xfId="40346" xr:uid="{00000000-0005-0000-0000-0000309E0000}"/>
    <cellStyle name="Notas 5 4 3 2 3 3" xfId="40347" xr:uid="{00000000-0005-0000-0000-0000319E0000}"/>
    <cellStyle name="Notas 5 4 3 2 3 3 2" xfId="40348" xr:uid="{00000000-0005-0000-0000-0000329E0000}"/>
    <cellStyle name="Notas 5 4 3 2 3 3 3" xfId="40349" xr:uid="{00000000-0005-0000-0000-0000339E0000}"/>
    <cellStyle name="Notas 5 4 3 2 3 3 4" xfId="40350" xr:uid="{00000000-0005-0000-0000-0000349E0000}"/>
    <cellStyle name="Notas 5 4 3 2 3 4" xfId="40351" xr:uid="{00000000-0005-0000-0000-0000359E0000}"/>
    <cellStyle name="Notas 5 4 3 2 3 5" xfId="40352" xr:uid="{00000000-0005-0000-0000-0000369E0000}"/>
    <cellStyle name="Notas 5 4 3 2 3 6" xfId="40353" xr:uid="{00000000-0005-0000-0000-0000379E0000}"/>
    <cellStyle name="Notas 5 4 3 2 4" xfId="40354" xr:uid="{00000000-0005-0000-0000-0000389E0000}"/>
    <cellStyle name="Notas 5 4 3 2 5" xfId="40355" xr:uid="{00000000-0005-0000-0000-0000399E0000}"/>
    <cellStyle name="Notas 5 4 3 2 6" xfId="40356" xr:uid="{00000000-0005-0000-0000-00003A9E0000}"/>
    <cellStyle name="Notas 5 4 3 3" xfId="40357" xr:uid="{00000000-0005-0000-0000-00003B9E0000}"/>
    <cellStyle name="Notas 5 4 3 4" xfId="40358" xr:uid="{00000000-0005-0000-0000-00003C9E0000}"/>
    <cellStyle name="Notas 5 4 4" xfId="40359" xr:uid="{00000000-0005-0000-0000-00003D9E0000}"/>
    <cellStyle name="Notas 5 4 4 2" xfId="40360" xr:uid="{00000000-0005-0000-0000-00003E9E0000}"/>
    <cellStyle name="Notas 5 4 4 2 2" xfId="40361" xr:uid="{00000000-0005-0000-0000-00003F9E0000}"/>
    <cellStyle name="Notas 5 4 4 2 2 2" xfId="40362" xr:uid="{00000000-0005-0000-0000-0000409E0000}"/>
    <cellStyle name="Notas 5 4 4 2 2 2 2" xfId="40363" xr:uid="{00000000-0005-0000-0000-0000419E0000}"/>
    <cellStyle name="Notas 5 4 4 2 2 2 3" xfId="40364" xr:uid="{00000000-0005-0000-0000-0000429E0000}"/>
    <cellStyle name="Notas 5 4 4 2 2 2 4" xfId="40365" xr:uid="{00000000-0005-0000-0000-0000439E0000}"/>
    <cellStyle name="Notas 5 4 4 2 2 3" xfId="40366" xr:uid="{00000000-0005-0000-0000-0000449E0000}"/>
    <cellStyle name="Notas 5 4 4 2 2 3 2" xfId="40367" xr:uid="{00000000-0005-0000-0000-0000459E0000}"/>
    <cellStyle name="Notas 5 4 4 2 2 3 3" xfId="40368" xr:uid="{00000000-0005-0000-0000-0000469E0000}"/>
    <cellStyle name="Notas 5 4 4 2 2 3 4" xfId="40369" xr:uid="{00000000-0005-0000-0000-0000479E0000}"/>
    <cellStyle name="Notas 5 4 4 2 2 4" xfId="40370" xr:uid="{00000000-0005-0000-0000-0000489E0000}"/>
    <cellStyle name="Notas 5 4 4 2 2 5" xfId="40371" xr:uid="{00000000-0005-0000-0000-0000499E0000}"/>
    <cellStyle name="Notas 5 4 4 2 2 6" xfId="40372" xr:uid="{00000000-0005-0000-0000-00004A9E0000}"/>
    <cellStyle name="Notas 5 4 4 2 3" xfId="40373" xr:uid="{00000000-0005-0000-0000-00004B9E0000}"/>
    <cellStyle name="Notas 5 4 4 2 3 2" xfId="40374" xr:uid="{00000000-0005-0000-0000-00004C9E0000}"/>
    <cellStyle name="Notas 5 4 4 2 3 2 2" xfId="40375" xr:uid="{00000000-0005-0000-0000-00004D9E0000}"/>
    <cellStyle name="Notas 5 4 4 2 3 2 3" xfId="40376" xr:uid="{00000000-0005-0000-0000-00004E9E0000}"/>
    <cellStyle name="Notas 5 4 4 2 3 2 4" xfId="40377" xr:uid="{00000000-0005-0000-0000-00004F9E0000}"/>
    <cellStyle name="Notas 5 4 4 2 3 3" xfId="40378" xr:uid="{00000000-0005-0000-0000-0000509E0000}"/>
    <cellStyle name="Notas 5 4 4 2 3 3 2" xfId="40379" xr:uid="{00000000-0005-0000-0000-0000519E0000}"/>
    <cellStyle name="Notas 5 4 4 2 3 3 3" xfId="40380" xr:uid="{00000000-0005-0000-0000-0000529E0000}"/>
    <cellStyle name="Notas 5 4 4 2 3 3 4" xfId="40381" xr:uid="{00000000-0005-0000-0000-0000539E0000}"/>
    <cellStyle name="Notas 5 4 4 2 3 4" xfId="40382" xr:uid="{00000000-0005-0000-0000-0000549E0000}"/>
    <cellStyle name="Notas 5 4 4 2 3 5" xfId="40383" xr:uid="{00000000-0005-0000-0000-0000559E0000}"/>
    <cellStyle name="Notas 5 4 4 2 3 6" xfId="40384" xr:uid="{00000000-0005-0000-0000-0000569E0000}"/>
    <cellStyle name="Notas 5 4 4 2 4" xfId="40385" xr:uid="{00000000-0005-0000-0000-0000579E0000}"/>
    <cellStyle name="Notas 5 4 4 2 5" xfId="40386" xr:uid="{00000000-0005-0000-0000-0000589E0000}"/>
    <cellStyle name="Notas 5 4 4 2 6" xfId="40387" xr:uid="{00000000-0005-0000-0000-0000599E0000}"/>
    <cellStyle name="Notas 5 4 4 3" xfId="40388" xr:uid="{00000000-0005-0000-0000-00005A9E0000}"/>
    <cellStyle name="Notas 5 4 4 4" xfId="40389" xr:uid="{00000000-0005-0000-0000-00005B9E0000}"/>
    <cellStyle name="Notas 5 4 5" xfId="40390" xr:uid="{00000000-0005-0000-0000-00005C9E0000}"/>
    <cellStyle name="Notas 5 4 5 2" xfId="40391" xr:uid="{00000000-0005-0000-0000-00005D9E0000}"/>
    <cellStyle name="Notas 5 4 5 2 2" xfId="40392" xr:uid="{00000000-0005-0000-0000-00005E9E0000}"/>
    <cellStyle name="Notas 5 4 5 2 2 2" xfId="40393" xr:uid="{00000000-0005-0000-0000-00005F9E0000}"/>
    <cellStyle name="Notas 5 4 5 2 2 2 2" xfId="40394" xr:uid="{00000000-0005-0000-0000-0000609E0000}"/>
    <cellStyle name="Notas 5 4 5 2 2 2 3" xfId="40395" xr:uid="{00000000-0005-0000-0000-0000619E0000}"/>
    <cellStyle name="Notas 5 4 5 2 2 2 4" xfId="40396" xr:uid="{00000000-0005-0000-0000-0000629E0000}"/>
    <cellStyle name="Notas 5 4 5 2 2 3" xfId="40397" xr:uid="{00000000-0005-0000-0000-0000639E0000}"/>
    <cellStyle name="Notas 5 4 5 2 2 3 2" xfId="40398" xr:uid="{00000000-0005-0000-0000-0000649E0000}"/>
    <cellStyle name="Notas 5 4 5 2 2 3 3" xfId="40399" xr:uid="{00000000-0005-0000-0000-0000659E0000}"/>
    <cellStyle name="Notas 5 4 5 2 2 3 4" xfId="40400" xr:uid="{00000000-0005-0000-0000-0000669E0000}"/>
    <cellStyle name="Notas 5 4 5 2 2 4" xfId="40401" xr:uid="{00000000-0005-0000-0000-0000679E0000}"/>
    <cellStyle name="Notas 5 4 5 2 2 5" xfId="40402" xr:uid="{00000000-0005-0000-0000-0000689E0000}"/>
    <cellStyle name="Notas 5 4 5 2 2 6" xfId="40403" xr:uid="{00000000-0005-0000-0000-0000699E0000}"/>
    <cellStyle name="Notas 5 4 5 2 3" xfId="40404" xr:uid="{00000000-0005-0000-0000-00006A9E0000}"/>
    <cellStyle name="Notas 5 4 5 2 3 2" xfId="40405" xr:uid="{00000000-0005-0000-0000-00006B9E0000}"/>
    <cellStyle name="Notas 5 4 5 2 3 2 2" xfId="40406" xr:uid="{00000000-0005-0000-0000-00006C9E0000}"/>
    <cellStyle name="Notas 5 4 5 2 3 2 3" xfId="40407" xr:uid="{00000000-0005-0000-0000-00006D9E0000}"/>
    <cellStyle name="Notas 5 4 5 2 3 2 4" xfId="40408" xr:uid="{00000000-0005-0000-0000-00006E9E0000}"/>
    <cellStyle name="Notas 5 4 5 2 3 3" xfId="40409" xr:uid="{00000000-0005-0000-0000-00006F9E0000}"/>
    <cellStyle name="Notas 5 4 5 2 3 3 2" xfId="40410" xr:uid="{00000000-0005-0000-0000-0000709E0000}"/>
    <cellStyle name="Notas 5 4 5 2 3 3 3" xfId="40411" xr:uid="{00000000-0005-0000-0000-0000719E0000}"/>
    <cellStyle name="Notas 5 4 5 2 3 3 4" xfId="40412" xr:uid="{00000000-0005-0000-0000-0000729E0000}"/>
    <cellStyle name="Notas 5 4 5 2 3 4" xfId="40413" xr:uid="{00000000-0005-0000-0000-0000739E0000}"/>
    <cellStyle name="Notas 5 4 5 2 3 5" xfId="40414" xr:uid="{00000000-0005-0000-0000-0000749E0000}"/>
    <cellStyle name="Notas 5 4 5 2 3 6" xfId="40415" xr:uid="{00000000-0005-0000-0000-0000759E0000}"/>
    <cellStyle name="Notas 5 4 5 2 4" xfId="40416" xr:uid="{00000000-0005-0000-0000-0000769E0000}"/>
    <cellStyle name="Notas 5 4 5 2 5" xfId="40417" xr:uid="{00000000-0005-0000-0000-0000779E0000}"/>
    <cellStyle name="Notas 5 4 5 2 6" xfId="40418" xr:uid="{00000000-0005-0000-0000-0000789E0000}"/>
    <cellStyle name="Notas 5 4 5 3" xfId="40419" xr:uid="{00000000-0005-0000-0000-0000799E0000}"/>
    <cellStyle name="Notas 5 4 5 4" xfId="40420" xr:uid="{00000000-0005-0000-0000-00007A9E0000}"/>
    <cellStyle name="Notas 5 4 6" xfId="40421" xr:uid="{00000000-0005-0000-0000-00007B9E0000}"/>
    <cellStyle name="Notas 5 4 6 2" xfId="40422" xr:uid="{00000000-0005-0000-0000-00007C9E0000}"/>
    <cellStyle name="Notas 5 4 6 2 2" xfId="40423" xr:uid="{00000000-0005-0000-0000-00007D9E0000}"/>
    <cellStyle name="Notas 5 4 6 2 2 2" xfId="40424" xr:uid="{00000000-0005-0000-0000-00007E9E0000}"/>
    <cellStyle name="Notas 5 4 6 2 2 3" xfId="40425" xr:uid="{00000000-0005-0000-0000-00007F9E0000}"/>
    <cellStyle name="Notas 5 4 6 2 2 4" xfId="40426" xr:uid="{00000000-0005-0000-0000-0000809E0000}"/>
    <cellStyle name="Notas 5 4 6 2 3" xfId="40427" xr:uid="{00000000-0005-0000-0000-0000819E0000}"/>
    <cellStyle name="Notas 5 4 6 2 3 2" xfId="40428" xr:uid="{00000000-0005-0000-0000-0000829E0000}"/>
    <cellStyle name="Notas 5 4 6 2 3 3" xfId="40429" xr:uid="{00000000-0005-0000-0000-0000839E0000}"/>
    <cellStyle name="Notas 5 4 6 2 3 4" xfId="40430" xr:uid="{00000000-0005-0000-0000-0000849E0000}"/>
    <cellStyle name="Notas 5 4 6 2 4" xfId="40431" xr:uid="{00000000-0005-0000-0000-0000859E0000}"/>
    <cellStyle name="Notas 5 4 6 2 5" xfId="40432" xr:uid="{00000000-0005-0000-0000-0000869E0000}"/>
    <cellStyle name="Notas 5 4 6 2 6" xfId="40433" xr:uid="{00000000-0005-0000-0000-0000879E0000}"/>
    <cellStyle name="Notas 5 4 6 3" xfId="40434" xr:uid="{00000000-0005-0000-0000-0000889E0000}"/>
    <cellStyle name="Notas 5 4 6 3 2" xfId="40435" xr:uid="{00000000-0005-0000-0000-0000899E0000}"/>
    <cellStyle name="Notas 5 4 6 3 2 2" xfId="40436" xr:uid="{00000000-0005-0000-0000-00008A9E0000}"/>
    <cellStyle name="Notas 5 4 6 3 2 3" xfId="40437" xr:uid="{00000000-0005-0000-0000-00008B9E0000}"/>
    <cellStyle name="Notas 5 4 6 3 2 4" xfId="40438" xr:uid="{00000000-0005-0000-0000-00008C9E0000}"/>
    <cellStyle name="Notas 5 4 6 3 3" xfId="40439" xr:uid="{00000000-0005-0000-0000-00008D9E0000}"/>
    <cellStyle name="Notas 5 4 6 3 3 2" xfId="40440" xr:uid="{00000000-0005-0000-0000-00008E9E0000}"/>
    <cellStyle name="Notas 5 4 6 3 3 3" xfId="40441" xr:uid="{00000000-0005-0000-0000-00008F9E0000}"/>
    <cellStyle name="Notas 5 4 6 3 3 4" xfId="40442" xr:uid="{00000000-0005-0000-0000-0000909E0000}"/>
    <cellStyle name="Notas 5 4 6 3 4" xfId="40443" xr:uid="{00000000-0005-0000-0000-0000919E0000}"/>
    <cellStyle name="Notas 5 4 6 3 5" xfId="40444" xr:uid="{00000000-0005-0000-0000-0000929E0000}"/>
    <cellStyle name="Notas 5 4 6 3 6" xfId="40445" xr:uid="{00000000-0005-0000-0000-0000939E0000}"/>
    <cellStyle name="Notas 5 4 6 4" xfId="40446" xr:uid="{00000000-0005-0000-0000-0000949E0000}"/>
    <cellStyle name="Notas 5 4 6 4 2" xfId="40447" xr:uid="{00000000-0005-0000-0000-0000959E0000}"/>
    <cellStyle name="Notas 5 4 6 4 3" xfId="40448" xr:uid="{00000000-0005-0000-0000-0000969E0000}"/>
    <cellStyle name="Notas 5 4 6 4 4" xfId="40449" xr:uid="{00000000-0005-0000-0000-0000979E0000}"/>
    <cellStyle name="Notas 5 4 6 5" xfId="40450" xr:uid="{00000000-0005-0000-0000-0000989E0000}"/>
    <cellStyle name="Notas 5 4 6 6" xfId="40451" xr:uid="{00000000-0005-0000-0000-0000999E0000}"/>
    <cellStyle name="Notas 5 4 7" xfId="40452" xr:uid="{00000000-0005-0000-0000-00009A9E0000}"/>
    <cellStyle name="Notas 5 4 7 2" xfId="40453" xr:uid="{00000000-0005-0000-0000-00009B9E0000}"/>
    <cellStyle name="Notas 5 4 7 2 2" xfId="40454" xr:uid="{00000000-0005-0000-0000-00009C9E0000}"/>
    <cellStyle name="Notas 5 4 7 2 2 2" xfId="40455" xr:uid="{00000000-0005-0000-0000-00009D9E0000}"/>
    <cellStyle name="Notas 5 4 7 2 2 3" xfId="40456" xr:uid="{00000000-0005-0000-0000-00009E9E0000}"/>
    <cellStyle name="Notas 5 4 7 2 2 4" xfId="40457" xr:uid="{00000000-0005-0000-0000-00009F9E0000}"/>
    <cellStyle name="Notas 5 4 7 2 3" xfId="40458" xr:uid="{00000000-0005-0000-0000-0000A09E0000}"/>
    <cellStyle name="Notas 5 4 7 2 3 2" xfId="40459" xr:uid="{00000000-0005-0000-0000-0000A19E0000}"/>
    <cellStyle name="Notas 5 4 7 2 3 3" xfId="40460" xr:uid="{00000000-0005-0000-0000-0000A29E0000}"/>
    <cellStyle name="Notas 5 4 7 2 3 4" xfId="40461" xr:uid="{00000000-0005-0000-0000-0000A39E0000}"/>
    <cellStyle name="Notas 5 4 7 2 4" xfId="40462" xr:uid="{00000000-0005-0000-0000-0000A49E0000}"/>
    <cellStyle name="Notas 5 4 7 2 5" xfId="40463" xr:uid="{00000000-0005-0000-0000-0000A59E0000}"/>
    <cellStyle name="Notas 5 4 7 2 6" xfId="40464" xr:uid="{00000000-0005-0000-0000-0000A69E0000}"/>
    <cellStyle name="Notas 5 4 7 3" xfId="40465" xr:uid="{00000000-0005-0000-0000-0000A79E0000}"/>
    <cellStyle name="Notas 5 4 7 3 2" xfId="40466" xr:uid="{00000000-0005-0000-0000-0000A89E0000}"/>
    <cellStyle name="Notas 5 4 7 3 2 2" xfId="40467" xr:uid="{00000000-0005-0000-0000-0000A99E0000}"/>
    <cellStyle name="Notas 5 4 7 3 2 3" xfId="40468" xr:uid="{00000000-0005-0000-0000-0000AA9E0000}"/>
    <cellStyle name="Notas 5 4 7 3 2 4" xfId="40469" xr:uid="{00000000-0005-0000-0000-0000AB9E0000}"/>
    <cellStyle name="Notas 5 4 7 3 3" xfId="40470" xr:uid="{00000000-0005-0000-0000-0000AC9E0000}"/>
    <cellStyle name="Notas 5 4 7 3 3 2" xfId="40471" xr:uid="{00000000-0005-0000-0000-0000AD9E0000}"/>
    <cellStyle name="Notas 5 4 7 3 3 3" xfId="40472" xr:uid="{00000000-0005-0000-0000-0000AE9E0000}"/>
    <cellStyle name="Notas 5 4 7 3 3 4" xfId="40473" xr:uid="{00000000-0005-0000-0000-0000AF9E0000}"/>
    <cellStyle name="Notas 5 4 7 3 4" xfId="40474" xr:uid="{00000000-0005-0000-0000-0000B09E0000}"/>
    <cellStyle name="Notas 5 4 7 3 5" xfId="40475" xr:uid="{00000000-0005-0000-0000-0000B19E0000}"/>
    <cellStyle name="Notas 5 4 7 3 6" xfId="40476" xr:uid="{00000000-0005-0000-0000-0000B29E0000}"/>
    <cellStyle name="Notas 5 4 7 4" xfId="40477" xr:uid="{00000000-0005-0000-0000-0000B39E0000}"/>
    <cellStyle name="Notas 5 4 7 4 2" xfId="40478" xr:uid="{00000000-0005-0000-0000-0000B49E0000}"/>
    <cellStyle name="Notas 5 4 7 4 3" xfId="40479" xr:uid="{00000000-0005-0000-0000-0000B59E0000}"/>
    <cellStyle name="Notas 5 4 7 4 4" xfId="40480" xr:uid="{00000000-0005-0000-0000-0000B69E0000}"/>
    <cellStyle name="Notas 5 4 7 5" xfId="40481" xr:uid="{00000000-0005-0000-0000-0000B79E0000}"/>
    <cellStyle name="Notas 5 4 7 6" xfId="40482" xr:uid="{00000000-0005-0000-0000-0000B89E0000}"/>
    <cellStyle name="Notas 5 4 8" xfId="40483" xr:uid="{00000000-0005-0000-0000-0000B99E0000}"/>
    <cellStyle name="Notas 5 4 8 2" xfId="40484" xr:uid="{00000000-0005-0000-0000-0000BA9E0000}"/>
    <cellStyle name="Notas 5 4 8 2 2" xfId="40485" xr:uid="{00000000-0005-0000-0000-0000BB9E0000}"/>
    <cellStyle name="Notas 5 4 8 2 2 2" xfId="40486" xr:uid="{00000000-0005-0000-0000-0000BC9E0000}"/>
    <cellStyle name="Notas 5 4 8 2 2 3" xfId="40487" xr:uid="{00000000-0005-0000-0000-0000BD9E0000}"/>
    <cellStyle name="Notas 5 4 8 2 2 4" xfId="40488" xr:uid="{00000000-0005-0000-0000-0000BE9E0000}"/>
    <cellStyle name="Notas 5 4 8 2 3" xfId="40489" xr:uid="{00000000-0005-0000-0000-0000BF9E0000}"/>
    <cellStyle name="Notas 5 4 8 2 3 2" xfId="40490" xr:uid="{00000000-0005-0000-0000-0000C09E0000}"/>
    <cellStyle name="Notas 5 4 8 2 3 3" xfId="40491" xr:uid="{00000000-0005-0000-0000-0000C19E0000}"/>
    <cellStyle name="Notas 5 4 8 2 3 4" xfId="40492" xr:uid="{00000000-0005-0000-0000-0000C29E0000}"/>
    <cellStyle name="Notas 5 4 8 2 4" xfId="40493" xr:uid="{00000000-0005-0000-0000-0000C39E0000}"/>
    <cellStyle name="Notas 5 4 8 2 5" xfId="40494" xr:uid="{00000000-0005-0000-0000-0000C49E0000}"/>
    <cellStyle name="Notas 5 4 8 2 6" xfId="40495" xr:uid="{00000000-0005-0000-0000-0000C59E0000}"/>
    <cellStyle name="Notas 5 4 8 3" xfId="40496" xr:uid="{00000000-0005-0000-0000-0000C69E0000}"/>
    <cellStyle name="Notas 5 4 8 3 2" xfId="40497" xr:uid="{00000000-0005-0000-0000-0000C79E0000}"/>
    <cellStyle name="Notas 5 4 8 3 2 2" xfId="40498" xr:uid="{00000000-0005-0000-0000-0000C89E0000}"/>
    <cellStyle name="Notas 5 4 8 3 2 3" xfId="40499" xr:uid="{00000000-0005-0000-0000-0000C99E0000}"/>
    <cellStyle name="Notas 5 4 8 3 2 4" xfId="40500" xr:uid="{00000000-0005-0000-0000-0000CA9E0000}"/>
    <cellStyle name="Notas 5 4 8 3 3" xfId="40501" xr:uid="{00000000-0005-0000-0000-0000CB9E0000}"/>
    <cellStyle name="Notas 5 4 8 3 3 2" xfId="40502" xr:uid="{00000000-0005-0000-0000-0000CC9E0000}"/>
    <cellStyle name="Notas 5 4 8 3 3 3" xfId="40503" xr:uid="{00000000-0005-0000-0000-0000CD9E0000}"/>
    <cellStyle name="Notas 5 4 8 3 3 4" xfId="40504" xr:uid="{00000000-0005-0000-0000-0000CE9E0000}"/>
    <cellStyle name="Notas 5 4 8 3 4" xfId="40505" xr:uid="{00000000-0005-0000-0000-0000CF9E0000}"/>
    <cellStyle name="Notas 5 4 8 3 5" xfId="40506" xr:uid="{00000000-0005-0000-0000-0000D09E0000}"/>
    <cellStyle name="Notas 5 4 8 3 6" xfId="40507" xr:uid="{00000000-0005-0000-0000-0000D19E0000}"/>
    <cellStyle name="Notas 5 4 8 4" xfId="40508" xr:uid="{00000000-0005-0000-0000-0000D29E0000}"/>
    <cellStyle name="Notas 5 4 8 4 2" xfId="40509" xr:uid="{00000000-0005-0000-0000-0000D39E0000}"/>
    <cellStyle name="Notas 5 4 8 4 3" xfId="40510" xr:uid="{00000000-0005-0000-0000-0000D49E0000}"/>
    <cellStyle name="Notas 5 4 8 4 4" xfId="40511" xr:uid="{00000000-0005-0000-0000-0000D59E0000}"/>
    <cellStyle name="Notas 5 4 8 5" xfId="40512" xr:uid="{00000000-0005-0000-0000-0000D69E0000}"/>
    <cellStyle name="Notas 5 4 8 6" xfId="40513" xr:uid="{00000000-0005-0000-0000-0000D79E0000}"/>
    <cellStyle name="Notas 5 4 9" xfId="40514" xr:uid="{00000000-0005-0000-0000-0000D89E0000}"/>
    <cellStyle name="Notas 5 4 9 2" xfId="40515" xr:uid="{00000000-0005-0000-0000-0000D99E0000}"/>
    <cellStyle name="Notas 5 4 9 2 2" xfId="40516" xr:uid="{00000000-0005-0000-0000-0000DA9E0000}"/>
    <cellStyle name="Notas 5 4 9 2 2 2" xfId="40517" xr:uid="{00000000-0005-0000-0000-0000DB9E0000}"/>
    <cellStyle name="Notas 5 4 9 2 2 3" xfId="40518" xr:uid="{00000000-0005-0000-0000-0000DC9E0000}"/>
    <cellStyle name="Notas 5 4 9 2 2 4" xfId="40519" xr:uid="{00000000-0005-0000-0000-0000DD9E0000}"/>
    <cellStyle name="Notas 5 4 9 2 3" xfId="40520" xr:uid="{00000000-0005-0000-0000-0000DE9E0000}"/>
    <cellStyle name="Notas 5 4 9 2 3 2" xfId="40521" xr:uid="{00000000-0005-0000-0000-0000DF9E0000}"/>
    <cellStyle name="Notas 5 4 9 2 3 3" xfId="40522" xr:uid="{00000000-0005-0000-0000-0000E09E0000}"/>
    <cellStyle name="Notas 5 4 9 2 3 4" xfId="40523" xr:uid="{00000000-0005-0000-0000-0000E19E0000}"/>
    <cellStyle name="Notas 5 4 9 2 4" xfId="40524" xr:uid="{00000000-0005-0000-0000-0000E29E0000}"/>
    <cellStyle name="Notas 5 4 9 2 5" xfId="40525" xr:uid="{00000000-0005-0000-0000-0000E39E0000}"/>
    <cellStyle name="Notas 5 4 9 2 6" xfId="40526" xr:uid="{00000000-0005-0000-0000-0000E49E0000}"/>
    <cellStyle name="Notas 5 4 9 3" xfId="40527" xr:uid="{00000000-0005-0000-0000-0000E59E0000}"/>
    <cellStyle name="Notas 5 4 9 3 2" xfId="40528" xr:uid="{00000000-0005-0000-0000-0000E69E0000}"/>
    <cellStyle name="Notas 5 4 9 3 2 2" xfId="40529" xr:uid="{00000000-0005-0000-0000-0000E79E0000}"/>
    <cellStyle name="Notas 5 4 9 3 2 3" xfId="40530" xr:uid="{00000000-0005-0000-0000-0000E89E0000}"/>
    <cellStyle name="Notas 5 4 9 3 2 4" xfId="40531" xr:uid="{00000000-0005-0000-0000-0000E99E0000}"/>
    <cellStyle name="Notas 5 4 9 3 3" xfId="40532" xr:uid="{00000000-0005-0000-0000-0000EA9E0000}"/>
    <cellStyle name="Notas 5 4 9 3 3 2" xfId="40533" xr:uid="{00000000-0005-0000-0000-0000EB9E0000}"/>
    <cellStyle name="Notas 5 4 9 3 3 3" xfId="40534" xr:uid="{00000000-0005-0000-0000-0000EC9E0000}"/>
    <cellStyle name="Notas 5 4 9 3 3 4" xfId="40535" xr:uid="{00000000-0005-0000-0000-0000ED9E0000}"/>
    <cellStyle name="Notas 5 4 9 3 4" xfId="40536" xr:uid="{00000000-0005-0000-0000-0000EE9E0000}"/>
    <cellStyle name="Notas 5 4 9 3 5" xfId="40537" xr:uid="{00000000-0005-0000-0000-0000EF9E0000}"/>
    <cellStyle name="Notas 5 4 9 3 6" xfId="40538" xr:uid="{00000000-0005-0000-0000-0000F09E0000}"/>
    <cellStyle name="Notas 5 4 9 4" xfId="40539" xr:uid="{00000000-0005-0000-0000-0000F19E0000}"/>
    <cellStyle name="Notas 5 4 9 4 2" xfId="40540" xr:uid="{00000000-0005-0000-0000-0000F29E0000}"/>
    <cellStyle name="Notas 5 4 9 4 3" xfId="40541" xr:uid="{00000000-0005-0000-0000-0000F39E0000}"/>
    <cellStyle name="Notas 5 4 9 4 4" xfId="40542" xr:uid="{00000000-0005-0000-0000-0000F49E0000}"/>
    <cellStyle name="Notas 5 4 9 5" xfId="40543" xr:uid="{00000000-0005-0000-0000-0000F59E0000}"/>
    <cellStyle name="Notas 5 4 9 6" xfId="40544" xr:uid="{00000000-0005-0000-0000-0000F69E0000}"/>
    <cellStyle name="Notas 5 5" xfId="40545" xr:uid="{00000000-0005-0000-0000-0000F79E0000}"/>
    <cellStyle name="Notas 5 5 2" xfId="40546" xr:uid="{00000000-0005-0000-0000-0000F89E0000}"/>
    <cellStyle name="Notas 5 5 2 2" xfId="40547" xr:uid="{00000000-0005-0000-0000-0000F99E0000}"/>
    <cellStyle name="Notas 5 5 2 2 2" xfId="40548" xr:uid="{00000000-0005-0000-0000-0000FA9E0000}"/>
    <cellStyle name="Notas 5 5 2 2 2 2" xfId="40549" xr:uid="{00000000-0005-0000-0000-0000FB9E0000}"/>
    <cellStyle name="Notas 5 5 2 2 2 3" xfId="40550" xr:uid="{00000000-0005-0000-0000-0000FC9E0000}"/>
    <cellStyle name="Notas 5 5 2 2 2 4" xfId="40551" xr:uid="{00000000-0005-0000-0000-0000FD9E0000}"/>
    <cellStyle name="Notas 5 5 2 2 3" xfId="40552" xr:uid="{00000000-0005-0000-0000-0000FE9E0000}"/>
    <cellStyle name="Notas 5 5 2 2 3 2" xfId="40553" xr:uid="{00000000-0005-0000-0000-0000FF9E0000}"/>
    <cellStyle name="Notas 5 5 2 2 3 3" xfId="40554" xr:uid="{00000000-0005-0000-0000-0000009F0000}"/>
    <cellStyle name="Notas 5 5 2 2 3 4" xfId="40555" xr:uid="{00000000-0005-0000-0000-0000019F0000}"/>
    <cellStyle name="Notas 5 5 2 2 4" xfId="40556" xr:uid="{00000000-0005-0000-0000-0000029F0000}"/>
    <cellStyle name="Notas 5 5 2 2 5" xfId="40557" xr:uid="{00000000-0005-0000-0000-0000039F0000}"/>
    <cellStyle name="Notas 5 5 2 2 6" xfId="40558" xr:uid="{00000000-0005-0000-0000-0000049F0000}"/>
    <cellStyle name="Notas 5 5 2 3" xfId="40559" xr:uid="{00000000-0005-0000-0000-0000059F0000}"/>
    <cellStyle name="Notas 5 5 2 3 2" xfId="40560" xr:uid="{00000000-0005-0000-0000-0000069F0000}"/>
    <cellStyle name="Notas 5 5 2 3 2 2" xfId="40561" xr:uid="{00000000-0005-0000-0000-0000079F0000}"/>
    <cellStyle name="Notas 5 5 2 3 2 3" xfId="40562" xr:uid="{00000000-0005-0000-0000-0000089F0000}"/>
    <cellStyle name="Notas 5 5 2 3 2 4" xfId="40563" xr:uid="{00000000-0005-0000-0000-0000099F0000}"/>
    <cellStyle name="Notas 5 5 2 3 3" xfId="40564" xr:uid="{00000000-0005-0000-0000-00000A9F0000}"/>
    <cellStyle name="Notas 5 5 2 3 3 2" xfId="40565" xr:uid="{00000000-0005-0000-0000-00000B9F0000}"/>
    <cellStyle name="Notas 5 5 2 3 3 3" xfId="40566" xr:uid="{00000000-0005-0000-0000-00000C9F0000}"/>
    <cellStyle name="Notas 5 5 2 3 3 4" xfId="40567" xr:uid="{00000000-0005-0000-0000-00000D9F0000}"/>
    <cellStyle name="Notas 5 5 2 3 4" xfId="40568" xr:uid="{00000000-0005-0000-0000-00000E9F0000}"/>
    <cellStyle name="Notas 5 5 2 3 5" xfId="40569" xr:uid="{00000000-0005-0000-0000-00000F9F0000}"/>
    <cellStyle name="Notas 5 5 2 3 6" xfId="40570" xr:uid="{00000000-0005-0000-0000-0000109F0000}"/>
    <cellStyle name="Notas 5 5 2 4" xfId="40571" xr:uid="{00000000-0005-0000-0000-0000119F0000}"/>
    <cellStyle name="Notas 5 5 2 5" xfId="40572" xr:uid="{00000000-0005-0000-0000-0000129F0000}"/>
    <cellStyle name="Notas 5 5 2 6" xfId="40573" xr:uid="{00000000-0005-0000-0000-0000139F0000}"/>
    <cellStyle name="Notas 5 5 3" xfId="40574" xr:uid="{00000000-0005-0000-0000-0000149F0000}"/>
    <cellStyle name="Notas 5 5 4" xfId="40575" xr:uid="{00000000-0005-0000-0000-0000159F0000}"/>
    <cellStyle name="Notas 5 6" xfId="40576" xr:uid="{00000000-0005-0000-0000-0000169F0000}"/>
    <cellStyle name="Notas 5 6 2" xfId="40577" xr:uid="{00000000-0005-0000-0000-0000179F0000}"/>
    <cellStyle name="Notas 5 6 2 2" xfId="40578" xr:uid="{00000000-0005-0000-0000-0000189F0000}"/>
    <cellStyle name="Notas 5 6 2 2 2" xfId="40579" xr:uid="{00000000-0005-0000-0000-0000199F0000}"/>
    <cellStyle name="Notas 5 6 2 2 2 2" xfId="40580" xr:uid="{00000000-0005-0000-0000-00001A9F0000}"/>
    <cellStyle name="Notas 5 6 2 2 2 3" xfId="40581" xr:uid="{00000000-0005-0000-0000-00001B9F0000}"/>
    <cellStyle name="Notas 5 6 2 2 2 4" xfId="40582" xr:uid="{00000000-0005-0000-0000-00001C9F0000}"/>
    <cellStyle name="Notas 5 6 2 2 3" xfId="40583" xr:uid="{00000000-0005-0000-0000-00001D9F0000}"/>
    <cellStyle name="Notas 5 6 2 2 3 2" xfId="40584" xr:uid="{00000000-0005-0000-0000-00001E9F0000}"/>
    <cellStyle name="Notas 5 6 2 2 3 3" xfId="40585" xr:uid="{00000000-0005-0000-0000-00001F9F0000}"/>
    <cellStyle name="Notas 5 6 2 2 3 4" xfId="40586" xr:uid="{00000000-0005-0000-0000-0000209F0000}"/>
    <cellStyle name="Notas 5 6 2 2 4" xfId="40587" xr:uid="{00000000-0005-0000-0000-0000219F0000}"/>
    <cellStyle name="Notas 5 6 2 2 5" xfId="40588" xr:uid="{00000000-0005-0000-0000-0000229F0000}"/>
    <cellStyle name="Notas 5 6 2 2 6" xfId="40589" xr:uid="{00000000-0005-0000-0000-0000239F0000}"/>
    <cellStyle name="Notas 5 6 2 3" xfId="40590" xr:uid="{00000000-0005-0000-0000-0000249F0000}"/>
    <cellStyle name="Notas 5 6 2 3 2" xfId="40591" xr:uid="{00000000-0005-0000-0000-0000259F0000}"/>
    <cellStyle name="Notas 5 6 2 3 2 2" xfId="40592" xr:uid="{00000000-0005-0000-0000-0000269F0000}"/>
    <cellStyle name="Notas 5 6 2 3 2 3" xfId="40593" xr:uid="{00000000-0005-0000-0000-0000279F0000}"/>
    <cellStyle name="Notas 5 6 2 3 2 4" xfId="40594" xr:uid="{00000000-0005-0000-0000-0000289F0000}"/>
    <cellStyle name="Notas 5 6 2 3 3" xfId="40595" xr:uid="{00000000-0005-0000-0000-0000299F0000}"/>
    <cellStyle name="Notas 5 6 2 3 3 2" xfId="40596" xr:uid="{00000000-0005-0000-0000-00002A9F0000}"/>
    <cellStyle name="Notas 5 6 2 3 3 3" xfId="40597" xr:uid="{00000000-0005-0000-0000-00002B9F0000}"/>
    <cellStyle name="Notas 5 6 2 3 3 4" xfId="40598" xr:uid="{00000000-0005-0000-0000-00002C9F0000}"/>
    <cellStyle name="Notas 5 6 2 3 4" xfId="40599" xr:uid="{00000000-0005-0000-0000-00002D9F0000}"/>
    <cellStyle name="Notas 5 6 2 3 5" xfId="40600" xr:uid="{00000000-0005-0000-0000-00002E9F0000}"/>
    <cellStyle name="Notas 5 6 2 3 6" xfId="40601" xr:uid="{00000000-0005-0000-0000-00002F9F0000}"/>
    <cellStyle name="Notas 5 6 2 4" xfId="40602" xr:uid="{00000000-0005-0000-0000-0000309F0000}"/>
    <cellStyle name="Notas 5 6 2 5" xfId="40603" xr:uid="{00000000-0005-0000-0000-0000319F0000}"/>
    <cellStyle name="Notas 5 6 2 6" xfId="40604" xr:uid="{00000000-0005-0000-0000-0000329F0000}"/>
    <cellStyle name="Notas 5 6 3" xfId="40605" xr:uid="{00000000-0005-0000-0000-0000339F0000}"/>
    <cellStyle name="Notas 5 6 4" xfId="40606" xr:uid="{00000000-0005-0000-0000-0000349F0000}"/>
    <cellStyle name="Notas 5 7" xfId="40607" xr:uid="{00000000-0005-0000-0000-0000359F0000}"/>
    <cellStyle name="Notas 5 7 2" xfId="40608" xr:uid="{00000000-0005-0000-0000-0000369F0000}"/>
    <cellStyle name="Notas 5 7 2 2" xfId="40609" xr:uid="{00000000-0005-0000-0000-0000379F0000}"/>
    <cellStyle name="Notas 5 7 2 2 2" xfId="40610" xr:uid="{00000000-0005-0000-0000-0000389F0000}"/>
    <cellStyle name="Notas 5 7 2 2 2 2" xfId="40611" xr:uid="{00000000-0005-0000-0000-0000399F0000}"/>
    <cellStyle name="Notas 5 7 2 2 2 3" xfId="40612" xr:uid="{00000000-0005-0000-0000-00003A9F0000}"/>
    <cellStyle name="Notas 5 7 2 2 2 4" xfId="40613" xr:uid="{00000000-0005-0000-0000-00003B9F0000}"/>
    <cellStyle name="Notas 5 7 2 2 3" xfId="40614" xr:uid="{00000000-0005-0000-0000-00003C9F0000}"/>
    <cellStyle name="Notas 5 7 2 2 3 2" xfId="40615" xr:uid="{00000000-0005-0000-0000-00003D9F0000}"/>
    <cellStyle name="Notas 5 7 2 2 3 3" xfId="40616" xr:uid="{00000000-0005-0000-0000-00003E9F0000}"/>
    <cellStyle name="Notas 5 7 2 2 3 4" xfId="40617" xr:uid="{00000000-0005-0000-0000-00003F9F0000}"/>
    <cellStyle name="Notas 5 7 2 2 4" xfId="40618" xr:uid="{00000000-0005-0000-0000-0000409F0000}"/>
    <cellStyle name="Notas 5 7 2 2 5" xfId="40619" xr:uid="{00000000-0005-0000-0000-0000419F0000}"/>
    <cellStyle name="Notas 5 7 2 2 6" xfId="40620" xr:uid="{00000000-0005-0000-0000-0000429F0000}"/>
    <cellStyle name="Notas 5 7 2 3" xfId="40621" xr:uid="{00000000-0005-0000-0000-0000439F0000}"/>
    <cellStyle name="Notas 5 7 2 3 2" xfId="40622" xr:uid="{00000000-0005-0000-0000-0000449F0000}"/>
    <cellStyle name="Notas 5 7 2 3 2 2" xfId="40623" xr:uid="{00000000-0005-0000-0000-0000459F0000}"/>
    <cellStyle name="Notas 5 7 2 3 2 3" xfId="40624" xr:uid="{00000000-0005-0000-0000-0000469F0000}"/>
    <cellStyle name="Notas 5 7 2 3 2 4" xfId="40625" xr:uid="{00000000-0005-0000-0000-0000479F0000}"/>
    <cellStyle name="Notas 5 7 2 3 3" xfId="40626" xr:uid="{00000000-0005-0000-0000-0000489F0000}"/>
    <cellStyle name="Notas 5 7 2 3 3 2" xfId="40627" xr:uid="{00000000-0005-0000-0000-0000499F0000}"/>
    <cellStyle name="Notas 5 7 2 3 3 3" xfId="40628" xr:uid="{00000000-0005-0000-0000-00004A9F0000}"/>
    <cellStyle name="Notas 5 7 2 3 3 4" xfId="40629" xr:uid="{00000000-0005-0000-0000-00004B9F0000}"/>
    <cellStyle name="Notas 5 7 2 3 4" xfId="40630" xr:uid="{00000000-0005-0000-0000-00004C9F0000}"/>
    <cellStyle name="Notas 5 7 2 3 5" xfId="40631" xr:uid="{00000000-0005-0000-0000-00004D9F0000}"/>
    <cellStyle name="Notas 5 7 2 3 6" xfId="40632" xr:uid="{00000000-0005-0000-0000-00004E9F0000}"/>
    <cellStyle name="Notas 5 7 2 4" xfId="40633" xr:uid="{00000000-0005-0000-0000-00004F9F0000}"/>
    <cellStyle name="Notas 5 7 2 5" xfId="40634" xr:uid="{00000000-0005-0000-0000-0000509F0000}"/>
    <cellStyle name="Notas 5 7 2 6" xfId="40635" xr:uid="{00000000-0005-0000-0000-0000519F0000}"/>
    <cellStyle name="Notas 5 7 3" xfId="40636" xr:uid="{00000000-0005-0000-0000-0000529F0000}"/>
    <cellStyle name="Notas 5 7 4" xfId="40637" xr:uid="{00000000-0005-0000-0000-0000539F0000}"/>
    <cellStyle name="Notas 5 8" xfId="40638" xr:uid="{00000000-0005-0000-0000-0000549F0000}"/>
    <cellStyle name="Notas 5 8 2" xfId="40639" xr:uid="{00000000-0005-0000-0000-0000559F0000}"/>
    <cellStyle name="Notas 5 8 2 2" xfId="40640" xr:uid="{00000000-0005-0000-0000-0000569F0000}"/>
    <cellStyle name="Notas 5 8 2 2 2" xfId="40641" xr:uid="{00000000-0005-0000-0000-0000579F0000}"/>
    <cellStyle name="Notas 5 8 2 2 2 2" xfId="40642" xr:uid="{00000000-0005-0000-0000-0000589F0000}"/>
    <cellStyle name="Notas 5 8 2 2 2 3" xfId="40643" xr:uid="{00000000-0005-0000-0000-0000599F0000}"/>
    <cellStyle name="Notas 5 8 2 2 2 4" xfId="40644" xr:uid="{00000000-0005-0000-0000-00005A9F0000}"/>
    <cellStyle name="Notas 5 8 2 2 3" xfId="40645" xr:uid="{00000000-0005-0000-0000-00005B9F0000}"/>
    <cellStyle name="Notas 5 8 2 2 3 2" xfId="40646" xr:uid="{00000000-0005-0000-0000-00005C9F0000}"/>
    <cellStyle name="Notas 5 8 2 2 3 3" xfId="40647" xr:uid="{00000000-0005-0000-0000-00005D9F0000}"/>
    <cellStyle name="Notas 5 8 2 2 3 4" xfId="40648" xr:uid="{00000000-0005-0000-0000-00005E9F0000}"/>
    <cellStyle name="Notas 5 8 2 2 4" xfId="40649" xr:uid="{00000000-0005-0000-0000-00005F9F0000}"/>
    <cellStyle name="Notas 5 8 2 2 5" xfId="40650" xr:uid="{00000000-0005-0000-0000-0000609F0000}"/>
    <cellStyle name="Notas 5 8 2 2 6" xfId="40651" xr:uid="{00000000-0005-0000-0000-0000619F0000}"/>
    <cellStyle name="Notas 5 8 2 3" xfId="40652" xr:uid="{00000000-0005-0000-0000-0000629F0000}"/>
    <cellStyle name="Notas 5 8 2 3 2" xfId="40653" xr:uid="{00000000-0005-0000-0000-0000639F0000}"/>
    <cellStyle name="Notas 5 8 2 3 2 2" xfId="40654" xr:uid="{00000000-0005-0000-0000-0000649F0000}"/>
    <cellStyle name="Notas 5 8 2 3 2 3" xfId="40655" xr:uid="{00000000-0005-0000-0000-0000659F0000}"/>
    <cellStyle name="Notas 5 8 2 3 2 4" xfId="40656" xr:uid="{00000000-0005-0000-0000-0000669F0000}"/>
    <cellStyle name="Notas 5 8 2 3 3" xfId="40657" xr:uid="{00000000-0005-0000-0000-0000679F0000}"/>
    <cellStyle name="Notas 5 8 2 3 3 2" xfId="40658" xr:uid="{00000000-0005-0000-0000-0000689F0000}"/>
    <cellStyle name="Notas 5 8 2 3 3 3" xfId="40659" xr:uid="{00000000-0005-0000-0000-0000699F0000}"/>
    <cellStyle name="Notas 5 8 2 3 3 4" xfId="40660" xr:uid="{00000000-0005-0000-0000-00006A9F0000}"/>
    <cellStyle name="Notas 5 8 2 3 4" xfId="40661" xr:uid="{00000000-0005-0000-0000-00006B9F0000}"/>
    <cellStyle name="Notas 5 8 2 3 5" xfId="40662" xr:uid="{00000000-0005-0000-0000-00006C9F0000}"/>
    <cellStyle name="Notas 5 8 2 3 6" xfId="40663" xr:uid="{00000000-0005-0000-0000-00006D9F0000}"/>
    <cellStyle name="Notas 5 8 2 4" xfId="40664" xr:uid="{00000000-0005-0000-0000-00006E9F0000}"/>
    <cellStyle name="Notas 5 8 2 5" xfId="40665" xr:uid="{00000000-0005-0000-0000-00006F9F0000}"/>
    <cellStyle name="Notas 5 8 2 6" xfId="40666" xr:uid="{00000000-0005-0000-0000-0000709F0000}"/>
    <cellStyle name="Notas 5 8 3" xfId="40667" xr:uid="{00000000-0005-0000-0000-0000719F0000}"/>
    <cellStyle name="Notas 5 8 4" xfId="40668" xr:uid="{00000000-0005-0000-0000-0000729F0000}"/>
    <cellStyle name="Notas 5 9" xfId="40669" xr:uid="{00000000-0005-0000-0000-0000739F0000}"/>
    <cellStyle name="Notas 5 9 2" xfId="40670" xr:uid="{00000000-0005-0000-0000-0000749F0000}"/>
    <cellStyle name="Notas 5 9 2 2" xfId="40671" xr:uid="{00000000-0005-0000-0000-0000759F0000}"/>
    <cellStyle name="Notas 5 9 2 2 2" xfId="40672" xr:uid="{00000000-0005-0000-0000-0000769F0000}"/>
    <cellStyle name="Notas 5 9 2 2 3" xfId="40673" xr:uid="{00000000-0005-0000-0000-0000779F0000}"/>
    <cellStyle name="Notas 5 9 2 2 4" xfId="40674" xr:uid="{00000000-0005-0000-0000-0000789F0000}"/>
    <cellStyle name="Notas 5 9 2 3" xfId="40675" xr:uid="{00000000-0005-0000-0000-0000799F0000}"/>
    <cellStyle name="Notas 5 9 2 3 2" xfId="40676" xr:uid="{00000000-0005-0000-0000-00007A9F0000}"/>
    <cellStyle name="Notas 5 9 2 3 3" xfId="40677" xr:uid="{00000000-0005-0000-0000-00007B9F0000}"/>
    <cellStyle name="Notas 5 9 2 3 4" xfId="40678" xr:uid="{00000000-0005-0000-0000-00007C9F0000}"/>
    <cellStyle name="Notas 5 9 2 4" xfId="40679" xr:uid="{00000000-0005-0000-0000-00007D9F0000}"/>
    <cellStyle name="Notas 5 9 2 5" xfId="40680" xr:uid="{00000000-0005-0000-0000-00007E9F0000}"/>
    <cellStyle name="Notas 5 9 2 6" xfId="40681" xr:uid="{00000000-0005-0000-0000-00007F9F0000}"/>
    <cellStyle name="Notas 5 9 3" xfId="40682" xr:uid="{00000000-0005-0000-0000-0000809F0000}"/>
    <cellStyle name="Notas 5 9 3 2" xfId="40683" xr:uid="{00000000-0005-0000-0000-0000819F0000}"/>
    <cellStyle name="Notas 5 9 3 2 2" xfId="40684" xr:uid="{00000000-0005-0000-0000-0000829F0000}"/>
    <cellStyle name="Notas 5 9 3 2 3" xfId="40685" xr:uid="{00000000-0005-0000-0000-0000839F0000}"/>
    <cellStyle name="Notas 5 9 3 2 4" xfId="40686" xr:uid="{00000000-0005-0000-0000-0000849F0000}"/>
    <cellStyle name="Notas 5 9 3 3" xfId="40687" xr:uid="{00000000-0005-0000-0000-0000859F0000}"/>
    <cellStyle name="Notas 5 9 3 3 2" xfId="40688" xr:uid="{00000000-0005-0000-0000-0000869F0000}"/>
    <cellStyle name="Notas 5 9 3 3 3" xfId="40689" xr:uid="{00000000-0005-0000-0000-0000879F0000}"/>
    <cellStyle name="Notas 5 9 3 3 4" xfId="40690" xr:uid="{00000000-0005-0000-0000-0000889F0000}"/>
    <cellStyle name="Notas 5 9 3 4" xfId="40691" xr:uid="{00000000-0005-0000-0000-0000899F0000}"/>
    <cellStyle name="Notas 5 9 3 5" xfId="40692" xr:uid="{00000000-0005-0000-0000-00008A9F0000}"/>
    <cellStyle name="Notas 5 9 3 6" xfId="40693" xr:uid="{00000000-0005-0000-0000-00008B9F0000}"/>
    <cellStyle name="Notas 5 9 4" xfId="40694" xr:uid="{00000000-0005-0000-0000-00008C9F0000}"/>
    <cellStyle name="Notas 5 9 4 2" xfId="40695" xr:uid="{00000000-0005-0000-0000-00008D9F0000}"/>
    <cellStyle name="Notas 5 9 4 3" xfId="40696" xr:uid="{00000000-0005-0000-0000-00008E9F0000}"/>
    <cellStyle name="Notas 5 9 4 4" xfId="40697" xr:uid="{00000000-0005-0000-0000-00008F9F0000}"/>
    <cellStyle name="Notas 5 9 5" xfId="40698" xr:uid="{00000000-0005-0000-0000-0000909F0000}"/>
    <cellStyle name="Notas 5 9 6" xfId="40699" xr:uid="{00000000-0005-0000-0000-0000919F0000}"/>
    <cellStyle name="Notas 6" xfId="40700" xr:uid="{00000000-0005-0000-0000-0000929F0000}"/>
    <cellStyle name="Notas 6 10" xfId="40701" xr:uid="{00000000-0005-0000-0000-0000939F0000}"/>
    <cellStyle name="Notas 6 10 2" xfId="40702" xr:uid="{00000000-0005-0000-0000-0000949F0000}"/>
    <cellStyle name="Notas 6 10 2 2" xfId="40703" xr:uid="{00000000-0005-0000-0000-0000959F0000}"/>
    <cellStyle name="Notas 6 10 2 2 2" xfId="40704" xr:uid="{00000000-0005-0000-0000-0000969F0000}"/>
    <cellStyle name="Notas 6 10 2 2 3" xfId="40705" xr:uid="{00000000-0005-0000-0000-0000979F0000}"/>
    <cellStyle name="Notas 6 10 2 2 4" xfId="40706" xr:uid="{00000000-0005-0000-0000-0000989F0000}"/>
    <cellStyle name="Notas 6 10 2 3" xfId="40707" xr:uid="{00000000-0005-0000-0000-0000999F0000}"/>
    <cellStyle name="Notas 6 10 2 3 2" xfId="40708" xr:uid="{00000000-0005-0000-0000-00009A9F0000}"/>
    <cellStyle name="Notas 6 10 2 3 3" xfId="40709" xr:uid="{00000000-0005-0000-0000-00009B9F0000}"/>
    <cellStyle name="Notas 6 10 2 3 4" xfId="40710" xr:uid="{00000000-0005-0000-0000-00009C9F0000}"/>
    <cellStyle name="Notas 6 10 2 4" xfId="40711" xr:uid="{00000000-0005-0000-0000-00009D9F0000}"/>
    <cellStyle name="Notas 6 10 2 5" xfId="40712" xr:uid="{00000000-0005-0000-0000-00009E9F0000}"/>
    <cellStyle name="Notas 6 10 2 6" xfId="40713" xr:uid="{00000000-0005-0000-0000-00009F9F0000}"/>
    <cellStyle name="Notas 6 10 3" xfId="40714" xr:uid="{00000000-0005-0000-0000-0000A09F0000}"/>
    <cellStyle name="Notas 6 10 3 2" xfId="40715" xr:uid="{00000000-0005-0000-0000-0000A19F0000}"/>
    <cellStyle name="Notas 6 10 3 2 2" xfId="40716" xr:uid="{00000000-0005-0000-0000-0000A29F0000}"/>
    <cellStyle name="Notas 6 10 3 2 3" xfId="40717" xr:uid="{00000000-0005-0000-0000-0000A39F0000}"/>
    <cellStyle name="Notas 6 10 3 2 4" xfId="40718" xr:uid="{00000000-0005-0000-0000-0000A49F0000}"/>
    <cellStyle name="Notas 6 10 3 3" xfId="40719" xr:uid="{00000000-0005-0000-0000-0000A59F0000}"/>
    <cellStyle name="Notas 6 10 3 3 2" xfId="40720" xr:uid="{00000000-0005-0000-0000-0000A69F0000}"/>
    <cellStyle name="Notas 6 10 3 3 3" xfId="40721" xr:uid="{00000000-0005-0000-0000-0000A79F0000}"/>
    <cellStyle name="Notas 6 10 3 3 4" xfId="40722" xr:uid="{00000000-0005-0000-0000-0000A89F0000}"/>
    <cellStyle name="Notas 6 10 3 4" xfId="40723" xr:uid="{00000000-0005-0000-0000-0000A99F0000}"/>
    <cellStyle name="Notas 6 10 3 5" xfId="40724" xr:uid="{00000000-0005-0000-0000-0000AA9F0000}"/>
    <cellStyle name="Notas 6 10 3 6" xfId="40725" xr:uid="{00000000-0005-0000-0000-0000AB9F0000}"/>
    <cellStyle name="Notas 6 10 4" xfId="40726" xr:uid="{00000000-0005-0000-0000-0000AC9F0000}"/>
    <cellStyle name="Notas 6 10 4 2" xfId="40727" xr:uid="{00000000-0005-0000-0000-0000AD9F0000}"/>
    <cellStyle name="Notas 6 10 4 3" xfId="40728" xr:uid="{00000000-0005-0000-0000-0000AE9F0000}"/>
    <cellStyle name="Notas 6 10 4 4" xfId="40729" xr:uid="{00000000-0005-0000-0000-0000AF9F0000}"/>
    <cellStyle name="Notas 6 10 5" xfId="40730" xr:uid="{00000000-0005-0000-0000-0000B09F0000}"/>
    <cellStyle name="Notas 6 10 6" xfId="40731" xr:uid="{00000000-0005-0000-0000-0000B19F0000}"/>
    <cellStyle name="Notas 6 11" xfId="40732" xr:uid="{00000000-0005-0000-0000-0000B29F0000}"/>
    <cellStyle name="Notas 6 11 2" xfId="40733" xr:uid="{00000000-0005-0000-0000-0000B39F0000}"/>
    <cellStyle name="Notas 6 11 2 2" xfId="40734" xr:uid="{00000000-0005-0000-0000-0000B49F0000}"/>
    <cellStyle name="Notas 6 11 2 2 2" xfId="40735" xr:uid="{00000000-0005-0000-0000-0000B59F0000}"/>
    <cellStyle name="Notas 6 11 2 2 3" xfId="40736" xr:uid="{00000000-0005-0000-0000-0000B69F0000}"/>
    <cellStyle name="Notas 6 11 2 2 4" xfId="40737" xr:uid="{00000000-0005-0000-0000-0000B79F0000}"/>
    <cellStyle name="Notas 6 11 2 3" xfId="40738" xr:uid="{00000000-0005-0000-0000-0000B89F0000}"/>
    <cellStyle name="Notas 6 11 2 3 2" xfId="40739" xr:uid="{00000000-0005-0000-0000-0000B99F0000}"/>
    <cellStyle name="Notas 6 11 2 3 3" xfId="40740" xr:uid="{00000000-0005-0000-0000-0000BA9F0000}"/>
    <cellStyle name="Notas 6 11 2 3 4" xfId="40741" xr:uid="{00000000-0005-0000-0000-0000BB9F0000}"/>
    <cellStyle name="Notas 6 11 2 4" xfId="40742" xr:uid="{00000000-0005-0000-0000-0000BC9F0000}"/>
    <cellStyle name="Notas 6 11 2 5" xfId="40743" xr:uid="{00000000-0005-0000-0000-0000BD9F0000}"/>
    <cellStyle name="Notas 6 11 2 6" xfId="40744" xr:uid="{00000000-0005-0000-0000-0000BE9F0000}"/>
    <cellStyle name="Notas 6 11 3" xfId="40745" xr:uid="{00000000-0005-0000-0000-0000BF9F0000}"/>
    <cellStyle name="Notas 6 11 3 2" xfId="40746" xr:uid="{00000000-0005-0000-0000-0000C09F0000}"/>
    <cellStyle name="Notas 6 11 3 2 2" xfId="40747" xr:uid="{00000000-0005-0000-0000-0000C19F0000}"/>
    <cellStyle name="Notas 6 11 3 2 3" xfId="40748" xr:uid="{00000000-0005-0000-0000-0000C29F0000}"/>
    <cellStyle name="Notas 6 11 3 2 4" xfId="40749" xr:uid="{00000000-0005-0000-0000-0000C39F0000}"/>
    <cellStyle name="Notas 6 11 3 3" xfId="40750" xr:uid="{00000000-0005-0000-0000-0000C49F0000}"/>
    <cellStyle name="Notas 6 11 3 3 2" xfId="40751" xr:uid="{00000000-0005-0000-0000-0000C59F0000}"/>
    <cellStyle name="Notas 6 11 3 3 3" xfId="40752" xr:uid="{00000000-0005-0000-0000-0000C69F0000}"/>
    <cellStyle name="Notas 6 11 3 3 4" xfId="40753" xr:uid="{00000000-0005-0000-0000-0000C79F0000}"/>
    <cellStyle name="Notas 6 11 3 4" xfId="40754" xr:uid="{00000000-0005-0000-0000-0000C89F0000}"/>
    <cellStyle name="Notas 6 11 3 5" xfId="40755" xr:uid="{00000000-0005-0000-0000-0000C99F0000}"/>
    <cellStyle name="Notas 6 11 3 6" xfId="40756" xr:uid="{00000000-0005-0000-0000-0000CA9F0000}"/>
    <cellStyle name="Notas 6 11 4" xfId="40757" xr:uid="{00000000-0005-0000-0000-0000CB9F0000}"/>
    <cellStyle name="Notas 6 11 4 2" xfId="40758" xr:uid="{00000000-0005-0000-0000-0000CC9F0000}"/>
    <cellStyle name="Notas 6 11 4 3" xfId="40759" xr:uid="{00000000-0005-0000-0000-0000CD9F0000}"/>
    <cellStyle name="Notas 6 11 4 4" xfId="40760" xr:uid="{00000000-0005-0000-0000-0000CE9F0000}"/>
    <cellStyle name="Notas 6 11 5" xfId="40761" xr:uid="{00000000-0005-0000-0000-0000CF9F0000}"/>
    <cellStyle name="Notas 6 11 6" xfId="40762" xr:uid="{00000000-0005-0000-0000-0000D09F0000}"/>
    <cellStyle name="Notas 6 12" xfId="40763" xr:uid="{00000000-0005-0000-0000-0000D19F0000}"/>
    <cellStyle name="Notas 6 12 2" xfId="40764" xr:uid="{00000000-0005-0000-0000-0000D29F0000}"/>
    <cellStyle name="Notas 6 12 2 2" xfId="40765" xr:uid="{00000000-0005-0000-0000-0000D39F0000}"/>
    <cellStyle name="Notas 6 12 2 2 2" xfId="40766" xr:uid="{00000000-0005-0000-0000-0000D49F0000}"/>
    <cellStyle name="Notas 6 12 2 2 3" xfId="40767" xr:uid="{00000000-0005-0000-0000-0000D59F0000}"/>
    <cellStyle name="Notas 6 12 2 2 4" xfId="40768" xr:uid="{00000000-0005-0000-0000-0000D69F0000}"/>
    <cellStyle name="Notas 6 12 2 3" xfId="40769" xr:uid="{00000000-0005-0000-0000-0000D79F0000}"/>
    <cellStyle name="Notas 6 12 2 3 2" xfId="40770" xr:uid="{00000000-0005-0000-0000-0000D89F0000}"/>
    <cellStyle name="Notas 6 12 2 3 3" xfId="40771" xr:uid="{00000000-0005-0000-0000-0000D99F0000}"/>
    <cellStyle name="Notas 6 12 2 3 4" xfId="40772" xr:uid="{00000000-0005-0000-0000-0000DA9F0000}"/>
    <cellStyle name="Notas 6 12 2 4" xfId="40773" xr:uid="{00000000-0005-0000-0000-0000DB9F0000}"/>
    <cellStyle name="Notas 6 12 2 5" xfId="40774" xr:uid="{00000000-0005-0000-0000-0000DC9F0000}"/>
    <cellStyle name="Notas 6 12 2 6" xfId="40775" xr:uid="{00000000-0005-0000-0000-0000DD9F0000}"/>
    <cellStyle name="Notas 6 12 3" xfId="40776" xr:uid="{00000000-0005-0000-0000-0000DE9F0000}"/>
    <cellStyle name="Notas 6 12 3 2" xfId="40777" xr:uid="{00000000-0005-0000-0000-0000DF9F0000}"/>
    <cellStyle name="Notas 6 12 3 2 2" xfId="40778" xr:uid="{00000000-0005-0000-0000-0000E09F0000}"/>
    <cellStyle name="Notas 6 12 3 2 3" xfId="40779" xr:uid="{00000000-0005-0000-0000-0000E19F0000}"/>
    <cellStyle name="Notas 6 12 3 2 4" xfId="40780" xr:uid="{00000000-0005-0000-0000-0000E29F0000}"/>
    <cellStyle name="Notas 6 12 3 3" xfId="40781" xr:uid="{00000000-0005-0000-0000-0000E39F0000}"/>
    <cellStyle name="Notas 6 12 3 3 2" xfId="40782" xr:uid="{00000000-0005-0000-0000-0000E49F0000}"/>
    <cellStyle name="Notas 6 12 3 3 3" xfId="40783" xr:uid="{00000000-0005-0000-0000-0000E59F0000}"/>
    <cellStyle name="Notas 6 12 3 3 4" xfId="40784" xr:uid="{00000000-0005-0000-0000-0000E69F0000}"/>
    <cellStyle name="Notas 6 12 3 4" xfId="40785" xr:uid="{00000000-0005-0000-0000-0000E79F0000}"/>
    <cellStyle name="Notas 6 12 3 5" xfId="40786" xr:uid="{00000000-0005-0000-0000-0000E89F0000}"/>
    <cellStyle name="Notas 6 12 3 6" xfId="40787" xr:uid="{00000000-0005-0000-0000-0000E99F0000}"/>
    <cellStyle name="Notas 6 12 4" xfId="40788" xr:uid="{00000000-0005-0000-0000-0000EA9F0000}"/>
    <cellStyle name="Notas 6 12 4 2" xfId="40789" xr:uid="{00000000-0005-0000-0000-0000EB9F0000}"/>
    <cellStyle name="Notas 6 12 4 3" xfId="40790" xr:uid="{00000000-0005-0000-0000-0000EC9F0000}"/>
    <cellStyle name="Notas 6 12 4 4" xfId="40791" xr:uid="{00000000-0005-0000-0000-0000ED9F0000}"/>
    <cellStyle name="Notas 6 12 5" xfId="40792" xr:uid="{00000000-0005-0000-0000-0000EE9F0000}"/>
    <cellStyle name="Notas 6 12 6" xfId="40793" xr:uid="{00000000-0005-0000-0000-0000EF9F0000}"/>
    <cellStyle name="Notas 6 13" xfId="40794" xr:uid="{00000000-0005-0000-0000-0000F09F0000}"/>
    <cellStyle name="Notas 6 13 2" xfId="40795" xr:uid="{00000000-0005-0000-0000-0000F19F0000}"/>
    <cellStyle name="Notas 6 13 2 2" xfId="40796" xr:uid="{00000000-0005-0000-0000-0000F29F0000}"/>
    <cellStyle name="Notas 6 13 2 2 2" xfId="40797" xr:uid="{00000000-0005-0000-0000-0000F39F0000}"/>
    <cellStyle name="Notas 6 13 2 2 3" xfId="40798" xr:uid="{00000000-0005-0000-0000-0000F49F0000}"/>
    <cellStyle name="Notas 6 13 2 2 4" xfId="40799" xr:uid="{00000000-0005-0000-0000-0000F59F0000}"/>
    <cellStyle name="Notas 6 13 2 3" xfId="40800" xr:uid="{00000000-0005-0000-0000-0000F69F0000}"/>
    <cellStyle name="Notas 6 13 2 3 2" xfId="40801" xr:uid="{00000000-0005-0000-0000-0000F79F0000}"/>
    <cellStyle name="Notas 6 13 2 3 3" xfId="40802" xr:uid="{00000000-0005-0000-0000-0000F89F0000}"/>
    <cellStyle name="Notas 6 13 2 3 4" xfId="40803" xr:uid="{00000000-0005-0000-0000-0000F99F0000}"/>
    <cellStyle name="Notas 6 13 2 4" xfId="40804" xr:uid="{00000000-0005-0000-0000-0000FA9F0000}"/>
    <cellStyle name="Notas 6 13 2 5" xfId="40805" xr:uid="{00000000-0005-0000-0000-0000FB9F0000}"/>
    <cellStyle name="Notas 6 13 2 6" xfId="40806" xr:uid="{00000000-0005-0000-0000-0000FC9F0000}"/>
    <cellStyle name="Notas 6 13 3" xfId="40807" xr:uid="{00000000-0005-0000-0000-0000FD9F0000}"/>
    <cellStyle name="Notas 6 13 3 2" xfId="40808" xr:uid="{00000000-0005-0000-0000-0000FE9F0000}"/>
    <cellStyle name="Notas 6 13 3 2 2" xfId="40809" xr:uid="{00000000-0005-0000-0000-0000FF9F0000}"/>
    <cellStyle name="Notas 6 13 3 2 3" xfId="40810" xr:uid="{00000000-0005-0000-0000-000000A00000}"/>
    <cellStyle name="Notas 6 13 3 2 4" xfId="40811" xr:uid="{00000000-0005-0000-0000-000001A00000}"/>
    <cellStyle name="Notas 6 13 3 3" xfId="40812" xr:uid="{00000000-0005-0000-0000-000002A00000}"/>
    <cellStyle name="Notas 6 13 3 3 2" xfId="40813" xr:uid="{00000000-0005-0000-0000-000003A00000}"/>
    <cellStyle name="Notas 6 13 3 3 3" xfId="40814" xr:uid="{00000000-0005-0000-0000-000004A00000}"/>
    <cellStyle name="Notas 6 13 3 3 4" xfId="40815" xr:uid="{00000000-0005-0000-0000-000005A00000}"/>
    <cellStyle name="Notas 6 13 3 4" xfId="40816" xr:uid="{00000000-0005-0000-0000-000006A00000}"/>
    <cellStyle name="Notas 6 13 3 5" xfId="40817" xr:uid="{00000000-0005-0000-0000-000007A00000}"/>
    <cellStyle name="Notas 6 13 3 6" xfId="40818" xr:uid="{00000000-0005-0000-0000-000008A00000}"/>
    <cellStyle name="Notas 6 13 4" xfId="40819" xr:uid="{00000000-0005-0000-0000-000009A00000}"/>
    <cellStyle name="Notas 6 13 5" xfId="40820" xr:uid="{00000000-0005-0000-0000-00000AA00000}"/>
    <cellStyle name="Notas 6 13 6" xfId="40821" xr:uid="{00000000-0005-0000-0000-00000BA00000}"/>
    <cellStyle name="Notas 6 14" xfId="40822" xr:uid="{00000000-0005-0000-0000-00000CA00000}"/>
    <cellStyle name="Notas 6 15" xfId="40823" xr:uid="{00000000-0005-0000-0000-00000DA00000}"/>
    <cellStyle name="Notas 6 2" xfId="40824" xr:uid="{00000000-0005-0000-0000-00000EA00000}"/>
    <cellStyle name="Notas 6 2 10" xfId="40825" xr:uid="{00000000-0005-0000-0000-00000FA00000}"/>
    <cellStyle name="Notas 6 2 10 2" xfId="40826" xr:uid="{00000000-0005-0000-0000-000010A00000}"/>
    <cellStyle name="Notas 6 2 10 2 2" xfId="40827" xr:uid="{00000000-0005-0000-0000-000011A00000}"/>
    <cellStyle name="Notas 6 2 10 2 2 2" xfId="40828" xr:uid="{00000000-0005-0000-0000-000012A00000}"/>
    <cellStyle name="Notas 6 2 10 2 2 3" xfId="40829" xr:uid="{00000000-0005-0000-0000-000013A00000}"/>
    <cellStyle name="Notas 6 2 10 2 2 4" xfId="40830" xr:uid="{00000000-0005-0000-0000-000014A00000}"/>
    <cellStyle name="Notas 6 2 10 2 3" xfId="40831" xr:uid="{00000000-0005-0000-0000-000015A00000}"/>
    <cellStyle name="Notas 6 2 10 2 3 2" xfId="40832" xr:uid="{00000000-0005-0000-0000-000016A00000}"/>
    <cellStyle name="Notas 6 2 10 2 3 3" xfId="40833" xr:uid="{00000000-0005-0000-0000-000017A00000}"/>
    <cellStyle name="Notas 6 2 10 2 3 4" xfId="40834" xr:uid="{00000000-0005-0000-0000-000018A00000}"/>
    <cellStyle name="Notas 6 2 10 2 4" xfId="40835" xr:uid="{00000000-0005-0000-0000-000019A00000}"/>
    <cellStyle name="Notas 6 2 10 2 5" xfId="40836" xr:uid="{00000000-0005-0000-0000-00001AA00000}"/>
    <cellStyle name="Notas 6 2 10 2 6" xfId="40837" xr:uid="{00000000-0005-0000-0000-00001BA00000}"/>
    <cellStyle name="Notas 6 2 10 3" xfId="40838" xr:uid="{00000000-0005-0000-0000-00001CA00000}"/>
    <cellStyle name="Notas 6 2 10 3 2" xfId="40839" xr:uid="{00000000-0005-0000-0000-00001DA00000}"/>
    <cellStyle name="Notas 6 2 10 3 2 2" xfId="40840" xr:uid="{00000000-0005-0000-0000-00001EA00000}"/>
    <cellStyle name="Notas 6 2 10 3 2 3" xfId="40841" xr:uid="{00000000-0005-0000-0000-00001FA00000}"/>
    <cellStyle name="Notas 6 2 10 3 2 4" xfId="40842" xr:uid="{00000000-0005-0000-0000-000020A00000}"/>
    <cellStyle name="Notas 6 2 10 3 3" xfId="40843" xr:uid="{00000000-0005-0000-0000-000021A00000}"/>
    <cellStyle name="Notas 6 2 10 3 3 2" xfId="40844" xr:uid="{00000000-0005-0000-0000-000022A00000}"/>
    <cellStyle name="Notas 6 2 10 3 3 3" xfId="40845" xr:uid="{00000000-0005-0000-0000-000023A00000}"/>
    <cellStyle name="Notas 6 2 10 3 3 4" xfId="40846" xr:uid="{00000000-0005-0000-0000-000024A00000}"/>
    <cellStyle name="Notas 6 2 10 3 4" xfId="40847" xr:uid="{00000000-0005-0000-0000-000025A00000}"/>
    <cellStyle name="Notas 6 2 10 3 5" xfId="40848" xr:uid="{00000000-0005-0000-0000-000026A00000}"/>
    <cellStyle name="Notas 6 2 10 3 6" xfId="40849" xr:uid="{00000000-0005-0000-0000-000027A00000}"/>
    <cellStyle name="Notas 6 2 10 4" xfId="40850" xr:uid="{00000000-0005-0000-0000-000028A00000}"/>
    <cellStyle name="Notas 6 2 10 4 2" xfId="40851" xr:uid="{00000000-0005-0000-0000-000029A00000}"/>
    <cellStyle name="Notas 6 2 10 4 3" xfId="40852" xr:uid="{00000000-0005-0000-0000-00002AA00000}"/>
    <cellStyle name="Notas 6 2 10 4 4" xfId="40853" xr:uid="{00000000-0005-0000-0000-00002BA00000}"/>
    <cellStyle name="Notas 6 2 10 5" xfId="40854" xr:uid="{00000000-0005-0000-0000-00002CA00000}"/>
    <cellStyle name="Notas 6 2 10 6" xfId="40855" xr:uid="{00000000-0005-0000-0000-00002DA00000}"/>
    <cellStyle name="Notas 6 2 11" xfId="40856" xr:uid="{00000000-0005-0000-0000-00002EA00000}"/>
    <cellStyle name="Notas 6 2 11 2" xfId="40857" xr:uid="{00000000-0005-0000-0000-00002FA00000}"/>
    <cellStyle name="Notas 6 2 11 2 2" xfId="40858" xr:uid="{00000000-0005-0000-0000-000030A00000}"/>
    <cellStyle name="Notas 6 2 11 2 2 2" xfId="40859" xr:uid="{00000000-0005-0000-0000-000031A00000}"/>
    <cellStyle name="Notas 6 2 11 2 2 3" xfId="40860" xr:uid="{00000000-0005-0000-0000-000032A00000}"/>
    <cellStyle name="Notas 6 2 11 2 2 4" xfId="40861" xr:uid="{00000000-0005-0000-0000-000033A00000}"/>
    <cellStyle name="Notas 6 2 11 2 3" xfId="40862" xr:uid="{00000000-0005-0000-0000-000034A00000}"/>
    <cellStyle name="Notas 6 2 11 2 3 2" xfId="40863" xr:uid="{00000000-0005-0000-0000-000035A00000}"/>
    <cellStyle name="Notas 6 2 11 2 3 3" xfId="40864" xr:uid="{00000000-0005-0000-0000-000036A00000}"/>
    <cellStyle name="Notas 6 2 11 2 3 4" xfId="40865" xr:uid="{00000000-0005-0000-0000-000037A00000}"/>
    <cellStyle name="Notas 6 2 11 2 4" xfId="40866" xr:uid="{00000000-0005-0000-0000-000038A00000}"/>
    <cellStyle name="Notas 6 2 11 2 5" xfId="40867" xr:uid="{00000000-0005-0000-0000-000039A00000}"/>
    <cellStyle name="Notas 6 2 11 2 6" xfId="40868" xr:uid="{00000000-0005-0000-0000-00003AA00000}"/>
    <cellStyle name="Notas 6 2 11 3" xfId="40869" xr:uid="{00000000-0005-0000-0000-00003BA00000}"/>
    <cellStyle name="Notas 6 2 11 3 2" xfId="40870" xr:uid="{00000000-0005-0000-0000-00003CA00000}"/>
    <cellStyle name="Notas 6 2 11 3 2 2" xfId="40871" xr:uid="{00000000-0005-0000-0000-00003DA00000}"/>
    <cellStyle name="Notas 6 2 11 3 2 3" xfId="40872" xr:uid="{00000000-0005-0000-0000-00003EA00000}"/>
    <cellStyle name="Notas 6 2 11 3 2 4" xfId="40873" xr:uid="{00000000-0005-0000-0000-00003FA00000}"/>
    <cellStyle name="Notas 6 2 11 3 3" xfId="40874" xr:uid="{00000000-0005-0000-0000-000040A00000}"/>
    <cellStyle name="Notas 6 2 11 3 3 2" xfId="40875" xr:uid="{00000000-0005-0000-0000-000041A00000}"/>
    <cellStyle name="Notas 6 2 11 3 3 3" xfId="40876" xr:uid="{00000000-0005-0000-0000-000042A00000}"/>
    <cellStyle name="Notas 6 2 11 3 3 4" xfId="40877" xr:uid="{00000000-0005-0000-0000-000043A00000}"/>
    <cellStyle name="Notas 6 2 11 3 4" xfId="40878" xr:uid="{00000000-0005-0000-0000-000044A00000}"/>
    <cellStyle name="Notas 6 2 11 3 5" xfId="40879" xr:uid="{00000000-0005-0000-0000-000045A00000}"/>
    <cellStyle name="Notas 6 2 11 3 6" xfId="40880" xr:uid="{00000000-0005-0000-0000-000046A00000}"/>
    <cellStyle name="Notas 6 2 11 4" xfId="40881" xr:uid="{00000000-0005-0000-0000-000047A00000}"/>
    <cellStyle name="Notas 6 2 11 4 2" xfId="40882" xr:uid="{00000000-0005-0000-0000-000048A00000}"/>
    <cellStyle name="Notas 6 2 11 4 3" xfId="40883" xr:uid="{00000000-0005-0000-0000-000049A00000}"/>
    <cellStyle name="Notas 6 2 11 4 4" xfId="40884" xr:uid="{00000000-0005-0000-0000-00004AA00000}"/>
    <cellStyle name="Notas 6 2 11 5" xfId="40885" xr:uid="{00000000-0005-0000-0000-00004BA00000}"/>
    <cellStyle name="Notas 6 2 11 6" xfId="40886" xr:uid="{00000000-0005-0000-0000-00004CA00000}"/>
    <cellStyle name="Notas 6 2 12" xfId="40887" xr:uid="{00000000-0005-0000-0000-00004DA00000}"/>
    <cellStyle name="Notas 6 2 12 2" xfId="40888" xr:uid="{00000000-0005-0000-0000-00004EA00000}"/>
    <cellStyle name="Notas 6 2 12 2 2" xfId="40889" xr:uid="{00000000-0005-0000-0000-00004FA00000}"/>
    <cellStyle name="Notas 6 2 12 2 2 2" xfId="40890" xr:uid="{00000000-0005-0000-0000-000050A00000}"/>
    <cellStyle name="Notas 6 2 12 2 2 3" xfId="40891" xr:uid="{00000000-0005-0000-0000-000051A00000}"/>
    <cellStyle name="Notas 6 2 12 2 2 4" xfId="40892" xr:uid="{00000000-0005-0000-0000-000052A00000}"/>
    <cellStyle name="Notas 6 2 12 2 3" xfId="40893" xr:uid="{00000000-0005-0000-0000-000053A00000}"/>
    <cellStyle name="Notas 6 2 12 2 3 2" xfId="40894" xr:uid="{00000000-0005-0000-0000-000054A00000}"/>
    <cellStyle name="Notas 6 2 12 2 3 3" xfId="40895" xr:uid="{00000000-0005-0000-0000-000055A00000}"/>
    <cellStyle name="Notas 6 2 12 2 3 4" xfId="40896" xr:uid="{00000000-0005-0000-0000-000056A00000}"/>
    <cellStyle name="Notas 6 2 12 2 4" xfId="40897" xr:uid="{00000000-0005-0000-0000-000057A00000}"/>
    <cellStyle name="Notas 6 2 12 2 5" xfId="40898" xr:uid="{00000000-0005-0000-0000-000058A00000}"/>
    <cellStyle name="Notas 6 2 12 2 6" xfId="40899" xr:uid="{00000000-0005-0000-0000-000059A00000}"/>
    <cellStyle name="Notas 6 2 12 3" xfId="40900" xr:uid="{00000000-0005-0000-0000-00005AA00000}"/>
    <cellStyle name="Notas 6 2 12 3 2" xfId="40901" xr:uid="{00000000-0005-0000-0000-00005BA00000}"/>
    <cellStyle name="Notas 6 2 12 3 2 2" xfId="40902" xr:uid="{00000000-0005-0000-0000-00005CA00000}"/>
    <cellStyle name="Notas 6 2 12 3 2 3" xfId="40903" xr:uid="{00000000-0005-0000-0000-00005DA00000}"/>
    <cellStyle name="Notas 6 2 12 3 2 4" xfId="40904" xr:uid="{00000000-0005-0000-0000-00005EA00000}"/>
    <cellStyle name="Notas 6 2 12 3 3" xfId="40905" xr:uid="{00000000-0005-0000-0000-00005FA00000}"/>
    <cellStyle name="Notas 6 2 12 3 3 2" xfId="40906" xr:uid="{00000000-0005-0000-0000-000060A00000}"/>
    <cellStyle name="Notas 6 2 12 3 3 3" xfId="40907" xr:uid="{00000000-0005-0000-0000-000061A00000}"/>
    <cellStyle name="Notas 6 2 12 3 3 4" xfId="40908" xr:uid="{00000000-0005-0000-0000-000062A00000}"/>
    <cellStyle name="Notas 6 2 12 3 4" xfId="40909" xr:uid="{00000000-0005-0000-0000-000063A00000}"/>
    <cellStyle name="Notas 6 2 12 3 5" xfId="40910" xr:uid="{00000000-0005-0000-0000-000064A00000}"/>
    <cellStyle name="Notas 6 2 12 3 6" xfId="40911" xr:uid="{00000000-0005-0000-0000-000065A00000}"/>
    <cellStyle name="Notas 6 2 12 4" xfId="40912" xr:uid="{00000000-0005-0000-0000-000066A00000}"/>
    <cellStyle name="Notas 6 2 12 5" xfId="40913" xr:uid="{00000000-0005-0000-0000-000067A00000}"/>
    <cellStyle name="Notas 6 2 12 6" xfId="40914" xr:uid="{00000000-0005-0000-0000-000068A00000}"/>
    <cellStyle name="Notas 6 2 13" xfId="40915" xr:uid="{00000000-0005-0000-0000-000069A00000}"/>
    <cellStyle name="Notas 6 2 14" xfId="40916" xr:uid="{00000000-0005-0000-0000-00006AA00000}"/>
    <cellStyle name="Notas 6 2 2" xfId="40917" xr:uid="{00000000-0005-0000-0000-00006BA00000}"/>
    <cellStyle name="Notas 6 2 2 10" xfId="40918" xr:uid="{00000000-0005-0000-0000-00006CA00000}"/>
    <cellStyle name="Notas 6 2 2 10 2" xfId="40919" xr:uid="{00000000-0005-0000-0000-00006DA00000}"/>
    <cellStyle name="Notas 6 2 2 10 2 2" xfId="40920" xr:uid="{00000000-0005-0000-0000-00006EA00000}"/>
    <cellStyle name="Notas 6 2 2 10 2 2 2" xfId="40921" xr:uid="{00000000-0005-0000-0000-00006FA00000}"/>
    <cellStyle name="Notas 6 2 2 10 2 2 3" xfId="40922" xr:uid="{00000000-0005-0000-0000-000070A00000}"/>
    <cellStyle name="Notas 6 2 2 10 2 2 4" xfId="40923" xr:uid="{00000000-0005-0000-0000-000071A00000}"/>
    <cellStyle name="Notas 6 2 2 10 2 3" xfId="40924" xr:uid="{00000000-0005-0000-0000-000072A00000}"/>
    <cellStyle name="Notas 6 2 2 10 2 3 2" xfId="40925" xr:uid="{00000000-0005-0000-0000-000073A00000}"/>
    <cellStyle name="Notas 6 2 2 10 2 3 3" xfId="40926" xr:uid="{00000000-0005-0000-0000-000074A00000}"/>
    <cellStyle name="Notas 6 2 2 10 2 3 4" xfId="40927" xr:uid="{00000000-0005-0000-0000-000075A00000}"/>
    <cellStyle name="Notas 6 2 2 10 2 4" xfId="40928" xr:uid="{00000000-0005-0000-0000-000076A00000}"/>
    <cellStyle name="Notas 6 2 2 10 2 5" xfId="40929" xr:uid="{00000000-0005-0000-0000-000077A00000}"/>
    <cellStyle name="Notas 6 2 2 10 2 6" xfId="40930" xr:uid="{00000000-0005-0000-0000-000078A00000}"/>
    <cellStyle name="Notas 6 2 2 10 3" xfId="40931" xr:uid="{00000000-0005-0000-0000-000079A00000}"/>
    <cellStyle name="Notas 6 2 2 10 3 2" xfId="40932" xr:uid="{00000000-0005-0000-0000-00007AA00000}"/>
    <cellStyle name="Notas 6 2 2 10 3 2 2" xfId="40933" xr:uid="{00000000-0005-0000-0000-00007BA00000}"/>
    <cellStyle name="Notas 6 2 2 10 3 2 3" xfId="40934" xr:uid="{00000000-0005-0000-0000-00007CA00000}"/>
    <cellStyle name="Notas 6 2 2 10 3 2 4" xfId="40935" xr:uid="{00000000-0005-0000-0000-00007DA00000}"/>
    <cellStyle name="Notas 6 2 2 10 3 3" xfId="40936" xr:uid="{00000000-0005-0000-0000-00007EA00000}"/>
    <cellStyle name="Notas 6 2 2 10 3 3 2" xfId="40937" xr:uid="{00000000-0005-0000-0000-00007FA00000}"/>
    <cellStyle name="Notas 6 2 2 10 3 3 3" xfId="40938" xr:uid="{00000000-0005-0000-0000-000080A00000}"/>
    <cellStyle name="Notas 6 2 2 10 3 3 4" xfId="40939" xr:uid="{00000000-0005-0000-0000-000081A00000}"/>
    <cellStyle name="Notas 6 2 2 10 3 4" xfId="40940" xr:uid="{00000000-0005-0000-0000-000082A00000}"/>
    <cellStyle name="Notas 6 2 2 10 3 5" xfId="40941" xr:uid="{00000000-0005-0000-0000-000083A00000}"/>
    <cellStyle name="Notas 6 2 2 10 3 6" xfId="40942" xr:uid="{00000000-0005-0000-0000-000084A00000}"/>
    <cellStyle name="Notas 6 2 2 10 4" xfId="40943" xr:uid="{00000000-0005-0000-0000-000085A00000}"/>
    <cellStyle name="Notas 6 2 2 10 5" xfId="40944" xr:uid="{00000000-0005-0000-0000-000086A00000}"/>
    <cellStyle name="Notas 6 2 2 10 6" xfId="40945" xr:uid="{00000000-0005-0000-0000-000087A00000}"/>
    <cellStyle name="Notas 6 2 2 11" xfId="40946" xr:uid="{00000000-0005-0000-0000-000088A00000}"/>
    <cellStyle name="Notas 6 2 2 12" xfId="40947" xr:uid="{00000000-0005-0000-0000-000089A00000}"/>
    <cellStyle name="Notas 6 2 2 2" xfId="40948" xr:uid="{00000000-0005-0000-0000-00008AA00000}"/>
    <cellStyle name="Notas 6 2 2 2 2" xfId="40949" xr:uid="{00000000-0005-0000-0000-00008BA00000}"/>
    <cellStyle name="Notas 6 2 2 2 2 2" xfId="40950" xr:uid="{00000000-0005-0000-0000-00008CA00000}"/>
    <cellStyle name="Notas 6 2 2 2 2 2 2" xfId="40951" xr:uid="{00000000-0005-0000-0000-00008DA00000}"/>
    <cellStyle name="Notas 6 2 2 2 2 2 2 2" xfId="40952" xr:uid="{00000000-0005-0000-0000-00008EA00000}"/>
    <cellStyle name="Notas 6 2 2 2 2 2 2 3" xfId="40953" xr:uid="{00000000-0005-0000-0000-00008FA00000}"/>
    <cellStyle name="Notas 6 2 2 2 2 2 2 4" xfId="40954" xr:uid="{00000000-0005-0000-0000-000090A00000}"/>
    <cellStyle name="Notas 6 2 2 2 2 2 3" xfId="40955" xr:uid="{00000000-0005-0000-0000-000091A00000}"/>
    <cellStyle name="Notas 6 2 2 2 2 2 3 2" xfId="40956" xr:uid="{00000000-0005-0000-0000-000092A00000}"/>
    <cellStyle name="Notas 6 2 2 2 2 2 3 3" xfId="40957" xr:uid="{00000000-0005-0000-0000-000093A00000}"/>
    <cellStyle name="Notas 6 2 2 2 2 2 3 4" xfId="40958" xr:uid="{00000000-0005-0000-0000-000094A00000}"/>
    <cellStyle name="Notas 6 2 2 2 2 2 4" xfId="40959" xr:uid="{00000000-0005-0000-0000-000095A00000}"/>
    <cellStyle name="Notas 6 2 2 2 2 2 5" xfId="40960" xr:uid="{00000000-0005-0000-0000-000096A00000}"/>
    <cellStyle name="Notas 6 2 2 2 2 2 6" xfId="40961" xr:uid="{00000000-0005-0000-0000-000097A00000}"/>
    <cellStyle name="Notas 6 2 2 2 2 3" xfId="40962" xr:uid="{00000000-0005-0000-0000-000098A00000}"/>
    <cellStyle name="Notas 6 2 2 2 2 3 2" xfId="40963" xr:uid="{00000000-0005-0000-0000-000099A00000}"/>
    <cellStyle name="Notas 6 2 2 2 2 3 2 2" xfId="40964" xr:uid="{00000000-0005-0000-0000-00009AA00000}"/>
    <cellStyle name="Notas 6 2 2 2 2 3 2 3" xfId="40965" xr:uid="{00000000-0005-0000-0000-00009BA00000}"/>
    <cellStyle name="Notas 6 2 2 2 2 3 2 4" xfId="40966" xr:uid="{00000000-0005-0000-0000-00009CA00000}"/>
    <cellStyle name="Notas 6 2 2 2 2 3 3" xfId="40967" xr:uid="{00000000-0005-0000-0000-00009DA00000}"/>
    <cellStyle name="Notas 6 2 2 2 2 3 3 2" xfId="40968" xr:uid="{00000000-0005-0000-0000-00009EA00000}"/>
    <cellStyle name="Notas 6 2 2 2 2 3 3 3" xfId="40969" xr:uid="{00000000-0005-0000-0000-00009FA00000}"/>
    <cellStyle name="Notas 6 2 2 2 2 3 3 4" xfId="40970" xr:uid="{00000000-0005-0000-0000-0000A0A00000}"/>
    <cellStyle name="Notas 6 2 2 2 2 3 4" xfId="40971" xr:uid="{00000000-0005-0000-0000-0000A1A00000}"/>
    <cellStyle name="Notas 6 2 2 2 2 3 5" xfId="40972" xr:uid="{00000000-0005-0000-0000-0000A2A00000}"/>
    <cellStyle name="Notas 6 2 2 2 2 3 6" xfId="40973" xr:uid="{00000000-0005-0000-0000-0000A3A00000}"/>
    <cellStyle name="Notas 6 2 2 2 2 4" xfId="40974" xr:uid="{00000000-0005-0000-0000-0000A4A00000}"/>
    <cellStyle name="Notas 6 2 2 2 2 5" xfId="40975" xr:uid="{00000000-0005-0000-0000-0000A5A00000}"/>
    <cellStyle name="Notas 6 2 2 2 2 6" xfId="40976" xr:uid="{00000000-0005-0000-0000-0000A6A00000}"/>
    <cellStyle name="Notas 6 2 2 2 3" xfId="40977" xr:uid="{00000000-0005-0000-0000-0000A7A00000}"/>
    <cellStyle name="Notas 6 2 2 2 4" xfId="40978" xr:uid="{00000000-0005-0000-0000-0000A8A00000}"/>
    <cellStyle name="Notas 6 2 2 3" xfId="40979" xr:uid="{00000000-0005-0000-0000-0000A9A00000}"/>
    <cellStyle name="Notas 6 2 2 3 2" xfId="40980" xr:uid="{00000000-0005-0000-0000-0000AAA00000}"/>
    <cellStyle name="Notas 6 2 2 3 2 2" xfId="40981" xr:uid="{00000000-0005-0000-0000-0000ABA00000}"/>
    <cellStyle name="Notas 6 2 2 3 2 2 2" xfId="40982" xr:uid="{00000000-0005-0000-0000-0000ACA00000}"/>
    <cellStyle name="Notas 6 2 2 3 2 2 2 2" xfId="40983" xr:uid="{00000000-0005-0000-0000-0000ADA00000}"/>
    <cellStyle name="Notas 6 2 2 3 2 2 2 3" xfId="40984" xr:uid="{00000000-0005-0000-0000-0000AEA00000}"/>
    <cellStyle name="Notas 6 2 2 3 2 2 2 4" xfId="40985" xr:uid="{00000000-0005-0000-0000-0000AFA00000}"/>
    <cellStyle name="Notas 6 2 2 3 2 2 3" xfId="40986" xr:uid="{00000000-0005-0000-0000-0000B0A00000}"/>
    <cellStyle name="Notas 6 2 2 3 2 2 3 2" xfId="40987" xr:uid="{00000000-0005-0000-0000-0000B1A00000}"/>
    <cellStyle name="Notas 6 2 2 3 2 2 3 3" xfId="40988" xr:uid="{00000000-0005-0000-0000-0000B2A00000}"/>
    <cellStyle name="Notas 6 2 2 3 2 2 3 4" xfId="40989" xr:uid="{00000000-0005-0000-0000-0000B3A00000}"/>
    <cellStyle name="Notas 6 2 2 3 2 2 4" xfId="40990" xr:uid="{00000000-0005-0000-0000-0000B4A00000}"/>
    <cellStyle name="Notas 6 2 2 3 2 2 5" xfId="40991" xr:uid="{00000000-0005-0000-0000-0000B5A00000}"/>
    <cellStyle name="Notas 6 2 2 3 2 2 6" xfId="40992" xr:uid="{00000000-0005-0000-0000-0000B6A00000}"/>
    <cellStyle name="Notas 6 2 2 3 2 3" xfId="40993" xr:uid="{00000000-0005-0000-0000-0000B7A00000}"/>
    <cellStyle name="Notas 6 2 2 3 2 3 2" xfId="40994" xr:uid="{00000000-0005-0000-0000-0000B8A00000}"/>
    <cellStyle name="Notas 6 2 2 3 2 3 2 2" xfId="40995" xr:uid="{00000000-0005-0000-0000-0000B9A00000}"/>
    <cellStyle name="Notas 6 2 2 3 2 3 2 3" xfId="40996" xr:uid="{00000000-0005-0000-0000-0000BAA00000}"/>
    <cellStyle name="Notas 6 2 2 3 2 3 2 4" xfId="40997" xr:uid="{00000000-0005-0000-0000-0000BBA00000}"/>
    <cellStyle name="Notas 6 2 2 3 2 3 3" xfId="40998" xr:uid="{00000000-0005-0000-0000-0000BCA00000}"/>
    <cellStyle name="Notas 6 2 2 3 2 3 3 2" xfId="40999" xr:uid="{00000000-0005-0000-0000-0000BDA00000}"/>
    <cellStyle name="Notas 6 2 2 3 2 3 3 3" xfId="41000" xr:uid="{00000000-0005-0000-0000-0000BEA00000}"/>
    <cellStyle name="Notas 6 2 2 3 2 3 3 4" xfId="41001" xr:uid="{00000000-0005-0000-0000-0000BFA00000}"/>
    <cellStyle name="Notas 6 2 2 3 2 3 4" xfId="41002" xr:uid="{00000000-0005-0000-0000-0000C0A00000}"/>
    <cellStyle name="Notas 6 2 2 3 2 3 5" xfId="41003" xr:uid="{00000000-0005-0000-0000-0000C1A00000}"/>
    <cellStyle name="Notas 6 2 2 3 2 3 6" xfId="41004" xr:uid="{00000000-0005-0000-0000-0000C2A00000}"/>
    <cellStyle name="Notas 6 2 2 3 2 4" xfId="41005" xr:uid="{00000000-0005-0000-0000-0000C3A00000}"/>
    <cellStyle name="Notas 6 2 2 3 2 5" xfId="41006" xr:uid="{00000000-0005-0000-0000-0000C4A00000}"/>
    <cellStyle name="Notas 6 2 2 3 2 6" xfId="41007" xr:uid="{00000000-0005-0000-0000-0000C5A00000}"/>
    <cellStyle name="Notas 6 2 2 3 3" xfId="41008" xr:uid="{00000000-0005-0000-0000-0000C6A00000}"/>
    <cellStyle name="Notas 6 2 2 3 4" xfId="41009" xr:uid="{00000000-0005-0000-0000-0000C7A00000}"/>
    <cellStyle name="Notas 6 2 2 4" xfId="41010" xr:uid="{00000000-0005-0000-0000-0000C8A00000}"/>
    <cellStyle name="Notas 6 2 2 4 2" xfId="41011" xr:uid="{00000000-0005-0000-0000-0000C9A00000}"/>
    <cellStyle name="Notas 6 2 2 4 2 2" xfId="41012" xr:uid="{00000000-0005-0000-0000-0000CAA00000}"/>
    <cellStyle name="Notas 6 2 2 4 2 2 2" xfId="41013" xr:uid="{00000000-0005-0000-0000-0000CBA00000}"/>
    <cellStyle name="Notas 6 2 2 4 2 2 2 2" xfId="41014" xr:uid="{00000000-0005-0000-0000-0000CCA00000}"/>
    <cellStyle name="Notas 6 2 2 4 2 2 2 3" xfId="41015" xr:uid="{00000000-0005-0000-0000-0000CDA00000}"/>
    <cellStyle name="Notas 6 2 2 4 2 2 2 4" xfId="41016" xr:uid="{00000000-0005-0000-0000-0000CEA00000}"/>
    <cellStyle name="Notas 6 2 2 4 2 2 3" xfId="41017" xr:uid="{00000000-0005-0000-0000-0000CFA00000}"/>
    <cellStyle name="Notas 6 2 2 4 2 2 3 2" xfId="41018" xr:uid="{00000000-0005-0000-0000-0000D0A00000}"/>
    <cellStyle name="Notas 6 2 2 4 2 2 3 3" xfId="41019" xr:uid="{00000000-0005-0000-0000-0000D1A00000}"/>
    <cellStyle name="Notas 6 2 2 4 2 2 3 4" xfId="41020" xr:uid="{00000000-0005-0000-0000-0000D2A00000}"/>
    <cellStyle name="Notas 6 2 2 4 2 2 4" xfId="41021" xr:uid="{00000000-0005-0000-0000-0000D3A00000}"/>
    <cellStyle name="Notas 6 2 2 4 2 2 5" xfId="41022" xr:uid="{00000000-0005-0000-0000-0000D4A00000}"/>
    <cellStyle name="Notas 6 2 2 4 2 2 6" xfId="41023" xr:uid="{00000000-0005-0000-0000-0000D5A00000}"/>
    <cellStyle name="Notas 6 2 2 4 2 3" xfId="41024" xr:uid="{00000000-0005-0000-0000-0000D6A00000}"/>
    <cellStyle name="Notas 6 2 2 4 2 3 2" xfId="41025" xr:uid="{00000000-0005-0000-0000-0000D7A00000}"/>
    <cellStyle name="Notas 6 2 2 4 2 3 2 2" xfId="41026" xr:uid="{00000000-0005-0000-0000-0000D8A00000}"/>
    <cellStyle name="Notas 6 2 2 4 2 3 2 3" xfId="41027" xr:uid="{00000000-0005-0000-0000-0000D9A00000}"/>
    <cellStyle name="Notas 6 2 2 4 2 3 2 4" xfId="41028" xr:uid="{00000000-0005-0000-0000-0000DAA00000}"/>
    <cellStyle name="Notas 6 2 2 4 2 3 3" xfId="41029" xr:uid="{00000000-0005-0000-0000-0000DBA00000}"/>
    <cellStyle name="Notas 6 2 2 4 2 3 3 2" xfId="41030" xr:uid="{00000000-0005-0000-0000-0000DCA00000}"/>
    <cellStyle name="Notas 6 2 2 4 2 3 3 3" xfId="41031" xr:uid="{00000000-0005-0000-0000-0000DDA00000}"/>
    <cellStyle name="Notas 6 2 2 4 2 3 3 4" xfId="41032" xr:uid="{00000000-0005-0000-0000-0000DEA00000}"/>
    <cellStyle name="Notas 6 2 2 4 2 3 4" xfId="41033" xr:uid="{00000000-0005-0000-0000-0000DFA00000}"/>
    <cellStyle name="Notas 6 2 2 4 2 3 5" xfId="41034" xr:uid="{00000000-0005-0000-0000-0000E0A00000}"/>
    <cellStyle name="Notas 6 2 2 4 2 3 6" xfId="41035" xr:uid="{00000000-0005-0000-0000-0000E1A00000}"/>
    <cellStyle name="Notas 6 2 2 4 2 4" xfId="41036" xr:uid="{00000000-0005-0000-0000-0000E2A00000}"/>
    <cellStyle name="Notas 6 2 2 4 2 5" xfId="41037" xr:uid="{00000000-0005-0000-0000-0000E3A00000}"/>
    <cellStyle name="Notas 6 2 2 4 2 6" xfId="41038" xr:uid="{00000000-0005-0000-0000-0000E4A00000}"/>
    <cellStyle name="Notas 6 2 2 4 3" xfId="41039" xr:uid="{00000000-0005-0000-0000-0000E5A00000}"/>
    <cellStyle name="Notas 6 2 2 4 4" xfId="41040" xr:uid="{00000000-0005-0000-0000-0000E6A00000}"/>
    <cellStyle name="Notas 6 2 2 5" xfId="41041" xr:uid="{00000000-0005-0000-0000-0000E7A00000}"/>
    <cellStyle name="Notas 6 2 2 5 2" xfId="41042" xr:uid="{00000000-0005-0000-0000-0000E8A00000}"/>
    <cellStyle name="Notas 6 2 2 5 2 2" xfId="41043" xr:uid="{00000000-0005-0000-0000-0000E9A00000}"/>
    <cellStyle name="Notas 6 2 2 5 2 2 2" xfId="41044" xr:uid="{00000000-0005-0000-0000-0000EAA00000}"/>
    <cellStyle name="Notas 6 2 2 5 2 2 2 2" xfId="41045" xr:uid="{00000000-0005-0000-0000-0000EBA00000}"/>
    <cellStyle name="Notas 6 2 2 5 2 2 2 3" xfId="41046" xr:uid="{00000000-0005-0000-0000-0000ECA00000}"/>
    <cellStyle name="Notas 6 2 2 5 2 2 2 4" xfId="41047" xr:uid="{00000000-0005-0000-0000-0000EDA00000}"/>
    <cellStyle name="Notas 6 2 2 5 2 2 3" xfId="41048" xr:uid="{00000000-0005-0000-0000-0000EEA00000}"/>
    <cellStyle name="Notas 6 2 2 5 2 2 3 2" xfId="41049" xr:uid="{00000000-0005-0000-0000-0000EFA00000}"/>
    <cellStyle name="Notas 6 2 2 5 2 2 3 3" xfId="41050" xr:uid="{00000000-0005-0000-0000-0000F0A00000}"/>
    <cellStyle name="Notas 6 2 2 5 2 2 3 4" xfId="41051" xr:uid="{00000000-0005-0000-0000-0000F1A00000}"/>
    <cellStyle name="Notas 6 2 2 5 2 2 4" xfId="41052" xr:uid="{00000000-0005-0000-0000-0000F2A00000}"/>
    <cellStyle name="Notas 6 2 2 5 2 2 5" xfId="41053" xr:uid="{00000000-0005-0000-0000-0000F3A00000}"/>
    <cellStyle name="Notas 6 2 2 5 2 2 6" xfId="41054" xr:uid="{00000000-0005-0000-0000-0000F4A00000}"/>
    <cellStyle name="Notas 6 2 2 5 2 3" xfId="41055" xr:uid="{00000000-0005-0000-0000-0000F5A00000}"/>
    <cellStyle name="Notas 6 2 2 5 2 3 2" xfId="41056" xr:uid="{00000000-0005-0000-0000-0000F6A00000}"/>
    <cellStyle name="Notas 6 2 2 5 2 3 2 2" xfId="41057" xr:uid="{00000000-0005-0000-0000-0000F7A00000}"/>
    <cellStyle name="Notas 6 2 2 5 2 3 2 3" xfId="41058" xr:uid="{00000000-0005-0000-0000-0000F8A00000}"/>
    <cellStyle name="Notas 6 2 2 5 2 3 2 4" xfId="41059" xr:uid="{00000000-0005-0000-0000-0000F9A00000}"/>
    <cellStyle name="Notas 6 2 2 5 2 3 3" xfId="41060" xr:uid="{00000000-0005-0000-0000-0000FAA00000}"/>
    <cellStyle name="Notas 6 2 2 5 2 3 3 2" xfId="41061" xr:uid="{00000000-0005-0000-0000-0000FBA00000}"/>
    <cellStyle name="Notas 6 2 2 5 2 3 3 3" xfId="41062" xr:uid="{00000000-0005-0000-0000-0000FCA00000}"/>
    <cellStyle name="Notas 6 2 2 5 2 3 3 4" xfId="41063" xr:uid="{00000000-0005-0000-0000-0000FDA00000}"/>
    <cellStyle name="Notas 6 2 2 5 2 3 4" xfId="41064" xr:uid="{00000000-0005-0000-0000-0000FEA00000}"/>
    <cellStyle name="Notas 6 2 2 5 2 3 5" xfId="41065" xr:uid="{00000000-0005-0000-0000-0000FFA00000}"/>
    <cellStyle name="Notas 6 2 2 5 2 3 6" xfId="41066" xr:uid="{00000000-0005-0000-0000-000000A10000}"/>
    <cellStyle name="Notas 6 2 2 5 2 4" xfId="41067" xr:uid="{00000000-0005-0000-0000-000001A10000}"/>
    <cellStyle name="Notas 6 2 2 5 2 5" xfId="41068" xr:uid="{00000000-0005-0000-0000-000002A10000}"/>
    <cellStyle name="Notas 6 2 2 5 2 6" xfId="41069" xr:uid="{00000000-0005-0000-0000-000003A10000}"/>
    <cellStyle name="Notas 6 2 2 5 3" xfId="41070" xr:uid="{00000000-0005-0000-0000-000004A10000}"/>
    <cellStyle name="Notas 6 2 2 5 4" xfId="41071" xr:uid="{00000000-0005-0000-0000-000005A10000}"/>
    <cellStyle name="Notas 6 2 2 6" xfId="41072" xr:uid="{00000000-0005-0000-0000-000006A10000}"/>
    <cellStyle name="Notas 6 2 2 6 2" xfId="41073" xr:uid="{00000000-0005-0000-0000-000007A10000}"/>
    <cellStyle name="Notas 6 2 2 6 2 2" xfId="41074" xr:uid="{00000000-0005-0000-0000-000008A10000}"/>
    <cellStyle name="Notas 6 2 2 6 2 2 2" xfId="41075" xr:uid="{00000000-0005-0000-0000-000009A10000}"/>
    <cellStyle name="Notas 6 2 2 6 2 2 3" xfId="41076" xr:uid="{00000000-0005-0000-0000-00000AA10000}"/>
    <cellStyle name="Notas 6 2 2 6 2 2 4" xfId="41077" xr:uid="{00000000-0005-0000-0000-00000BA10000}"/>
    <cellStyle name="Notas 6 2 2 6 2 3" xfId="41078" xr:uid="{00000000-0005-0000-0000-00000CA10000}"/>
    <cellStyle name="Notas 6 2 2 6 2 3 2" xfId="41079" xr:uid="{00000000-0005-0000-0000-00000DA10000}"/>
    <cellStyle name="Notas 6 2 2 6 2 3 3" xfId="41080" xr:uid="{00000000-0005-0000-0000-00000EA10000}"/>
    <cellStyle name="Notas 6 2 2 6 2 3 4" xfId="41081" xr:uid="{00000000-0005-0000-0000-00000FA10000}"/>
    <cellStyle name="Notas 6 2 2 6 2 4" xfId="41082" xr:uid="{00000000-0005-0000-0000-000010A10000}"/>
    <cellStyle name="Notas 6 2 2 6 2 5" xfId="41083" xr:uid="{00000000-0005-0000-0000-000011A10000}"/>
    <cellStyle name="Notas 6 2 2 6 2 6" xfId="41084" xr:uid="{00000000-0005-0000-0000-000012A10000}"/>
    <cellStyle name="Notas 6 2 2 6 3" xfId="41085" xr:uid="{00000000-0005-0000-0000-000013A10000}"/>
    <cellStyle name="Notas 6 2 2 6 3 2" xfId="41086" xr:uid="{00000000-0005-0000-0000-000014A10000}"/>
    <cellStyle name="Notas 6 2 2 6 3 2 2" xfId="41087" xr:uid="{00000000-0005-0000-0000-000015A10000}"/>
    <cellStyle name="Notas 6 2 2 6 3 2 3" xfId="41088" xr:uid="{00000000-0005-0000-0000-000016A10000}"/>
    <cellStyle name="Notas 6 2 2 6 3 2 4" xfId="41089" xr:uid="{00000000-0005-0000-0000-000017A10000}"/>
    <cellStyle name="Notas 6 2 2 6 3 3" xfId="41090" xr:uid="{00000000-0005-0000-0000-000018A10000}"/>
    <cellStyle name="Notas 6 2 2 6 3 3 2" xfId="41091" xr:uid="{00000000-0005-0000-0000-000019A10000}"/>
    <cellStyle name="Notas 6 2 2 6 3 3 3" xfId="41092" xr:uid="{00000000-0005-0000-0000-00001AA10000}"/>
    <cellStyle name="Notas 6 2 2 6 3 3 4" xfId="41093" xr:uid="{00000000-0005-0000-0000-00001BA10000}"/>
    <cellStyle name="Notas 6 2 2 6 3 4" xfId="41094" xr:uid="{00000000-0005-0000-0000-00001CA10000}"/>
    <cellStyle name="Notas 6 2 2 6 3 5" xfId="41095" xr:uid="{00000000-0005-0000-0000-00001DA10000}"/>
    <cellStyle name="Notas 6 2 2 6 3 6" xfId="41096" xr:uid="{00000000-0005-0000-0000-00001EA10000}"/>
    <cellStyle name="Notas 6 2 2 6 4" xfId="41097" xr:uid="{00000000-0005-0000-0000-00001FA10000}"/>
    <cellStyle name="Notas 6 2 2 6 4 2" xfId="41098" xr:uid="{00000000-0005-0000-0000-000020A10000}"/>
    <cellStyle name="Notas 6 2 2 6 4 3" xfId="41099" xr:uid="{00000000-0005-0000-0000-000021A10000}"/>
    <cellStyle name="Notas 6 2 2 6 4 4" xfId="41100" xr:uid="{00000000-0005-0000-0000-000022A10000}"/>
    <cellStyle name="Notas 6 2 2 6 5" xfId="41101" xr:uid="{00000000-0005-0000-0000-000023A10000}"/>
    <cellStyle name="Notas 6 2 2 6 6" xfId="41102" xr:uid="{00000000-0005-0000-0000-000024A10000}"/>
    <cellStyle name="Notas 6 2 2 7" xfId="41103" xr:uid="{00000000-0005-0000-0000-000025A10000}"/>
    <cellStyle name="Notas 6 2 2 7 2" xfId="41104" xr:uid="{00000000-0005-0000-0000-000026A10000}"/>
    <cellStyle name="Notas 6 2 2 7 2 2" xfId="41105" xr:uid="{00000000-0005-0000-0000-000027A10000}"/>
    <cellStyle name="Notas 6 2 2 7 2 2 2" xfId="41106" xr:uid="{00000000-0005-0000-0000-000028A10000}"/>
    <cellStyle name="Notas 6 2 2 7 2 2 3" xfId="41107" xr:uid="{00000000-0005-0000-0000-000029A10000}"/>
    <cellStyle name="Notas 6 2 2 7 2 2 4" xfId="41108" xr:uid="{00000000-0005-0000-0000-00002AA10000}"/>
    <cellStyle name="Notas 6 2 2 7 2 3" xfId="41109" xr:uid="{00000000-0005-0000-0000-00002BA10000}"/>
    <cellStyle name="Notas 6 2 2 7 2 3 2" xfId="41110" xr:uid="{00000000-0005-0000-0000-00002CA10000}"/>
    <cellStyle name="Notas 6 2 2 7 2 3 3" xfId="41111" xr:uid="{00000000-0005-0000-0000-00002DA10000}"/>
    <cellStyle name="Notas 6 2 2 7 2 3 4" xfId="41112" xr:uid="{00000000-0005-0000-0000-00002EA10000}"/>
    <cellStyle name="Notas 6 2 2 7 2 4" xfId="41113" xr:uid="{00000000-0005-0000-0000-00002FA10000}"/>
    <cellStyle name="Notas 6 2 2 7 2 5" xfId="41114" xr:uid="{00000000-0005-0000-0000-000030A10000}"/>
    <cellStyle name="Notas 6 2 2 7 2 6" xfId="41115" xr:uid="{00000000-0005-0000-0000-000031A10000}"/>
    <cellStyle name="Notas 6 2 2 7 3" xfId="41116" xr:uid="{00000000-0005-0000-0000-000032A10000}"/>
    <cellStyle name="Notas 6 2 2 7 3 2" xfId="41117" xr:uid="{00000000-0005-0000-0000-000033A10000}"/>
    <cellStyle name="Notas 6 2 2 7 3 2 2" xfId="41118" xr:uid="{00000000-0005-0000-0000-000034A10000}"/>
    <cellStyle name="Notas 6 2 2 7 3 2 3" xfId="41119" xr:uid="{00000000-0005-0000-0000-000035A10000}"/>
    <cellStyle name="Notas 6 2 2 7 3 2 4" xfId="41120" xr:uid="{00000000-0005-0000-0000-000036A10000}"/>
    <cellStyle name="Notas 6 2 2 7 3 3" xfId="41121" xr:uid="{00000000-0005-0000-0000-000037A10000}"/>
    <cellStyle name="Notas 6 2 2 7 3 3 2" xfId="41122" xr:uid="{00000000-0005-0000-0000-000038A10000}"/>
    <cellStyle name="Notas 6 2 2 7 3 3 3" xfId="41123" xr:uid="{00000000-0005-0000-0000-000039A10000}"/>
    <cellStyle name="Notas 6 2 2 7 3 3 4" xfId="41124" xr:uid="{00000000-0005-0000-0000-00003AA10000}"/>
    <cellStyle name="Notas 6 2 2 7 3 4" xfId="41125" xr:uid="{00000000-0005-0000-0000-00003BA10000}"/>
    <cellStyle name="Notas 6 2 2 7 3 5" xfId="41126" xr:uid="{00000000-0005-0000-0000-00003CA10000}"/>
    <cellStyle name="Notas 6 2 2 7 3 6" xfId="41127" xr:uid="{00000000-0005-0000-0000-00003DA10000}"/>
    <cellStyle name="Notas 6 2 2 7 4" xfId="41128" xr:uid="{00000000-0005-0000-0000-00003EA10000}"/>
    <cellStyle name="Notas 6 2 2 7 4 2" xfId="41129" xr:uid="{00000000-0005-0000-0000-00003FA10000}"/>
    <cellStyle name="Notas 6 2 2 7 4 3" xfId="41130" xr:uid="{00000000-0005-0000-0000-000040A10000}"/>
    <cellStyle name="Notas 6 2 2 7 4 4" xfId="41131" xr:uid="{00000000-0005-0000-0000-000041A10000}"/>
    <cellStyle name="Notas 6 2 2 7 5" xfId="41132" xr:uid="{00000000-0005-0000-0000-000042A10000}"/>
    <cellStyle name="Notas 6 2 2 7 6" xfId="41133" xr:uid="{00000000-0005-0000-0000-000043A10000}"/>
    <cellStyle name="Notas 6 2 2 8" xfId="41134" xr:uid="{00000000-0005-0000-0000-000044A10000}"/>
    <cellStyle name="Notas 6 2 2 8 2" xfId="41135" xr:uid="{00000000-0005-0000-0000-000045A10000}"/>
    <cellStyle name="Notas 6 2 2 8 2 2" xfId="41136" xr:uid="{00000000-0005-0000-0000-000046A10000}"/>
    <cellStyle name="Notas 6 2 2 8 2 2 2" xfId="41137" xr:uid="{00000000-0005-0000-0000-000047A10000}"/>
    <cellStyle name="Notas 6 2 2 8 2 2 3" xfId="41138" xr:uid="{00000000-0005-0000-0000-000048A10000}"/>
    <cellStyle name="Notas 6 2 2 8 2 2 4" xfId="41139" xr:uid="{00000000-0005-0000-0000-000049A10000}"/>
    <cellStyle name="Notas 6 2 2 8 2 3" xfId="41140" xr:uid="{00000000-0005-0000-0000-00004AA10000}"/>
    <cellStyle name="Notas 6 2 2 8 2 3 2" xfId="41141" xr:uid="{00000000-0005-0000-0000-00004BA10000}"/>
    <cellStyle name="Notas 6 2 2 8 2 3 3" xfId="41142" xr:uid="{00000000-0005-0000-0000-00004CA10000}"/>
    <cellStyle name="Notas 6 2 2 8 2 3 4" xfId="41143" xr:uid="{00000000-0005-0000-0000-00004DA10000}"/>
    <cellStyle name="Notas 6 2 2 8 2 4" xfId="41144" xr:uid="{00000000-0005-0000-0000-00004EA10000}"/>
    <cellStyle name="Notas 6 2 2 8 2 5" xfId="41145" xr:uid="{00000000-0005-0000-0000-00004FA10000}"/>
    <cellStyle name="Notas 6 2 2 8 2 6" xfId="41146" xr:uid="{00000000-0005-0000-0000-000050A10000}"/>
    <cellStyle name="Notas 6 2 2 8 3" xfId="41147" xr:uid="{00000000-0005-0000-0000-000051A10000}"/>
    <cellStyle name="Notas 6 2 2 8 3 2" xfId="41148" xr:uid="{00000000-0005-0000-0000-000052A10000}"/>
    <cellStyle name="Notas 6 2 2 8 3 2 2" xfId="41149" xr:uid="{00000000-0005-0000-0000-000053A10000}"/>
    <cellStyle name="Notas 6 2 2 8 3 2 3" xfId="41150" xr:uid="{00000000-0005-0000-0000-000054A10000}"/>
    <cellStyle name="Notas 6 2 2 8 3 2 4" xfId="41151" xr:uid="{00000000-0005-0000-0000-000055A10000}"/>
    <cellStyle name="Notas 6 2 2 8 3 3" xfId="41152" xr:uid="{00000000-0005-0000-0000-000056A10000}"/>
    <cellStyle name="Notas 6 2 2 8 3 3 2" xfId="41153" xr:uid="{00000000-0005-0000-0000-000057A10000}"/>
    <cellStyle name="Notas 6 2 2 8 3 3 3" xfId="41154" xr:uid="{00000000-0005-0000-0000-000058A10000}"/>
    <cellStyle name="Notas 6 2 2 8 3 3 4" xfId="41155" xr:uid="{00000000-0005-0000-0000-000059A10000}"/>
    <cellStyle name="Notas 6 2 2 8 3 4" xfId="41156" xr:uid="{00000000-0005-0000-0000-00005AA10000}"/>
    <cellStyle name="Notas 6 2 2 8 3 5" xfId="41157" xr:uid="{00000000-0005-0000-0000-00005BA10000}"/>
    <cellStyle name="Notas 6 2 2 8 3 6" xfId="41158" xr:uid="{00000000-0005-0000-0000-00005CA10000}"/>
    <cellStyle name="Notas 6 2 2 8 4" xfId="41159" xr:uid="{00000000-0005-0000-0000-00005DA10000}"/>
    <cellStyle name="Notas 6 2 2 8 4 2" xfId="41160" xr:uid="{00000000-0005-0000-0000-00005EA10000}"/>
    <cellStyle name="Notas 6 2 2 8 4 3" xfId="41161" xr:uid="{00000000-0005-0000-0000-00005FA10000}"/>
    <cellStyle name="Notas 6 2 2 8 4 4" xfId="41162" xr:uid="{00000000-0005-0000-0000-000060A10000}"/>
    <cellStyle name="Notas 6 2 2 8 5" xfId="41163" xr:uid="{00000000-0005-0000-0000-000061A10000}"/>
    <cellStyle name="Notas 6 2 2 8 6" xfId="41164" xr:uid="{00000000-0005-0000-0000-000062A10000}"/>
    <cellStyle name="Notas 6 2 2 9" xfId="41165" xr:uid="{00000000-0005-0000-0000-000063A10000}"/>
    <cellStyle name="Notas 6 2 2 9 2" xfId="41166" xr:uid="{00000000-0005-0000-0000-000064A10000}"/>
    <cellStyle name="Notas 6 2 2 9 2 2" xfId="41167" xr:uid="{00000000-0005-0000-0000-000065A10000}"/>
    <cellStyle name="Notas 6 2 2 9 2 2 2" xfId="41168" xr:uid="{00000000-0005-0000-0000-000066A10000}"/>
    <cellStyle name="Notas 6 2 2 9 2 2 3" xfId="41169" xr:uid="{00000000-0005-0000-0000-000067A10000}"/>
    <cellStyle name="Notas 6 2 2 9 2 2 4" xfId="41170" xr:uid="{00000000-0005-0000-0000-000068A10000}"/>
    <cellStyle name="Notas 6 2 2 9 2 3" xfId="41171" xr:uid="{00000000-0005-0000-0000-000069A10000}"/>
    <cellStyle name="Notas 6 2 2 9 2 3 2" xfId="41172" xr:uid="{00000000-0005-0000-0000-00006AA10000}"/>
    <cellStyle name="Notas 6 2 2 9 2 3 3" xfId="41173" xr:uid="{00000000-0005-0000-0000-00006BA10000}"/>
    <cellStyle name="Notas 6 2 2 9 2 3 4" xfId="41174" xr:uid="{00000000-0005-0000-0000-00006CA10000}"/>
    <cellStyle name="Notas 6 2 2 9 2 4" xfId="41175" xr:uid="{00000000-0005-0000-0000-00006DA10000}"/>
    <cellStyle name="Notas 6 2 2 9 2 5" xfId="41176" xr:uid="{00000000-0005-0000-0000-00006EA10000}"/>
    <cellStyle name="Notas 6 2 2 9 2 6" xfId="41177" xr:uid="{00000000-0005-0000-0000-00006FA10000}"/>
    <cellStyle name="Notas 6 2 2 9 3" xfId="41178" xr:uid="{00000000-0005-0000-0000-000070A10000}"/>
    <cellStyle name="Notas 6 2 2 9 3 2" xfId="41179" xr:uid="{00000000-0005-0000-0000-000071A10000}"/>
    <cellStyle name="Notas 6 2 2 9 3 2 2" xfId="41180" xr:uid="{00000000-0005-0000-0000-000072A10000}"/>
    <cellStyle name="Notas 6 2 2 9 3 2 3" xfId="41181" xr:uid="{00000000-0005-0000-0000-000073A10000}"/>
    <cellStyle name="Notas 6 2 2 9 3 2 4" xfId="41182" xr:uid="{00000000-0005-0000-0000-000074A10000}"/>
    <cellStyle name="Notas 6 2 2 9 3 3" xfId="41183" xr:uid="{00000000-0005-0000-0000-000075A10000}"/>
    <cellStyle name="Notas 6 2 2 9 3 3 2" xfId="41184" xr:uid="{00000000-0005-0000-0000-000076A10000}"/>
    <cellStyle name="Notas 6 2 2 9 3 3 3" xfId="41185" xr:uid="{00000000-0005-0000-0000-000077A10000}"/>
    <cellStyle name="Notas 6 2 2 9 3 3 4" xfId="41186" xr:uid="{00000000-0005-0000-0000-000078A10000}"/>
    <cellStyle name="Notas 6 2 2 9 3 4" xfId="41187" xr:uid="{00000000-0005-0000-0000-000079A10000}"/>
    <cellStyle name="Notas 6 2 2 9 3 5" xfId="41188" xr:uid="{00000000-0005-0000-0000-00007AA10000}"/>
    <cellStyle name="Notas 6 2 2 9 3 6" xfId="41189" xr:uid="{00000000-0005-0000-0000-00007BA10000}"/>
    <cellStyle name="Notas 6 2 2 9 4" xfId="41190" xr:uid="{00000000-0005-0000-0000-00007CA10000}"/>
    <cellStyle name="Notas 6 2 2 9 4 2" xfId="41191" xr:uid="{00000000-0005-0000-0000-00007DA10000}"/>
    <cellStyle name="Notas 6 2 2 9 4 3" xfId="41192" xr:uid="{00000000-0005-0000-0000-00007EA10000}"/>
    <cellStyle name="Notas 6 2 2 9 4 4" xfId="41193" xr:uid="{00000000-0005-0000-0000-00007FA10000}"/>
    <cellStyle name="Notas 6 2 2 9 5" xfId="41194" xr:uid="{00000000-0005-0000-0000-000080A10000}"/>
    <cellStyle name="Notas 6 2 2 9 6" xfId="41195" xr:uid="{00000000-0005-0000-0000-000081A10000}"/>
    <cellStyle name="Notas 6 2 3" xfId="41196" xr:uid="{00000000-0005-0000-0000-000082A10000}"/>
    <cellStyle name="Notas 6 2 3 10" xfId="41197" xr:uid="{00000000-0005-0000-0000-000083A10000}"/>
    <cellStyle name="Notas 6 2 3 10 2" xfId="41198" xr:uid="{00000000-0005-0000-0000-000084A10000}"/>
    <cellStyle name="Notas 6 2 3 10 2 2" xfId="41199" xr:uid="{00000000-0005-0000-0000-000085A10000}"/>
    <cellStyle name="Notas 6 2 3 10 2 2 2" xfId="41200" xr:uid="{00000000-0005-0000-0000-000086A10000}"/>
    <cellStyle name="Notas 6 2 3 10 2 2 3" xfId="41201" xr:uid="{00000000-0005-0000-0000-000087A10000}"/>
    <cellStyle name="Notas 6 2 3 10 2 2 4" xfId="41202" xr:uid="{00000000-0005-0000-0000-000088A10000}"/>
    <cellStyle name="Notas 6 2 3 10 2 3" xfId="41203" xr:uid="{00000000-0005-0000-0000-000089A10000}"/>
    <cellStyle name="Notas 6 2 3 10 2 3 2" xfId="41204" xr:uid="{00000000-0005-0000-0000-00008AA10000}"/>
    <cellStyle name="Notas 6 2 3 10 2 3 3" xfId="41205" xr:uid="{00000000-0005-0000-0000-00008BA10000}"/>
    <cellStyle name="Notas 6 2 3 10 2 3 4" xfId="41206" xr:uid="{00000000-0005-0000-0000-00008CA10000}"/>
    <cellStyle name="Notas 6 2 3 10 2 4" xfId="41207" xr:uid="{00000000-0005-0000-0000-00008DA10000}"/>
    <cellStyle name="Notas 6 2 3 10 2 5" xfId="41208" xr:uid="{00000000-0005-0000-0000-00008EA10000}"/>
    <cellStyle name="Notas 6 2 3 10 2 6" xfId="41209" xr:uid="{00000000-0005-0000-0000-00008FA10000}"/>
    <cellStyle name="Notas 6 2 3 10 3" xfId="41210" xr:uid="{00000000-0005-0000-0000-000090A10000}"/>
    <cellStyle name="Notas 6 2 3 10 3 2" xfId="41211" xr:uid="{00000000-0005-0000-0000-000091A10000}"/>
    <cellStyle name="Notas 6 2 3 10 3 2 2" xfId="41212" xr:uid="{00000000-0005-0000-0000-000092A10000}"/>
    <cellStyle name="Notas 6 2 3 10 3 2 3" xfId="41213" xr:uid="{00000000-0005-0000-0000-000093A10000}"/>
    <cellStyle name="Notas 6 2 3 10 3 2 4" xfId="41214" xr:uid="{00000000-0005-0000-0000-000094A10000}"/>
    <cellStyle name="Notas 6 2 3 10 3 3" xfId="41215" xr:uid="{00000000-0005-0000-0000-000095A10000}"/>
    <cellStyle name="Notas 6 2 3 10 3 3 2" xfId="41216" xr:uid="{00000000-0005-0000-0000-000096A10000}"/>
    <cellStyle name="Notas 6 2 3 10 3 3 3" xfId="41217" xr:uid="{00000000-0005-0000-0000-000097A10000}"/>
    <cellStyle name="Notas 6 2 3 10 3 3 4" xfId="41218" xr:uid="{00000000-0005-0000-0000-000098A10000}"/>
    <cellStyle name="Notas 6 2 3 10 3 4" xfId="41219" xr:uid="{00000000-0005-0000-0000-000099A10000}"/>
    <cellStyle name="Notas 6 2 3 10 3 5" xfId="41220" xr:uid="{00000000-0005-0000-0000-00009AA10000}"/>
    <cellStyle name="Notas 6 2 3 10 3 6" xfId="41221" xr:uid="{00000000-0005-0000-0000-00009BA10000}"/>
    <cellStyle name="Notas 6 2 3 10 4" xfId="41222" xr:uid="{00000000-0005-0000-0000-00009CA10000}"/>
    <cellStyle name="Notas 6 2 3 10 5" xfId="41223" xr:uid="{00000000-0005-0000-0000-00009DA10000}"/>
    <cellStyle name="Notas 6 2 3 10 6" xfId="41224" xr:uid="{00000000-0005-0000-0000-00009EA10000}"/>
    <cellStyle name="Notas 6 2 3 11" xfId="41225" xr:uid="{00000000-0005-0000-0000-00009FA10000}"/>
    <cellStyle name="Notas 6 2 3 12" xfId="41226" xr:uid="{00000000-0005-0000-0000-0000A0A10000}"/>
    <cellStyle name="Notas 6 2 3 2" xfId="41227" xr:uid="{00000000-0005-0000-0000-0000A1A10000}"/>
    <cellStyle name="Notas 6 2 3 2 2" xfId="41228" xr:uid="{00000000-0005-0000-0000-0000A2A10000}"/>
    <cellStyle name="Notas 6 2 3 2 2 2" xfId="41229" xr:uid="{00000000-0005-0000-0000-0000A3A10000}"/>
    <cellStyle name="Notas 6 2 3 2 2 2 2" xfId="41230" xr:uid="{00000000-0005-0000-0000-0000A4A10000}"/>
    <cellStyle name="Notas 6 2 3 2 2 2 2 2" xfId="41231" xr:uid="{00000000-0005-0000-0000-0000A5A10000}"/>
    <cellStyle name="Notas 6 2 3 2 2 2 2 3" xfId="41232" xr:uid="{00000000-0005-0000-0000-0000A6A10000}"/>
    <cellStyle name="Notas 6 2 3 2 2 2 2 4" xfId="41233" xr:uid="{00000000-0005-0000-0000-0000A7A10000}"/>
    <cellStyle name="Notas 6 2 3 2 2 2 3" xfId="41234" xr:uid="{00000000-0005-0000-0000-0000A8A10000}"/>
    <cellStyle name="Notas 6 2 3 2 2 2 3 2" xfId="41235" xr:uid="{00000000-0005-0000-0000-0000A9A10000}"/>
    <cellStyle name="Notas 6 2 3 2 2 2 3 3" xfId="41236" xr:uid="{00000000-0005-0000-0000-0000AAA10000}"/>
    <cellStyle name="Notas 6 2 3 2 2 2 3 4" xfId="41237" xr:uid="{00000000-0005-0000-0000-0000ABA10000}"/>
    <cellStyle name="Notas 6 2 3 2 2 2 4" xfId="41238" xr:uid="{00000000-0005-0000-0000-0000ACA10000}"/>
    <cellStyle name="Notas 6 2 3 2 2 2 5" xfId="41239" xr:uid="{00000000-0005-0000-0000-0000ADA10000}"/>
    <cellStyle name="Notas 6 2 3 2 2 2 6" xfId="41240" xr:uid="{00000000-0005-0000-0000-0000AEA10000}"/>
    <cellStyle name="Notas 6 2 3 2 2 3" xfId="41241" xr:uid="{00000000-0005-0000-0000-0000AFA10000}"/>
    <cellStyle name="Notas 6 2 3 2 2 3 2" xfId="41242" xr:uid="{00000000-0005-0000-0000-0000B0A10000}"/>
    <cellStyle name="Notas 6 2 3 2 2 3 2 2" xfId="41243" xr:uid="{00000000-0005-0000-0000-0000B1A10000}"/>
    <cellStyle name="Notas 6 2 3 2 2 3 2 3" xfId="41244" xr:uid="{00000000-0005-0000-0000-0000B2A10000}"/>
    <cellStyle name="Notas 6 2 3 2 2 3 2 4" xfId="41245" xr:uid="{00000000-0005-0000-0000-0000B3A10000}"/>
    <cellStyle name="Notas 6 2 3 2 2 3 3" xfId="41246" xr:uid="{00000000-0005-0000-0000-0000B4A10000}"/>
    <cellStyle name="Notas 6 2 3 2 2 3 3 2" xfId="41247" xr:uid="{00000000-0005-0000-0000-0000B5A10000}"/>
    <cellStyle name="Notas 6 2 3 2 2 3 3 3" xfId="41248" xr:uid="{00000000-0005-0000-0000-0000B6A10000}"/>
    <cellStyle name="Notas 6 2 3 2 2 3 3 4" xfId="41249" xr:uid="{00000000-0005-0000-0000-0000B7A10000}"/>
    <cellStyle name="Notas 6 2 3 2 2 3 4" xfId="41250" xr:uid="{00000000-0005-0000-0000-0000B8A10000}"/>
    <cellStyle name="Notas 6 2 3 2 2 3 5" xfId="41251" xr:uid="{00000000-0005-0000-0000-0000B9A10000}"/>
    <cellStyle name="Notas 6 2 3 2 2 3 6" xfId="41252" xr:uid="{00000000-0005-0000-0000-0000BAA10000}"/>
    <cellStyle name="Notas 6 2 3 2 2 4" xfId="41253" xr:uid="{00000000-0005-0000-0000-0000BBA10000}"/>
    <cellStyle name="Notas 6 2 3 2 2 5" xfId="41254" xr:uid="{00000000-0005-0000-0000-0000BCA10000}"/>
    <cellStyle name="Notas 6 2 3 2 2 6" xfId="41255" xr:uid="{00000000-0005-0000-0000-0000BDA10000}"/>
    <cellStyle name="Notas 6 2 3 2 3" xfId="41256" xr:uid="{00000000-0005-0000-0000-0000BEA10000}"/>
    <cellStyle name="Notas 6 2 3 2 4" xfId="41257" xr:uid="{00000000-0005-0000-0000-0000BFA10000}"/>
    <cellStyle name="Notas 6 2 3 3" xfId="41258" xr:uid="{00000000-0005-0000-0000-0000C0A10000}"/>
    <cellStyle name="Notas 6 2 3 3 2" xfId="41259" xr:uid="{00000000-0005-0000-0000-0000C1A10000}"/>
    <cellStyle name="Notas 6 2 3 3 2 2" xfId="41260" xr:uid="{00000000-0005-0000-0000-0000C2A10000}"/>
    <cellStyle name="Notas 6 2 3 3 2 2 2" xfId="41261" xr:uid="{00000000-0005-0000-0000-0000C3A10000}"/>
    <cellStyle name="Notas 6 2 3 3 2 2 2 2" xfId="41262" xr:uid="{00000000-0005-0000-0000-0000C4A10000}"/>
    <cellStyle name="Notas 6 2 3 3 2 2 2 3" xfId="41263" xr:uid="{00000000-0005-0000-0000-0000C5A10000}"/>
    <cellStyle name="Notas 6 2 3 3 2 2 2 4" xfId="41264" xr:uid="{00000000-0005-0000-0000-0000C6A10000}"/>
    <cellStyle name="Notas 6 2 3 3 2 2 3" xfId="41265" xr:uid="{00000000-0005-0000-0000-0000C7A10000}"/>
    <cellStyle name="Notas 6 2 3 3 2 2 3 2" xfId="41266" xr:uid="{00000000-0005-0000-0000-0000C8A10000}"/>
    <cellStyle name="Notas 6 2 3 3 2 2 3 3" xfId="41267" xr:uid="{00000000-0005-0000-0000-0000C9A10000}"/>
    <cellStyle name="Notas 6 2 3 3 2 2 3 4" xfId="41268" xr:uid="{00000000-0005-0000-0000-0000CAA10000}"/>
    <cellStyle name="Notas 6 2 3 3 2 2 4" xfId="41269" xr:uid="{00000000-0005-0000-0000-0000CBA10000}"/>
    <cellStyle name="Notas 6 2 3 3 2 2 5" xfId="41270" xr:uid="{00000000-0005-0000-0000-0000CCA10000}"/>
    <cellStyle name="Notas 6 2 3 3 2 2 6" xfId="41271" xr:uid="{00000000-0005-0000-0000-0000CDA10000}"/>
    <cellStyle name="Notas 6 2 3 3 2 3" xfId="41272" xr:uid="{00000000-0005-0000-0000-0000CEA10000}"/>
    <cellStyle name="Notas 6 2 3 3 2 3 2" xfId="41273" xr:uid="{00000000-0005-0000-0000-0000CFA10000}"/>
    <cellStyle name="Notas 6 2 3 3 2 3 2 2" xfId="41274" xr:uid="{00000000-0005-0000-0000-0000D0A10000}"/>
    <cellStyle name="Notas 6 2 3 3 2 3 2 3" xfId="41275" xr:uid="{00000000-0005-0000-0000-0000D1A10000}"/>
    <cellStyle name="Notas 6 2 3 3 2 3 2 4" xfId="41276" xr:uid="{00000000-0005-0000-0000-0000D2A10000}"/>
    <cellStyle name="Notas 6 2 3 3 2 3 3" xfId="41277" xr:uid="{00000000-0005-0000-0000-0000D3A10000}"/>
    <cellStyle name="Notas 6 2 3 3 2 3 3 2" xfId="41278" xr:uid="{00000000-0005-0000-0000-0000D4A10000}"/>
    <cellStyle name="Notas 6 2 3 3 2 3 3 3" xfId="41279" xr:uid="{00000000-0005-0000-0000-0000D5A10000}"/>
    <cellStyle name="Notas 6 2 3 3 2 3 3 4" xfId="41280" xr:uid="{00000000-0005-0000-0000-0000D6A10000}"/>
    <cellStyle name="Notas 6 2 3 3 2 3 4" xfId="41281" xr:uid="{00000000-0005-0000-0000-0000D7A10000}"/>
    <cellStyle name="Notas 6 2 3 3 2 3 5" xfId="41282" xr:uid="{00000000-0005-0000-0000-0000D8A10000}"/>
    <cellStyle name="Notas 6 2 3 3 2 3 6" xfId="41283" xr:uid="{00000000-0005-0000-0000-0000D9A10000}"/>
    <cellStyle name="Notas 6 2 3 3 2 4" xfId="41284" xr:uid="{00000000-0005-0000-0000-0000DAA10000}"/>
    <cellStyle name="Notas 6 2 3 3 2 5" xfId="41285" xr:uid="{00000000-0005-0000-0000-0000DBA10000}"/>
    <cellStyle name="Notas 6 2 3 3 2 6" xfId="41286" xr:uid="{00000000-0005-0000-0000-0000DCA10000}"/>
    <cellStyle name="Notas 6 2 3 3 3" xfId="41287" xr:uid="{00000000-0005-0000-0000-0000DDA10000}"/>
    <cellStyle name="Notas 6 2 3 3 4" xfId="41288" xr:uid="{00000000-0005-0000-0000-0000DEA10000}"/>
    <cellStyle name="Notas 6 2 3 4" xfId="41289" xr:uid="{00000000-0005-0000-0000-0000DFA10000}"/>
    <cellStyle name="Notas 6 2 3 4 2" xfId="41290" xr:uid="{00000000-0005-0000-0000-0000E0A10000}"/>
    <cellStyle name="Notas 6 2 3 4 2 2" xfId="41291" xr:uid="{00000000-0005-0000-0000-0000E1A10000}"/>
    <cellStyle name="Notas 6 2 3 4 2 2 2" xfId="41292" xr:uid="{00000000-0005-0000-0000-0000E2A10000}"/>
    <cellStyle name="Notas 6 2 3 4 2 2 2 2" xfId="41293" xr:uid="{00000000-0005-0000-0000-0000E3A10000}"/>
    <cellStyle name="Notas 6 2 3 4 2 2 2 3" xfId="41294" xr:uid="{00000000-0005-0000-0000-0000E4A10000}"/>
    <cellStyle name="Notas 6 2 3 4 2 2 2 4" xfId="41295" xr:uid="{00000000-0005-0000-0000-0000E5A10000}"/>
    <cellStyle name="Notas 6 2 3 4 2 2 3" xfId="41296" xr:uid="{00000000-0005-0000-0000-0000E6A10000}"/>
    <cellStyle name="Notas 6 2 3 4 2 2 3 2" xfId="41297" xr:uid="{00000000-0005-0000-0000-0000E7A10000}"/>
    <cellStyle name="Notas 6 2 3 4 2 2 3 3" xfId="41298" xr:uid="{00000000-0005-0000-0000-0000E8A10000}"/>
    <cellStyle name="Notas 6 2 3 4 2 2 3 4" xfId="41299" xr:uid="{00000000-0005-0000-0000-0000E9A10000}"/>
    <cellStyle name="Notas 6 2 3 4 2 2 4" xfId="41300" xr:uid="{00000000-0005-0000-0000-0000EAA10000}"/>
    <cellStyle name="Notas 6 2 3 4 2 2 5" xfId="41301" xr:uid="{00000000-0005-0000-0000-0000EBA10000}"/>
    <cellStyle name="Notas 6 2 3 4 2 2 6" xfId="41302" xr:uid="{00000000-0005-0000-0000-0000ECA10000}"/>
    <cellStyle name="Notas 6 2 3 4 2 3" xfId="41303" xr:uid="{00000000-0005-0000-0000-0000EDA10000}"/>
    <cellStyle name="Notas 6 2 3 4 2 3 2" xfId="41304" xr:uid="{00000000-0005-0000-0000-0000EEA10000}"/>
    <cellStyle name="Notas 6 2 3 4 2 3 2 2" xfId="41305" xr:uid="{00000000-0005-0000-0000-0000EFA10000}"/>
    <cellStyle name="Notas 6 2 3 4 2 3 2 3" xfId="41306" xr:uid="{00000000-0005-0000-0000-0000F0A10000}"/>
    <cellStyle name="Notas 6 2 3 4 2 3 2 4" xfId="41307" xr:uid="{00000000-0005-0000-0000-0000F1A10000}"/>
    <cellStyle name="Notas 6 2 3 4 2 3 3" xfId="41308" xr:uid="{00000000-0005-0000-0000-0000F2A10000}"/>
    <cellStyle name="Notas 6 2 3 4 2 3 3 2" xfId="41309" xr:uid="{00000000-0005-0000-0000-0000F3A10000}"/>
    <cellStyle name="Notas 6 2 3 4 2 3 3 3" xfId="41310" xr:uid="{00000000-0005-0000-0000-0000F4A10000}"/>
    <cellStyle name="Notas 6 2 3 4 2 3 3 4" xfId="41311" xr:uid="{00000000-0005-0000-0000-0000F5A10000}"/>
    <cellStyle name="Notas 6 2 3 4 2 3 4" xfId="41312" xr:uid="{00000000-0005-0000-0000-0000F6A10000}"/>
    <cellStyle name="Notas 6 2 3 4 2 3 5" xfId="41313" xr:uid="{00000000-0005-0000-0000-0000F7A10000}"/>
    <cellStyle name="Notas 6 2 3 4 2 3 6" xfId="41314" xr:uid="{00000000-0005-0000-0000-0000F8A10000}"/>
    <cellStyle name="Notas 6 2 3 4 2 4" xfId="41315" xr:uid="{00000000-0005-0000-0000-0000F9A10000}"/>
    <cellStyle name="Notas 6 2 3 4 2 5" xfId="41316" xr:uid="{00000000-0005-0000-0000-0000FAA10000}"/>
    <cellStyle name="Notas 6 2 3 4 2 6" xfId="41317" xr:uid="{00000000-0005-0000-0000-0000FBA10000}"/>
    <cellStyle name="Notas 6 2 3 4 3" xfId="41318" xr:uid="{00000000-0005-0000-0000-0000FCA10000}"/>
    <cellStyle name="Notas 6 2 3 4 4" xfId="41319" xr:uid="{00000000-0005-0000-0000-0000FDA10000}"/>
    <cellStyle name="Notas 6 2 3 5" xfId="41320" xr:uid="{00000000-0005-0000-0000-0000FEA10000}"/>
    <cellStyle name="Notas 6 2 3 5 2" xfId="41321" xr:uid="{00000000-0005-0000-0000-0000FFA10000}"/>
    <cellStyle name="Notas 6 2 3 5 2 2" xfId="41322" xr:uid="{00000000-0005-0000-0000-000000A20000}"/>
    <cellStyle name="Notas 6 2 3 5 2 2 2" xfId="41323" xr:uid="{00000000-0005-0000-0000-000001A20000}"/>
    <cellStyle name="Notas 6 2 3 5 2 2 2 2" xfId="41324" xr:uid="{00000000-0005-0000-0000-000002A20000}"/>
    <cellStyle name="Notas 6 2 3 5 2 2 2 3" xfId="41325" xr:uid="{00000000-0005-0000-0000-000003A20000}"/>
    <cellStyle name="Notas 6 2 3 5 2 2 2 4" xfId="41326" xr:uid="{00000000-0005-0000-0000-000004A20000}"/>
    <cellStyle name="Notas 6 2 3 5 2 2 3" xfId="41327" xr:uid="{00000000-0005-0000-0000-000005A20000}"/>
    <cellStyle name="Notas 6 2 3 5 2 2 3 2" xfId="41328" xr:uid="{00000000-0005-0000-0000-000006A20000}"/>
    <cellStyle name="Notas 6 2 3 5 2 2 3 3" xfId="41329" xr:uid="{00000000-0005-0000-0000-000007A20000}"/>
    <cellStyle name="Notas 6 2 3 5 2 2 3 4" xfId="41330" xr:uid="{00000000-0005-0000-0000-000008A20000}"/>
    <cellStyle name="Notas 6 2 3 5 2 2 4" xfId="41331" xr:uid="{00000000-0005-0000-0000-000009A20000}"/>
    <cellStyle name="Notas 6 2 3 5 2 2 5" xfId="41332" xr:uid="{00000000-0005-0000-0000-00000AA20000}"/>
    <cellStyle name="Notas 6 2 3 5 2 2 6" xfId="41333" xr:uid="{00000000-0005-0000-0000-00000BA20000}"/>
    <cellStyle name="Notas 6 2 3 5 2 3" xfId="41334" xr:uid="{00000000-0005-0000-0000-00000CA20000}"/>
    <cellStyle name="Notas 6 2 3 5 2 3 2" xfId="41335" xr:uid="{00000000-0005-0000-0000-00000DA20000}"/>
    <cellStyle name="Notas 6 2 3 5 2 3 2 2" xfId="41336" xr:uid="{00000000-0005-0000-0000-00000EA20000}"/>
    <cellStyle name="Notas 6 2 3 5 2 3 2 3" xfId="41337" xr:uid="{00000000-0005-0000-0000-00000FA20000}"/>
    <cellStyle name="Notas 6 2 3 5 2 3 2 4" xfId="41338" xr:uid="{00000000-0005-0000-0000-000010A20000}"/>
    <cellStyle name="Notas 6 2 3 5 2 3 3" xfId="41339" xr:uid="{00000000-0005-0000-0000-000011A20000}"/>
    <cellStyle name="Notas 6 2 3 5 2 3 3 2" xfId="41340" xr:uid="{00000000-0005-0000-0000-000012A20000}"/>
    <cellStyle name="Notas 6 2 3 5 2 3 3 3" xfId="41341" xr:uid="{00000000-0005-0000-0000-000013A20000}"/>
    <cellStyle name="Notas 6 2 3 5 2 3 3 4" xfId="41342" xr:uid="{00000000-0005-0000-0000-000014A20000}"/>
    <cellStyle name="Notas 6 2 3 5 2 3 4" xfId="41343" xr:uid="{00000000-0005-0000-0000-000015A20000}"/>
    <cellStyle name="Notas 6 2 3 5 2 3 5" xfId="41344" xr:uid="{00000000-0005-0000-0000-000016A20000}"/>
    <cellStyle name="Notas 6 2 3 5 2 3 6" xfId="41345" xr:uid="{00000000-0005-0000-0000-000017A20000}"/>
    <cellStyle name="Notas 6 2 3 5 2 4" xfId="41346" xr:uid="{00000000-0005-0000-0000-000018A20000}"/>
    <cellStyle name="Notas 6 2 3 5 2 5" xfId="41347" xr:uid="{00000000-0005-0000-0000-000019A20000}"/>
    <cellStyle name="Notas 6 2 3 5 2 6" xfId="41348" xr:uid="{00000000-0005-0000-0000-00001AA20000}"/>
    <cellStyle name="Notas 6 2 3 5 3" xfId="41349" xr:uid="{00000000-0005-0000-0000-00001BA20000}"/>
    <cellStyle name="Notas 6 2 3 5 4" xfId="41350" xr:uid="{00000000-0005-0000-0000-00001CA20000}"/>
    <cellStyle name="Notas 6 2 3 6" xfId="41351" xr:uid="{00000000-0005-0000-0000-00001DA20000}"/>
    <cellStyle name="Notas 6 2 3 6 2" xfId="41352" xr:uid="{00000000-0005-0000-0000-00001EA20000}"/>
    <cellStyle name="Notas 6 2 3 6 2 2" xfId="41353" xr:uid="{00000000-0005-0000-0000-00001FA20000}"/>
    <cellStyle name="Notas 6 2 3 6 2 2 2" xfId="41354" xr:uid="{00000000-0005-0000-0000-000020A20000}"/>
    <cellStyle name="Notas 6 2 3 6 2 2 3" xfId="41355" xr:uid="{00000000-0005-0000-0000-000021A20000}"/>
    <cellStyle name="Notas 6 2 3 6 2 2 4" xfId="41356" xr:uid="{00000000-0005-0000-0000-000022A20000}"/>
    <cellStyle name="Notas 6 2 3 6 2 3" xfId="41357" xr:uid="{00000000-0005-0000-0000-000023A20000}"/>
    <cellStyle name="Notas 6 2 3 6 2 3 2" xfId="41358" xr:uid="{00000000-0005-0000-0000-000024A20000}"/>
    <cellStyle name="Notas 6 2 3 6 2 3 3" xfId="41359" xr:uid="{00000000-0005-0000-0000-000025A20000}"/>
    <cellStyle name="Notas 6 2 3 6 2 3 4" xfId="41360" xr:uid="{00000000-0005-0000-0000-000026A20000}"/>
    <cellStyle name="Notas 6 2 3 6 2 4" xfId="41361" xr:uid="{00000000-0005-0000-0000-000027A20000}"/>
    <cellStyle name="Notas 6 2 3 6 2 5" xfId="41362" xr:uid="{00000000-0005-0000-0000-000028A20000}"/>
    <cellStyle name="Notas 6 2 3 6 2 6" xfId="41363" xr:uid="{00000000-0005-0000-0000-000029A20000}"/>
    <cellStyle name="Notas 6 2 3 6 3" xfId="41364" xr:uid="{00000000-0005-0000-0000-00002AA20000}"/>
    <cellStyle name="Notas 6 2 3 6 3 2" xfId="41365" xr:uid="{00000000-0005-0000-0000-00002BA20000}"/>
    <cellStyle name="Notas 6 2 3 6 3 2 2" xfId="41366" xr:uid="{00000000-0005-0000-0000-00002CA20000}"/>
    <cellStyle name="Notas 6 2 3 6 3 2 3" xfId="41367" xr:uid="{00000000-0005-0000-0000-00002DA20000}"/>
    <cellStyle name="Notas 6 2 3 6 3 2 4" xfId="41368" xr:uid="{00000000-0005-0000-0000-00002EA20000}"/>
    <cellStyle name="Notas 6 2 3 6 3 3" xfId="41369" xr:uid="{00000000-0005-0000-0000-00002FA20000}"/>
    <cellStyle name="Notas 6 2 3 6 3 3 2" xfId="41370" xr:uid="{00000000-0005-0000-0000-000030A20000}"/>
    <cellStyle name="Notas 6 2 3 6 3 3 3" xfId="41371" xr:uid="{00000000-0005-0000-0000-000031A20000}"/>
    <cellStyle name="Notas 6 2 3 6 3 3 4" xfId="41372" xr:uid="{00000000-0005-0000-0000-000032A20000}"/>
    <cellStyle name="Notas 6 2 3 6 3 4" xfId="41373" xr:uid="{00000000-0005-0000-0000-000033A20000}"/>
    <cellStyle name="Notas 6 2 3 6 3 5" xfId="41374" xr:uid="{00000000-0005-0000-0000-000034A20000}"/>
    <cellStyle name="Notas 6 2 3 6 3 6" xfId="41375" xr:uid="{00000000-0005-0000-0000-000035A20000}"/>
    <cellStyle name="Notas 6 2 3 6 4" xfId="41376" xr:uid="{00000000-0005-0000-0000-000036A20000}"/>
    <cellStyle name="Notas 6 2 3 6 4 2" xfId="41377" xr:uid="{00000000-0005-0000-0000-000037A20000}"/>
    <cellStyle name="Notas 6 2 3 6 4 3" xfId="41378" xr:uid="{00000000-0005-0000-0000-000038A20000}"/>
    <cellStyle name="Notas 6 2 3 6 4 4" xfId="41379" xr:uid="{00000000-0005-0000-0000-000039A20000}"/>
    <cellStyle name="Notas 6 2 3 6 5" xfId="41380" xr:uid="{00000000-0005-0000-0000-00003AA20000}"/>
    <cellStyle name="Notas 6 2 3 6 6" xfId="41381" xr:uid="{00000000-0005-0000-0000-00003BA20000}"/>
    <cellStyle name="Notas 6 2 3 7" xfId="41382" xr:uid="{00000000-0005-0000-0000-00003CA20000}"/>
    <cellStyle name="Notas 6 2 3 7 2" xfId="41383" xr:uid="{00000000-0005-0000-0000-00003DA20000}"/>
    <cellStyle name="Notas 6 2 3 7 2 2" xfId="41384" xr:uid="{00000000-0005-0000-0000-00003EA20000}"/>
    <cellStyle name="Notas 6 2 3 7 2 2 2" xfId="41385" xr:uid="{00000000-0005-0000-0000-00003FA20000}"/>
    <cellStyle name="Notas 6 2 3 7 2 2 3" xfId="41386" xr:uid="{00000000-0005-0000-0000-000040A20000}"/>
    <cellStyle name="Notas 6 2 3 7 2 2 4" xfId="41387" xr:uid="{00000000-0005-0000-0000-000041A20000}"/>
    <cellStyle name="Notas 6 2 3 7 2 3" xfId="41388" xr:uid="{00000000-0005-0000-0000-000042A20000}"/>
    <cellStyle name="Notas 6 2 3 7 2 3 2" xfId="41389" xr:uid="{00000000-0005-0000-0000-000043A20000}"/>
    <cellStyle name="Notas 6 2 3 7 2 3 3" xfId="41390" xr:uid="{00000000-0005-0000-0000-000044A20000}"/>
    <cellStyle name="Notas 6 2 3 7 2 3 4" xfId="41391" xr:uid="{00000000-0005-0000-0000-000045A20000}"/>
    <cellStyle name="Notas 6 2 3 7 2 4" xfId="41392" xr:uid="{00000000-0005-0000-0000-000046A20000}"/>
    <cellStyle name="Notas 6 2 3 7 2 5" xfId="41393" xr:uid="{00000000-0005-0000-0000-000047A20000}"/>
    <cellStyle name="Notas 6 2 3 7 2 6" xfId="41394" xr:uid="{00000000-0005-0000-0000-000048A20000}"/>
    <cellStyle name="Notas 6 2 3 7 3" xfId="41395" xr:uid="{00000000-0005-0000-0000-000049A20000}"/>
    <cellStyle name="Notas 6 2 3 7 3 2" xfId="41396" xr:uid="{00000000-0005-0000-0000-00004AA20000}"/>
    <cellStyle name="Notas 6 2 3 7 3 2 2" xfId="41397" xr:uid="{00000000-0005-0000-0000-00004BA20000}"/>
    <cellStyle name="Notas 6 2 3 7 3 2 3" xfId="41398" xr:uid="{00000000-0005-0000-0000-00004CA20000}"/>
    <cellStyle name="Notas 6 2 3 7 3 2 4" xfId="41399" xr:uid="{00000000-0005-0000-0000-00004DA20000}"/>
    <cellStyle name="Notas 6 2 3 7 3 3" xfId="41400" xr:uid="{00000000-0005-0000-0000-00004EA20000}"/>
    <cellStyle name="Notas 6 2 3 7 3 3 2" xfId="41401" xr:uid="{00000000-0005-0000-0000-00004FA20000}"/>
    <cellStyle name="Notas 6 2 3 7 3 3 3" xfId="41402" xr:uid="{00000000-0005-0000-0000-000050A20000}"/>
    <cellStyle name="Notas 6 2 3 7 3 3 4" xfId="41403" xr:uid="{00000000-0005-0000-0000-000051A20000}"/>
    <cellStyle name="Notas 6 2 3 7 3 4" xfId="41404" xr:uid="{00000000-0005-0000-0000-000052A20000}"/>
    <cellStyle name="Notas 6 2 3 7 3 5" xfId="41405" xr:uid="{00000000-0005-0000-0000-000053A20000}"/>
    <cellStyle name="Notas 6 2 3 7 3 6" xfId="41406" xr:uid="{00000000-0005-0000-0000-000054A20000}"/>
    <cellStyle name="Notas 6 2 3 7 4" xfId="41407" xr:uid="{00000000-0005-0000-0000-000055A20000}"/>
    <cellStyle name="Notas 6 2 3 7 4 2" xfId="41408" xr:uid="{00000000-0005-0000-0000-000056A20000}"/>
    <cellStyle name="Notas 6 2 3 7 4 3" xfId="41409" xr:uid="{00000000-0005-0000-0000-000057A20000}"/>
    <cellStyle name="Notas 6 2 3 7 4 4" xfId="41410" xr:uid="{00000000-0005-0000-0000-000058A20000}"/>
    <cellStyle name="Notas 6 2 3 7 5" xfId="41411" xr:uid="{00000000-0005-0000-0000-000059A20000}"/>
    <cellStyle name="Notas 6 2 3 7 6" xfId="41412" xr:uid="{00000000-0005-0000-0000-00005AA20000}"/>
    <cellStyle name="Notas 6 2 3 8" xfId="41413" xr:uid="{00000000-0005-0000-0000-00005BA20000}"/>
    <cellStyle name="Notas 6 2 3 8 2" xfId="41414" xr:uid="{00000000-0005-0000-0000-00005CA20000}"/>
    <cellStyle name="Notas 6 2 3 8 2 2" xfId="41415" xr:uid="{00000000-0005-0000-0000-00005DA20000}"/>
    <cellStyle name="Notas 6 2 3 8 2 2 2" xfId="41416" xr:uid="{00000000-0005-0000-0000-00005EA20000}"/>
    <cellStyle name="Notas 6 2 3 8 2 2 3" xfId="41417" xr:uid="{00000000-0005-0000-0000-00005FA20000}"/>
    <cellStyle name="Notas 6 2 3 8 2 2 4" xfId="41418" xr:uid="{00000000-0005-0000-0000-000060A20000}"/>
    <cellStyle name="Notas 6 2 3 8 2 3" xfId="41419" xr:uid="{00000000-0005-0000-0000-000061A20000}"/>
    <cellStyle name="Notas 6 2 3 8 2 3 2" xfId="41420" xr:uid="{00000000-0005-0000-0000-000062A20000}"/>
    <cellStyle name="Notas 6 2 3 8 2 3 3" xfId="41421" xr:uid="{00000000-0005-0000-0000-000063A20000}"/>
    <cellStyle name="Notas 6 2 3 8 2 3 4" xfId="41422" xr:uid="{00000000-0005-0000-0000-000064A20000}"/>
    <cellStyle name="Notas 6 2 3 8 2 4" xfId="41423" xr:uid="{00000000-0005-0000-0000-000065A20000}"/>
    <cellStyle name="Notas 6 2 3 8 2 5" xfId="41424" xr:uid="{00000000-0005-0000-0000-000066A20000}"/>
    <cellStyle name="Notas 6 2 3 8 2 6" xfId="41425" xr:uid="{00000000-0005-0000-0000-000067A20000}"/>
    <cellStyle name="Notas 6 2 3 8 3" xfId="41426" xr:uid="{00000000-0005-0000-0000-000068A20000}"/>
    <cellStyle name="Notas 6 2 3 8 3 2" xfId="41427" xr:uid="{00000000-0005-0000-0000-000069A20000}"/>
    <cellStyle name="Notas 6 2 3 8 3 2 2" xfId="41428" xr:uid="{00000000-0005-0000-0000-00006AA20000}"/>
    <cellStyle name="Notas 6 2 3 8 3 2 3" xfId="41429" xr:uid="{00000000-0005-0000-0000-00006BA20000}"/>
    <cellStyle name="Notas 6 2 3 8 3 2 4" xfId="41430" xr:uid="{00000000-0005-0000-0000-00006CA20000}"/>
    <cellStyle name="Notas 6 2 3 8 3 3" xfId="41431" xr:uid="{00000000-0005-0000-0000-00006DA20000}"/>
    <cellStyle name="Notas 6 2 3 8 3 3 2" xfId="41432" xr:uid="{00000000-0005-0000-0000-00006EA20000}"/>
    <cellStyle name="Notas 6 2 3 8 3 3 3" xfId="41433" xr:uid="{00000000-0005-0000-0000-00006FA20000}"/>
    <cellStyle name="Notas 6 2 3 8 3 3 4" xfId="41434" xr:uid="{00000000-0005-0000-0000-000070A20000}"/>
    <cellStyle name="Notas 6 2 3 8 3 4" xfId="41435" xr:uid="{00000000-0005-0000-0000-000071A20000}"/>
    <cellStyle name="Notas 6 2 3 8 3 5" xfId="41436" xr:uid="{00000000-0005-0000-0000-000072A20000}"/>
    <cellStyle name="Notas 6 2 3 8 3 6" xfId="41437" xr:uid="{00000000-0005-0000-0000-000073A20000}"/>
    <cellStyle name="Notas 6 2 3 8 4" xfId="41438" xr:uid="{00000000-0005-0000-0000-000074A20000}"/>
    <cellStyle name="Notas 6 2 3 8 4 2" xfId="41439" xr:uid="{00000000-0005-0000-0000-000075A20000}"/>
    <cellStyle name="Notas 6 2 3 8 4 3" xfId="41440" xr:uid="{00000000-0005-0000-0000-000076A20000}"/>
    <cellStyle name="Notas 6 2 3 8 4 4" xfId="41441" xr:uid="{00000000-0005-0000-0000-000077A20000}"/>
    <cellStyle name="Notas 6 2 3 8 5" xfId="41442" xr:uid="{00000000-0005-0000-0000-000078A20000}"/>
    <cellStyle name="Notas 6 2 3 8 6" xfId="41443" xr:uid="{00000000-0005-0000-0000-000079A20000}"/>
    <cellStyle name="Notas 6 2 3 9" xfId="41444" xr:uid="{00000000-0005-0000-0000-00007AA20000}"/>
    <cellStyle name="Notas 6 2 3 9 2" xfId="41445" xr:uid="{00000000-0005-0000-0000-00007BA20000}"/>
    <cellStyle name="Notas 6 2 3 9 2 2" xfId="41446" xr:uid="{00000000-0005-0000-0000-00007CA20000}"/>
    <cellStyle name="Notas 6 2 3 9 2 2 2" xfId="41447" xr:uid="{00000000-0005-0000-0000-00007DA20000}"/>
    <cellStyle name="Notas 6 2 3 9 2 2 3" xfId="41448" xr:uid="{00000000-0005-0000-0000-00007EA20000}"/>
    <cellStyle name="Notas 6 2 3 9 2 2 4" xfId="41449" xr:uid="{00000000-0005-0000-0000-00007FA20000}"/>
    <cellStyle name="Notas 6 2 3 9 2 3" xfId="41450" xr:uid="{00000000-0005-0000-0000-000080A20000}"/>
    <cellStyle name="Notas 6 2 3 9 2 3 2" xfId="41451" xr:uid="{00000000-0005-0000-0000-000081A20000}"/>
    <cellStyle name="Notas 6 2 3 9 2 3 3" xfId="41452" xr:uid="{00000000-0005-0000-0000-000082A20000}"/>
    <cellStyle name="Notas 6 2 3 9 2 3 4" xfId="41453" xr:uid="{00000000-0005-0000-0000-000083A20000}"/>
    <cellStyle name="Notas 6 2 3 9 2 4" xfId="41454" xr:uid="{00000000-0005-0000-0000-000084A20000}"/>
    <cellStyle name="Notas 6 2 3 9 2 5" xfId="41455" xr:uid="{00000000-0005-0000-0000-000085A20000}"/>
    <cellStyle name="Notas 6 2 3 9 2 6" xfId="41456" xr:uid="{00000000-0005-0000-0000-000086A20000}"/>
    <cellStyle name="Notas 6 2 3 9 3" xfId="41457" xr:uid="{00000000-0005-0000-0000-000087A20000}"/>
    <cellStyle name="Notas 6 2 3 9 3 2" xfId="41458" xr:uid="{00000000-0005-0000-0000-000088A20000}"/>
    <cellStyle name="Notas 6 2 3 9 3 2 2" xfId="41459" xr:uid="{00000000-0005-0000-0000-000089A20000}"/>
    <cellStyle name="Notas 6 2 3 9 3 2 3" xfId="41460" xr:uid="{00000000-0005-0000-0000-00008AA20000}"/>
    <cellStyle name="Notas 6 2 3 9 3 2 4" xfId="41461" xr:uid="{00000000-0005-0000-0000-00008BA20000}"/>
    <cellStyle name="Notas 6 2 3 9 3 3" xfId="41462" xr:uid="{00000000-0005-0000-0000-00008CA20000}"/>
    <cellStyle name="Notas 6 2 3 9 3 3 2" xfId="41463" xr:uid="{00000000-0005-0000-0000-00008DA20000}"/>
    <cellStyle name="Notas 6 2 3 9 3 3 3" xfId="41464" xr:uid="{00000000-0005-0000-0000-00008EA20000}"/>
    <cellStyle name="Notas 6 2 3 9 3 3 4" xfId="41465" xr:uid="{00000000-0005-0000-0000-00008FA20000}"/>
    <cellStyle name="Notas 6 2 3 9 3 4" xfId="41466" xr:uid="{00000000-0005-0000-0000-000090A20000}"/>
    <cellStyle name="Notas 6 2 3 9 3 5" xfId="41467" xr:uid="{00000000-0005-0000-0000-000091A20000}"/>
    <cellStyle name="Notas 6 2 3 9 3 6" xfId="41468" xr:uid="{00000000-0005-0000-0000-000092A20000}"/>
    <cellStyle name="Notas 6 2 3 9 4" xfId="41469" xr:uid="{00000000-0005-0000-0000-000093A20000}"/>
    <cellStyle name="Notas 6 2 3 9 4 2" xfId="41470" xr:uid="{00000000-0005-0000-0000-000094A20000}"/>
    <cellStyle name="Notas 6 2 3 9 4 3" xfId="41471" xr:uid="{00000000-0005-0000-0000-000095A20000}"/>
    <cellStyle name="Notas 6 2 3 9 4 4" xfId="41472" xr:uid="{00000000-0005-0000-0000-000096A20000}"/>
    <cellStyle name="Notas 6 2 3 9 5" xfId="41473" xr:uid="{00000000-0005-0000-0000-000097A20000}"/>
    <cellStyle name="Notas 6 2 3 9 6" xfId="41474" xr:uid="{00000000-0005-0000-0000-000098A20000}"/>
    <cellStyle name="Notas 6 2 4" xfId="41475" xr:uid="{00000000-0005-0000-0000-000099A20000}"/>
    <cellStyle name="Notas 6 2 4 2" xfId="41476" xr:uid="{00000000-0005-0000-0000-00009AA20000}"/>
    <cellStyle name="Notas 6 2 4 2 2" xfId="41477" xr:uid="{00000000-0005-0000-0000-00009BA20000}"/>
    <cellStyle name="Notas 6 2 4 2 2 2" xfId="41478" xr:uid="{00000000-0005-0000-0000-00009CA20000}"/>
    <cellStyle name="Notas 6 2 4 2 2 2 2" xfId="41479" xr:uid="{00000000-0005-0000-0000-00009DA20000}"/>
    <cellStyle name="Notas 6 2 4 2 2 2 3" xfId="41480" xr:uid="{00000000-0005-0000-0000-00009EA20000}"/>
    <cellStyle name="Notas 6 2 4 2 2 2 4" xfId="41481" xr:uid="{00000000-0005-0000-0000-00009FA20000}"/>
    <cellStyle name="Notas 6 2 4 2 2 3" xfId="41482" xr:uid="{00000000-0005-0000-0000-0000A0A20000}"/>
    <cellStyle name="Notas 6 2 4 2 2 3 2" xfId="41483" xr:uid="{00000000-0005-0000-0000-0000A1A20000}"/>
    <cellStyle name="Notas 6 2 4 2 2 3 3" xfId="41484" xr:uid="{00000000-0005-0000-0000-0000A2A20000}"/>
    <cellStyle name="Notas 6 2 4 2 2 3 4" xfId="41485" xr:uid="{00000000-0005-0000-0000-0000A3A20000}"/>
    <cellStyle name="Notas 6 2 4 2 2 4" xfId="41486" xr:uid="{00000000-0005-0000-0000-0000A4A20000}"/>
    <cellStyle name="Notas 6 2 4 2 2 5" xfId="41487" xr:uid="{00000000-0005-0000-0000-0000A5A20000}"/>
    <cellStyle name="Notas 6 2 4 2 2 6" xfId="41488" xr:uid="{00000000-0005-0000-0000-0000A6A20000}"/>
    <cellStyle name="Notas 6 2 4 2 3" xfId="41489" xr:uid="{00000000-0005-0000-0000-0000A7A20000}"/>
    <cellStyle name="Notas 6 2 4 2 3 2" xfId="41490" xr:uid="{00000000-0005-0000-0000-0000A8A20000}"/>
    <cellStyle name="Notas 6 2 4 2 3 2 2" xfId="41491" xr:uid="{00000000-0005-0000-0000-0000A9A20000}"/>
    <cellStyle name="Notas 6 2 4 2 3 2 3" xfId="41492" xr:uid="{00000000-0005-0000-0000-0000AAA20000}"/>
    <cellStyle name="Notas 6 2 4 2 3 2 4" xfId="41493" xr:uid="{00000000-0005-0000-0000-0000ABA20000}"/>
    <cellStyle name="Notas 6 2 4 2 3 3" xfId="41494" xr:uid="{00000000-0005-0000-0000-0000ACA20000}"/>
    <cellStyle name="Notas 6 2 4 2 3 3 2" xfId="41495" xr:uid="{00000000-0005-0000-0000-0000ADA20000}"/>
    <cellStyle name="Notas 6 2 4 2 3 3 3" xfId="41496" xr:uid="{00000000-0005-0000-0000-0000AEA20000}"/>
    <cellStyle name="Notas 6 2 4 2 3 3 4" xfId="41497" xr:uid="{00000000-0005-0000-0000-0000AFA20000}"/>
    <cellStyle name="Notas 6 2 4 2 3 4" xfId="41498" xr:uid="{00000000-0005-0000-0000-0000B0A20000}"/>
    <cellStyle name="Notas 6 2 4 2 3 5" xfId="41499" xr:uid="{00000000-0005-0000-0000-0000B1A20000}"/>
    <cellStyle name="Notas 6 2 4 2 3 6" xfId="41500" xr:uid="{00000000-0005-0000-0000-0000B2A20000}"/>
    <cellStyle name="Notas 6 2 4 2 4" xfId="41501" xr:uid="{00000000-0005-0000-0000-0000B3A20000}"/>
    <cellStyle name="Notas 6 2 4 2 5" xfId="41502" xr:uid="{00000000-0005-0000-0000-0000B4A20000}"/>
    <cellStyle name="Notas 6 2 4 2 6" xfId="41503" xr:uid="{00000000-0005-0000-0000-0000B5A20000}"/>
    <cellStyle name="Notas 6 2 4 3" xfId="41504" xr:uid="{00000000-0005-0000-0000-0000B6A20000}"/>
    <cellStyle name="Notas 6 2 4 4" xfId="41505" xr:uid="{00000000-0005-0000-0000-0000B7A20000}"/>
    <cellStyle name="Notas 6 2 5" xfId="41506" xr:uid="{00000000-0005-0000-0000-0000B8A20000}"/>
    <cellStyle name="Notas 6 2 5 2" xfId="41507" xr:uid="{00000000-0005-0000-0000-0000B9A20000}"/>
    <cellStyle name="Notas 6 2 5 2 2" xfId="41508" xr:uid="{00000000-0005-0000-0000-0000BAA20000}"/>
    <cellStyle name="Notas 6 2 5 2 2 2" xfId="41509" xr:uid="{00000000-0005-0000-0000-0000BBA20000}"/>
    <cellStyle name="Notas 6 2 5 2 2 2 2" xfId="41510" xr:uid="{00000000-0005-0000-0000-0000BCA20000}"/>
    <cellStyle name="Notas 6 2 5 2 2 2 3" xfId="41511" xr:uid="{00000000-0005-0000-0000-0000BDA20000}"/>
    <cellStyle name="Notas 6 2 5 2 2 2 4" xfId="41512" xr:uid="{00000000-0005-0000-0000-0000BEA20000}"/>
    <cellStyle name="Notas 6 2 5 2 2 3" xfId="41513" xr:uid="{00000000-0005-0000-0000-0000BFA20000}"/>
    <cellStyle name="Notas 6 2 5 2 2 3 2" xfId="41514" xr:uid="{00000000-0005-0000-0000-0000C0A20000}"/>
    <cellStyle name="Notas 6 2 5 2 2 3 3" xfId="41515" xr:uid="{00000000-0005-0000-0000-0000C1A20000}"/>
    <cellStyle name="Notas 6 2 5 2 2 3 4" xfId="41516" xr:uid="{00000000-0005-0000-0000-0000C2A20000}"/>
    <cellStyle name="Notas 6 2 5 2 2 4" xfId="41517" xr:uid="{00000000-0005-0000-0000-0000C3A20000}"/>
    <cellStyle name="Notas 6 2 5 2 2 5" xfId="41518" xr:uid="{00000000-0005-0000-0000-0000C4A20000}"/>
    <cellStyle name="Notas 6 2 5 2 2 6" xfId="41519" xr:uid="{00000000-0005-0000-0000-0000C5A20000}"/>
    <cellStyle name="Notas 6 2 5 2 3" xfId="41520" xr:uid="{00000000-0005-0000-0000-0000C6A20000}"/>
    <cellStyle name="Notas 6 2 5 2 3 2" xfId="41521" xr:uid="{00000000-0005-0000-0000-0000C7A20000}"/>
    <cellStyle name="Notas 6 2 5 2 3 2 2" xfId="41522" xr:uid="{00000000-0005-0000-0000-0000C8A20000}"/>
    <cellStyle name="Notas 6 2 5 2 3 2 3" xfId="41523" xr:uid="{00000000-0005-0000-0000-0000C9A20000}"/>
    <cellStyle name="Notas 6 2 5 2 3 2 4" xfId="41524" xr:uid="{00000000-0005-0000-0000-0000CAA20000}"/>
    <cellStyle name="Notas 6 2 5 2 3 3" xfId="41525" xr:uid="{00000000-0005-0000-0000-0000CBA20000}"/>
    <cellStyle name="Notas 6 2 5 2 3 3 2" xfId="41526" xr:uid="{00000000-0005-0000-0000-0000CCA20000}"/>
    <cellStyle name="Notas 6 2 5 2 3 3 3" xfId="41527" xr:uid="{00000000-0005-0000-0000-0000CDA20000}"/>
    <cellStyle name="Notas 6 2 5 2 3 3 4" xfId="41528" xr:uid="{00000000-0005-0000-0000-0000CEA20000}"/>
    <cellStyle name="Notas 6 2 5 2 3 4" xfId="41529" xr:uid="{00000000-0005-0000-0000-0000CFA20000}"/>
    <cellStyle name="Notas 6 2 5 2 3 5" xfId="41530" xr:uid="{00000000-0005-0000-0000-0000D0A20000}"/>
    <cellStyle name="Notas 6 2 5 2 3 6" xfId="41531" xr:uid="{00000000-0005-0000-0000-0000D1A20000}"/>
    <cellStyle name="Notas 6 2 5 2 4" xfId="41532" xr:uid="{00000000-0005-0000-0000-0000D2A20000}"/>
    <cellStyle name="Notas 6 2 5 2 5" xfId="41533" xr:uid="{00000000-0005-0000-0000-0000D3A20000}"/>
    <cellStyle name="Notas 6 2 5 2 6" xfId="41534" xr:uid="{00000000-0005-0000-0000-0000D4A20000}"/>
    <cellStyle name="Notas 6 2 5 3" xfId="41535" xr:uid="{00000000-0005-0000-0000-0000D5A20000}"/>
    <cellStyle name="Notas 6 2 5 4" xfId="41536" xr:uid="{00000000-0005-0000-0000-0000D6A20000}"/>
    <cellStyle name="Notas 6 2 6" xfId="41537" xr:uid="{00000000-0005-0000-0000-0000D7A20000}"/>
    <cellStyle name="Notas 6 2 6 2" xfId="41538" xr:uid="{00000000-0005-0000-0000-0000D8A20000}"/>
    <cellStyle name="Notas 6 2 6 2 2" xfId="41539" xr:uid="{00000000-0005-0000-0000-0000D9A20000}"/>
    <cellStyle name="Notas 6 2 6 2 2 2" xfId="41540" xr:uid="{00000000-0005-0000-0000-0000DAA20000}"/>
    <cellStyle name="Notas 6 2 6 2 2 2 2" xfId="41541" xr:uid="{00000000-0005-0000-0000-0000DBA20000}"/>
    <cellStyle name="Notas 6 2 6 2 2 2 3" xfId="41542" xr:uid="{00000000-0005-0000-0000-0000DCA20000}"/>
    <cellStyle name="Notas 6 2 6 2 2 2 4" xfId="41543" xr:uid="{00000000-0005-0000-0000-0000DDA20000}"/>
    <cellStyle name="Notas 6 2 6 2 2 3" xfId="41544" xr:uid="{00000000-0005-0000-0000-0000DEA20000}"/>
    <cellStyle name="Notas 6 2 6 2 2 3 2" xfId="41545" xr:uid="{00000000-0005-0000-0000-0000DFA20000}"/>
    <cellStyle name="Notas 6 2 6 2 2 3 3" xfId="41546" xr:uid="{00000000-0005-0000-0000-0000E0A20000}"/>
    <cellStyle name="Notas 6 2 6 2 2 3 4" xfId="41547" xr:uid="{00000000-0005-0000-0000-0000E1A20000}"/>
    <cellStyle name="Notas 6 2 6 2 2 4" xfId="41548" xr:uid="{00000000-0005-0000-0000-0000E2A20000}"/>
    <cellStyle name="Notas 6 2 6 2 2 5" xfId="41549" xr:uid="{00000000-0005-0000-0000-0000E3A20000}"/>
    <cellStyle name="Notas 6 2 6 2 2 6" xfId="41550" xr:uid="{00000000-0005-0000-0000-0000E4A20000}"/>
    <cellStyle name="Notas 6 2 6 2 3" xfId="41551" xr:uid="{00000000-0005-0000-0000-0000E5A20000}"/>
    <cellStyle name="Notas 6 2 6 2 3 2" xfId="41552" xr:uid="{00000000-0005-0000-0000-0000E6A20000}"/>
    <cellStyle name="Notas 6 2 6 2 3 2 2" xfId="41553" xr:uid="{00000000-0005-0000-0000-0000E7A20000}"/>
    <cellStyle name="Notas 6 2 6 2 3 2 3" xfId="41554" xr:uid="{00000000-0005-0000-0000-0000E8A20000}"/>
    <cellStyle name="Notas 6 2 6 2 3 2 4" xfId="41555" xr:uid="{00000000-0005-0000-0000-0000E9A20000}"/>
    <cellStyle name="Notas 6 2 6 2 3 3" xfId="41556" xr:uid="{00000000-0005-0000-0000-0000EAA20000}"/>
    <cellStyle name="Notas 6 2 6 2 3 3 2" xfId="41557" xr:uid="{00000000-0005-0000-0000-0000EBA20000}"/>
    <cellStyle name="Notas 6 2 6 2 3 3 3" xfId="41558" xr:uid="{00000000-0005-0000-0000-0000ECA20000}"/>
    <cellStyle name="Notas 6 2 6 2 3 3 4" xfId="41559" xr:uid="{00000000-0005-0000-0000-0000EDA20000}"/>
    <cellStyle name="Notas 6 2 6 2 3 4" xfId="41560" xr:uid="{00000000-0005-0000-0000-0000EEA20000}"/>
    <cellStyle name="Notas 6 2 6 2 3 5" xfId="41561" xr:uid="{00000000-0005-0000-0000-0000EFA20000}"/>
    <cellStyle name="Notas 6 2 6 2 3 6" xfId="41562" xr:uid="{00000000-0005-0000-0000-0000F0A20000}"/>
    <cellStyle name="Notas 6 2 6 2 4" xfId="41563" xr:uid="{00000000-0005-0000-0000-0000F1A20000}"/>
    <cellStyle name="Notas 6 2 6 2 5" xfId="41564" xr:uid="{00000000-0005-0000-0000-0000F2A20000}"/>
    <cellStyle name="Notas 6 2 6 2 6" xfId="41565" xr:uid="{00000000-0005-0000-0000-0000F3A20000}"/>
    <cellStyle name="Notas 6 2 6 3" xfId="41566" xr:uid="{00000000-0005-0000-0000-0000F4A20000}"/>
    <cellStyle name="Notas 6 2 6 4" xfId="41567" xr:uid="{00000000-0005-0000-0000-0000F5A20000}"/>
    <cellStyle name="Notas 6 2 7" xfId="41568" xr:uid="{00000000-0005-0000-0000-0000F6A20000}"/>
    <cellStyle name="Notas 6 2 7 2" xfId="41569" xr:uid="{00000000-0005-0000-0000-0000F7A20000}"/>
    <cellStyle name="Notas 6 2 7 2 2" xfId="41570" xr:uid="{00000000-0005-0000-0000-0000F8A20000}"/>
    <cellStyle name="Notas 6 2 7 2 2 2" xfId="41571" xr:uid="{00000000-0005-0000-0000-0000F9A20000}"/>
    <cellStyle name="Notas 6 2 7 2 2 2 2" xfId="41572" xr:uid="{00000000-0005-0000-0000-0000FAA20000}"/>
    <cellStyle name="Notas 6 2 7 2 2 2 3" xfId="41573" xr:uid="{00000000-0005-0000-0000-0000FBA20000}"/>
    <cellStyle name="Notas 6 2 7 2 2 2 4" xfId="41574" xr:uid="{00000000-0005-0000-0000-0000FCA20000}"/>
    <cellStyle name="Notas 6 2 7 2 2 3" xfId="41575" xr:uid="{00000000-0005-0000-0000-0000FDA20000}"/>
    <cellStyle name="Notas 6 2 7 2 2 3 2" xfId="41576" xr:uid="{00000000-0005-0000-0000-0000FEA20000}"/>
    <cellStyle name="Notas 6 2 7 2 2 3 3" xfId="41577" xr:uid="{00000000-0005-0000-0000-0000FFA20000}"/>
    <cellStyle name="Notas 6 2 7 2 2 3 4" xfId="41578" xr:uid="{00000000-0005-0000-0000-000000A30000}"/>
    <cellStyle name="Notas 6 2 7 2 2 4" xfId="41579" xr:uid="{00000000-0005-0000-0000-000001A30000}"/>
    <cellStyle name="Notas 6 2 7 2 2 5" xfId="41580" xr:uid="{00000000-0005-0000-0000-000002A30000}"/>
    <cellStyle name="Notas 6 2 7 2 2 6" xfId="41581" xr:uid="{00000000-0005-0000-0000-000003A30000}"/>
    <cellStyle name="Notas 6 2 7 2 3" xfId="41582" xr:uid="{00000000-0005-0000-0000-000004A30000}"/>
    <cellStyle name="Notas 6 2 7 2 3 2" xfId="41583" xr:uid="{00000000-0005-0000-0000-000005A30000}"/>
    <cellStyle name="Notas 6 2 7 2 3 2 2" xfId="41584" xr:uid="{00000000-0005-0000-0000-000006A30000}"/>
    <cellStyle name="Notas 6 2 7 2 3 2 3" xfId="41585" xr:uid="{00000000-0005-0000-0000-000007A30000}"/>
    <cellStyle name="Notas 6 2 7 2 3 2 4" xfId="41586" xr:uid="{00000000-0005-0000-0000-000008A30000}"/>
    <cellStyle name="Notas 6 2 7 2 3 3" xfId="41587" xr:uid="{00000000-0005-0000-0000-000009A30000}"/>
    <cellStyle name="Notas 6 2 7 2 3 3 2" xfId="41588" xr:uid="{00000000-0005-0000-0000-00000AA30000}"/>
    <cellStyle name="Notas 6 2 7 2 3 3 3" xfId="41589" xr:uid="{00000000-0005-0000-0000-00000BA30000}"/>
    <cellStyle name="Notas 6 2 7 2 3 3 4" xfId="41590" xr:uid="{00000000-0005-0000-0000-00000CA30000}"/>
    <cellStyle name="Notas 6 2 7 2 3 4" xfId="41591" xr:uid="{00000000-0005-0000-0000-00000DA30000}"/>
    <cellStyle name="Notas 6 2 7 2 3 5" xfId="41592" xr:uid="{00000000-0005-0000-0000-00000EA30000}"/>
    <cellStyle name="Notas 6 2 7 2 3 6" xfId="41593" xr:uid="{00000000-0005-0000-0000-00000FA30000}"/>
    <cellStyle name="Notas 6 2 7 2 4" xfId="41594" xr:uid="{00000000-0005-0000-0000-000010A30000}"/>
    <cellStyle name="Notas 6 2 7 2 5" xfId="41595" xr:uid="{00000000-0005-0000-0000-000011A30000}"/>
    <cellStyle name="Notas 6 2 7 2 6" xfId="41596" xr:uid="{00000000-0005-0000-0000-000012A30000}"/>
    <cellStyle name="Notas 6 2 7 3" xfId="41597" xr:uid="{00000000-0005-0000-0000-000013A30000}"/>
    <cellStyle name="Notas 6 2 7 4" xfId="41598" xr:uid="{00000000-0005-0000-0000-000014A30000}"/>
    <cellStyle name="Notas 6 2 8" xfId="41599" xr:uid="{00000000-0005-0000-0000-000015A30000}"/>
    <cellStyle name="Notas 6 2 8 2" xfId="41600" xr:uid="{00000000-0005-0000-0000-000016A30000}"/>
    <cellStyle name="Notas 6 2 8 2 2" xfId="41601" xr:uid="{00000000-0005-0000-0000-000017A30000}"/>
    <cellStyle name="Notas 6 2 8 2 2 2" xfId="41602" xr:uid="{00000000-0005-0000-0000-000018A30000}"/>
    <cellStyle name="Notas 6 2 8 2 2 3" xfId="41603" xr:uid="{00000000-0005-0000-0000-000019A30000}"/>
    <cellStyle name="Notas 6 2 8 2 2 4" xfId="41604" xr:uid="{00000000-0005-0000-0000-00001AA30000}"/>
    <cellStyle name="Notas 6 2 8 2 3" xfId="41605" xr:uid="{00000000-0005-0000-0000-00001BA30000}"/>
    <cellStyle name="Notas 6 2 8 2 3 2" xfId="41606" xr:uid="{00000000-0005-0000-0000-00001CA30000}"/>
    <cellStyle name="Notas 6 2 8 2 3 3" xfId="41607" xr:uid="{00000000-0005-0000-0000-00001DA30000}"/>
    <cellStyle name="Notas 6 2 8 2 3 4" xfId="41608" xr:uid="{00000000-0005-0000-0000-00001EA30000}"/>
    <cellStyle name="Notas 6 2 8 2 4" xfId="41609" xr:uid="{00000000-0005-0000-0000-00001FA30000}"/>
    <cellStyle name="Notas 6 2 8 2 5" xfId="41610" xr:uid="{00000000-0005-0000-0000-000020A30000}"/>
    <cellStyle name="Notas 6 2 8 2 6" xfId="41611" xr:uid="{00000000-0005-0000-0000-000021A30000}"/>
    <cellStyle name="Notas 6 2 8 3" xfId="41612" xr:uid="{00000000-0005-0000-0000-000022A30000}"/>
    <cellStyle name="Notas 6 2 8 3 2" xfId="41613" xr:uid="{00000000-0005-0000-0000-000023A30000}"/>
    <cellStyle name="Notas 6 2 8 3 2 2" xfId="41614" xr:uid="{00000000-0005-0000-0000-000024A30000}"/>
    <cellStyle name="Notas 6 2 8 3 2 3" xfId="41615" xr:uid="{00000000-0005-0000-0000-000025A30000}"/>
    <cellStyle name="Notas 6 2 8 3 2 4" xfId="41616" xr:uid="{00000000-0005-0000-0000-000026A30000}"/>
    <cellStyle name="Notas 6 2 8 3 3" xfId="41617" xr:uid="{00000000-0005-0000-0000-000027A30000}"/>
    <cellStyle name="Notas 6 2 8 3 3 2" xfId="41618" xr:uid="{00000000-0005-0000-0000-000028A30000}"/>
    <cellStyle name="Notas 6 2 8 3 3 3" xfId="41619" xr:uid="{00000000-0005-0000-0000-000029A30000}"/>
    <cellStyle name="Notas 6 2 8 3 3 4" xfId="41620" xr:uid="{00000000-0005-0000-0000-00002AA30000}"/>
    <cellStyle name="Notas 6 2 8 3 4" xfId="41621" xr:uid="{00000000-0005-0000-0000-00002BA30000}"/>
    <cellStyle name="Notas 6 2 8 3 5" xfId="41622" xr:uid="{00000000-0005-0000-0000-00002CA30000}"/>
    <cellStyle name="Notas 6 2 8 3 6" xfId="41623" xr:uid="{00000000-0005-0000-0000-00002DA30000}"/>
    <cellStyle name="Notas 6 2 8 4" xfId="41624" xr:uid="{00000000-0005-0000-0000-00002EA30000}"/>
    <cellStyle name="Notas 6 2 8 4 2" xfId="41625" xr:uid="{00000000-0005-0000-0000-00002FA30000}"/>
    <cellStyle name="Notas 6 2 8 4 3" xfId="41626" xr:uid="{00000000-0005-0000-0000-000030A30000}"/>
    <cellStyle name="Notas 6 2 8 4 4" xfId="41627" xr:uid="{00000000-0005-0000-0000-000031A30000}"/>
    <cellStyle name="Notas 6 2 8 5" xfId="41628" xr:uid="{00000000-0005-0000-0000-000032A30000}"/>
    <cellStyle name="Notas 6 2 8 6" xfId="41629" xr:uid="{00000000-0005-0000-0000-000033A30000}"/>
    <cellStyle name="Notas 6 2 9" xfId="41630" xr:uid="{00000000-0005-0000-0000-000034A30000}"/>
    <cellStyle name="Notas 6 2 9 2" xfId="41631" xr:uid="{00000000-0005-0000-0000-000035A30000}"/>
    <cellStyle name="Notas 6 2 9 2 2" xfId="41632" xr:uid="{00000000-0005-0000-0000-000036A30000}"/>
    <cellStyle name="Notas 6 2 9 2 2 2" xfId="41633" xr:uid="{00000000-0005-0000-0000-000037A30000}"/>
    <cellStyle name="Notas 6 2 9 2 2 3" xfId="41634" xr:uid="{00000000-0005-0000-0000-000038A30000}"/>
    <cellStyle name="Notas 6 2 9 2 2 4" xfId="41635" xr:uid="{00000000-0005-0000-0000-000039A30000}"/>
    <cellStyle name="Notas 6 2 9 2 3" xfId="41636" xr:uid="{00000000-0005-0000-0000-00003AA30000}"/>
    <cellStyle name="Notas 6 2 9 2 3 2" xfId="41637" xr:uid="{00000000-0005-0000-0000-00003BA30000}"/>
    <cellStyle name="Notas 6 2 9 2 3 3" xfId="41638" xr:uid="{00000000-0005-0000-0000-00003CA30000}"/>
    <cellStyle name="Notas 6 2 9 2 3 4" xfId="41639" xr:uid="{00000000-0005-0000-0000-00003DA30000}"/>
    <cellStyle name="Notas 6 2 9 2 4" xfId="41640" xr:uid="{00000000-0005-0000-0000-00003EA30000}"/>
    <cellStyle name="Notas 6 2 9 2 5" xfId="41641" xr:uid="{00000000-0005-0000-0000-00003FA30000}"/>
    <cellStyle name="Notas 6 2 9 2 6" xfId="41642" xr:uid="{00000000-0005-0000-0000-000040A30000}"/>
    <cellStyle name="Notas 6 2 9 3" xfId="41643" xr:uid="{00000000-0005-0000-0000-000041A30000}"/>
    <cellStyle name="Notas 6 2 9 3 2" xfId="41644" xr:uid="{00000000-0005-0000-0000-000042A30000}"/>
    <cellStyle name="Notas 6 2 9 3 2 2" xfId="41645" xr:uid="{00000000-0005-0000-0000-000043A30000}"/>
    <cellStyle name="Notas 6 2 9 3 2 3" xfId="41646" xr:uid="{00000000-0005-0000-0000-000044A30000}"/>
    <cellStyle name="Notas 6 2 9 3 2 4" xfId="41647" xr:uid="{00000000-0005-0000-0000-000045A30000}"/>
    <cellStyle name="Notas 6 2 9 3 3" xfId="41648" xr:uid="{00000000-0005-0000-0000-000046A30000}"/>
    <cellStyle name="Notas 6 2 9 3 3 2" xfId="41649" xr:uid="{00000000-0005-0000-0000-000047A30000}"/>
    <cellStyle name="Notas 6 2 9 3 3 3" xfId="41650" xr:uid="{00000000-0005-0000-0000-000048A30000}"/>
    <cellStyle name="Notas 6 2 9 3 3 4" xfId="41651" xr:uid="{00000000-0005-0000-0000-000049A30000}"/>
    <cellStyle name="Notas 6 2 9 3 4" xfId="41652" xr:uid="{00000000-0005-0000-0000-00004AA30000}"/>
    <cellStyle name="Notas 6 2 9 3 5" xfId="41653" xr:uid="{00000000-0005-0000-0000-00004BA30000}"/>
    <cellStyle name="Notas 6 2 9 3 6" xfId="41654" xr:uid="{00000000-0005-0000-0000-00004CA30000}"/>
    <cellStyle name="Notas 6 2 9 4" xfId="41655" xr:uid="{00000000-0005-0000-0000-00004DA30000}"/>
    <cellStyle name="Notas 6 2 9 4 2" xfId="41656" xr:uid="{00000000-0005-0000-0000-00004EA30000}"/>
    <cellStyle name="Notas 6 2 9 4 3" xfId="41657" xr:uid="{00000000-0005-0000-0000-00004FA30000}"/>
    <cellStyle name="Notas 6 2 9 4 4" xfId="41658" xr:uid="{00000000-0005-0000-0000-000050A30000}"/>
    <cellStyle name="Notas 6 2 9 5" xfId="41659" xr:uid="{00000000-0005-0000-0000-000051A30000}"/>
    <cellStyle name="Notas 6 2 9 6" xfId="41660" xr:uid="{00000000-0005-0000-0000-000052A30000}"/>
    <cellStyle name="Notas 6 3" xfId="41661" xr:uid="{00000000-0005-0000-0000-000053A30000}"/>
    <cellStyle name="Notas 6 3 10" xfId="41662" xr:uid="{00000000-0005-0000-0000-000054A30000}"/>
    <cellStyle name="Notas 6 3 10 2" xfId="41663" xr:uid="{00000000-0005-0000-0000-000055A30000}"/>
    <cellStyle name="Notas 6 3 10 2 2" xfId="41664" xr:uid="{00000000-0005-0000-0000-000056A30000}"/>
    <cellStyle name="Notas 6 3 10 2 2 2" xfId="41665" xr:uid="{00000000-0005-0000-0000-000057A30000}"/>
    <cellStyle name="Notas 6 3 10 2 2 3" xfId="41666" xr:uid="{00000000-0005-0000-0000-000058A30000}"/>
    <cellStyle name="Notas 6 3 10 2 2 4" xfId="41667" xr:uid="{00000000-0005-0000-0000-000059A30000}"/>
    <cellStyle name="Notas 6 3 10 2 3" xfId="41668" xr:uid="{00000000-0005-0000-0000-00005AA30000}"/>
    <cellStyle name="Notas 6 3 10 2 3 2" xfId="41669" xr:uid="{00000000-0005-0000-0000-00005BA30000}"/>
    <cellStyle name="Notas 6 3 10 2 3 3" xfId="41670" xr:uid="{00000000-0005-0000-0000-00005CA30000}"/>
    <cellStyle name="Notas 6 3 10 2 3 4" xfId="41671" xr:uid="{00000000-0005-0000-0000-00005DA30000}"/>
    <cellStyle name="Notas 6 3 10 2 4" xfId="41672" xr:uid="{00000000-0005-0000-0000-00005EA30000}"/>
    <cellStyle name="Notas 6 3 10 2 5" xfId="41673" xr:uid="{00000000-0005-0000-0000-00005FA30000}"/>
    <cellStyle name="Notas 6 3 10 2 6" xfId="41674" xr:uid="{00000000-0005-0000-0000-000060A30000}"/>
    <cellStyle name="Notas 6 3 10 3" xfId="41675" xr:uid="{00000000-0005-0000-0000-000061A30000}"/>
    <cellStyle name="Notas 6 3 10 3 2" xfId="41676" xr:uid="{00000000-0005-0000-0000-000062A30000}"/>
    <cellStyle name="Notas 6 3 10 3 2 2" xfId="41677" xr:uid="{00000000-0005-0000-0000-000063A30000}"/>
    <cellStyle name="Notas 6 3 10 3 2 3" xfId="41678" xr:uid="{00000000-0005-0000-0000-000064A30000}"/>
    <cellStyle name="Notas 6 3 10 3 2 4" xfId="41679" xr:uid="{00000000-0005-0000-0000-000065A30000}"/>
    <cellStyle name="Notas 6 3 10 3 3" xfId="41680" xr:uid="{00000000-0005-0000-0000-000066A30000}"/>
    <cellStyle name="Notas 6 3 10 3 3 2" xfId="41681" xr:uid="{00000000-0005-0000-0000-000067A30000}"/>
    <cellStyle name="Notas 6 3 10 3 3 3" xfId="41682" xr:uid="{00000000-0005-0000-0000-000068A30000}"/>
    <cellStyle name="Notas 6 3 10 3 3 4" xfId="41683" xr:uid="{00000000-0005-0000-0000-000069A30000}"/>
    <cellStyle name="Notas 6 3 10 3 4" xfId="41684" xr:uid="{00000000-0005-0000-0000-00006AA30000}"/>
    <cellStyle name="Notas 6 3 10 3 5" xfId="41685" xr:uid="{00000000-0005-0000-0000-00006BA30000}"/>
    <cellStyle name="Notas 6 3 10 3 6" xfId="41686" xr:uid="{00000000-0005-0000-0000-00006CA30000}"/>
    <cellStyle name="Notas 6 3 10 4" xfId="41687" xr:uid="{00000000-0005-0000-0000-00006DA30000}"/>
    <cellStyle name="Notas 6 3 10 5" xfId="41688" xr:uid="{00000000-0005-0000-0000-00006EA30000}"/>
    <cellStyle name="Notas 6 3 10 6" xfId="41689" xr:uid="{00000000-0005-0000-0000-00006FA30000}"/>
    <cellStyle name="Notas 6 3 11" xfId="41690" xr:uid="{00000000-0005-0000-0000-000070A30000}"/>
    <cellStyle name="Notas 6 3 12" xfId="41691" xr:uid="{00000000-0005-0000-0000-000071A30000}"/>
    <cellStyle name="Notas 6 3 2" xfId="41692" xr:uid="{00000000-0005-0000-0000-000072A30000}"/>
    <cellStyle name="Notas 6 3 2 2" xfId="41693" xr:uid="{00000000-0005-0000-0000-000073A30000}"/>
    <cellStyle name="Notas 6 3 2 2 2" xfId="41694" xr:uid="{00000000-0005-0000-0000-000074A30000}"/>
    <cellStyle name="Notas 6 3 2 2 2 2" xfId="41695" xr:uid="{00000000-0005-0000-0000-000075A30000}"/>
    <cellStyle name="Notas 6 3 2 2 2 2 2" xfId="41696" xr:uid="{00000000-0005-0000-0000-000076A30000}"/>
    <cellStyle name="Notas 6 3 2 2 2 2 3" xfId="41697" xr:uid="{00000000-0005-0000-0000-000077A30000}"/>
    <cellStyle name="Notas 6 3 2 2 2 2 4" xfId="41698" xr:uid="{00000000-0005-0000-0000-000078A30000}"/>
    <cellStyle name="Notas 6 3 2 2 2 3" xfId="41699" xr:uid="{00000000-0005-0000-0000-000079A30000}"/>
    <cellStyle name="Notas 6 3 2 2 2 3 2" xfId="41700" xr:uid="{00000000-0005-0000-0000-00007AA30000}"/>
    <cellStyle name="Notas 6 3 2 2 2 3 3" xfId="41701" xr:uid="{00000000-0005-0000-0000-00007BA30000}"/>
    <cellStyle name="Notas 6 3 2 2 2 3 4" xfId="41702" xr:uid="{00000000-0005-0000-0000-00007CA30000}"/>
    <cellStyle name="Notas 6 3 2 2 2 4" xfId="41703" xr:uid="{00000000-0005-0000-0000-00007DA30000}"/>
    <cellStyle name="Notas 6 3 2 2 2 5" xfId="41704" xr:uid="{00000000-0005-0000-0000-00007EA30000}"/>
    <cellStyle name="Notas 6 3 2 2 2 6" xfId="41705" xr:uid="{00000000-0005-0000-0000-00007FA30000}"/>
    <cellStyle name="Notas 6 3 2 2 3" xfId="41706" xr:uid="{00000000-0005-0000-0000-000080A30000}"/>
    <cellStyle name="Notas 6 3 2 2 3 2" xfId="41707" xr:uid="{00000000-0005-0000-0000-000081A30000}"/>
    <cellStyle name="Notas 6 3 2 2 3 2 2" xfId="41708" xr:uid="{00000000-0005-0000-0000-000082A30000}"/>
    <cellStyle name="Notas 6 3 2 2 3 2 3" xfId="41709" xr:uid="{00000000-0005-0000-0000-000083A30000}"/>
    <cellStyle name="Notas 6 3 2 2 3 2 4" xfId="41710" xr:uid="{00000000-0005-0000-0000-000084A30000}"/>
    <cellStyle name="Notas 6 3 2 2 3 3" xfId="41711" xr:uid="{00000000-0005-0000-0000-000085A30000}"/>
    <cellStyle name="Notas 6 3 2 2 3 3 2" xfId="41712" xr:uid="{00000000-0005-0000-0000-000086A30000}"/>
    <cellStyle name="Notas 6 3 2 2 3 3 3" xfId="41713" xr:uid="{00000000-0005-0000-0000-000087A30000}"/>
    <cellStyle name="Notas 6 3 2 2 3 3 4" xfId="41714" xr:uid="{00000000-0005-0000-0000-000088A30000}"/>
    <cellStyle name="Notas 6 3 2 2 3 4" xfId="41715" xr:uid="{00000000-0005-0000-0000-000089A30000}"/>
    <cellStyle name="Notas 6 3 2 2 3 5" xfId="41716" xr:uid="{00000000-0005-0000-0000-00008AA30000}"/>
    <cellStyle name="Notas 6 3 2 2 3 6" xfId="41717" xr:uid="{00000000-0005-0000-0000-00008BA30000}"/>
    <cellStyle name="Notas 6 3 2 2 4" xfId="41718" xr:uid="{00000000-0005-0000-0000-00008CA30000}"/>
    <cellStyle name="Notas 6 3 2 2 5" xfId="41719" xr:uid="{00000000-0005-0000-0000-00008DA30000}"/>
    <cellStyle name="Notas 6 3 2 2 6" xfId="41720" xr:uid="{00000000-0005-0000-0000-00008EA30000}"/>
    <cellStyle name="Notas 6 3 2 3" xfId="41721" xr:uid="{00000000-0005-0000-0000-00008FA30000}"/>
    <cellStyle name="Notas 6 3 2 4" xfId="41722" xr:uid="{00000000-0005-0000-0000-000090A30000}"/>
    <cellStyle name="Notas 6 3 3" xfId="41723" xr:uid="{00000000-0005-0000-0000-000091A30000}"/>
    <cellStyle name="Notas 6 3 3 2" xfId="41724" xr:uid="{00000000-0005-0000-0000-000092A30000}"/>
    <cellStyle name="Notas 6 3 3 2 2" xfId="41725" xr:uid="{00000000-0005-0000-0000-000093A30000}"/>
    <cellStyle name="Notas 6 3 3 2 2 2" xfId="41726" xr:uid="{00000000-0005-0000-0000-000094A30000}"/>
    <cellStyle name="Notas 6 3 3 2 2 2 2" xfId="41727" xr:uid="{00000000-0005-0000-0000-000095A30000}"/>
    <cellStyle name="Notas 6 3 3 2 2 2 3" xfId="41728" xr:uid="{00000000-0005-0000-0000-000096A30000}"/>
    <cellStyle name="Notas 6 3 3 2 2 2 4" xfId="41729" xr:uid="{00000000-0005-0000-0000-000097A30000}"/>
    <cellStyle name="Notas 6 3 3 2 2 3" xfId="41730" xr:uid="{00000000-0005-0000-0000-000098A30000}"/>
    <cellStyle name="Notas 6 3 3 2 2 3 2" xfId="41731" xr:uid="{00000000-0005-0000-0000-000099A30000}"/>
    <cellStyle name="Notas 6 3 3 2 2 3 3" xfId="41732" xr:uid="{00000000-0005-0000-0000-00009AA30000}"/>
    <cellStyle name="Notas 6 3 3 2 2 3 4" xfId="41733" xr:uid="{00000000-0005-0000-0000-00009BA30000}"/>
    <cellStyle name="Notas 6 3 3 2 2 4" xfId="41734" xr:uid="{00000000-0005-0000-0000-00009CA30000}"/>
    <cellStyle name="Notas 6 3 3 2 2 5" xfId="41735" xr:uid="{00000000-0005-0000-0000-00009DA30000}"/>
    <cellStyle name="Notas 6 3 3 2 2 6" xfId="41736" xr:uid="{00000000-0005-0000-0000-00009EA30000}"/>
    <cellStyle name="Notas 6 3 3 2 3" xfId="41737" xr:uid="{00000000-0005-0000-0000-00009FA30000}"/>
    <cellStyle name="Notas 6 3 3 2 3 2" xfId="41738" xr:uid="{00000000-0005-0000-0000-0000A0A30000}"/>
    <cellStyle name="Notas 6 3 3 2 3 2 2" xfId="41739" xr:uid="{00000000-0005-0000-0000-0000A1A30000}"/>
    <cellStyle name="Notas 6 3 3 2 3 2 3" xfId="41740" xr:uid="{00000000-0005-0000-0000-0000A2A30000}"/>
    <cellStyle name="Notas 6 3 3 2 3 2 4" xfId="41741" xr:uid="{00000000-0005-0000-0000-0000A3A30000}"/>
    <cellStyle name="Notas 6 3 3 2 3 3" xfId="41742" xr:uid="{00000000-0005-0000-0000-0000A4A30000}"/>
    <cellStyle name="Notas 6 3 3 2 3 3 2" xfId="41743" xr:uid="{00000000-0005-0000-0000-0000A5A30000}"/>
    <cellStyle name="Notas 6 3 3 2 3 3 3" xfId="41744" xr:uid="{00000000-0005-0000-0000-0000A6A30000}"/>
    <cellStyle name="Notas 6 3 3 2 3 3 4" xfId="41745" xr:uid="{00000000-0005-0000-0000-0000A7A30000}"/>
    <cellStyle name="Notas 6 3 3 2 3 4" xfId="41746" xr:uid="{00000000-0005-0000-0000-0000A8A30000}"/>
    <cellStyle name="Notas 6 3 3 2 3 5" xfId="41747" xr:uid="{00000000-0005-0000-0000-0000A9A30000}"/>
    <cellStyle name="Notas 6 3 3 2 3 6" xfId="41748" xr:uid="{00000000-0005-0000-0000-0000AAA30000}"/>
    <cellStyle name="Notas 6 3 3 2 4" xfId="41749" xr:uid="{00000000-0005-0000-0000-0000ABA30000}"/>
    <cellStyle name="Notas 6 3 3 2 5" xfId="41750" xr:uid="{00000000-0005-0000-0000-0000ACA30000}"/>
    <cellStyle name="Notas 6 3 3 2 6" xfId="41751" xr:uid="{00000000-0005-0000-0000-0000ADA30000}"/>
    <cellStyle name="Notas 6 3 3 3" xfId="41752" xr:uid="{00000000-0005-0000-0000-0000AEA30000}"/>
    <cellStyle name="Notas 6 3 3 4" xfId="41753" xr:uid="{00000000-0005-0000-0000-0000AFA30000}"/>
    <cellStyle name="Notas 6 3 4" xfId="41754" xr:uid="{00000000-0005-0000-0000-0000B0A30000}"/>
    <cellStyle name="Notas 6 3 4 2" xfId="41755" xr:uid="{00000000-0005-0000-0000-0000B1A30000}"/>
    <cellStyle name="Notas 6 3 4 2 2" xfId="41756" xr:uid="{00000000-0005-0000-0000-0000B2A30000}"/>
    <cellStyle name="Notas 6 3 4 2 2 2" xfId="41757" xr:uid="{00000000-0005-0000-0000-0000B3A30000}"/>
    <cellStyle name="Notas 6 3 4 2 2 2 2" xfId="41758" xr:uid="{00000000-0005-0000-0000-0000B4A30000}"/>
    <cellStyle name="Notas 6 3 4 2 2 2 3" xfId="41759" xr:uid="{00000000-0005-0000-0000-0000B5A30000}"/>
    <cellStyle name="Notas 6 3 4 2 2 2 4" xfId="41760" xr:uid="{00000000-0005-0000-0000-0000B6A30000}"/>
    <cellStyle name="Notas 6 3 4 2 2 3" xfId="41761" xr:uid="{00000000-0005-0000-0000-0000B7A30000}"/>
    <cellStyle name="Notas 6 3 4 2 2 3 2" xfId="41762" xr:uid="{00000000-0005-0000-0000-0000B8A30000}"/>
    <cellStyle name="Notas 6 3 4 2 2 3 3" xfId="41763" xr:uid="{00000000-0005-0000-0000-0000B9A30000}"/>
    <cellStyle name="Notas 6 3 4 2 2 3 4" xfId="41764" xr:uid="{00000000-0005-0000-0000-0000BAA30000}"/>
    <cellStyle name="Notas 6 3 4 2 2 4" xfId="41765" xr:uid="{00000000-0005-0000-0000-0000BBA30000}"/>
    <cellStyle name="Notas 6 3 4 2 2 5" xfId="41766" xr:uid="{00000000-0005-0000-0000-0000BCA30000}"/>
    <cellStyle name="Notas 6 3 4 2 2 6" xfId="41767" xr:uid="{00000000-0005-0000-0000-0000BDA30000}"/>
    <cellStyle name="Notas 6 3 4 2 3" xfId="41768" xr:uid="{00000000-0005-0000-0000-0000BEA30000}"/>
    <cellStyle name="Notas 6 3 4 2 3 2" xfId="41769" xr:uid="{00000000-0005-0000-0000-0000BFA30000}"/>
    <cellStyle name="Notas 6 3 4 2 3 2 2" xfId="41770" xr:uid="{00000000-0005-0000-0000-0000C0A30000}"/>
    <cellStyle name="Notas 6 3 4 2 3 2 3" xfId="41771" xr:uid="{00000000-0005-0000-0000-0000C1A30000}"/>
    <cellStyle name="Notas 6 3 4 2 3 2 4" xfId="41772" xr:uid="{00000000-0005-0000-0000-0000C2A30000}"/>
    <cellStyle name="Notas 6 3 4 2 3 3" xfId="41773" xr:uid="{00000000-0005-0000-0000-0000C3A30000}"/>
    <cellStyle name="Notas 6 3 4 2 3 3 2" xfId="41774" xr:uid="{00000000-0005-0000-0000-0000C4A30000}"/>
    <cellStyle name="Notas 6 3 4 2 3 3 3" xfId="41775" xr:uid="{00000000-0005-0000-0000-0000C5A30000}"/>
    <cellStyle name="Notas 6 3 4 2 3 3 4" xfId="41776" xr:uid="{00000000-0005-0000-0000-0000C6A30000}"/>
    <cellStyle name="Notas 6 3 4 2 3 4" xfId="41777" xr:uid="{00000000-0005-0000-0000-0000C7A30000}"/>
    <cellStyle name="Notas 6 3 4 2 3 5" xfId="41778" xr:uid="{00000000-0005-0000-0000-0000C8A30000}"/>
    <cellStyle name="Notas 6 3 4 2 3 6" xfId="41779" xr:uid="{00000000-0005-0000-0000-0000C9A30000}"/>
    <cellStyle name="Notas 6 3 4 2 4" xfId="41780" xr:uid="{00000000-0005-0000-0000-0000CAA30000}"/>
    <cellStyle name="Notas 6 3 4 2 5" xfId="41781" xr:uid="{00000000-0005-0000-0000-0000CBA30000}"/>
    <cellStyle name="Notas 6 3 4 2 6" xfId="41782" xr:uid="{00000000-0005-0000-0000-0000CCA30000}"/>
    <cellStyle name="Notas 6 3 4 3" xfId="41783" xr:uid="{00000000-0005-0000-0000-0000CDA30000}"/>
    <cellStyle name="Notas 6 3 4 4" xfId="41784" xr:uid="{00000000-0005-0000-0000-0000CEA30000}"/>
    <cellStyle name="Notas 6 3 5" xfId="41785" xr:uid="{00000000-0005-0000-0000-0000CFA30000}"/>
    <cellStyle name="Notas 6 3 5 2" xfId="41786" xr:uid="{00000000-0005-0000-0000-0000D0A30000}"/>
    <cellStyle name="Notas 6 3 5 2 2" xfId="41787" xr:uid="{00000000-0005-0000-0000-0000D1A30000}"/>
    <cellStyle name="Notas 6 3 5 2 2 2" xfId="41788" xr:uid="{00000000-0005-0000-0000-0000D2A30000}"/>
    <cellStyle name="Notas 6 3 5 2 2 2 2" xfId="41789" xr:uid="{00000000-0005-0000-0000-0000D3A30000}"/>
    <cellStyle name="Notas 6 3 5 2 2 2 3" xfId="41790" xr:uid="{00000000-0005-0000-0000-0000D4A30000}"/>
    <cellStyle name="Notas 6 3 5 2 2 2 4" xfId="41791" xr:uid="{00000000-0005-0000-0000-0000D5A30000}"/>
    <cellStyle name="Notas 6 3 5 2 2 3" xfId="41792" xr:uid="{00000000-0005-0000-0000-0000D6A30000}"/>
    <cellStyle name="Notas 6 3 5 2 2 3 2" xfId="41793" xr:uid="{00000000-0005-0000-0000-0000D7A30000}"/>
    <cellStyle name="Notas 6 3 5 2 2 3 3" xfId="41794" xr:uid="{00000000-0005-0000-0000-0000D8A30000}"/>
    <cellStyle name="Notas 6 3 5 2 2 3 4" xfId="41795" xr:uid="{00000000-0005-0000-0000-0000D9A30000}"/>
    <cellStyle name="Notas 6 3 5 2 2 4" xfId="41796" xr:uid="{00000000-0005-0000-0000-0000DAA30000}"/>
    <cellStyle name="Notas 6 3 5 2 2 5" xfId="41797" xr:uid="{00000000-0005-0000-0000-0000DBA30000}"/>
    <cellStyle name="Notas 6 3 5 2 2 6" xfId="41798" xr:uid="{00000000-0005-0000-0000-0000DCA30000}"/>
    <cellStyle name="Notas 6 3 5 2 3" xfId="41799" xr:uid="{00000000-0005-0000-0000-0000DDA30000}"/>
    <cellStyle name="Notas 6 3 5 2 3 2" xfId="41800" xr:uid="{00000000-0005-0000-0000-0000DEA30000}"/>
    <cellStyle name="Notas 6 3 5 2 3 2 2" xfId="41801" xr:uid="{00000000-0005-0000-0000-0000DFA30000}"/>
    <cellStyle name="Notas 6 3 5 2 3 2 3" xfId="41802" xr:uid="{00000000-0005-0000-0000-0000E0A30000}"/>
    <cellStyle name="Notas 6 3 5 2 3 2 4" xfId="41803" xr:uid="{00000000-0005-0000-0000-0000E1A30000}"/>
    <cellStyle name="Notas 6 3 5 2 3 3" xfId="41804" xr:uid="{00000000-0005-0000-0000-0000E2A30000}"/>
    <cellStyle name="Notas 6 3 5 2 3 3 2" xfId="41805" xr:uid="{00000000-0005-0000-0000-0000E3A30000}"/>
    <cellStyle name="Notas 6 3 5 2 3 3 3" xfId="41806" xr:uid="{00000000-0005-0000-0000-0000E4A30000}"/>
    <cellStyle name="Notas 6 3 5 2 3 3 4" xfId="41807" xr:uid="{00000000-0005-0000-0000-0000E5A30000}"/>
    <cellStyle name="Notas 6 3 5 2 3 4" xfId="41808" xr:uid="{00000000-0005-0000-0000-0000E6A30000}"/>
    <cellStyle name="Notas 6 3 5 2 3 5" xfId="41809" xr:uid="{00000000-0005-0000-0000-0000E7A30000}"/>
    <cellStyle name="Notas 6 3 5 2 3 6" xfId="41810" xr:uid="{00000000-0005-0000-0000-0000E8A30000}"/>
    <cellStyle name="Notas 6 3 5 2 4" xfId="41811" xr:uid="{00000000-0005-0000-0000-0000E9A30000}"/>
    <cellStyle name="Notas 6 3 5 2 5" xfId="41812" xr:uid="{00000000-0005-0000-0000-0000EAA30000}"/>
    <cellStyle name="Notas 6 3 5 2 6" xfId="41813" xr:uid="{00000000-0005-0000-0000-0000EBA30000}"/>
    <cellStyle name="Notas 6 3 5 3" xfId="41814" xr:uid="{00000000-0005-0000-0000-0000ECA30000}"/>
    <cellStyle name="Notas 6 3 5 4" xfId="41815" xr:uid="{00000000-0005-0000-0000-0000EDA30000}"/>
    <cellStyle name="Notas 6 3 6" xfId="41816" xr:uid="{00000000-0005-0000-0000-0000EEA30000}"/>
    <cellStyle name="Notas 6 3 6 2" xfId="41817" xr:uid="{00000000-0005-0000-0000-0000EFA30000}"/>
    <cellStyle name="Notas 6 3 6 2 2" xfId="41818" xr:uid="{00000000-0005-0000-0000-0000F0A30000}"/>
    <cellStyle name="Notas 6 3 6 2 2 2" xfId="41819" xr:uid="{00000000-0005-0000-0000-0000F1A30000}"/>
    <cellStyle name="Notas 6 3 6 2 2 3" xfId="41820" xr:uid="{00000000-0005-0000-0000-0000F2A30000}"/>
    <cellStyle name="Notas 6 3 6 2 2 4" xfId="41821" xr:uid="{00000000-0005-0000-0000-0000F3A30000}"/>
    <cellStyle name="Notas 6 3 6 2 3" xfId="41822" xr:uid="{00000000-0005-0000-0000-0000F4A30000}"/>
    <cellStyle name="Notas 6 3 6 2 3 2" xfId="41823" xr:uid="{00000000-0005-0000-0000-0000F5A30000}"/>
    <cellStyle name="Notas 6 3 6 2 3 3" xfId="41824" xr:uid="{00000000-0005-0000-0000-0000F6A30000}"/>
    <cellStyle name="Notas 6 3 6 2 3 4" xfId="41825" xr:uid="{00000000-0005-0000-0000-0000F7A30000}"/>
    <cellStyle name="Notas 6 3 6 2 4" xfId="41826" xr:uid="{00000000-0005-0000-0000-0000F8A30000}"/>
    <cellStyle name="Notas 6 3 6 2 5" xfId="41827" xr:uid="{00000000-0005-0000-0000-0000F9A30000}"/>
    <cellStyle name="Notas 6 3 6 2 6" xfId="41828" xr:uid="{00000000-0005-0000-0000-0000FAA30000}"/>
    <cellStyle name="Notas 6 3 6 3" xfId="41829" xr:uid="{00000000-0005-0000-0000-0000FBA30000}"/>
    <cellStyle name="Notas 6 3 6 3 2" xfId="41830" xr:uid="{00000000-0005-0000-0000-0000FCA30000}"/>
    <cellStyle name="Notas 6 3 6 3 2 2" xfId="41831" xr:uid="{00000000-0005-0000-0000-0000FDA30000}"/>
    <cellStyle name="Notas 6 3 6 3 2 3" xfId="41832" xr:uid="{00000000-0005-0000-0000-0000FEA30000}"/>
    <cellStyle name="Notas 6 3 6 3 2 4" xfId="41833" xr:uid="{00000000-0005-0000-0000-0000FFA30000}"/>
    <cellStyle name="Notas 6 3 6 3 3" xfId="41834" xr:uid="{00000000-0005-0000-0000-000000A40000}"/>
    <cellStyle name="Notas 6 3 6 3 3 2" xfId="41835" xr:uid="{00000000-0005-0000-0000-000001A40000}"/>
    <cellStyle name="Notas 6 3 6 3 3 3" xfId="41836" xr:uid="{00000000-0005-0000-0000-000002A40000}"/>
    <cellStyle name="Notas 6 3 6 3 3 4" xfId="41837" xr:uid="{00000000-0005-0000-0000-000003A40000}"/>
    <cellStyle name="Notas 6 3 6 3 4" xfId="41838" xr:uid="{00000000-0005-0000-0000-000004A40000}"/>
    <cellStyle name="Notas 6 3 6 3 5" xfId="41839" xr:uid="{00000000-0005-0000-0000-000005A40000}"/>
    <cellStyle name="Notas 6 3 6 3 6" xfId="41840" xr:uid="{00000000-0005-0000-0000-000006A40000}"/>
    <cellStyle name="Notas 6 3 6 4" xfId="41841" xr:uid="{00000000-0005-0000-0000-000007A40000}"/>
    <cellStyle name="Notas 6 3 6 4 2" xfId="41842" xr:uid="{00000000-0005-0000-0000-000008A40000}"/>
    <cellStyle name="Notas 6 3 6 4 3" xfId="41843" xr:uid="{00000000-0005-0000-0000-000009A40000}"/>
    <cellStyle name="Notas 6 3 6 4 4" xfId="41844" xr:uid="{00000000-0005-0000-0000-00000AA40000}"/>
    <cellStyle name="Notas 6 3 6 5" xfId="41845" xr:uid="{00000000-0005-0000-0000-00000BA40000}"/>
    <cellStyle name="Notas 6 3 6 6" xfId="41846" xr:uid="{00000000-0005-0000-0000-00000CA40000}"/>
    <cellStyle name="Notas 6 3 7" xfId="41847" xr:uid="{00000000-0005-0000-0000-00000DA40000}"/>
    <cellStyle name="Notas 6 3 7 2" xfId="41848" xr:uid="{00000000-0005-0000-0000-00000EA40000}"/>
    <cellStyle name="Notas 6 3 7 2 2" xfId="41849" xr:uid="{00000000-0005-0000-0000-00000FA40000}"/>
    <cellStyle name="Notas 6 3 7 2 2 2" xfId="41850" xr:uid="{00000000-0005-0000-0000-000010A40000}"/>
    <cellStyle name="Notas 6 3 7 2 2 3" xfId="41851" xr:uid="{00000000-0005-0000-0000-000011A40000}"/>
    <cellStyle name="Notas 6 3 7 2 2 4" xfId="41852" xr:uid="{00000000-0005-0000-0000-000012A40000}"/>
    <cellStyle name="Notas 6 3 7 2 3" xfId="41853" xr:uid="{00000000-0005-0000-0000-000013A40000}"/>
    <cellStyle name="Notas 6 3 7 2 3 2" xfId="41854" xr:uid="{00000000-0005-0000-0000-000014A40000}"/>
    <cellStyle name="Notas 6 3 7 2 3 3" xfId="41855" xr:uid="{00000000-0005-0000-0000-000015A40000}"/>
    <cellStyle name="Notas 6 3 7 2 3 4" xfId="41856" xr:uid="{00000000-0005-0000-0000-000016A40000}"/>
    <cellStyle name="Notas 6 3 7 2 4" xfId="41857" xr:uid="{00000000-0005-0000-0000-000017A40000}"/>
    <cellStyle name="Notas 6 3 7 2 5" xfId="41858" xr:uid="{00000000-0005-0000-0000-000018A40000}"/>
    <cellStyle name="Notas 6 3 7 2 6" xfId="41859" xr:uid="{00000000-0005-0000-0000-000019A40000}"/>
    <cellStyle name="Notas 6 3 7 3" xfId="41860" xr:uid="{00000000-0005-0000-0000-00001AA40000}"/>
    <cellStyle name="Notas 6 3 7 3 2" xfId="41861" xr:uid="{00000000-0005-0000-0000-00001BA40000}"/>
    <cellStyle name="Notas 6 3 7 3 2 2" xfId="41862" xr:uid="{00000000-0005-0000-0000-00001CA40000}"/>
    <cellStyle name="Notas 6 3 7 3 2 3" xfId="41863" xr:uid="{00000000-0005-0000-0000-00001DA40000}"/>
    <cellStyle name="Notas 6 3 7 3 2 4" xfId="41864" xr:uid="{00000000-0005-0000-0000-00001EA40000}"/>
    <cellStyle name="Notas 6 3 7 3 3" xfId="41865" xr:uid="{00000000-0005-0000-0000-00001FA40000}"/>
    <cellStyle name="Notas 6 3 7 3 3 2" xfId="41866" xr:uid="{00000000-0005-0000-0000-000020A40000}"/>
    <cellStyle name="Notas 6 3 7 3 3 3" xfId="41867" xr:uid="{00000000-0005-0000-0000-000021A40000}"/>
    <cellStyle name="Notas 6 3 7 3 3 4" xfId="41868" xr:uid="{00000000-0005-0000-0000-000022A40000}"/>
    <cellStyle name="Notas 6 3 7 3 4" xfId="41869" xr:uid="{00000000-0005-0000-0000-000023A40000}"/>
    <cellStyle name="Notas 6 3 7 3 5" xfId="41870" xr:uid="{00000000-0005-0000-0000-000024A40000}"/>
    <cellStyle name="Notas 6 3 7 3 6" xfId="41871" xr:uid="{00000000-0005-0000-0000-000025A40000}"/>
    <cellStyle name="Notas 6 3 7 4" xfId="41872" xr:uid="{00000000-0005-0000-0000-000026A40000}"/>
    <cellStyle name="Notas 6 3 7 4 2" xfId="41873" xr:uid="{00000000-0005-0000-0000-000027A40000}"/>
    <cellStyle name="Notas 6 3 7 4 3" xfId="41874" xr:uid="{00000000-0005-0000-0000-000028A40000}"/>
    <cellStyle name="Notas 6 3 7 4 4" xfId="41875" xr:uid="{00000000-0005-0000-0000-000029A40000}"/>
    <cellStyle name="Notas 6 3 7 5" xfId="41876" xr:uid="{00000000-0005-0000-0000-00002AA40000}"/>
    <cellStyle name="Notas 6 3 7 6" xfId="41877" xr:uid="{00000000-0005-0000-0000-00002BA40000}"/>
    <cellStyle name="Notas 6 3 8" xfId="41878" xr:uid="{00000000-0005-0000-0000-00002CA40000}"/>
    <cellStyle name="Notas 6 3 8 2" xfId="41879" xr:uid="{00000000-0005-0000-0000-00002DA40000}"/>
    <cellStyle name="Notas 6 3 8 2 2" xfId="41880" xr:uid="{00000000-0005-0000-0000-00002EA40000}"/>
    <cellStyle name="Notas 6 3 8 2 2 2" xfId="41881" xr:uid="{00000000-0005-0000-0000-00002FA40000}"/>
    <cellStyle name="Notas 6 3 8 2 2 3" xfId="41882" xr:uid="{00000000-0005-0000-0000-000030A40000}"/>
    <cellStyle name="Notas 6 3 8 2 2 4" xfId="41883" xr:uid="{00000000-0005-0000-0000-000031A40000}"/>
    <cellStyle name="Notas 6 3 8 2 3" xfId="41884" xr:uid="{00000000-0005-0000-0000-000032A40000}"/>
    <cellStyle name="Notas 6 3 8 2 3 2" xfId="41885" xr:uid="{00000000-0005-0000-0000-000033A40000}"/>
    <cellStyle name="Notas 6 3 8 2 3 3" xfId="41886" xr:uid="{00000000-0005-0000-0000-000034A40000}"/>
    <cellStyle name="Notas 6 3 8 2 3 4" xfId="41887" xr:uid="{00000000-0005-0000-0000-000035A40000}"/>
    <cellStyle name="Notas 6 3 8 2 4" xfId="41888" xr:uid="{00000000-0005-0000-0000-000036A40000}"/>
    <cellStyle name="Notas 6 3 8 2 5" xfId="41889" xr:uid="{00000000-0005-0000-0000-000037A40000}"/>
    <cellStyle name="Notas 6 3 8 2 6" xfId="41890" xr:uid="{00000000-0005-0000-0000-000038A40000}"/>
    <cellStyle name="Notas 6 3 8 3" xfId="41891" xr:uid="{00000000-0005-0000-0000-000039A40000}"/>
    <cellStyle name="Notas 6 3 8 3 2" xfId="41892" xr:uid="{00000000-0005-0000-0000-00003AA40000}"/>
    <cellStyle name="Notas 6 3 8 3 2 2" xfId="41893" xr:uid="{00000000-0005-0000-0000-00003BA40000}"/>
    <cellStyle name="Notas 6 3 8 3 2 3" xfId="41894" xr:uid="{00000000-0005-0000-0000-00003CA40000}"/>
    <cellStyle name="Notas 6 3 8 3 2 4" xfId="41895" xr:uid="{00000000-0005-0000-0000-00003DA40000}"/>
    <cellStyle name="Notas 6 3 8 3 3" xfId="41896" xr:uid="{00000000-0005-0000-0000-00003EA40000}"/>
    <cellStyle name="Notas 6 3 8 3 3 2" xfId="41897" xr:uid="{00000000-0005-0000-0000-00003FA40000}"/>
    <cellStyle name="Notas 6 3 8 3 3 3" xfId="41898" xr:uid="{00000000-0005-0000-0000-000040A40000}"/>
    <cellStyle name="Notas 6 3 8 3 3 4" xfId="41899" xr:uid="{00000000-0005-0000-0000-000041A40000}"/>
    <cellStyle name="Notas 6 3 8 3 4" xfId="41900" xr:uid="{00000000-0005-0000-0000-000042A40000}"/>
    <cellStyle name="Notas 6 3 8 3 5" xfId="41901" xr:uid="{00000000-0005-0000-0000-000043A40000}"/>
    <cellStyle name="Notas 6 3 8 3 6" xfId="41902" xr:uid="{00000000-0005-0000-0000-000044A40000}"/>
    <cellStyle name="Notas 6 3 8 4" xfId="41903" xr:uid="{00000000-0005-0000-0000-000045A40000}"/>
    <cellStyle name="Notas 6 3 8 4 2" xfId="41904" xr:uid="{00000000-0005-0000-0000-000046A40000}"/>
    <cellStyle name="Notas 6 3 8 4 3" xfId="41905" xr:uid="{00000000-0005-0000-0000-000047A40000}"/>
    <cellStyle name="Notas 6 3 8 4 4" xfId="41906" xr:uid="{00000000-0005-0000-0000-000048A40000}"/>
    <cellStyle name="Notas 6 3 8 5" xfId="41907" xr:uid="{00000000-0005-0000-0000-000049A40000}"/>
    <cellStyle name="Notas 6 3 8 6" xfId="41908" xr:uid="{00000000-0005-0000-0000-00004AA40000}"/>
    <cellStyle name="Notas 6 3 9" xfId="41909" xr:uid="{00000000-0005-0000-0000-00004BA40000}"/>
    <cellStyle name="Notas 6 3 9 2" xfId="41910" xr:uid="{00000000-0005-0000-0000-00004CA40000}"/>
    <cellStyle name="Notas 6 3 9 2 2" xfId="41911" xr:uid="{00000000-0005-0000-0000-00004DA40000}"/>
    <cellStyle name="Notas 6 3 9 2 2 2" xfId="41912" xr:uid="{00000000-0005-0000-0000-00004EA40000}"/>
    <cellStyle name="Notas 6 3 9 2 2 3" xfId="41913" xr:uid="{00000000-0005-0000-0000-00004FA40000}"/>
    <cellStyle name="Notas 6 3 9 2 2 4" xfId="41914" xr:uid="{00000000-0005-0000-0000-000050A40000}"/>
    <cellStyle name="Notas 6 3 9 2 3" xfId="41915" xr:uid="{00000000-0005-0000-0000-000051A40000}"/>
    <cellStyle name="Notas 6 3 9 2 3 2" xfId="41916" xr:uid="{00000000-0005-0000-0000-000052A40000}"/>
    <cellStyle name="Notas 6 3 9 2 3 3" xfId="41917" xr:uid="{00000000-0005-0000-0000-000053A40000}"/>
    <cellStyle name="Notas 6 3 9 2 3 4" xfId="41918" xr:uid="{00000000-0005-0000-0000-000054A40000}"/>
    <cellStyle name="Notas 6 3 9 2 4" xfId="41919" xr:uid="{00000000-0005-0000-0000-000055A40000}"/>
    <cellStyle name="Notas 6 3 9 2 5" xfId="41920" xr:uid="{00000000-0005-0000-0000-000056A40000}"/>
    <cellStyle name="Notas 6 3 9 2 6" xfId="41921" xr:uid="{00000000-0005-0000-0000-000057A40000}"/>
    <cellStyle name="Notas 6 3 9 3" xfId="41922" xr:uid="{00000000-0005-0000-0000-000058A40000}"/>
    <cellStyle name="Notas 6 3 9 3 2" xfId="41923" xr:uid="{00000000-0005-0000-0000-000059A40000}"/>
    <cellStyle name="Notas 6 3 9 3 2 2" xfId="41924" xr:uid="{00000000-0005-0000-0000-00005AA40000}"/>
    <cellStyle name="Notas 6 3 9 3 2 3" xfId="41925" xr:uid="{00000000-0005-0000-0000-00005BA40000}"/>
    <cellStyle name="Notas 6 3 9 3 2 4" xfId="41926" xr:uid="{00000000-0005-0000-0000-00005CA40000}"/>
    <cellStyle name="Notas 6 3 9 3 3" xfId="41927" xr:uid="{00000000-0005-0000-0000-00005DA40000}"/>
    <cellStyle name="Notas 6 3 9 3 3 2" xfId="41928" xr:uid="{00000000-0005-0000-0000-00005EA40000}"/>
    <cellStyle name="Notas 6 3 9 3 3 3" xfId="41929" xr:uid="{00000000-0005-0000-0000-00005FA40000}"/>
    <cellStyle name="Notas 6 3 9 3 3 4" xfId="41930" xr:uid="{00000000-0005-0000-0000-000060A40000}"/>
    <cellStyle name="Notas 6 3 9 3 4" xfId="41931" xr:uid="{00000000-0005-0000-0000-000061A40000}"/>
    <cellStyle name="Notas 6 3 9 3 5" xfId="41932" xr:uid="{00000000-0005-0000-0000-000062A40000}"/>
    <cellStyle name="Notas 6 3 9 3 6" xfId="41933" xr:uid="{00000000-0005-0000-0000-000063A40000}"/>
    <cellStyle name="Notas 6 3 9 4" xfId="41934" xr:uid="{00000000-0005-0000-0000-000064A40000}"/>
    <cellStyle name="Notas 6 3 9 4 2" xfId="41935" xr:uid="{00000000-0005-0000-0000-000065A40000}"/>
    <cellStyle name="Notas 6 3 9 4 3" xfId="41936" xr:uid="{00000000-0005-0000-0000-000066A40000}"/>
    <cellStyle name="Notas 6 3 9 4 4" xfId="41937" xr:uid="{00000000-0005-0000-0000-000067A40000}"/>
    <cellStyle name="Notas 6 3 9 5" xfId="41938" xr:uid="{00000000-0005-0000-0000-000068A40000}"/>
    <cellStyle name="Notas 6 3 9 6" xfId="41939" xr:uid="{00000000-0005-0000-0000-000069A40000}"/>
    <cellStyle name="Notas 6 4" xfId="41940" xr:uid="{00000000-0005-0000-0000-00006AA40000}"/>
    <cellStyle name="Notas 6 4 10" xfId="41941" xr:uid="{00000000-0005-0000-0000-00006BA40000}"/>
    <cellStyle name="Notas 6 4 10 2" xfId="41942" xr:uid="{00000000-0005-0000-0000-00006CA40000}"/>
    <cellStyle name="Notas 6 4 10 2 2" xfId="41943" xr:uid="{00000000-0005-0000-0000-00006DA40000}"/>
    <cellStyle name="Notas 6 4 10 2 2 2" xfId="41944" xr:uid="{00000000-0005-0000-0000-00006EA40000}"/>
    <cellStyle name="Notas 6 4 10 2 2 3" xfId="41945" xr:uid="{00000000-0005-0000-0000-00006FA40000}"/>
    <cellStyle name="Notas 6 4 10 2 2 4" xfId="41946" xr:uid="{00000000-0005-0000-0000-000070A40000}"/>
    <cellStyle name="Notas 6 4 10 2 3" xfId="41947" xr:uid="{00000000-0005-0000-0000-000071A40000}"/>
    <cellStyle name="Notas 6 4 10 2 3 2" xfId="41948" xr:uid="{00000000-0005-0000-0000-000072A40000}"/>
    <cellStyle name="Notas 6 4 10 2 3 3" xfId="41949" xr:uid="{00000000-0005-0000-0000-000073A40000}"/>
    <cellStyle name="Notas 6 4 10 2 3 4" xfId="41950" xr:uid="{00000000-0005-0000-0000-000074A40000}"/>
    <cellStyle name="Notas 6 4 10 2 4" xfId="41951" xr:uid="{00000000-0005-0000-0000-000075A40000}"/>
    <cellStyle name="Notas 6 4 10 2 5" xfId="41952" xr:uid="{00000000-0005-0000-0000-000076A40000}"/>
    <cellStyle name="Notas 6 4 10 2 6" xfId="41953" xr:uid="{00000000-0005-0000-0000-000077A40000}"/>
    <cellStyle name="Notas 6 4 10 3" xfId="41954" xr:uid="{00000000-0005-0000-0000-000078A40000}"/>
    <cellStyle name="Notas 6 4 10 3 2" xfId="41955" xr:uid="{00000000-0005-0000-0000-000079A40000}"/>
    <cellStyle name="Notas 6 4 10 3 2 2" xfId="41956" xr:uid="{00000000-0005-0000-0000-00007AA40000}"/>
    <cellStyle name="Notas 6 4 10 3 2 3" xfId="41957" xr:uid="{00000000-0005-0000-0000-00007BA40000}"/>
    <cellStyle name="Notas 6 4 10 3 2 4" xfId="41958" xr:uid="{00000000-0005-0000-0000-00007CA40000}"/>
    <cellStyle name="Notas 6 4 10 3 3" xfId="41959" xr:uid="{00000000-0005-0000-0000-00007DA40000}"/>
    <cellStyle name="Notas 6 4 10 3 3 2" xfId="41960" xr:uid="{00000000-0005-0000-0000-00007EA40000}"/>
    <cellStyle name="Notas 6 4 10 3 3 3" xfId="41961" xr:uid="{00000000-0005-0000-0000-00007FA40000}"/>
    <cellStyle name="Notas 6 4 10 3 3 4" xfId="41962" xr:uid="{00000000-0005-0000-0000-000080A40000}"/>
    <cellStyle name="Notas 6 4 10 3 4" xfId="41963" xr:uid="{00000000-0005-0000-0000-000081A40000}"/>
    <cellStyle name="Notas 6 4 10 3 5" xfId="41964" xr:uid="{00000000-0005-0000-0000-000082A40000}"/>
    <cellStyle name="Notas 6 4 10 3 6" xfId="41965" xr:uid="{00000000-0005-0000-0000-000083A40000}"/>
    <cellStyle name="Notas 6 4 10 4" xfId="41966" xr:uid="{00000000-0005-0000-0000-000084A40000}"/>
    <cellStyle name="Notas 6 4 10 5" xfId="41967" xr:uid="{00000000-0005-0000-0000-000085A40000}"/>
    <cellStyle name="Notas 6 4 10 6" xfId="41968" xr:uid="{00000000-0005-0000-0000-000086A40000}"/>
    <cellStyle name="Notas 6 4 11" xfId="41969" xr:uid="{00000000-0005-0000-0000-000087A40000}"/>
    <cellStyle name="Notas 6 4 12" xfId="41970" xr:uid="{00000000-0005-0000-0000-000088A40000}"/>
    <cellStyle name="Notas 6 4 2" xfId="41971" xr:uid="{00000000-0005-0000-0000-000089A40000}"/>
    <cellStyle name="Notas 6 4 2 2" xfId="41972" xr:uid="{00000000-0005-0000-0000-00008AA40000}"/>
    <cellStyle name="Notas 6 4 2 2 2" xfId="41973" xr:uid="{00000000-0005-0000-0000-00008BA40000}"/>
    <cellStyle name="Notas 6 4 2 2 2 2" xfId="41974" xr:uid="{00000000-0005-0000-0000-00008CA40000}"/>
    <cellStyle name="Notas 6 4 2 2 2 2 2" xfId="41975" xr:uid="{00000000-0005-0000-0000-00008DA40000}"/>
    <cellStyle name="Notas 6 4 2 2 2 2 3" xfId="41976" xr:uid="{00000000-0005-0000-0000-00008EA40000}"/>
    <cellStyle name="Notas 6 4 2 2 2 2 4" xfId="41977" xr:uid="{00000000-0005-0000-0000-00008FA40000}"/>
    <cellStyle name="Notas 6 4 2 2 2 3" xfId="41978" xr:uid="{00000000-0005-0000-0000-000090A40000}"/>
    <cellStyle name="Notas 6 4 2 2 2 3 2" xfId="41979" xr:uid="{00000000-0005-0000-0000-000091A40000}"/>
    <cellStyle name="Notas 6 4 2 2 2 3 3" xfId="41980" xr:uid="{00000000-0005-0000-0000-000092A40000}"/>
    <cellStyle name="Notas 6 4 2 2 2 3 4" xfId="41981" xr:uid="{00000000-0005-0000-0000-000093A40000}"/>
    <cellStyle name="Notas 6 4 2 2 2 4" xfId="41982" xr:uid="{00000000-0005-0000-0000-000094A40000}"/>
    <cellStyle name="Notas 6 4 2 2 2 5" xfId="41983" xr:uid="{00000000-0005-0000-0000-000095A40000}"/>
    <cellStyle name="Notas 6 4 2 2 2 6" xfId="41984" xr:uid="{00000000-0005-0000-0000-000096A40000}"/>
    <cellStyle name="Notas 6 4 2 2 3" xfId="41985" xr:uid="{00000000-0005-0000-0000-000097A40000}"/>
    <cellStyle name="Notas 6 4 2 2 3 2" xfId="41986" xr:uid="{00000000-0005-0000-0000-000098A40000}"/>
    <cellStyle name="Notas 6 4 2 2 3 2 2" xfId="41987" xr:uid="{00000000-0005-0000-0000-000099A40000}"/>
    <cellStyle name="Notas 6 4 2 2 3 2 3" xfId="41988" xr:uid="{00000000-0005-0000-0000-00009AA40000}"/>
    <cellStyle name="Notas 6 4 2 2 3 2 4" xfId="41989" xr:uid="{00000000-0005-0000-0000-00009BA40000}"/>
    <cellStyle name="Notas 6 4 2 2 3 3" xfId="41990" xr:uid="{00000000-0005-0000-0000-00009CA40000}"/>
    <cellStyle name="Notas 6 4 2 2 3 3 2" xfId="41991" xr:uid="{00000000-0005-0000-0000-00009DA40000}"/>
    <cellStyle name="Notas 6 4 2 2 3 3 3" xfId="41992" xr:uid="{00000000-0005-0000-0000-00009EA40000}"/>
    <cellStyle name="Notas 6 4 2 2 3 3 4" xfId="41993" xr:uid="{00000000-0005-0000-0000-00009FA40000}"/>
    <cellStyle name="Notas 6 4 2 2 3 4" xfId="41994" xr:uid="{00000000-0005-0000-0000-0000A0A40000}"/>
    <cellStyle name="Notas 6 4 2 2 3 5" xfId="41995" xr:uid="{00000000-0005-0000-0000-0000A1A40000}"/>
    <cellStyle name="Notas 6 4 2 2 3 6" xfId="41996" xr:uid="{00000000-0005-0000-0000-0000A2A40000}"/>
    <cellStyle name="Notas 6 4 2 2 4" xfId="41997" xr:uid="{00000000-0005-0000-0000-0000A3A40000}"/>
    <cellStyle name="Notas 6 4 2 2 5" xfId="41998" xr:uid="{00000000-0005-0000-0000-0000A4A40000}"/>
    <cellStyle name="Notas 6 4 2 2 6" xfId="41999" xr:uid="{00000000-0005-0000-0000-0000A5A40000}"/>
    <cellStyle name="Notas 6 4 2 3" xfId="42000" xr:uid="{00000000-0005-0000-0000-0000A6A40000}"/>
    <cellStyle name="Notas 6 4 2 4" xfId="42001" xr:uid="{00000000-0005-0000-0000-0000A7A40000}"/>
    <cellStyle name="Notas 6 4 3" xfId="42002" xr:uid="{00000000-0005-0000-0000-0000A8A40000}"/>
    <cellStyle name="Notas 6 4 3 2" xfId="42003" xr:uid="{00000000-0005-0000-0000-0000A9A40000}"/>
    <cellStyle name="Notas 6 4 3 2 2" xfId="42004" xr:uid="{00000000-0005-0000-0000-0000AAA40000}"/>
    <cellStyle name="Notas 6 4 3 2 2 2" xfId="42005" xr:uid="{00000000-0005-0000-0000-0000ABA40000}"/>
    <cellStyle name="Notas 6 4 3 2 2 2 2" xfId="42006" xr:uid="{00000000-0005-0000-0000-0000ACA40000}"/>
    <cellStyle name="Notas 6 4 3 2 2 2 3" xfId="42007" xr:uid="{00000000-0005-0000-0000-0000ADA40000}"/>
    <cellStyle name="Notas 6 4 3 2 2 2 4" xfId="42008" xr:uid="{00000000-0005-0000-0000-0000AEA40000}"/>
    <cellStyle name="Notas 6 4 3 2 2 3" xfId="42009" xr:uid="{00000000-0005-0000-0000-0000AFA40000}"/>
    <cellStyle name="Notas 6 4 3 2 2 3 2" xfId="42010" xr:uid="{00000000-0005-0000-0000-0000B0A40000}"/>
    <cellStyle name="Notas 6 4 3 2 2 3 3" xfId="42011" xr:uid="{00000000-0005-0000-0000-0000B1A40000}"/>
    <cellStyle name="Notas 6 4 3 2 2 3 4" xfId="42012" xr:uid="{00000000-0005-0000-0000-0000B2A40000}"/>
    <cellStyle name="Notas 6 4 3 2 2 4" xfId="42013" xr:uid="{00000000-0005-0000-0000-0000B3A40000}"/>
    <cellStyle name="Notas 6 4 3 2 2 5" xfId="42014" xr:uid="{00000000-0005-0000-0000-0000B4A40000}"/>
    <cellStyle name="Notas 6 4 3 2 2 6" xfId="42015" xr:uid="{00000000-0005-0000-0000-0000B5A40000}"/>
    <cellStyle name="Notas 6 4 3 2 3" xfId="42016" xr:uid="{00000000-0005-0000-0000-0000B6A40000}"/>
    <cellStyle name="Notas 6 4 3 2 3 2" xfId="42017" xr:uid="{00000000-0005-0000-0000-0000B7A40000}"/>
    <cellStyle name="Notas 6 4 3 2 3 2 2" xfId="42018" xr:uid="{00000000-0005-0000-0000-0000B8A40000}"/>
    <cellStyle name="Notas 6 4 3 2 3 2 3" xfId="42019" xr:uid="{00000000-0005-0000-0000-0000B9A40000}"/>
    <cellStyle name="Notas 6 4 3 2 3 2 4" xfId="42020" xr:uid="{00000000-0005-0000-0000-0000BAA40000}"/>
    <cellStyle name="Notas 6 4 3 2 3 3" xfId="42021" xr:uid="{00000000-0005-0000-0000-0000BBA40000}"/>
    <cellStyle name="Notas 6 4 3 2 3 3 2" xfId="42022" xr:uid="{00000000-0005-0000-0000-0000BCA40000}"/>
    <cellStyle name="Notas 6 4 3 2 3 3 3" xfId="42023" xr:uid="{00000000-0005-0000-0000-0000BDA40000}"/>
    <cellStyle name="Notas 6 4 3 2 3 3 4" xfId="42024" xr:uid="{00000000-0005-0000-0000-0000BEA40000}"/>
    <cellStyle name="Notas 6 4 3 2 3 4" xfId="42025" xr:uid="{00000000-0005-0000-0000-0000BFA40000}"/>
    <cellStyle name="Notas 6 4 3 2 3 5" xfId="42026" xr:uid="{00000000-0005-0000-0000-0000C0A40000}"/>
    <cellStyle name="Notas 6 4 3 2 3 6" xfId="42027" xr:uid="{00000000-0005-0000-0000-0000C1A40000}"/>
    <cellStyle name="Notas 6 4 3 2 4" xfId="42028" xr:uid="{00000000-0005-0000-0000-0000C2A40000}"/>
    <cellStyle name="Notas 6 4 3 2 5" xfId="42029" xr:uid="{00000000-0005-0000-0000-0000C3A40000}"/>
    <cellStyle name="Notas 6 4 3 2 6" xfId="42030" xr:uid="{00000000-0005-0000-0000-0000C4A40000}"/>
    <cellStyle name="Notas 6 4 3 3" xfId="42031" xr:uid="{00000000-0005-0000-0000-0000C5A40000}"/>
    <cellStyle name="Notas 6 4 3 4" xfId="42032" xr:uid="{00000000-0005-0000-0000-0000C6A40000}"/>
    <cellStyle name="Notas 6 4 4" xfId="42033" xr:uid="{00000000-0005-0000-0000-0000C7A40000}"/>
    <cellStyle name="Notas 6 4 4 2" xfId="42034" xr:uid="{00000000-0005-0000-0000-0000C8A40000}"/>
    <cellStyle name="Notas 6 4 4 2 2" xfId="42035" xr:uid="{00000000-0005-0000-0000-0000C9A40000}"/>
    <cellStyle name="Notas 6 4 4 2 2 2" xfId="42036" xr:uid="{00000000-0005-0000-0000-0000CAA40000}"/>
    <cellStyle name="Notas 6 4 4 2 2 2 2" xfId="42037" xr:uid="{00000000-0005-0000-0000-0000CBA40000}"/>
    <cellStyle name="Notas 6 4 4 2 2 2 3" xfId="42038" xr:uid="{00000000-0005-0000-0000-0000CCA40000}"/>
    <cellStyle name="Notas 6 4 4 2 2 2 4" xfId="42039" xr:uid="{00000000-0005-0000-0000-0000CDA40000}"/>
    <cellStyle name="Notas 6 4 4 2 2 3" xfId="42040" xr:uid="{00000000-0005-0000-0000-0000CEA40000}"/>
    <cellStyle name="Notas 6 4 4 2 2 3 2" xfId="42041" xr:uid="{00000000-0005-0000-0000-0000CFA40000}"/>
    <cellStyle name="Notas 6 4 4 2 2 3 3" xfId="42042" xr:uid="{00000000-0005-0000-0000-0000D0A40000}"/>
    <cellStyle name="Notas 6 4 4 2 2 3 4" xfId="42043" xr:uid="{00000000-0005-0000-0000-0000D1A40000}"/>
    <cellStyle name="Notas 6 4 4 2 2 4" xfId="42044" xr:uid="{00000000-0005-0000-0000-0000D2A40000}"/>
    <cellStyle name="Notas 6 4 4 2 2 5" xfId="42045" xr:uid="{00000000-0005-0000-0000-0000D3A40000}"/>
    <cellStyle name="Notas 6 4 4 2 2 6" xfId="42046" xr:uid="{00000000-0005-0000-0000-0000D4A40000}"/>
    <cellStyle name="Notas 6 4 4 2 3" xfId="42047" xr:uid="{00000000-0005-0000-0000-0000D5A40000}"/>
    <cellStyle name="Notas 6 4 4 2 3 2" xfId="42048" xr:uid="{00000000-0005-0000-0000-0000D6A40000}"/>
    <cellStyle name="Notas 6 4 4 2 3 2 2" xfId="42049" xr:uid="{00000000-0005-0000-0000-0000D7A40000}"/>
    <cellStyle name="Notas 6 4 4 2 3 2 3" xfId="42050" xr:uid="{00000000-0005-0000-0000-0000D8A40000}"/>
    <cellStyle name="Notas 6 4 4 2 3 2 4" xfId="42051" xr:uid="{00000000-0005-0000-0000-0000D9A40000}"/>
    <cellStyle name="Notas 6 4 4 2 3 3" xfId="42052" xr:uid="{00000000-0005-0000-0000-0000DAA40000}"/>
    <cellStyle name="Notas 6 4 4 2 3 3 2" xfId="42053" xr:uid="{00000000-0005-0000-0000-0000DBA40000}"/>
    <cellStyle name="Notas 6 4 4 2 3 3 3" xfId="42054" xr:uid="{00000000-0005-0000-0000-0000DCA40000}"/>
    <cellStyle name="Notas 6 4 4 2 3 3 4" xfId="42055" xr:uid="{00000000-0005-0000-0000-0000DDA40000}"/>
    <cellStyle name="Notas 6 4 4 2 3 4" xfId="42056" xr:uid="{00000000-0005-0000-0000-0000DEA40000}"/>
    <cellStyle name="Notas 6 4 4 2 3 5" xfId="42057" xr:uid="{00000000-0005-0000-0000-0000DFA40000}"/>
    <cellStyle name="Notas 6 4 4 2 3 6" xfId="42058" xr:uid="{00000000-0005-0000-0000-0000E0A40000}"/>
    <cellStyle name="Notas 6 4 4 2 4" xfId="42059" xr:uid="{00000000-0005-0000-0000-0000E1A40000}"/>
    <cellStyle name="Notas 6 4 4 2 5" xfId="42060" xr:uid="{00000000-0005-0000-0000-0000E2A40000}"/>
    <cellStyle name="Notas 6 4 4 2 6" xfId="42061" xr:uid="{00000000-0005-0000-0000-0000E3A40000}"/>
    <cellStyle name="Notas 6 4 4 3" xfId="42062" xr:uid="{00000000-0005-0000-0000-0000E4A40000}"/>
    <cellStyle name="Notas 6 4 4 4" xfId="42063" xr:uid="{00000000-0005-0000-0000-0000E5A40000}"/>
    <cellStyle name="Notas 6 4 5" xfId="42064" xr:uid="{00000000-0005-0000-0000-0000E6A40000}"/>
    <cellStyle name="Notas 6 4 5 2" xfId="42065" xr:uid="{00000000-0005-0000-0000-0000E7A40000}"/>
    <cellStyle name="Notas 6 4 5 2 2" xfId="42066" xr:uid="{00000000-0005-0000-0000-0000E8A40000}"/>
    <cellStyle name="Notas 6 4 5 2 2 2" xfId="42067" xr:uid="{00000000-0005-0000-0000-0000E9A40000}"/>
    <cellStyle name="Notas 6 4 5 2 2 2 2" xfId="42068" xr:uid="{00000000-0005-0000-0000-0000EAA40000}"/>
    <cellStyle name="Notas 6 4 5 2 2 2 3" xfId="42069" xr:uid="{00000000-0005-0000-0000-0000EBA40000}"/>
    <cellStyle name="Notas 6 4 5 2 2 2 4" xfId="42070" xr:uid="{00000000-0005-0000-0000-0000ECA40000}"/>
    <cellStyle name="Notas 6 4 5 2 2 3" xfId="42071" xr:uid="{00000000-0005-0000-0000-0000EDA40000}"/>
    <cellStyle name="Notas 6 4 5 2 2 3 2" xfId="42072" xr:uid="{00000000-0005-0000-0000-0000EEA40000}"/>
    <cellStyle name="Notas 6 4 5 2 2 3 3" xfId="42073" xr:uid="{00000000-0005-0000-0000-0000EFA40000}"/>
    <cellStyle name="Notas 6 4 5 2 2 3 4" xfId="42074" xr:uid="{00000000-0005-0000-0000-0000F0A40000}"/>
    <cellStyle name="Notas 6 4 5 2 2 4" xfId="42075" xr:uid="{00000000-0005-0000-0000-0000F1A40000}"/>
    <cellStyle name="Notas 6 4 5 2 2 5" xfId="42076" xr:uid="{00000000-0005-0000-0000-0000F2A40000}"/>
    <cellStyle name="Notas 6 4 5 2 2 6" xfId="42077" xr:uid="{00000000-0005-0000-0000-0000F3A40000}"/>
    <cellStyle name="Notas 6 4 5 2 3" xfId="42078" xr:uid="{00000000-0005-0000-0000-0000F4A40000}"/>
    <cellStyle name="Notas 6 4 5 2 3 2" xfId="42079" xr:uid="{00000000-0005-0000-0000-0000F5A40000}"/>
    <cellStyle name="Notas 6 4 5 2 3 2 2" xfId="42080" xr:uid="{00000000-0005-0000-0000-0000F6A40000}"/>
    <cellStyle name="Notas 6 4 5 2 3 2 3" xfId="42081" xr:uid="{00000000-0005-0000-0000-0000F7A40000}"/>
    <cellStyle name="Notas 6 4 5 2 3 2 4" xfId="42082" xr:uid="{00000000-0005-0000-0000-0000F8A40000}"/>
    <cellStyle name="Notas 6 4 5 2 3 3" xfId="42083" xr:uid="{00000000-0005-0000-0000-0000F9A40000}"/>
    <cellStyle name="Notas 6 4 5 2 3 3 2" xfId="42084" xr:uid="{00000000-0005-0000-0000-0000FAA40000}"/>
    <cellStyle name="Notas 6 4 5 2 3 3 3" xfId="42085" xr:uid="{00000000-0005-0000-0000-0000FBA40000}"/>
    <cellStyle name="Notas 6 4 5 2 3 3 4" xfId="42086" xr:uid="{00000000-0005-0000-0000-0000FCA40000}"/>
    <cellStyle name="Notas 6 4 5 2 3 4" xfId="42087" xr:uid="{00000000-0005-0000-0000-0000FDA40000}"/>
    <cellStyle name="Notas 6 4 5 2 3 5" xfId="42088" xr:uid="{00000000-0005-0000-0000-0000FEA40000}"/>
    <cellStyle name="Notas 6 4 5 2 3 6" xfId="42089" xr:uid="{00000000-0005-0000-0000-0000FFA40000}"/>
    <cellStyle name="Notas 6 4 5 2 4" xfId="42090" xr:uid="{00000000-0005-0000-0000-000000A50000}"/>
    <cellStyle name="Notas 6 4 5 2 5" xfId="42091" xr:uid="{00000000-0005-0000-0000-000001A50000}"/>
    <cellStyle name="Notas 6 4 5 2 6" xfId="42092" xr:uid="{00000000-0005-0000-0000-000002A50000}"/>
    <cellStyle name="Notas 6 4 5 3" xfId="42093" xr:uid="{00000000-0005-0000-0000-000003A50000}"/>
    <cellStyle name="Notas 6 4 5 4" xfId="42094" xr:uid="{00000000-0005-0000-0000-000004A50000}"/>
    <cellStyle name="Notas 6 4 6" xfId="42095" xr:uid="{00000000-0005-0000-0000-000005A50000}"/>
    <cellStyle name="Notas 6 4 6 2" xfId="42096" xr:uid="{00000000-0005-0000-0000-000006A50000}"/>
    <cellStyle name="Notas 6 4 6 2 2" xfId="42097" xr:uid="{00000000-0005-0000-0000-000007A50000}"/>
    <cellStyle name="Notas 6 4 6 2 2 2" xfId="42098" xr:uid="{00000000-0005-0000-0000-000008A50000}"/>
    <cellStyle name="Notas 6 4 6 2 2 3" xfId="42099" xr:uid="{00000000-0005-0000-0000-000009A50000}"/>
    <cellStyle name="Notas 6 4 6 2 2 4" xfId="42100" xr:uid="{00000000-0005-0000-0000-00000AA50000}"/>
    <cellStyle name="Notas 6 4 6 2 3" xfId="42101" xr:uid="{00000000-0005-0000-0000-00000BA50000}"/>
    <cellStyle name="Notas 6 4 6 2 3 2" xfId="42102" xr:uid="{00000000-0005-0000-0000-00000CA50000}"/>
    <cellStyle name="Notas 6 4 6 2 3 3" xfId="42103" xr:uid="{00000000-0005-0000-0000-00000DA50000}"/>
    <cellStyle name="Notas 6 4 6 2 3 4" xfId="42104" xr:uid="{00000000-0005-0000-0000-00000EA50000}"/>
    <cellStyle name="Notas 6 4 6 2 4" xfId="42105" xr:uid="{00000000-0005-0000-0000-00000FA50000}"/>
    <cellStyle name="Notas 6 4 6 2 5" xfId="42106" xr:uid="{00000000-0005-0000-0000-000010A50000}"/>
    <cellStyle name="Notas 6 4 6 2 6" xfId="42107" xr:uid="{00000000-0005-0000-0000-000011A50000}"/>
    <cellStyle name="Notas 6 4 6 3" xfId="42108" xr:uid="{00000000-0005-0000-0000-000012A50000}"/>
    <cellStyle name="Notas 6 4 6 3 2" xfId="42109" xr:uid="{00000000-0005-0000-0000-000013A50000}"/>
    <cellStyle name="Notas 6 4 6 3 2 2" xfId="42110" xr:uid="{00000000-0005-0000-0000-000014A50000}"/>
    <cellStyle name="Notas 6 4 6 3 2 3" xfId="42111" xr:uid="{00000000-0005-0000-0000-000015A50000}"/>
    <cellStyle name="Notas 6 4 6 3 2 4" xfId="42112" xr:uid="{00000000-0005-0000-0000-000016A50000}"/>
    <cellStyle name="Notas 6 4 6 3 3" xfId="42113" xr:uid="{00000000-0005-0000-0000-000017A50000}"/>
    <cellStyle name="Notas 6 4 6 3 3 2" xfId="42114" xr:uid="{00000000-0005-0000-0000-000018A50000}"/>
    <cellStyle name="Notas 6 4 6 3 3 3" xfId="42115" xr:uid="{00000000-0005-0000-0000-000019A50000}"/>
    <cellStyle name="Notas 6 4 6 3 3 4" xfId="42116" xr:uid="{00000000-0005-0000-0000-00001AA50000}"/>
    <cellStyle name="Notas 6 4 6 3 4" xfId="42117" xr:uid="{00000000-0005-0000-0000-00001BA50000}"/>
    <cellStyle name="Notas 6 4 6 3 5" xfId="42118" xr:uid="{00000000-0005-0000-0000-00001CA50000}"/>
    <cellStyle name="Notas 6 4 6 3 6" xfId="42119" xr:uid="{00000000-0005-0000-0000-00001DA50000}"/>
    <cellStyle name="Notas 6 4 6 4" xfId="42120" xr:uid="{00000000-0005-0000-0000-00001EA50000}"/>
    <cellStyle name="Notas 6 4 6 4 2" xfId="42121" xr:uid="{00000000-0005-0000-0000-00001FA50000}"/>
    <cellStyle name="Notas 6 4 6 4 3" xfId="42122" xr:uid="{00000000-0005-0000-0000-000020A50000}"/>
    <cellStyle name="Notas 6 4 6 4 4" xfId="42123" xr:uid="{00000000-0005-0000-0000-000021A50000}"/>
    <cellStyle name="Notas 6 4 6 5" xfId="42124" xr:uid="{00000000-0005-0000-0000-000022A50000}"/>
    <cellStyle name="Notas 6 4 6 6" xfId="42125" xr:uid="{00000000-0005-0000-0000-000023A50000}"/>
    <cellStyle name="Notas 6 4 7" xfId="42126" xr:uid="{00000000-0005-0000-0000-000024A50000}"/>
    <cellStyle name="Notas 6 4 7 2" xfId="42127" xr:uid="{00000000-0005-0000-0000-000025A50000}"/>
    <cellStyle name="Notas 6 4 7 2 2" xfId="42128" xr:uid="{00000000-0005-0000-0000-000026A50000}"/>
    <cellStyle name="Notas 6 4 7 2 2 2" xfId="42129" xr:uid="{00000000-0005-0000-0000-000027A50000}"/>
    <cellStyle name="Notas 6 4 7 2 2 3" xfId="42130" xr:uid="{00000000-0005-0000-0000-000028A50000}"/>
    <cellStyle name="Notas 6 4 7 2 2 4" xfId="42131" xr:uid="{00000000-0005-0000-0000-000029A50000}"/>
    <cellStyle name="Notas 6 4 7 2 3" xfId="42132" xr:uid="{00000000-0005-0000-0000-00002AA50000}"/>
    <cellStyle name="Notas 6 4 7 2 3 2" xfId="42133" xr:uid="{00000000-0005-0000-0000-00002BA50000}"/>
    <cellStyle name="Notas 6 4 7 2 3 3" xfId="42134" xr:uid="{00000000-0005-0000-0000-00002CA50000}"/>
    <cellStyle name="Notas 6 4 7 2 3 4" xfId="42135" xr:uid="{00000000-0005-0000-0000-00002DA50000}"/>
    <cellStyle name="Notas 6 4 7 2 4" xfId="42136" xr:uid="{00000000-0005-0000-0000-00002EA50000}"/>
    <cellStyle name="Notas 6 4 7 2 5" xfId="42137" xr:uid="{00000000-0005-0000-0000-00002FA50000}"/>
    <cellStyle name="Notas 6 4 7 2 6" xfId="42138" xr:uid="{00000000-0005-0000-0000-000030A50000}"/>
    <cellStyle name="Notas 6 4 7 3" xfId="42139" xr:uid="{00000000-0005-0000-0000-000031A50000}"/>
    <cellStyle name="Notas 6 4 7 3 2" xfId="42140" xr:uid="{00000000-0005-0000-0000-000032A50000}"/>
    <cellStyle name="Notas 6 4 7 3 2 2" xfId="42141" xr:uid="{00000000-0005-0000-0000-000033A50000}"/>
    <cellStyle name="Notas 6 4 7 3 2 3" xfId="42142" xr:uid="{00000000-0005-0000-0000-000034A50000}"/>
    <cellStyle name="Notas 6 4 7 3 2 4" xfId="42143" xr:uid="{00000000-0005-0000-0000-000035A50000}"/>
    <cellStyle name="Notas 6 4 7 3 3" xfId="42144" xr:uid="{00000000-0005-0000-0000-000036A50000}"/>
    <cellStyle name="Notas 6 4 7 3 3 2" xfId="42145" xr:uid="{00000000-0005-0000-0000-000037A50000}"/>
    <cellStyle name="Notas 6 4 7 3 3 3" xfId="42146" xr:uid="{00000000-0005-0000-0000-000038A50000}"/>
    <cellStyle name="Notas 6 4 7 3 3 4" xfId="42147" xr:uid="{00000000-0005-0000-0000-000039A50000}"/>
    <cellStyle name="Notas 6 4 7 3 4" xfId="42148" xr:uid="{00000000-0005-0000-0000-00003AA50000}"/>
    <cellStyle name="Notas 6 4 7 3 5" xfId="42149" xr:uid="{00000000-0005-0000-0000-00003BA50000}"/>
    <cellStyle name="Notas 6 4 7 3 6" xfId="42150" xr:uid="{00000000-0005-0000-0000-00003CA50000}"/>
    <cellStyle name="Notas 6 4 7 4" xfId="42151" xr:uid="{00000000-0005-0000-0000-00003DA50000}"/>
    <cellStyle name="Notas 6 4 7 4 2" xfId="42152" xr:uid="{00000000-0005-0000-0000-00003EA50000}"/>
    <cellStyle name="Notas 6 4 7 4 3" xfId="42153" xr:uid="{00000000-0005-0000-0000-00003FA50000}"/>
    <cellStyle name="Notas 6 4 7 4 4" xfId="42154" xr:uid="{00000000-0005-0000-0000-000040A50000}"/>
    <cellStyle name="Notas 6 4 7 5" xfId="42155" xr:uid="{00000000-0005-0000-0000-000041A50000}"/>
    <cellStyle name="Notas 6 4 7 6" xfId="42156" xr:uid="{00000000-0005-0000-0000-000042A50000}"/>
    <cellStyle name="Notas 6 4 8" xfId="42157" xr:uid="{00000000-0005-0000-0000-000043A50000}"/>
    <cellStyle name="Notas 6 4 8 2" xfId="42158" xr:uid="{00000000-0005-0000-0000-000044A50000}"/>
    <cellStyle name="Notas 6 4 8 2 2" xfId="42159" xr:uid="{00000000-0005-0000-0000-000045A50000}"/>
    <cellStyle name="Notas 6 4 8 2 2 2" xfId="42160" xr:uid="{00000000-0005-0000-0000-000046A50000}"/>
    <cellStyle name="Notas 6 4 8 2 2 3" xfId="42161" xr:uid="{00000000-0005-0000-0000-000047A50000}"/>
    <cellStyle name="Notas 6 4 8 2 2 4" xfId="42162" xr:uid="{00000000-0005-0000-0000-000048A50000}"/>
    <cellStyle name="Notas 6 4 8 2 3" xfId="42163" xr:uid="{00000000-0005-0000-0000-000049A50000}"/>
    <cellStyle name="Notas 6 4 8 2 3 2" xfId="42164" xr:uid="{00000000-0005-0000-0000-00004AA50000}"/>
    <cellStyle name="Notas 6 4 8 2 3 3" xfId="42165" xr:uid="{00000000-0005-0000-0000-00004BA50000}"/>
    <cellStyle name="Notas 6 4 8 2 3 4" xfId="42166" xr:uid="{00000000-0005-0000-0000-00004CA50000}"/>
    <cellStyle name="Notas 6 4 8 2 4" xfId="42167" xr:uid="{00000000-0005-0000-0000-00004DA50000}"/>
    <cellStyle name="Notas 6 4 8 2 5" xfId="42168" xr:uid="{00000000-0005-0000-0000-00004EA50000}"/>
    <cellStyle name="Notas 6 4 8 2 6" xfId="42169" xr:uid="{00000000-0005-0000-0000-00004FA50000}"/>
    <cellStyle name="Notas 6 4 8 3" xfId="42170" xr:uid="{00000000-0005-0000-0000-000050A50000}"/>
    <cellStyle name="Notas 6 4 8 3 2" xfId="42171" xr:uid="{00000000-0005-0000-0000-000051A50000}"/>
    <cellStyle name="Notas 6 4 8 3 2 2" xfId="42172" xr:uid="{00000000-0005-0000-0000-000052A50000}"/>
    <cellStyle name="Notas 6 4 8 3 2 3" xfId="42173" xr:uid="{00000000-0005-0000-0000-000053A50000}"/>
    <cellStyle name="Notas 6 4 8 3 2 4" xfId="42174" xr:uid="{00000000-0005-0000-0000-000054A50000}"/>
    <cellStyle name="Notas 6 4 8 3 3" xfId="42175" xr:uid="{00000000-0005-0000-0000-000055A50000}"/>
    <cellStyle name="Notas 6 4 8 3 3 2" xfId="42176" xr:uid="{00000000-0005-0000-0000-000056A50000}"/>
    <cellStyle name="Notas 6 4 8 3 3 3" xfId="42177" xr:uid="{00000000-0005-0000-0000-000057A50000}"/>
    <cellStyle name="Notas 6 4 8 3 3 4" xfId="42178" xr:uid="{00000000-0005-0000-0000-000058A50000}"/>
    <cellStyle name="Notas 6 4 8 3 4" xfId="42179" xr:uid="{00000000-0005-0000-0000-000059A50000}"/>
    <cellStyle name="Notas 6 4 8 3 5" xfId="42180" xr:uid="{00000000-0005-0000-0000-00005AA50000}"/>
    <cellStyle name="Notas 6 4 8 3 6" xfId="42181" xr:uid="{00000000-0005-0000-0000-00005BA50000}"/>
    <cellStyle name="Notas 6 4 8 4" xfId="42182" xr:uid="{00000000-0005-0000-0000-00005CA50000}"/>
    <cellStyle name="Notas 6 4 8 4 2" xfId="42183" xr:uid="{00000000-0005-0000-0000-00005DA50000}"/>
    <cellStyle name="Notas 6 4 8 4 3" xfId="42184" xr:uid="{00000000-0005-0000-0000-00005EA50000}"/>
    <cellStyle name="Notas 6 4 8 4 4" xfId="42185" xr:uid="{00000000-0005-0000-0000-00005FA50000}"/>
    <cellStyle name="Notas 6 4 8 5" xfId="42186" xr:uid="{00000000-0005-0000-0000-000060A50000}"/>
    <cellStyle name="Notas 6 4 8 6" xfId="42187" xr:uid="{00000000-0005-0000-0000-000061A50000}"/>
    <cellStyle name="Notas 6 4 9" xfId="42188" xr:uid="{00000000-0005-0000-0000-000062A50000}"/>
    <cellStyle name="Notas 6 4 9 2" xfId="42189" xr:uid="{00000000-0005-0000-0000-000063A50000}"/>
    <cellStyle name="Notas 6 4 9 2 2" xfId="42190" xr:uid="{00000000-0005-0000-0000-000064A50000}"/>
    <cellStyle name="Notas 6 4 9 2 2 2" xfId="42191" xr:uid="{00000000-0005-0000-0000-000065A50000}"/>
    <cellStyle name="Notas 6 4 9 2 2 3" xfId="42192" xr:uid="{00000000-0005-0000-0000-000066A50000}"/>
    <cellStyle name="Notas 6 4 9 2 2 4" xfId="42193" xr:uid="{00000000-0005-0000-0000-000067A50000}"/>
    <cellStyle name="Notas 6 4 9 2 3" xfId="42194" xr:uid="{00000000-0005-0000-0000-000068A50000}"/>
    <cellStyle name="Notas 6 4 9 2 3 2" xfId="42195" xr:uid="{00000000-0005-0000-0000-000069A50000}"/>
    <cellStyle name="Notas 6 4 9 2 3 3" xfId="42196" xr:uid="{00000000-0005-0000-0000-00006AA50000}"/>
    <cellStyle name="Notas 6 4 9 2 3 4" xfId="42197" xr:uid="{00000000-0005-0000-0000-00006BA50000}"/>
    <cellStyle name="Notas 6 4 9 2 4" xfId="42198" xr:uid="{00000000-0005-0000-0000-00006CA50000}"/>
    <cellStyle name="Notas 6 4 9 2 5" xfId="42199" xr:uid="{00000000-0005-0000-0000-00006DA50000}"/>
    <cellStyle name="Notas 6 4 9 2 6" xfId="42200" xr:uid="{00000000-0005-0000-0000-00006EA50000}"/>
    <cellStyle name="Notas 6 4 9 3" xfId="42201" xr:uid="{00000000-0005-0000-0000-00006FA50000}"/>
    <cellStyle name="Notas 6 4 9 3 2" xfId="42202" xr:uid="{00000000-0005-0000-0000-000070A50000}"/>
    <cellStyle name="Notas 6 4 9 3 2 2" xfId="42203" xr:uid="{00000000-0005-0000-0000-000071A50000}"/>
    <cellStyle name="Notas 6 4 9 3 2 3" xfId="42204" xr:uid="{00000000-0005-0000-0000-000072A50000}"/>
    <cellStyle name="Notas 6 4 9 3 2 4" xfId="42205" xr:uid="{00000000-0005-0000-0000-000073A50000}"/>
    <cellStyle name="Notas 6 4 9 3 3" xfId="42206" xr:uid="{00000000-0005-0000-0000-000074A50000}"/>
    <cellStyle name="Notas 6 4 9 3 3 2" xfId="42207" xr:uid="{00000000-0005-0000-0000-000075A50000}"/>
    <cellStyle name="Notas 6 4 9 3 3 3" xfId="42208" xr:uid="{00000000-0005-0000-0000-000076A50000}"/>
    <cellStyle name="Notas 6 4 9 3 3 4" xfId="42209" xr:uid="{00000000-0005-0000-0000-000077A50000}"/>
    <cellStyle name="Notas 6 4 9 3 4" xfId="42210" xr:uid="{00000000-0005-0000-0000-000078A50000}"/>
    <cellStyle name="Notas 6 4 9 3 5" xfId="42211" xr:uid="{00000000-0005-0000-0000-000079A50000}"/>
    <cellStyle name="Notas 6 4 9 3 6" xfId="42212" xr:uid="{00000000-0005-0000-0000-00007AA50000}"/>
    <cellStyle name="Notas 6 4 9 4" xfId="42213" xr:uid="{00000000-0005-0000-0000-00007BA50000}"/>
    <cellStyle name="Notas 6 4 9 4 2" xfId="42214" xr:uid="{00000000-0005-0000-0000-00007CA50000}"/>
    <cellStyle name="Notas 6 4 9 4 3" xfId="42215" xr:uid="{00000000-0005-0000-0000-00007DA50000}"/>
    <cellStyle name="Notas 6 4 9 4 4" xfId="42216" xr:uid="{00000000-0005-0000-0000-00007EA50000}"/>
    <cellStyle name="Notas 6 4 9 5" xfId="42217" xr:uid="{00000000-0005-0000-0000-00007FA50000}"/>
    <cellStyle name="Notas 6 4 9 6" xfId="42218" xr:uid="{00000000-0005-0000-0000-000080A50000}"/>
    <cellStyle name="Notas 6 5" xfId="42219" xr:uid="{00000000-0005-0000-0000-000081A50000}"/>
    <cellStyle name="Notas 6 5 2" xfId="42220" xr:uid="{00000000-0005-0000-0000-000082A50000}"/>
    <cellStyle name="Notas 6 5 2 2" xfId="42221" xr:uid="{00000000-0005-0000-0000-000083A50000}"/>
    <cellStyle name="Notas 6 5 2 2 2" xfId="42222" xr:uid="{00000000-0005-0000-0000-000084A50000}"/>
    <cellStyle name="Notas 6 5 2 2 2 2" xfId="42223" xr:uid="{00000000-0005-0000-0000-000085A50000}"/>
    <cellStyle name="Notas 6 5 2 2 2 3" xfId="42224" xr:uid="{00000000-0005-0000-0000-000086A50000}"/>
    <cellStyle name="Notas 6 5 2 2 2 4" xfId="42225" xr:uid="{00000000-0005-0000-0000-000087A50000}"/>
    <cellStyle name="Notas 6 5 2 2 3" xfId="42226" xr:uid="{00000000-0005-0000-0000-000088A50000}"/>
    <cellStyle name="Notas 6 5 2 2 3 2" xfId="42227" xr:uid="{00000000-0005-0000-0000-000089A50000}"/>
    <cellStyle name="Notas 6 5 2 2 3 3" xfId="42228" xr:uid="{00000000-0005-0000-0000-00008AA50000}"/>
    <cellStyle name="Notas 6 5 2 2 3 4" xfId="42229" xr:uid="{00000000-0005-0000-0000-00008BA50000}"/>
    <cellStyle name="Notas 6 5 2 2 4" xfId="42230" xr:uid="{00000000-0005-0000-0000-00008CA50000}"/>
    <cellStyle name="Notas 6 5 2 2 5" xfId="42231" xr:uid="{00000000-0005-0000-0000-00008DA50000}"/>
    <cellStyle name="Notas 6 5 2 2 6" xfId="42232" xr:uid="{00000000-0005-0000-0000-00008EA50000}"/>
    <cellStyle name="Notas 6 5 2 3" xfId="42233" xr:uid="{00000000-0005-0000-0000-00008FA50000}"/>
    <cellStyle name="Notas 6 5 2 3 2" xfId="42234" xr:uid="{00000000-0005-0000-0000-000090A50000}"/>
    <cellStyle name="Notas 6 5 2 3 2 2" xfId="42235" xr:uid="{00000000-0005-0000-0000-000091A50000}"/>
    <cellStyle name="Notas 6 5 2 3 2 3" xfId="42236" xr:uid="{00000000-0005-0000-0000-000092A50000}"/>
    <cellStyle name="Notas 6 5 2 3 2 4" xfId="42237" xr:uid="{00000000-0005-0000-0000-000093A50000}"/>
    <cellStyle name="Notas 6 5 2 3 3" xfId="42238" xr:uid="{00000000-0005-0000-0000-000094A50000}"/>
    <cellStyle name="Notas 6 5 2 3 3 2" xfId="42239" xr:uid="{00000000-0005-0000-0000-000095A50000}"/>
    <cellStyle name="Notas 6 5 2 3 3 3" xfId="42240" xr:uid="{00000000-0005-0000-0000-000096A50000}"/>
    <cellStyle name="Notas 6 5 2 3 3 4" xfId="42241" xr:uid="{00000000-0005-0000-0000-000097A50000}"/>
    <cellStyle name="Notas 6 5 2 3 4" xfId="42242" xr:uid="{00000000-0005-0000-0000-000098A50000}"/>
    <cellStyle name="Notas 6 5 2 3 5" xfId="42243" xr:uid="{00000000-0005-0000-0000-000099A50000}"/>
    <cellStyle name="Notas 6 5 2 3 6" xfId="42244" xr:uid="{00000000-0005-0000-0000-00009AA50000}"/>
    <cellStyle name="Notas 6 5 2 4" xfId="42245" xr:uid="{00000000-0005-0000-0000-00009BA50000}"/>
    <cellStyle name="Notas 6 5 2 5" xfId="42246" xr:uid="{00000000-0005-0000-0000-00009CA50000}"/>
    <cellStyle name="Notas 6 5 2 6" xfId="42247" xr:uid="{00000000-0005-0000-0000-00009DA50000}"/>
    <cellStyle name="Notas 6 5 3" xfId="42248" xr:uid="{00000000-0005-0000-0000-00009EA50000}"/>
    <cellStyle name="Notas 6 5 4" xfId="42249" xr:uid="{00000000-0005-0000-0000-00009FA50000}"/>
    <cellStyle name="Notas 6 6" xfId="42250" xr:uid="{00000000-0005-0000-0000-0000A0A50000}"/>
    <cellStyle name="Notas 6 6 2" xfId="42251" xr:uid="{00000000-0005-0000-0000-0000A1A50000}"/>
    <cellStyle name="Notas 6 6 2 2" xfId="42252" xr:uid="{00000000-0005-0000-0000-0000A2A50000}"/>
    <cellStyle name="Notas 6 6 2 2 2" xfId="42253" xr:uid="{00000000-0005-0000-0000-0000A3A50000}"/>
    <cellStyle name="Notas 6 6 2 2 2 2" xfId="42254" xr:uid="{00000000-0005-0000-0000-0000A4A50000}"/>
    <cellStyle name="Notas 6 6 2 2 2 3" xfId="42255" xr:uid="{00000000-0005-0000-0000-0000A5A50000}"/>
    <cellStyle name="Notas 6 6 2 2 2 4" xfId="42256" xr:uid="{00000000-0005-0000-0000-0000A6A50000}"/>
    <cellStyle name="Notas 6 6 2 2 3" xfId="42257" xr:uid="{00000000-0005-0000-0000-0000A7A50000}"/>
    <cellStyle name="Notas 6 6 2 2 3 2" xfId="42258" xr:uid="{00000000-0005-0000-0000-0000A8A50000}"/>
    <cellStyle name="Notas 6 6 2 2 3 3" xfId="42259" xr:uid="{00000000-0005-0000-0000-0000A9A50000}"/>
    <cellStyle name="Notas 6 6 2 2 3 4" xfId="42260" xr:uid="{00000000-0005-0000-0000-0000AAA50000}"/>
    <cellStyle name="Notas 6 6 2 2 4" xfId="42261" xr:uid="{00000000-0005-0000-0000-0000ABA50000}"/>
    <cellStyle name="Notas 6 6 2 2 5" xfId="42262" xr:uid="{00000000-0005-0000-0000-0000ACA50000}"/>
    <cellStyle name="Notas 6 6 2 2 6" xfId="42263" xr:uid="{00000000-0005-0000-0000-0000ADA50000}"/>
    <cellStyle name="Notas 6 6 2 3" xfId="42264" xr:uid="{00000000-0005-0000-0000-0000AEA50000}"/>
    <cellStyle name="Notas 6 6 2 3 2" xfId="42265" xr:uid="{00000000-0005-0000-0000-0000AFA50000}"/>
    <cellStyle name="Notas 6 6 2 3 2 2" xfId="42266" xr:uid="{00000000-0005-0000-0000-0000B0A50000}"/>
    <cellStyle name="Notas 6 6 2 3 2 3" xfId="42267" xr:uid="{00000000-0005-0000-0000-0000B1A50000}"/>
    <cellStyle name="Notas 6 6 2 3 2 4" xfId="42268" xr:uid="{00000000-0005-0000-0000-0000B2A50000}"/>
    <cellStyle name="Notas 6 6 2 3 3" xfId="42269" xr:uid="{00000000-0005-0000-0000-0000B3A50000}"/>
    <cellStyle name="Notas 6 6 2 3 3 2" xfId="42270" xr:uid="{00000000-0005-0000-0000-0000B4A50000}"/>
    <cellStyle name="Notas 6 6 2 3 3 3" xfId="42271" xr:uid="{00000000-0005-0000-0000-0000B5A50000}"/>
    <cellStyle name="Notas 6 6 2 3 3 4" xfId="42272" xr:uid="{00000000-0005-0000-0000-0000B6A50000}"/>
    <cellStyle name="Notas 6 6 2 3 4" xfId="42273" xr:uid="{00000000-0005-0000-0000-0000B7A50000}"/>
    <cellStyle name="Notas 6 6 2 3 5" xfId="42274" xr:uid="{00000000-0005-0000-0000-0000B8A50000}"/>
    <cellStyle name="Notas 6 6 2 3 6" xfId="42275" xr:uid="{00000000-0005-0000-0000-0000B9A50000}"/>
    <cellStyle name="Notas 6 6 2 4" xfId="42276" xr:uid="{00000000-0005-0000-0000-0000BAA50000}"/>
    <cellStyle name="Notas 6 6 2 5" xfId="42277" xr:uid="{00000000-0005-0000-0000-0000BBA50000}"/>
    <cellStyle name="Notas 6 6 2 6" xfId="42278" xr:uid="{00000000-0005-0000-0000-0000BCA50000}"/>
    <cellStyle name="Notas 6 6 3" xfId="42279" xr:uid="{00000000-0005-0000-0000-0000BDA50000}"/>
    <cellStyle name="Notas 6 6 4" xfId="42280" xr:uid="{00000000-0005-0000-0000-0000BEA50000}"/>
    <cellStyle name="Notas 6 7" xfId="42281" xr:uid="{00000000-0005-0000-0000-0000BFA50000}"/>
    <cellStyle name="Notas 6 7 2" xfId="42282" xr:uid="{00000000-0005-0000-0000-0000C0A50000}"/>
    <cellStyle name="Notas 6 7 2 2" xfId="42283" xr:uid="{00000000-0005-0000-0000-0000C1A50000}"/>
    <cellStyle name="Notas 6 7 2 2 2" xfId="42284" xr:uid="{00000000-0005-0000-0000-0000C2A50000}"/>
    <cellStyle name="Notas 6 7 2 2 2 2" xfId="42285" xr:uid="{00000000-0005-0000-0000-0000C3A50000}"/>
    <cellStyle name="Notas 6 7 2 2 2 3" xfId="42286" xr:uid="{00000000-0005-0000-0000-0000C4A50000}"/>
    <cellStyle name="Notas 6 7 2 2 2 4" xfId="42287" xr:uid="{00000000-0005-0000-0000-0000C5A50000}"/>
    <cellStyle name="Notas 6 7 2 2 3" xfId="42288" xr:uid="{00000000-0005-0000-0000-0000C6A50000}"/>
    <cellStyle name="Notas 6 7 2 2 3 2" xfId="42289" xr:uid="{00000000-0005-0000-0000-0000C7A50000}"/>
    <cellStyle name="Notas 6 7 2 2 3 3" xfId="42290" xr:uid="{00000000-0005-0000-0000-0000C8A50000}"/>
    <cellStyle name="Notas 6 7 2 2 3 4" xfId="42291" xr:uid="{00000000-0005-0000-0000-0000C9A50000}"/>
    <cellStyle name="Notas 6 7 2 2 4" xfId="42292" xr:uid="{00000000-0005-0000-0000-0000CAA50000}"/>
    <cellStyle name="Notas 6 7 2 2 5" xfId="42293" xr:uid="{00000000-0005-0000-0000-0000CBA50000}"/>
    <cellStyle name="Notas 6 7 2 2 6" xfId="42294" xr:uid="{00000000-0005-0000-0000-0000CCA50000}"/>
    <cellStyle name="Notas 6 7 2 3" xfId="42295" xr:uid="{00000000-0005-0000-0000-0000CDA50000}"/>
    <cellStyle name="Notas 6 7 2 3 2" xfId="42296" xr:uid="{00000000-0005-0000-0000-0000CEA50000}"/>
    <cellStyle name="Notas 6 7 2 3 2 2" xfId="42297" xr:uid="{00000000-0005-0000-0000-0000CFA50000}"/>
    <cellStyle name="Notas 6 7 2 3 2 3" xfId="42298" xr:uid="{00000000-0005-0000-0000-0000D0A50000}"/>
    <cellStyle name="Notas 6 7 2 3 2 4" xfId="42299" xr:uid="{00000000-0005-0000-0000-0000D1A50000}"/>
    <cellStyle name="Notas 6 7 2 3 3" xfId="42300" xr:uid="{00000000-0005-0000-0000-0000D2A50000}"/>
    <cellStyle name="Notas 6 7 2 3 3 2" xfId="42301" xr:uid="{00000000-0005-0000-0000-0000D3A50000}"/>
    <cellStyle name="Notas 6 7 2 3 3 3" xfId="42302" xr:uid="{00000000-0005-0000-0000-0000D4A50000}"/>
    <cellStyle name="Notas 6 7 2 3 3 4" xfId="42303" xr:uid="{00000000-0005-0000-0000-0000D5A50000}"/>
    <cellStyle name="Notas 6 7 2 3 4" xfId="42304" xr:uid="{00000000-0005-0000-0000-0000D6A50000}"/>
    <cellStyle name="Notas 6 7 2 3 5" xfId="42305" xr:uid="{00000000-0005-0000-0000-0000D7A50000}"/>
    <cellStyle name="Notas 6 7 2 3 6" xfId="42306" xr:uid="{00000000-0005-0000-0000-0000D8A50000}"/>
    <cellStyle name="Notas 6 7 2 4" xfId="42307" xr:uid="{00000000-0005-0000-0000-0000D9A50000}"/>
    <cellStyle name="Notas 6 7 2 5" xfId="42308" xr:uid="{00000000-0005-0000-0000-0000DAA50000}"/>
    <cellStyle name="Notas 6 7 2 6" xfId="42309" xr:uid="{00000000-0005-0000-0000-0000DBA50000}"/>
    <cellStyle name="Notas 6 7 3" xfId="42310" xr:uid="{00000000-0005-0000-0000-0000DCA50000}"/>
    <cellStyle name="Notas 6 7 4" xfId="42311" xr:uid="{00000000-0005-0000-0000-0000DDA50000}"/>
    <cellStyle name="Notas 6 8" xfId="42312" xr:uid="{00000000-0005-0000-0000-0000DEA50000}"/>
    <cellStyle name="Notas 6 8 2" xfId="42313" xr:uid="{00000000-0005-0000-0000-0000DFA50000}"/>
    <cellStyle name="Notas 6 8 2 2" xfId="42314" xr:uid="{00000000-0005-0000-0000-0000E0A50000}"/>
    <cellStyle name="Notas 6 8 2 2 2" xfId="42315" xr:uid="{00000000-0005-0000-0000-0000E1A50000}"/>
    <cellStyle name="Notas 6 8 2 2 2 2" xfId="42316" xr:uid="{00000000-0005-0000-0000-0000E2A50000}"/>
    <cellStyle name="Notas 6 8 2 2 2 3" xfId="42317" xr:uid="{00000000-0005-0000-0000-0000E3A50000}"/>
    <cellStyle name="Notas 6 8 2 2 2 4" xfId="42318" xr:uid="{00000000-0005-0000-0000-0000E4A50000}"/>
    <cellStyle name="Notas 6 8 2 2 3" xfId="42319" xr:uid="{00000000-0005-0000-0000-0000E5A50000}"/>
    <cellStyle name="Notas 6 8 2 2 3 2" xfId="42320" xr:uid="{00000000-0005-0000-0000-0000E6A50000}"/>
    <cellStyle name="Notas 6 8 2 2 3 3" xfId="42321" xr:uid="{00000000-0005-0000-0000-0000E7A50000}"/>
    <cellStyle name="Notas 6 8 2 2 3 4" xfId="42322" xr:uid="{00000000-0005-0000-0000-0000E8A50000}"/>
    <cellStyle name="Notas 6 8 2 2 4" xfId="42323" xr:uid="{00000000-0005-0000-0000-0000E9A50000}"/>
    <cellStyle name="Notas 6 8 2 2 5" xfId="42324" xr:uid="{00000000-0005-0000-0000-0000EAA50000}"/>
    <cellStyle name="Notas 6 8 2 2 6" xfId="42325" xr:uid="{00000000-0005-0000-0000-0000EBA50000}"/>
    <cellStyle name="Notas 6 8 2 3" xfId="42326" xr:uid="{00000000-0005-0000-0000-0000ECA50000}"/>
    <cellStyle name="Notas 6 8 2 3 2" xfId="42327" xr:uid="{00000000-0005-0000-0000-0000EDA50000}"/>
    <cellStyle name="Notas 6 8 2 3 2 2" xfId="42328" xr:uid="{00000000-0005-0000-0000-0000EEA50000}"/>
    <cellStyle name="Notas 6 8 2 3 2 3" xfId="42329" xr:uid="{00000000-0005-0000-0000-0000EFA50000}"/>
    <cellStyle name="Notas 6 8 2 3 2 4" xfId="42330" xr:uid="{00000000-0005-0000-0000-0000F0A50000}"/>
    <cellStyle name="Notas 6 8 2 3 3" xfId="42331" xr:uid="{00000000-0005-0000-0000-0000F1A50000}"/>
    <cellStyle name="Notas 6 8 2 3 3 2" xfId="42332" xr:uid="{00000000-0005-0000-0000-0000F2A50000}"/>
    <cellStyle name="Notas 6 8 2 3 3 3" xfId="42333" xr:uid="{00000000-0005-0000-0000-0000F3A50000}"/>
    <cellStyle name="Notas 6 8 2 3 3 4" xfId="42334" xr:uid="{00000000-0005-0000-0000-0000F4A50000}"/>
    <cellStyle name="Notas 6 8 2 3 4" xfId="42335" xr:uid="{00000000-0005-0000-0000-0000F5A50000}"/>
    <cellStyle name="Notas 6 8 2 3 5" xfId="42336" xr:uid="{00000000-0005-0000-0000-0000F6A50000}"/>
    <cellStyle name="Notas 6 8 2 3 6" xfId="42337" xr:uid="{00000000-0005-0000-0000-0000F7A50000}"/>
    <cellStyle name="Notas 6 8 2 4" xfId="42338" xr:uid="{00000000-0005-0000-0000-0000F8A50000}"/>
    <cellStyle name="Notas 6 8 2 5" xfId="42339" xr:uid="{00000000-0005-0000-0000-0000F9A50000}"/>
    <cellStyle name="Notas 6 8 2 6" xfId="42340" xr:uid="{00000000-0005-0000-0000-0000FAA50000}"/>
    <cellStyle name="Notas 6 8 3" xfId="42341" xr:uid="{00000000-0005-0000-0000-0000FBA50000}"/>
    <cellStyle name="Notas 6 8 4" xfId="42342" xr:uid="{00000000-0005-0000-0000-0000FCA50000}"/>
    <cellStyle name="Notas 6 9" xfId="42343" xr:uid="{00000000-0005-0000-0000-0000FDA50000}"/>
    <cellStyle name="Notas 6 9 2" xfId="42344" xr:uid="{00000000-0005-0000-0000-0000FEA50000}"/>
    <cellStyle name="Notas 6 9 2 2" xfId="42345" xr:uid="{00000000-0005-0000-0000-0000FFA50000}"/>
    <cellStyle name="Notas 6 9 2 2 2" xfId="42346" xr:uid="{00000000-0005-0000-0000-000000A60000}"/>
    <cellStyle name="Notas 6 9 2 2 3" xfId="42347" xr:uid="{00000000-0005-0000-0000-000001A60000}"/>
    <cellStyle name="Notas 6 9 2 2 4" xfId="42348" xr:uid="{00000000-0005-0000-0000-000002A60000}"/>
    <cellStyle name="Notas 6 9 2 3" xfId="42349" xr:uid="{00000000-0005-0000-0000-000003A60000}"/>
    <cellStyle name="Notas 6 9 2 3 2" xfId="42350" xr:uid="{00000000-0005-0000-0000-000004A60000}"/>
    <cellStyle name="Notas 6 9 2 3 3" xfId="42351" xr:uid="{00000000-0005-0000-0000-000005A60000}"/>
    <cellStyle name="Notas 6 9 2 3 4" xfId="42352" xr:uid="{00000000-0005-0000-0000-000006A60000}"/>
    <cellStyle name="Notas 6 9 2 4" xfId="42353" xr:uid="{00000000-0005-0000-0000-000007A60000}"/>
    <cellStyle name="Notas 6 9 2 5" xfId="42354" xr:uid="{00000000-0005-0000-0000-000008A60000}"/>
    <cellStyle name="Notas 6 9 2 6" xfId="42355" xr:uid="{00000000-0005-0000-0000-000009A60000}"/>
    <cellStyle name="Notas 6 9 3" xfId="42356" xr:uid="{00000000-0005-0000-0000-00000AA60000}"/>
    <cellStyle name="Notas 6 9 3 2" xfId="42357" xr:uid="{00000000-0005-0000-0000-00000BA60000}"/>
    <cellStyle name="Notas 6 9 3 2 2" xfId="42358" xr:uid="{00000000-0005-0000-0000-00000CA60000}"/>
    <cellStyle name="Notas 6 9 3 2 3" xfId="42359" xr:uid="{00000000-0005-0000-0000-00000DA60000}"/>
    <cellStyle name="Notas 6 9 3 2 4" xfId="42360" xr:uid="{00000000-0005-0000-0000-00000EA60000}"/>
    <cellStyle name="Notas 6 9 3 3" xfId="42361" xr:uid="{00000000-0005-0000-0000-00000FA60000}"/>
    <cellStyle name="Notas 6 9 3 3 2" xfId="42362" xr:uid="{00000000-0005-0000-0000-000010A60000}"/>
    <cellStyle name="Notas 6 9 3 3 3" xfId="42363" xr:uid="{00000000-0005-0000-0000-000011A60000}"/>
    <cellStyle name="Notas 6 9 3 3 4" xfId="42364" xr:uid="{00000000-0005-0000-0000-000012A60000}"/>
    <cellStyle name="Notas 6 9 3 4" xfId="42365" xr:uid="{00000000-0005-0000-0000-000013A60000}"/>
    <cellStyle name="Notas 6 9 3 5" xfId="42366" xr:uid="{00000000-0005-0000-0000-000014A60000}"/>
    <cellStyle name="Notas 6 9 3 6" xfId="42367" xr:uid="{00000000-0005-0000-0000-000015A60000}"/>
    <cellStyle name="Notas 6 9 4" xfId="42368" xr:uid="{00000000-0005-0000-0000-000016A60000}"/>
    <cellStyle name="Notas 6 9 4 2" xfId="42369" xr:uid="{00000000-0005-0000-0000-000017A60000}"/>
    <cellStyle name="Notas 6 9 4 3" xfId="42370" xr:uid="{00000000-0005-0000-0000-000018A60000}"/>
    <cellStyle name="Notas 6 9 4 4" xfId="42371" xr:uid="{00000000-0005-0000-0000-000019A60000}"/>
    <cellStyle name="Notas 6 9 5" xfId="42372" xr:uid="{00000000-0005-0000-0000-00001AA60000}"/>
    <cellStyle name="Notas 6 9 6" xfId="42373" xr:uid="{00000000-0005-0000-0000-00001BA60000}"/>
    <cellStyle name="Notas 7" xfId="42374" xr:uid="{00000000-0005-0000-0000-00001CA60000}"/>
    <cellStyle name="Notas 7 10" xfId="42375" xr:uid="{00000000-0005-0000-0000-00001DA60000}"/>
    <cellStyle name="Notas 7 10 2" xfId="42376" xr:uid="{00000000-0005-0000-0000-00001EA60000}"/>
    <cellStyle name="Notas 7 10 2 2" xfId="42377" xr:uid="{00000000-0005-0000-0000-00001FA60000}"/>
    <cellStyle name="Notas 7 10 2 2 2" xfId="42378" xr:uid="{00000000-0005-0000-0000-000020A60000}"/>
    <cellStyle name="Notas 7 10 2 2 3" xfId="42379" xr:uid="{00000000-0005-0000-0000-000021A60000}"/>
    <cellStyle name="Notas 7 10 2 2 4" xfId="42380" xr:uid="{00000000-0005-0000-0000-000022A60000}"/>
    <cellStyle name="Notas 7 10 2 3" xfId="42381" xr:uid="{00000000-0005-0000-0000-000023A60000}"/>
    <cellStyle name="Notas 7 10 2 3 2" xfId="42382" xr:uid="{00000000-0005-0000-0000-000024A60000}"/>
    <cellStyle name="Notas 7 10 2 3 3" xfId="42383" xr:uid="{00000000-0005-0000-0000-000025A60000}"/>
    <cellStyle name="Notas 7 10 2 3 4" xfId="42384" xr:uid="{00000000-0005-0000-0000-000026A60000}"/>
    <cellStyle name="Notas 7 10 2 4" xfId="42385" xr:uid="{00000000-0005-0000-0000-000027A60000}"/>
    <cellStyle name="Notas 7 10 2 5" xfId="42386" xr:uid="{00000000-0005-0000-0000-000028A60000}"/>
    <cellStyle name="Notas 7 10 2 6" xfId="42387" xr:uid="{00000000-0005-0000-0000-000029A60000}"/>
    <cellStyle name="Notas 7 10 3" xfId="42388" xr:uid="{00000000-0005-0000-0000-00002AA60000}"/>
    <cellStyle name="Notas 7 10 3 2" xfId="42389" xr:uid="{00000000-0005-0000-0000-00002BA60000}"/>
    <cellStyle name="Notas 7 10 3 2 2" xfId="42390" xr:uid="{00000000-0005-0000-0000-00002CA60000}"/>
    <cellStyle name="Notas 7 10 3 2 3" xfId="42391" xr:uid="{00000000-0005-0000-0000-00002DA60000}"/>
    <cellStyle name="Notas 7 10 3 2 4" xfId="42392" xr:uid="{00000000-0005-0000-0000-00002EA60000}"/>
    <cellStyle name="Notas 7 10 3 3" xfId="42393" xr:uid="{00000000-0005-0000-0000-00002FA60000}"/>
    <cellStyle name="Notas 7 10 3 3 2" xfId="42394" xr:uid="{00000000-0005-0000-0000-000030A60000}"/>
    <cellStyle name="Notas 7 10 3 3 3" xfId="42395" xr:uid="{00000000-0005-0000-0000-000031A60000}"/>
    <cellStyle name="Notas 7 10 3 3 4" xfId="42396" xr:uid="{00000000-0005-0000-0000-000032A60000}"/>
    <cellStyle name="Notas 7 10 3 4" xfId="42397" xr:uid="{00000000-0005-0000-0000-000033A60000}"/>
    <cellStyle name="Notas 7 10 3 5" xfId="42398" xr:uid="{00000000-0005-0000-0000-000034A60000}"/>
    <cellStyle name="Notas 7 10 3 6" xfId="42399" xr:uid="{00000000-0005-0000-0000-000035A60000}"/>
    <cellStyle name="Notas 7 10 4" xfId="42400" xr:uid="{00000000-0005-0000-0000-000036A60000}"/>
    <cellStyle name="Notas 7 10 4 2" xfId="42401" xr:uid="{00000000-0005-0000-0000-000037A60000}"/>
    <cellStyle name="Notas 7 10 4 3" xfId="42402" xr:uid="{00000000-0005-0000-0000-000038A60000}"/>
    <cellStyle name="Notas 7 10 4 4" xfId="42403" xr:uid="{00000000-0005-0000-0000-000039A60000}"/>
    <cellStyle name="Notas 7 10 5" xfId="42404" xr:uid="{00000000-0005-0000-0000-00003AA60000}"/>
    <cellStyle name="Notas 7 10 6" xfId="42405" xr:uid="{00000000-0005-0000-0000-00003BA60000}"/>
    <cellStyle name="Notas 7 11" xfId="42406" xr:uid="{00000000-0005-0000-0000-00003CA60000}"/>
    <cellStyle name="Notas 7 11 2" xfId="42407" xr:uid="{00000000-0005-0000-0000-00003DA60000}"/>
    <cellStyle name="Notas 7 11 2 2" xfId="42408" xr:uid="{00000000-0005-0000-0000-00003EA60000}"/>
    <cellStyle name="Notas 7 11 2 2 2" xfId="42409" xr:uid="{00000000-0005-0000-0000-00003FA60000}"/>
    <cellStyle name="Notas 7 11 2 2 3" xfId="42410" xr:uid="{00000000-0005-0000-0000-000040A60000}"/>
    <cellStyle name="Notas 7 11 2 2 4" xfId="42411" xr:uid="{00000000-0005-0000-0000-000041A60000}"/>
    <cellStyle name="Notas 7 11 2 3" xfId="42412" xr:uid="{00000000-0005-0000-0000-000042A60000}"/>
    <cellStyle name="Notas 7 11 2 3 2" xfId="42413" xr:uid="{00000000-0005-0000-0000-000043A60000}"/>
    <cellStyle name="Notas 7 11 2 3 3" xfId="42414" xr:uid="{00000000-0005-0000-0000-000044A60000}"/>
    <cellStyle name="Notas 7 11 2 3 4" xfId="42415" xr:uid="{00000000-0005-0000-0000-000045A60000}"/>
    <cellStyle name="Notas 7 11 2 4" xfId="42416" xr:uid="{00000000-0005-0000-0000-000046A60000}"/>
    <cellStyle name="Notas 7 11 2 5" xfId="42417" xr:uid="{00000000-0005-0000-0000-000047A60000}"/>
    <cellStyle name="Notas 7 11 2 6" xfId="42418" xr:uid="{00000000-0005-0000-0000-000048A60000}"/>
    <cellStyle name="Notas 7 11 3" xfId="42419" xr:uid="{00000000-0005-0000-0000-000049A60000}"/>
    <cellStyle name="Notas 7 11 3 2" xfId="42420" xr:uid="{00000000-0005-0000-0000-00004AA60000}"/>
    <cellStyle name="Notas 7 11 3 2 2" xfId="42421" xr:uid="{00000000-0005-0000-0000-00004BA60000}"/>
    <cellStyle name="Notas 7 11 3 2 3" xfId="42422" xr:uid="{00000000-0005-0000-0000-00004CA60000}"/>
    <cellStyle name="Notas 7 11 3 2 4" xfId="42423" xr:uid="{00000000-0005-0000-0000-00004DA60000}"/>
    <cellStyle name="Notas 7 11 3 3" xfId="42424" xr:uid="{00000000-0005-0000-0000-00004EA60000}"/>
    <cellStyle name="Notas 7 11 3 3 2" xfId="42425" xr:uid="{00000000-0005-0000-0000-00004FA60000}"/>
    <cellStyle name="Notas 7 11 3 3 3" xfId="42426" xr:uid="{00000000-0005-0000-0000-000050A60000}"/>
    <cellStyle name="Notas 7 11 3 3 4" xfId="42427" xr:uid="{00000000-0005-0000-0000-000051A60000}"/>
    <cellStyle name="Notas 7 11 3 4" xfId="42428" xr:uid="{00000000-0005-0000-0000-000052A60000}"/>
    <cellStyle name="Notas 7 11 3 5" xfId="42429" xr:uid="{00000000-0005-0000-0000-000053A60000}"/>
    <cellStyle name="Notas 7 11 3 6" xfId="42430" xr:uid="{00000000-0005-0000-0000-000054A60000}"/>
    <cellStyle name="Notas 7 11 4" xfId="42431" xr:uid="{00000000-0005-0000-0000-000055A60000}"/>
    <cellStyle name="Notas 7 11 4 2" xfId="42432" xr:uid="{00000000-0005-0000-0000-000056A60000}"/>
    <cellStyle name="Notas 7 11 4 3" xfId="42433" xr:uid="{00000000-0005-0000-0000-000057A60000}"/>
    <cellStyle name="Notas 7 11 4 4" xfId="42434" xr:uid="{00000000-0005-0000-0000-000058A60000}"/>
    <cellStyle name="Notas 7 11 5" xfId="42435" xr:uid="{00000000-0005-0000-0000-000059A60000}"/>
    <cellStyle name="Notas 7 11 6" xfId="42436" xr:uid="{00000000-0005-0000-0000-00005AA60000}"/>
    <cellStyle name="Notas 7 12" xfId="42437" xr:uid="{00000000-0005-0000-0000-00005BA60000}"/>
    <cellStyle name="Notas 7 12 2" xfId="42438" xr:uid="{00000000-0005-0000-0000-00005CA60000}"/>
    <cellStyle name="Notas 7 12 2 2" xfId="42439" xr:uid="{00000000-0005-0000-0000-00005DA60000}"/>
    <cellStyle name="Notas 7 12 2 2 2" xfId="42440" xr:uid="{00000000-0005-0000-0000-00005EA60000}"/>
    <cellStyle name="Notas 7 12 2 2 3" xfId="42441" xr:uid="{00000000-0005-0000-0000-00005FA60000}"/>
    <cellStyle name="Notas 7 12 2 2 4" xfId="42442" xr:uid="{00000000-0005-0000-0000-000060A60000}"/>
    <cellStyle name="Notas 7 12 2 3" xfId="42443" xr:uid="{00000000-0005-0000-0000-000061A60000}"/>
    <cellStyle name="Notas 7 12 2 3 2" xfId="42444" xr:uid="{00000000-0005-0000-0000-000062A60000}"/>
    <cellStyle name="Notas 7 12 2 3 3" xfId="42445" xr:uid="{00000000-0005-0000-0000-000063A60000}"/>
    <cellStyle name="Notas 7 12 2 3 4" xfId="42446" xr:uid="{00000000-0005-0000-0000-000064A60000}"/>
    <cellStyle name="Notas 7 12 2 4" xfId="42447" xr:uid="{00000000-0005-0000-0000-000065A60000}"/>
    <cellStyle name="Notas 7 12 2 5" xfId="42448" xr:uid="{00000000-0005-0000-0000-000066A60000}"/>
    <cellStyle name="Notas 7 12 2 6" xfId="42449" xr:uid="{00000000-0005-0000-0000-000067A60000}"/>
    <cellStyle name="Notas 7 12 3" xfId="42450" xr:uid="{00000000-0005-0000-0000-000068A60000}"/>
    <cellStyle name="Notas 7 12 3 2" xfId="42451" xr:uid="{00000000-0005-0000-0000-000069A60000}"/>
    <cellStyle name="Notas 7 12 3 2 2" xfId="42452" xr:uid="{00000000-0005-0000-0000-00006AA60000}"/>
    <cellStyle name="Notas 7 12 3 2 3" xfId="42453" xr:uid="{00000000-0005-0000-0000-00006BA60000}"/>
    <cellStyle name="Notas 7 12 3 2 4" xfId="42454" xr:uid="{00000000-0005-0000-0000-00006CA60000}"/>
    <cellStyle name="Notas 7 12 3 3" xfId="42455" xr:uid="{00000000-0005-0000-0000-00006DA60000}"/>
    <cellStyle name="Notas 7 12 3 3 2" xfId="42456" xr:uid="{00000000-0005-0000-0000-00006EA60000}"/>
    <cellStyle name="Notas 7 12 3 3 3" xfId="42457" xr:uid="{00000000-0005-0000-0000-00006FA60000}"/>
    <cellStyle name="Notas 7 12 3 3 4" xfId="42458" xr:uid="{00000000-0005-0000-0000-000070A60000}"/>
    <cellStyle name="Notas 7 12 3 4" xfId="42459" xr:uid="{00000000-0005-0000-0000-000071A60000}"/>
    <cellStyle name="Notas 7 12 3 5" xfId="42460" xr:uid="{00000000-0005-0000-0000-000072A60000}"/>
    <cellStyle name="Notas 7 12 3 6" xfId="42461" xr:uid="{00000000-0005-0000-0000-000073A60000}"/>
    <cellStyle name="Notas 7 12 4" xfId="42462" xr:uid="{00000000-0005-0000-0000-000074A60000}"/>
    <cellStyle name="Notas 7 12 4 2" xfId="42463" xr:uid="{00000000-0005-0000-0000-000075A60000}"/>
    <cellStyle name="Notas 7 12 4 3" xfId="42464" xr:uid="{00000000-0005-0000-0000-000076A60000}"/>
    <cellStyle name="Notas 7 12 4 4" xfId="42465" xr:uid="{00000000-0005-0000-0000-000077A60000}"/>
    <cellStyle name="Notas 7 12 5" xfId="42466" xr:uid="{00000000-0005-0000-0000-000078A60000}"/>
    <cellStyle name="Notas 7 12 6" xfId="42467" xr:uid="{00000000-0005-0000-0000-000079A60000}"/>
    <cellStyle name="Notas 7 13" xfId="42468" xr:uid="{00000000-0005-0000-0000-00007AA60000}"/>
    <cellStyle name="Notas 7 13 2" xfId="42469" xr:uid="{00000000-0005-0000-0000-00007BA60000}"/>
    <cellStyle name="Notas 7 13 2 2" xfId="42470" xr:uid="{00000000-0005-0000-0000-00007CA60000}"/>
    <cellStyle name="Notas 7 13 2 2 2" xfId="42471" xr:uid="{00000000-0005-0000-0000-00007DA60000}"/>
    <cellStyle name="Notas 7 13 2 2 3" xfId="42472" xr:uid="{00000000-0005-0000-0000-00007EA60000}"/>
    <cellStyle name="Notas 7 13 2 2 4" xfId="42473" xr:uid="{00000000-0005-0000-0000-00007FA60000}"/>
    <cellStyle name="Notas 7 13 2 3" xfId="42474" xr:uid="{00000000-0005-0000-0000-000080A60000}"/>
    <cellStyle name="Notas 7 13 2 3 2" xfId="42475" xr:uid="{00000000-0005-0000-0000-000081A60000}"/>
    <cellStyle name="Notas 7 13 2 3 3" xfId="42476" xr:uid="{00000000-0005-0000-0000-000082A60000}"/>
    <cellStyle name="Notas 7 13 2 3 4" xfId="42477" xr:uid="{00000000-0005-0000-0000-000083A60000}"/>
    <cellStyle name="Notas 7 13 2 4" xfId="42478" xr:uid="{00000000-0005-0000-0000-000084A60000}"/>
    <cellStyle name="Notas 7 13 2 5" xfId="42479" xr:uid="{00000000-0005-0000-0000-000085A60000}"/>
    <cellStyle name="Notas 7 13 2 6" xfId="42480" xr:uid="{00000000-0005-0000-0000-000086A60000}"/>
    <cellStyle name="Notas 7 13 3" xfId="42481" xr:uid="{00000000-0005-0000-0000-000087A60000}"/>
    <cellStyle name="Notas 7 13 3 2" xfId="42482" xr:uid="{00000000-0005-0000-0000-000088A60000}"/>
    <cellStyle name="Notas 7 13 3 2 2" xfId="42483" xr:uid="{00000000-0005-0000-0000-000089A60000}"/>
    <cellStyle name="Notas 7 13 3 2 3" xfId="42484" xr:uid="{00000000-0005-0000-0000-00008AA60000}"/>
    <cellStyle name="Notas 7 13 3 2 4" xfId="42485" xr:uid="{00000000-0005-0000-0000-00008BA60000}"/>
    <cellStyle name="Notas 7 13 3 3" xfId="42486" xr:uid="{00000000-0005-0000-0000-00008CA60000}"/>
    <cellStyle name="Notas 7 13 3 3 2" xfId="42487" xr:uid="{00000000-0005-0000-0000-00008DA60000}"/>
    <cellStyle name="Notas 7 13 3 3 3" xfId="42488" xr:uid="{00000000-0005-0000-0000-00008EA60000}"/>
    <cellStyle name="Notas 7 13 3 3 4" xfId="42489" xr:uid="{00000000-0005-0000-0000-00008FA60000}"/>
    <cellStyle name="Notas 7 13 3 4" xfId="42490" xr:uid="{00000000-0005-0000-0000-000090A60000}"/>
    <cellStyle name="Notas 7 13 3 5" xfId="42491" xr:uid="{00000000-0005-0000-0000-000091A60000}"/>
    <cellStyle name="Notas 7 13 3 6" xfId="42492" xr:uid="{00000000-0005-0000-0000-000092A60000}"/>
    <cellStyle name="Notas 7 13 4" xfId="42493" xr:uid="{00000000-0005-0000-0000-000093A60000}"/>
    <cellStyle name="Notas 7 13 5" xfId="42494" xr:uid="{00000000-0005-0000-0000-000094A60000}"/>
    <cellStyle name="Notas 7 13 6" xfId="42495" xr:uid="{00000000-0005-0000-0000-000095A60000}"/>
    <cellStyle name="Notas 7 14" xfId="42496" xr:uid="{00000000-0005-0000-0000-000096A60000}"/>
    <cellStyle name="Notas 7 15" xfId="42497" xr:uid="{00000000-0005-0000-0000-000097A60000}"/>
    <cellStyle name="Notas 7 2" xfId="42498" xr:uid="{00000000-0005-0000-0000-000098A60000}"/>
    <cellStyle name="Notas 7 2 10" xfId="42499" xr:uid="{00000000-0005-0000-0000-000099A60000}"/>
    <cellStyle name="Notas 7 2 10 2" xfId="42500" xr:uid="{00000000-0005-0000-0000-00009AA60000}"/>
    <cellStyle name="Notas 7 2 10 2 2" xfId="42501" xr:uid="{00000000-0005-0000-0000-00009BA60000}"/>
    <cellStyle name="Notas 7 2 10 2 2 2" xfId="42502" xr:uid="{00000000-0005-0000-0000-00009CA60000}"/>
    <cellStyle name="Notas 7 2 10 2 2 3" xfId="42503" xr:uid="{00000000-0005-0000-0000-00009DA60000}"/>
    <cellStyle name="Notas 7 2 10 2 2 4" xfId="42504" xr:uid="{00000000-0005-0000-0000-00009EA60000}"/>
    <cellStyle name="Notas 7 2 10 2 3" xfId="42505" xr:uid="{00000000-0005-0000-0000-00009FA60000}"/>
    <cellStyle name="Notas 7 2 10 2 3 2" xfId="42506" xr:uid="{00000000-0005-0000-0000-0000A0A60000}"/>
    <cellStyle name="Notas 7 2 10 2 3 3" xfId="42507" xr:uid="{00000000-0005-0000-0000-0000A1A60000}"/>
    <cellStyle name="Notas 7 2 10 2 3 4" xfId="42508" xr:uid="{00000000-0005-0000-0000-0000A2A60000}"/>
    <cellStyle name="Notas 7 2 10 2 4" xfId="42509" xr:uid="{00000000-0005-0000-0000-0000A3A60000}"/>
    <cellStyle name="Notas 7 2 10 2 5" xfId="42510" xr:uid="{00000000-0005-0000-0000-0000A4A60000}"/>
    <cellStyle name="Notas 7 2 10 2 6" xfId="42511" xr:uid="{00000000-0005-0000-0000-0000A5A60000}"/>
    <cellStyle name="Notas 7 2 10 3" xfId="42512" xr:uid="{00000000-0005-0000-0000-0000A6A60000}"/>
    <cellStyle name="Notas 7 2 10 3 2" xfId="42513" xr:uid="{00000000-0005-0000-0000-0000A7A60000}"/>
    <cellStyle name="Notas 7 2 10 3 2 2" xfId="42514" xr:uid="{00000000-0005-0000-0000-0000A8A60000}"/>
    <cellStyle name="Notas 7 2 10 3 2 3" xfId="42515" xr:uid="{00000000-0005-0000-0000-0000A9A60000}"/>
    <cellStyle name="Notas 7 2 10 3 2 4" xfId="42516" xr:uid="{00000000-0005-0000-0000-0000AAA60000}"/>
    <cellStyle name="Notas 7 2 10 3 3" xfId="42517" xr:uid="{00000000-0005-0000-0000-0000ABA60000}"/>
    <cellStyle name="Notas 7 2 10 3 3 2" xfId="42518" xr:uid="{00000000-0005-0000-0000-0000ACA60000}"/>
    <cellStyle name="Notas 7 2 10 3 3 3" xfId="42519" xr:uid="{00000000-0005-0000-0000-0000ADA60000}"/>
    <cellStyle name="Notas 7 2 10 3 3 4" xfId="42520" xr:uid="{00000000-0005-0000-0000-0000AEA60000}"/>
    <cellStyle name="Notas 7 2 10 3 4" xfId="42521" xr:uid="{00000000-0005-0000-0000-0000AFA60000}"/>
    <cellStyle name="Notas 7 2 10 3 5" xfId="42522" xr:uid="{00000000-0005-0000-0000-0000B0A60000}"/>
    <cellStyle name="Notas 7 2 10 3 6" xfId="42523" xr:uid="{00000000-0005-0000-0000-0000B1A60000}"/>
    <cellStyle name="Notas 7 2 10 4" xfId="42524" xr:uid="{00000000-0005-0000-0000-0000B2A60000}"/>
    <cellStyle name="Notas 7 2 10 4 2" xfId="42525" xr:uid="{00000000-0005-0000-0000-0000B3A60000}"/>
    <cellStyle name="Notas 7 2 10 4 3" xfId="42526" xr:uid="{00000000-0005-0000-0000-0000B4A60000}"/>
    <cellStyle name="Notas 7 2 10 4 4" xfId="42527" xr:uid="{00000000-0005-0000-0000-0000B5A60000}"/>
    <cellStyle name="Notas 7 2 10 5" xfId="42528" xr:uid="{00000000-0005-0000-0000-0000B6A60000}"/>
    <cellStyle name="Notas 7 2 10 6" xfId="42529" xr:uid="{00000000-0005-0000-0000-0000B7A60000}"/>
    <cellStyle name="Notas 7 2 11" xfId="42530" xr:uid="{00000000-0005-0000-0000-0000B8A60000}"/>
    <cellStyle name="Notas 7 2 11 2" xfId="42531" xr:uid="{00000000-0005-0000-0000-0000B9A60000}"/>
    <cellStyle name="Notas 7 2 11 2 2" xfId="42532" xr:uid="{00000000-0005-0000-0000-0000BAA60000}"/>
    <cellStyle name="Notas 7 2 11 2 2 2" xfId="42533" xr:uid="{00000000-0005-0000-0000-0000BBA60000}"/>
    <cellStyle name="Notas 7 2 11 2 2 3" xfId="42534" xr:uid="{00000000-0005-0000-0000-0000BCA60000}"/>
    <cellStyle name="Notas 7 2 11 2 2 4" xfId="42535" xr:uid="{00000000-0005-0000-0000-0000BDA60000}"/>
    <cellStyle name="Notas 7 2 11 2 3" xfId="42536" xr:uid="{00000000-0005-0000-0000-0000BEA60000}"/>
    <cellStyle name="Notas 7 2 11 2 3 2" xfId="42537" xr:uid="{00000000-0005-0000-0000-0000BFA60000}"/>
    <cellStyle name="Notas 7 2 11 2 3 3" xfId="42538" xr:uid="{00000000-0005-0000-0000-0000C0A60000}"/>
    <cellStyle name="Notas 7 2 11 2 3 4" xfId="42539" xr:uid="{00000000-0005-0000-0000-0000C1A60000}"/>
    <cellStyle name="Notas 7 2 11 2 4" xfId="42540" xr:uid="{00000000-0005-0000-0000-0000C2A60000}"/>
    <cellStyle name="Notas 7 2 11 2 5" xfId="42541" xr:uid="{00000000-0005-0000-0000-0000C3A60000}"/>
    <cellStyle name="Notas 7 2 11 2 6" xfId="42542" xr:uid="{00000000-0005-0000-0000-0000C4A60000}"/>
    <cellStyle name="Notas 7 2 11 3" xfId="42543" xr:uid="{00000000-0005-0000-0000-0000C5A60000}"/>
    <cellStyle name="Notas 7 2 11 3 2" xfId="42544" xr:uid="{00000000-0005-0000-0000-0000C6A60000}"/>
    <cellStyle name="Notas 7 2 11 3 2 2" xfId="42545" xr:uid="{00000000-0005-0000-0000-0000C7A60000}"/>
    <cellStyle name="Notas 7 2 11 3 2 3" xfId="42546" xr:uid="{00000000-0005-0000-0000-0000C8A60000}"/>
    <cellStyle name="Notas 7 2 11 3 2 4" xfId="42547" xr:uid="{00000000-0005-0000-0000-0000C9A60000}"/>
    <cellStyle name="Notas 7 2 11 3 3" xfId="42548" xr:uid="{00000000-0005-0000-0000-0000CAA60000}"/>
    <cellStyle name="Notas 7 2 11 3 3 2" xfId="42549" xr:uid="{00000000-0005-0000-0000-0000CBA60000}"/>
    <cellStyle name="Notas 7 2 11 3 3 3" xfId="42550" xr:uid="{00000000-0005-0000-0000-0000CCA60000}"/>
    <cellStyle name="Notas 7 2 11 3 3 4" xfId="42551" xr:uid="{00000000-0005-0000-0000-0000CDA60000}"/>
    <cellStyle name="Notas 7 2 11 3 4" xfId="42552" xr:uid="{00000000-0005-0000-0000-0000CEA60000}"/>
    <cellStyle name="Notas 7 2 11 3 5" xfId="42553" xr:uid="{00000000-0005-0000-0000-0000CFA60000}"/>
    <cellStyle name="Notas 7 2 11 3 6" xfId="42554" xr:uid="{00000000-0005-0000-0000-0000D0A60000}"/>
    <cellStyle name="Notas 7 2 11 4" xfId="42555" xr:uid="{00000000-0005-0000-0000-0000D1A60000}"/>
    <cellStyle name="Notas 7 2 11 4 2" xfId="42556" xr:uid="{00000000-0005-0000-0000-0000D2A60000}"/>
    <cellStyle name="Notas 7 2 11 4 3" xfId="42557" xr:uid="{00000000-0005-0000-0000-0000D3A60000}"/>
    <cellStyle name="Notas 7 2 11 4 4" xfId="42558" xr:uid="{00000000-0005-0000-0000-0000D4A60000}"/>
    <cellStyle name="Notas 7 2 11 5" xfId="42559" xr:uid="{00000000-0005-0000-0000-0000D5A60000}"/>
    <cellStyle name="Notas 7 2 11 6" xfId="42560" xr:uid="{00000000-0005-0000-0000-0000D6A60000}"/>
    <cellStyle name="Notas 7 2 12" xfId="42561" xr:uid="{00000000-0005-0000-0000-0000D7A60000}"/>
    <cellStyle name="Notas 7 2 12 2" xfId="42562" xr:uid="{00000000-0005-0000-0000-0000D8A60000}"/>
    <cellStyle name="Notas 7 2 12 2 2" xfId="42563" xr:uid="{00000000-0005-0000-0000-0000D9A60000}"/>
    <cellStyle name="Notas 7 2 12 2 2 2" xfId="42564" xr:uid="{00000000-0005-0000-0000-0000DAA60000}"/>
    <cellStyle name="Notas 7 2 12 2 2 3" xfId="42565" xr:uid="{00000000-0005-0000-0000-0000DBA60000}"/>
    <cellStyle name="Notas 7 2 12 2 2 4" xfId="42566" xr:uid="{00000000-0005-0000-0000-0000DCA60000}"/>
    <cellStyle name="Notas 7 2 12 2 3" xfId="42567" xr:uid="{00000000-0005-0000-0000-0000DDA60000}"/>
    <cellStyle name="Notas 7 2 12 2 3 2" xfId="42568" xr:uid="{00000000-0005-0000-0000-0000DEA60000}"/>
    <cellStyle name="Notas 7 2 12 2 3 3" xfId="42569" xr:uid="{00000000-0005-0000-0000-0000DFA60000}"/>
    <cellStyle name="Notas 7 2 12 2 3 4" xfId="42570" xr:uid="{00000000-0005-0000-0000-0000E0A60000}"/>
    <cellStyle name="Notas 7 2 12 2 4" xfId="42571" xr:uid="{00000000-0005-0000-0000-0000E1A60000}"/>
    <cellStyle name="Notas 7 2 12 2 5" xfId="42572" xr:uid="{00000000-0005-0000-0000-0000E2A60000}"/>
    <cellStyle name="Notas 7 2 12 2 6" xfId="42573" xr:uid="{00000000-0005-0000-0000-0000E3A60000}"/>
    <cellStyle name="Notas 7 2 12 3" xfId="42574" xr:uid="{00000000-0005-0000-0000-0000E4A60000}"/>
    <cellStyle name="Notas 7 2 12 3 2" xfId="42575" xr:uid="{00000000-0005-0000-0000-0000E5A60000}"/>
    <cellStyle name="Notas 7 2 12 3 2 2" xfId="42576" xr:uid="{00000000-0005-0000-0000-0000E6A60000}"/>
    <cellStyle name="Notas 7 2 12 3 2 3" xfId="42577" xr:uid="{00000000-0005-0000-0000-0000E7A60000}"/>
    <cellStyle name="Notas 7 2 12 3 2 4" xfId="42578" xr:uid="{00000000-0005-0000-0000-0000E8A60000}"/>
    <cellStyle name="Notas 7 2 12 3 3" xfId="42579" xr:uid="{00000000-0005-0000-0000-0000E9A60000}"/>
    <cellStyle name="Notas 7 2 12 3 3 2" xfId="42580" xr:uid="{00000000-0005-0000-0000-0000EAA60000}"/>
    <cellStyle name="Notas 7 2 12 3 3 3" xfId="42581" xr:uid="{00000000-0005-0000-0000-0000EBA60000}"/>
    <cellStyle name="Notas 7 2 12 3 3 4" xfId="42582" xr:uid="{00000000-0005-0000-0000-0000ECA60000}"/>
    <cellStyle name="Notas 7 2 12 3 4" xfId="42583" xr:uid="{00000000-0005-0000-0000-0000EDA60000}"/>
    <cellStyle name="Notas 7 2 12 3 5" xfId="42584" xr:uid="{00000000-0005-0000-0000-0000EEA60000}"/>
    <cellStyle name="Notas 7 2 12 3 6" xfId="42585" xr:uid="{00000000-0005-0000-0000-0000EFA60000}"/>
    <cellStyle name="Notas 7 2 12 4" xfId="42586" xr:uid="{00000000-0005-0000-0000-0000F0A60000}"/>
    <cellStyle name="Notas 7 2 12 5" xfId="42587" xr:uid="{00000000-0005-0000-0000-0000F1A60000}"/>
    <cellStyle name="Notas 7 2 12 6" xfId="42588" xr:uid="{00000000-0005-0000-0000-0000F2A60000}"/>
    <cellStyle name="Notas 7 2 13" xfId="42589" xr:uid="{00000000-0005-0000-0000-0000F3A60000}"/>
    <cellStyle name="Notas 7 2 14" xfId="42590" xr:uid="{00000000-0005-0000-0000-0000F4A60000}"/>
    <cellStyle name="Notas 7 2 2" xfId="42591" xr:uid="{00000000-0005-0000-0000-0000F5A60000}"/>
    <cellStyle name="Notas 7 2 2 10" xfId="42592" xr:uid="{00000000-0005-0000-0000-0000F6A60000}"/>
    <cellStyle name="Notas 7 2 2 10 2" xfId="42593" xr:uid="{00000000-0005-0000-0000-0000F7A60000}"/>
    <cellStyle name="Notas 7 2 2 10 2 2" xfId="42594" xr:uid="{00000000-0005-0000-0000-0000F8A60000}"/>
    <cellStyle name="Notas 7 2 2 10 2 2 2" xfId="42595" xr:uid="{00000000-0005-0000-0000-0000F9A60000}"/>
    <cellStyle name="Notas 7 2 2 10 2 2 3" xfId="42596" xr:uid="{00000000-0005-0000-0000-0000FAA60000}"/>
    <cellStyle name="Notas 7 2 2 10 2 2 4" xfId="42597" xr:uid="{00000000-0005-0000-0000-0000FBA60000}"/>
    <cellStyle name="Notas 7 2 2 10 2 3" xfId="42598" xr:uid="{00000000-0005-0000-0000-0000FCA60000}"/>
    <cellStyle name="Notas 7 2 2 10 2 3 2" xfId="42599" xr:uid="{00000000-0005-0000-0000-0000FDA60000}"/>
    <cellStyle name="Notas 7 2 2 10 2 3 3" xfId="42600" xr:uid="{00000000-0005-0000-0000-0000FEA60000}"/>
    <cellStyle name="Notas 7 2 2 10 2 3 4" xfId="42601" xr:uid="{00000000-0005-0000-0000-0000FFA60000}"/>
    <cellStyle name="Notas 7 2 2 10 2 4" xfId="42602" xr:uid="{00000000-0005-0000-0000-000000A70000}"/>
    <cellStyle name="Notas 7 2 2 10 2 5" xfId="42603" xr:uid="{00000000-0005-0000-0000-000001A70000}"/>
    <cellStyle name="Notas 7 2 2 10 2 6" xfId="42604" xr:uid="{00000000-0005-0000-0000-000002A70000}"/>
    <cellStyle name="Notas 7 2 2 10 3" xfId="42605" xr:uid="{00000000-0005-0000-0000-000003A70000}"/>
    <cellStyle name="Notas 7 2 2 10 3 2" xfId="42606" xr:uid="{00000000-0005-0000-0000-000004A70000}"/>
    <cellStyle name="Notas 7 2 2 10 3 2 2" xfId="42607" xr:uid="{00000000-0005-0000-0000-000005A70000}"/>
    <cellStyle name="Notas 7 2 2 10 3 2 3" xfId="42608" xr:uid="{00000000-0005-0000-0000-000006A70000}"/>
    <cellStyle name="Notas 7 2 2 10 3 2 4" xfId="42609" xr:uid="{00000000-0005-0000-0000-000007A70000}"/>
    <cellStyle name="Notas 7 2 2 10 3 3" xfId="42610" xr:uid="{00000000-0005-0000-0000-000008A70000}"/>
    <cellStyle name="Notas 7 2 2 10 3 3 2" xfId="42611" xr:uid="{00000000-0005-0000-0000-000009A70000}"/>
    <cellStyle name="Notas 7 2 2 10 3 3 3" xfId="42612" xr:uid="{00000000-0005-0000-0000-00000AA70000}"/>
    <cellStyle name="Notas 7 2 2 10 3 3 4" xfId="42613" xr:uid="{00000000-0005-0000-0000-00000BA70000}"/>
    <cellStyle name="Notas 7 2 2 10 3 4" xfId="42614" xr:uid="{00000000-0005-0000-0000-00000CA70000}"/>
    <cellStyle name="Notas 7 2 2 10 3 5" xfId="42615" xr:uid="{00000000-0005-0000-0000-00000DA70000}"/>
    <cellStyle name="Notas 7 2 2 10 3 6" xfId="42616" xr:uid="{00000000-0005-0000-0000-00000EA70000}"/>
    <cellStyle name="Notas 7 2 2 10 4" xfId="42617" xr:uid="{00000000-0005-0000-0000-00000FA70000}"/>
    <cellStyle name="Notas 7 2 2 10 5" xfId="42618" xr:uid="{00000000-0005-0000-0000-000010A70000}"/>
    <cellStyle name="Notas 7 2 2 10 6" xfId="42619" xr:uid="{00000000-0005-0000-0000-000011A70000}"/>
    <cellStyle name="Notas 7 2 2 11" xfId="42620" xr:uid="{00000000-0005-0000-0000-000012A70000}"/>
    <cellStyle name="Notas 7 2 2 12" xfId="42621" xr:uid="{00000000-0005-0000-0000-000013A70000}"/>
    <cellStyle name="Notas 7 2 2 2" xfId="42622" xr:uid="{00000000-0005-0000-0000-000014A70000}"/>
    <cellStyle name="Notas 7 2 2 2 2" xfId="42623" xr:uid="{00000000-0005-0000-0000-000015A70000}"/>
    <cellStyle name="Notas 7 2 2 2 2 2" xfId="42624" xr:uid="{00000000-0005-0000-0000-000016A70000}"/>
    <cellStyle name="Notas 7 2 2 2 2 2 2" xfId="42625" xr:uid="{00000000-0005-0000-0000-000017A70000}"/>
    <cellStyle name="Notas 7 2 2 2 2 2 2 2" xfId="42626" xr:uid="{00000000-0005-0000-0000-000018A70000}"/>
    <cellStyle name="Notas 7 2 2 2 2 2 2 3" xfId="42627" xr:uid="{00000000-0005-0000-0000-000019A70000}"/>
    <cellStyle name="Notas 7 2 2 2 2 2 2 4" xfId="42628" xr:uid="{00000000-0005-0000-0000-00001AA70000}"/>
    <cellStyle name="Notas 7 2 2 2 2 2 3" xfId="42629" xr:uid="{00000000-0005-0000-0000-00001BA70000}"/>
    <cellStyle name="Notas 7 2 2 2 2 2 3 2" xfId="42630" xr:uid="{00000000-0005-0000-0000-00001CA70000}"/>
    <cellStyle name="Notas 7 2 2 2 2 2 3 3" xfId="42631" xr:uid="{00000000-0005-0000-0000-00001DA70000}"/>
    <cellStyle name="Notas 7 2 2 2 2 2 3 4" xfId="42632" xr:uid="{00000000-0005-0000-0000-00001EA70000}"/>
    <cellStyle name="Notas 7 2 2 2 2 2 4" xfId="42633" xr:uid="{00000000-0005-0000-0000-00001FA70000}"/>
    <cellStyle name="Notas 7 2 2 2 2 2 5" xfId="42634" xr:uid="{00000000-0005-0000-0000-000020A70000}"/>
    <cellStyle name="Notas 7 2 2 2 2 2 6" xfId="42635" xr:uid="{00000000-0005-0000-0000-000021A70000}"/>
    <cellStyle name="Notas 7 2 2 2 2 3" xfId="42636" xr:uid="{00000000-0005-0000-0000-000022A70000}"/>
    <cellStyle name="Notas 7 2 2 2 2 3 2" xfId="42637" xr:uid="{00000000-0005-0000-0000-000023A70000}"/>
    <cellStyle name="Notas 7 2 2 2 2 3 2 2" xfId="42638" xr:uid="{00000000-0005-0000-0000-000024A70000}"/>
    <cellStyle name="Notas 7 2 2 2 2 3 2 3" xfId="42639" xr:uid="{00000000-0005-0000-0000-000025A70000}"/>
    <cellStyle name="Notas 7 2 2 2 2 3 2 4" xfId="42640" xr:uid="{00000000-0005-0000-0000-000026A70000}"/>
    <cellStyle name="Notas 7 2 2 2 2 3 3" xfId="42641" xr:uid="{00000000-0005-0000-0000-000027A70000}"/>
    <cellStyle name="Notas 7 2 2 2 2 3 3 2" xfId="42642" xr:uid="{00000000-0005-0000-0000-000028A70000}"/>
    <cellStyle name="Notas 7 2 2 2 2 3 3 3" xfId="42643" xr:uid="{00000000-0005-0000-0000-000029A70000}"/>
    <cellStyle name="Notas 7 2 2 2 2 3 3 4" xfId="42644" xr:uid="{00000000-0005-0000-0000-00002AA70000}"/>
    <cellStyle name="Notas 7 2 2 2 2 3 4" xfId="42645" xr:uid="{00000000-0005-0000-0000-00002BA70000}"/>
    <cellStyle name="Notas 7 2 2 2 2 3 5" xfId="42646" xr:uid="{00000000-0005-0000-0000-00002CA70000}"/>
    <cellStyle name="Notas 7 2 2 2 2 3 6" xfId="42647" xr:uid="{00000000-0005-0000-0000-00002DA70000}"/>
    <cellStyle name="Notas 7 2 2 2 2 4" xfId="42648" xr:uid="{00000000-0005-0000-0000-00002EA70000}"/>
    <cellStyle name="Notas 7 2 2 2 2 5" xfId="42649" xr:uid="{00000000-0005-0000-0000-00002FA70000}"/>
    <cellStyle name="Notas 7 2 2 2 2 6" xfId="42650" xr:uid="{00000000-0005-0000-0000-000030A70000}"/>
    <cellStyle name="Notas 7 2 2 2 3" xfId="42651" xr:uid="{00000000-0005-0000-0000-000031A70000}"/>
    <cellStyle name="Notas 7 2 2 2 4" xfId="42652" xr:uid="{00000000-0005-0000-0000-000032A70000}"/>
    <cellStyle name="Notas 7 2 2 3" xfId="42653" xr:uid="{00000000-0005-0000-0000-000033A70000}"/>
    <cellStyle name="Notas 7 2 2 3 2" xfId="42654" xr:uid="{00000000-0005-0000-0000-000034A70000}"/>
    <cellStyle name="Notas 7 2 2 3 2 2" xfId="42655" xr:uid="{00000000-0005-0000-0000-000035A70000}"/>
    <cellStyle name="Notas 7 2 2 3 2 2 2" xfId="42656" xr:uid="{00000000-0005-0000-0000-000036A70000}"/>
    <cellStyle name="Notas 7 2 2 3 2 2 2 2" xfId="42657" xr:uid="{00000000-0005-0000-0000-000037A70000}"/>
    <cellStyle name="Notas 7 2 2 3 2 2 2 3" xfId="42658" xr:uid="{00000000-0005-0000-0000-000038A70000}"/>
    <cellStyle name="Notas 7 2 2 3 2 2 2 4" xfId="42659" xr:uid="{00000000-0005-0000-0000-000039A70000}"/>
    <cellStyle name="Notas 7 2 2 3 2 2 3" xfId="42660" xr:uid="{00000000-0005-0000-0000-00003AA70000}"/>
    <cellStyle name="Notas 7 2 2 3 2 2 3 2" xfId="42661" xr:uid="{00000000-0005-0000-0000-00003BA70000}"/>
    <cellStyle name="Notas 7 2 2 3 2 2 3 3" xfId="42662" xr:uid="{00000000-0005-0000-0000-00003CA70000}"/>
    <cellStyle name="Notas 7 2 2 3 2 2 3 4" xfId="42663" xr:uid="{00000000-0005-0000-0000-00003DA70000}"/>
    <cellStyle name="Notas 7 2 2 3 2 2 4" xfId="42664" xr:uid="{00000000-0005-0000-0000-00003EA70000}"/>
    <cellStyle name="Notas 7 2 2 3 2 2 5" xfId="42665" xr:uid="{00000000-0005-0000-0000-00003FA70000}"/>
    <cellStyle name="Notas 7 2 2 3 2 2 6" xfId="42666" xr:uid="{00000000-0005-0000-0000-000040A70000}"/>
    <cellStyle name="Notas 7 2 2 3 2 3" xfId="42667" xr:uid="{00000000-0005-0000-0000-000041A70000}"/>
    <cellStyle name="Notas 7 2 2 3 2 3 2" xfId="42668" xr:uid="{00000000-0005-0000-0000-000042A70000}"/>
    <cellStyle name="Notas 7 2 2 3 2 3 2 2" xfId="42669" xr:uid="{00000000-0005-0000-0000-000043A70000}"/>
    <cellStyle name="Notas 7 2 2 3 2 3 2 3" xfId="42670" xr:uid="{00000000-0005-0000-0000-000044A70000}"/>
    <cellStyle name="Notas 7 2 2 3 2 3 2 4" xfId="42671" xr:uid="{00000000-0005-0000-0000-000045A70000}"/>
    <cellStyle name="Notas 7 2 2 3 2 3 3" xfId="42672" xr:uid="{00000000-0005-0000-0000-000046A70000}"/>
    <cellStyle name="Notas 7 2 2 3 2 3 3 2" xfId="42673" xr:uid="{00000000-0005-0000-0000-000047A70000}"/>
    <cellStyle name="Notas 7 2 2 3 2 3 3 3" xfId="42674" xr:uid="{00000000-0005-0000-0000-000048A70000}"/>
    <cellStyle name="Notas 7 2 2 3 2 3 3 4" xfId="42675" xr:uid="{00000000-0005-0000-0000-000049A70000}"/>
    <cellStyle name="Notas 7 2 2 3 2 3 4" xfId="42676" xr:uid="{00000000-0005-0000-0000-00004AA70000}"/>
    <cellStyle name="Notas 7 2 2 3 2 3 5" xfId="42677" xr:uid="{00000000-0005-0000-0000-00004BA70000}"/>
    <cellStyle name="Notas 7 2 2 3 2 3 6" xfId="42678" xr:uid="{00000000-0005-0000-0000-00004CA70000}"/>
    <cellStyle name="Notas 7 2 2 3 2 4" xfId="42679" xr:uid="{00000000-0005-0000-0000-00004DA70000}"/>
    <cellStyle name="Notas 7 2 2 3 2 5" xfId="42680" xr:uid="{00000000-0005-0000-0000-00004EA70000}"/>
    <cellStyle name="Notas 7 2 2 3 2 6" xfId="42681" xr:uid="{00000000-0005-0000-0000-00004FA70000}"/>
    <cellStyle name="Notas 7 2 2 3 3" xfId="42682" xr:uid="{00000000-0005-0000-0000-000050A70000}"/>
    <cellStyle name="Notas 7 2 2 3 4" xfId="42683" xr:uid="{00000000-0005-0000-0000-000051A70000}"/>
    <cellStyle name="Notas 7 2 2 4" xfId="42684" xr:uid="{00000000-0005-0000-0000-000052A70000}"/>
    <cellStyle name="Notas 7 2 2 4 2" xfId="42685" xr:uid="{00000000-0005-0000-0000-000053A70000}"/>
    <cellStyle name="Notas 7 2 2 4 2 2" xfId="42686" xr:uid="{00000000-0005-0000-0000-000054A70000}"/>
    <cellStyle name="Notas 7 2 2 4 2 2 2" xfId="42687" xr:uid="{00000000-0005-0000-0000-000055A70000}"/>
    <cellStyle name="Notas 7 2 2 4 2 2 2 2" xfId="42688" xr:uid="{00000000-0005-0000-0000-000056A70000}"/>
    <cellStyle name="Notas 7 2 2 4 2 2 2 3" xfId="42689" xr:uid="{00000000-0005-0000-0000-000057A70000}"/>
    <cellStyle name="Notas 7 2 2 4 2 2 2 4" xfId="42690" xr:uid="{00000000-0005-0000-0000-000058A70000}"/>
    <cellStyle name="Notas 7 2 2 4 2 2 3" xfId="42691" xr:uid="{00000000-0005-0000-0000-000059A70000}"/>
    <cellStyle name="Notas 7 2 2 4 2 2 3 2" xfId="42692" xr:uid="{00000000-0005-0000-0000-00005AA70000}"/>
    <cellStyle name="Notas 7 2 2 4 2 2 3 3" xfId="42693" xr:uid="{00000000-0005-0000-0000-00005BA70000}"/>
    <cellStyle name="Notas 7 2 2 4 2 2 3 4" xfId="42694" xr:uid="{00000000-0005-0000-0000-00005CA70000}"/>
    <cellStyle name="Notas 7 2 2 4 2 2 4" xfId="42695" xr:uid="{00000000-0005-0000-0000-00005DA70000}"/>
    <cellStyle name="Notas 7 2 2 4 2 2 5" xfId="42696" xr:uid="{00000000-0005-0000-0000-00005EA70000}"/>
    <cellStyle name="Notas 7 2 2 4 2 2 6" xfId="42697" xr:uid="{00000000-0005-0000-0000-00005FA70000}"/>
    <cellStyle name="Notas 7 2 2 4 2 3" xfId="42698" xr:uid="{00000000-0005-0000-0000-000060A70000}"/>
    <cellStyle name="Notas 7 2 2 4 2 3 2" xfId="42699" xr:uid="{00000000-0005-0000-0000-000061A70000}"/>
    <cellStyle name="Notas 7 2 2 4 2 3 2 2" xfId="42700" xr:uid="{00000000-0005-0000-0000-000062A70000}"/>
    <cellStyle name="Notas 7 2 2 4 2 3 2 3" xfId="42701" xr:uid="{00000000-0005-0000-0000-000063A70000}"/>
    <cellStyle name="Notas 7 2 2 4 2 3 2 4" xfId="42702" xr:uid="{00000000-0005-0000-0000-000064A70000}"/>
    <cellStyle name="Notas 7 2 2 4 2 3 3" xfId="42703" xr:uid="{00000000-0005-0000-0000-000065A70000}"/>
    <cellStyle name="Notas 7 2 2 4 2 3 3 2" xfId="42704" xr:uid="{00000000-0005-0000-0000-000066A70000}"/>
    <cellStyle name="Notas 7 2 2 4 2 3 3 3" xfId="42705" xr:uid="{00000000-0005-0000-0000-000067A70000}"/>
    <cellStyle name="Notas 7 2 2 4 2 3 3 4" xfId="42706" xr:uid="{00000000-0005-0000-0000-000068A70000}"/>
    <cellStyle name="Notas 7 2 2 4 2 3 4" xfId="42707" xr:uid="{00000000-0005-0000-0000-000069A70000}"/>
    <cellStyle name="Notas 7 2 2 4 2 3 5" xfId="42708" xr:uid="{00000000-0005-0000-0000-00006AA70000}"/>
    <cellStyle name="Notas 7 2 2 4 2 3 6" xfId="42709" xr:uid="{00000000-0005-0000-0000-00006BA70000}"/>
    <cellStyle name="Notas 7 2 2 4 2 4" xfId="42710" xr:uid="{00000000-0005-0000-0000-00006CA70000}"/>
    <cellStyle name="Notas 7 2 2 4 2 5" xfId="42711" xr:uid="{00000000-0005-0000-0000-00006DA70000}"/>
    <cellStyle name="Notas 7 2 2 4 2 6" xfId="42712" xr:uid="{00000000-0005-0000-0000-00006EA70000}"/>
    <cellStyle name="Notas 7 2 2 4 3" xfId="42713" xr:uid="{00000000-0005-0000-0000-00006FA70000}"/>
    <cellStyle name="Notas 7 2 2 4 4" xfId="42714" xr:uid="{00000000-0005-0000-0000-000070A70000}"/>
    <cellStyle name="Notas 7 2 2 5" xfId="42715" xr:uid="{00000000-0005-0000-0000-000071A70000}"/>
    <cellStyle name="Notas 7 2 2 5 2" xfId="42716" xr:uid="{00000000-0005-0000-0000-000072A70000}"/>
    <cellStyle name="Notas 7 2 2 5 2 2" xfId="42717" xr:uid="{00000000-0005-0000-0000-000073A70000}"/>
    <cellStyle name="Notas 7 2 2 5 2 2 2" xfId="42718" xr:uid="{00000000-0005-0000-0000-000074A70000}"/>
    <cellStyle name="Notas 7 2 2 5 2 2 2 2" xfId="42719" xr:uid="{00000000-0005-0000-0000-000075A70000}"/>
    <cellStyle name="Notas 7 2 2 5 2 2 2 3" xfId="42720" xr:uid="{00000000-0005-0000-0000-000076A70000}"/>
    <cellStyle name="Notas 7 2 2 5 2 2 2 4" xfId="42721" xr:uid="{00000000-0005-0000-0000-000077A70000}"/>
    <cellStyle name="Notas 7 2 2 5 2 2 3" xfId="42722" xr:uid="{00000000-0005-0000-0000-000078A70000}"/>
    <cellStyle name="Notas 7 2 2 5 2 2 3 2" xfId="42723" xr:uid="{00000000-0005-0000-0000-000079A70000}"/>
    <cellStyle name="Notas 7 2 2 5 2 2 3 3" xfId="42724" xr:uid="{00000000-0005-0000-0000-00007AA70000}"/>
    <cellStyle name="Notas 7 2 2 5 2 2 3 4" xfId="42725" xr:uid="{00000000-0005-0000-0000-00007BA70000}"/>
    <cellStyle name="Notas 7 2 2 5 2 2 4" xfId="42726" xr:uid="{00000000-0005-0000-0000-00007CA70000}"/>
    <cellStyle name="Notas 7 2 2 5 2 2 5" xfId="42727" xr:uid="{00000000-0005-0000-0000-00007DA70000}"/>
    <cellStyle name="Notas 7 2 2 5 2 2 6" xfId="42728" xr:uid="{00000000-0005-0000-0000-00007EA70000}"/>
    <cellStyle name="Notas 7 2 2 5 2 3" xfId="42729" xr:uid="{00000000-0005-0000-0000-00007FA70000}"/>
    <cellStyle name="Notas 7 2 2 5 2 3 2" xfId="42730" xr:uid="{00000000-0005-0000-0000-000080A70000}"/>
    <cellStyle name="Notas 7 2 2 5 2 3 2 2" xfId="42731" xr:uid="{00000000-0005-0000-0000-000081A70000}"/>
    <cellStyle name="Notas 7 2 2 5 2 3 2 3" xfId="42732" xr:uid="{00000000-0005-0000-0000-000082A70000}"/>
    <cellStyle name="Notas 7 2 2 5 2 3 2 4" xfId="42733" xr:uid="{00000000-0005-0000-0000-000083A70000}"/>
    <cellStyle name="Notas 7 2 2 5 2 3 3" xfId="42734" xr:uid="{00000000-0005-0000-0000-000084A70000}"/>
    <cellStyle name="Notas 7 2 2 5 2 3 3 2" xfId="42735" xr:uid="{00000000-0005-0000-0000-000085A70000}"/>
    <cellStyle name="Notas 7 2 2 5 2 3 3 3" xfId="42736" xr:uid="{00000000-0005-0000-0000-000086A70000}"/>
    <cellStyle name="Notas 7 2 2 5 2 3 3 4" xfId="42737" xr:uid="{00000000-0005-0000-0000-000087A70000}"/>
    <cellStyle name="Notas 7 2 2 5 2 3 4" xfId="42738" xr:uid="{00000000-0005-0000-0000-000088A70000}"/>
    <cellStyle name="Notas 7 2 2 5 2 3 5" xfId="42739" xr:uid="{00000000-0005-0000-0000-000089A70000}"/>
    <cellStyle name="Notas 7 2 2 5 2 3 6" xfId="42740" xr:uid="{00000000-0005-0000-0000-00008AA70000}"/>
    <cellStyle name="Notas 7 2 2 5 2 4" xfId="42741" xr:uid="{00000000-0005-0000-0000-00008BA70000}"/>
    <cellStyle name="Notas 7 2 2 5 2 5" xfId="42742" xr:uid="{00000000-0005-0000-0000-00008CA70000}"/>
    <cellStyle name="Notas 7 2 2 5 2 6" xfId="42743" xr:uid="{00000000-0005-0000-0000-00008DA70000}"/>
    <cellStyle name="Notas 7 2 2 5 3" xfId="42744" xr:uid="{00000000-0005-0000-0000-00008EA70000}"/>
    <cellStyle name="Notas 7 2 2 5 4" xfId="42745" xr:uid="{00000000-0005-0000-0000-00008FA70000}"/>
    <cellStyle name="Notas 7 2 2 6" xfId="42746" xr:uid="{00000000-0005-0000-0000-000090A70000}"/>
    <cellStyle name="Notas 7 2 2 6 2" xfId="42747" xr:uid="{00000000-0005-0000-0000-000091A70000}"/>
    <cellStyle name="Notas 7 2 2 6 2 2" xfId="42748" xr:uid="{00000000-0005-0000-0000-000092A70000}"/>
    <cellStyle name="Notas 7 2 2 6 2 2 2" xfId="42749" xr:uid="{00000000-0005-0000-0000-000093A70000}"/>
    <cellStyle name="Notas 7 2 2 6 2 2 3" xfId="42750" xr:uid="{00000000-0005-0000-0000-000094A70000}"/>
    <cellStyle name="Notas 7 2 2 6 2 2 4" xfId="42751" xr:uid="{00000000-0005-0000-0000-000095A70000}"/>
    <cellStyle name="Notas 7 2 2 6 2 3" xfId="42752" xr:uid="{00000000-0005-0000-0000-000096A70000}"/>
    <cellStyle name="Notas 7 2 2 6 2 3 2" xfId="42753" xr:uid="{00000000-0005-0000-0000-000097A70000}"/>
    <cellStyle name="Notas 7 2 2 6 2 3 3" xfId="42754" xr:uid="{00000000-0005-0000-0000-000098A70000}"/>
    <cellStyle name="Notas 7 2 2 6 2 3 4" xfId="42755" xr:uid="{00000000-0005-0000-0000-000099A70000}"/>
    <cellStyle name="Notas 7 2 2 6 2 4" xfId="42756" xr:uid="{00000000-0005-0000-0000-00009AA70000}"/>
    <cellStyle name="Notas 7 2 2 6 2 5" xfId="42757" xr:uid="{00000000-0005-0000-0000-00009BA70000}"/>
    <cellStyle name="Notas 7 2 2 6 2 6" xfId="42758" xr:uid="{00000000-0005-0000-0000-00009CA70000}"/>
    <cellStyle name="Notas 7 2 2 6 3" xfId="42759" xr:uid="{00000000-0005-0000-0000-00009DA70000}"/>
    <cellStyle name="Notas 7 2 2 6 3 2" xfId="42760" xr:uid="{00000000-0005-0000-0000-00009EA70000}"/>
    <cellStyle name="Notas 7 2 2 6 3 2 2" xfId="42761" xr:uid="{00000000-0005-0000-0000-00009FA70000}"/>
    <cellStyle name="Notas 7 2 2 6 3 2 3" xfId="42762" xr:uid="{00000000-0005-0000-0000-0000A0A70000}"/>
    <cellStyle name="Notas 7 2 2 6 3 2 4" xfId="42763" xr:uid="{00000000-0005-0000-0000-0000A1A70000}"/>
    <cellStyle name="Notas 7 2 2 6 3 3" xfId="42764" xr:uid="{00000000-0005-0000-0000-0000A2A70000}"/>
    <cellStyle name="Notas 7 2 2 6 3 3 2" xfId="42765" xr:uid="{00000000-0005-0000-0000-0000A3A70000}"/>
    <cellStyle name="Notas 7 2 2 6 3 3 3" xfId="42766" xr:uid="{00000000-0005-0000-0000-0000A4A70000}"/>
    <cellStyle name="Notas 7 2 2 6 3 3 4" xfId="42767" xr:uid="{00000000-0005-0000-0000-0000A5A70000}"/>
    <cellStyle name="Notas 7 2 2 6 3 4" xfId="42768" xr:uid="{00000000-0005-0000-0000-0000A6A70000}"/>
    <cellStyle name="Notas 7 2 2 6 3 5" xfId="42769" xr:uid="{00000000-0005-0000-0000-0000A7A70000}"/>
    <cellStyle name="Notas 7 2 2 6 3 6" xfId="42770" xr:uid="{00000000-0005-0000-0000-0000A8A70000}"/>
    <cellStyle name="Notas 7 2 2 6 4" xfId="42771" xr:uid="{00000000-0005-0000-0000-0000A9A70000}"/>
    <cellStyle name="Notas 7 2 2 6 4 2" xfId="42772" xr:uid="{00000000-0005-0000-0000-0000AAA70000}"/>
    <cellStyle name="Notas 7 2 2 6 4 3" xfId="42773" xr:uid="{00000000-0005-0000-0000-0000ABA70000}"/>
    <cellStyle name="Notas 7 2 2 6 4 4" xfId="42774" xr:uid="{00000000-0005-0000-0000-0000ACA70000}"/>
    <cellStyle name="Notas 7 2 2 6 5" xfId="42775" xr:uid="{00000000-0005-0000-0000-0000ADA70000}"/>
    <cellStyle name="Notas 7 2 2 6 6" xfId="42776" xr:uid="{00000000-0005-0000-0000-0000AEA70000}"/>
    <cellStyle name="Notas 7 2 2 7" xfId="42777" xr:uid="{00000000-0005-0000-0000-0000AFA70000}"/>
    <cellStyle name="Notas 7 2 2 7 2" xfId="42778" xr:uid="{00000000-0005-0000-0000-0000B0A70000}"/>
    <cellStyle name="Notas 7 2 2 7 2 2" xfId="42779" xr:uid="{00000000-0005-0000-0000-0000B1A70000}"/>
    <cellStyle name="Notas 7 2 2 7 2 2 2" xfId="42780" xr:uid="{00000000-0005-0000-0000-0000B2A70000}"/>
    <cellStyle name="Notas 7 2 2 7 2 2 3" xfId="42781" xr:uid="{00000000-0005-0000-0000-0000B3A70000}"/>
    <cellStyle name="Notas 7 2 2 7 2 2 4" xfId="42782" xr:uid="{00000000-0005-0000-0000-0000B4A70000}"/>
    <cellStyle name="Notas 7 2 2 7 2 3" xfId="42783" xr:uid="{00000000-0005-0000-0000-0000B5A70000}"/>
    <cellStyle name="Notas 7 2 2 7 2 3 2" xfId="42784" xr:uid="{00000000-0005-0000-0000-0000B6A70000}"/>
    <cellStyle name="Notas 7 2 2 7 2 3 3" xfId="42785" xr:uid="{00000000-0005-0000-0000-0000B7A70000}"/>
    <cellStyle name="Notas 7 2 2 7 2 3 4" xfId="42786" xr:uid="{00000000-0005-0000-0000-0000B8A70000}"/>
    <cellStyle name="Notas 7 2 2 7 2 4" xfId="42787" xr:uid="{00000000-0005-0000-0000-0000B9A70000}"/>
    <cellStyle name="Notas 7 2 2 7 2 5" xfId="42788" xr:uid="{00000000-0005-0000-0000-0000BAA70000}"/>
    <cellStyle name="Notas 7 2 2 7 2 6" xfId="42789" xr:uid="{00000000-0005-0000-0000-0000BBA70000}"/>
    <cellStyle name="Notas 7 2 2 7 3" xfId="42790" xr:uid="{00000000-0005-0000-0000-0000BCA70000}"/>
    <cellStyle name="Notas 7 2 2 7 3 2" xfId="42791" xr:uid="{00000000-0005-0000-0000-0000BDA70000}"/>
    <cellStyle name="Notas 7 2 2 7 3 2 2" xfId="42792" xr:uid="{00000000-0005-0000-0000-0000BEA70000}"/>
    <cellStyle name="Notas 7 2 2 7 3 2 3" xfId="42793" xr:uid="{00000000-0005-0000-0000-0000BFA70000}"/>
    <cellStyle name="Notas 7 2 2 7 3 2 4" xfId="42794" xr:uid="{00000000-0005-0000-0000-0000C0A70000}"/>
    <cellStyle name="Notas 7 2 2 7 3 3" xfId="42795" xr:uid="{00000000-0005-0000-0000-0000C1A70000}"/>
    <cellStyle name="Notas 7 2 2 7 3 3 2" xfId="42796" xr:uid="{00000000-0005-0000-0000-0000C2A70000}"/>
    <cellStyle name="Notas 7 2 2 7 3 3 3" xfId="42797" xr:uid="{00000000-0005-0000-0000-0000C3A70000}"/>
    <cellStyle name="Notas 7 2 2 7 3 3 4" xfId="42798" xr:uid="{00000000-0005-0000-0000-0000C4A70000}"/>
    <cellStyle name="Notas 7 2 2 7 3 4" xfId="42799" xr:uid="{00000000-0005-0000-0000-0000C5A70000}"/>
    <cellStyle name="Notas 7 2 2 7 3 5" xfId="42800" xr:uid="{00000000-0005-0000-0000-0000C6A70000}"/>
    <cellStyle name="Notas 7 2 2 7 3 6" xfId="42801" xr:uid="{00000000-0005-0000-0000-0000C7A70000}"/>
    <cellStyle name="Notas 7 2 2 7 4" xfId="42802" xr:uid="{00000000-0005-0000-0000-0000C8A70000}"/>
    <cellStyle name="Notas 7 2 2 7 4 2" xfId="42803" xr:uid="{00000000-0005-0000-0000-0000C9A70000}"/>
    <cellStyle name="Notas 7 2 2 7 4 3" xfId="42804" xr:uid="{00000000-0005-0000-0000-0000CAA70000}"/>
    <cellStyle name="Notas 7 2 2 7 4 4" xfId="42805" xr:uid="{00000000-0005-0000-0000-0000CBA70000}"/>
    <cellStyle name="Notas 7 2 2 7 5" xfId="42806" xr:uid="{00000000-0005-0000-0000-0000CCA70000}"/>
    <cellStyle name="Notas 7 2 2 7 6" xfId="42807" xr:uid="{00000000-0005-0000-0000-0000CDA70000}"/>
    <cellStyle name="Notas 7 2 2 8" xfId="42808" xr:uid="{00000000-0005-0000-0000-0000CEA70000}"/>
    <cellStyle name="Notas 7 2 2 8 2" xfId="42809" xr:uid="{00000000-0005-0000-0000-0000CFA70000}"/>
    <cellStyle name="Notas 7 2 2 8 2 2" xfId="42810" xr:uid="{00000000-0005-0000-0000-0000D0A70000}"/>
    <cellStyle name="Notas 7 2 2 8 2 2 2" xfId="42811" xr:uid="{00000000-0005-0000-0000-0000D1A70000}"/>
    <cellStyle name="Notas 7 2 2 8 2 2 3" xfId="42812" xr:uid="{00000000-0005-0000-0000-0000D2A70000}"/>
    <cellStyle name="Notas 7 2 2 8 2 2 4" xfId="42813" xr:uid="{00000000-0005-0000-0000-0000D3A70000}"/>
    <cellStyle name="Notas 7 2 2 8 2 3" xfId="42814" xr:uid="{00000000-0005-0000-0000-0000D4A70000}"/>
    <cellStyle name="Notas 7 2 2 8 2 3 2" xfId="42815" xr:uid="{00000000-0005-0000-0000-0000D5A70000}"/>
    <cellStyle name="Notas 7 2 2 8 2 3 3" xfId="42816" xr:uid="{00000000-0005-0000-0000-0000D6A70000}"/>
    <cellStyle name="Notas 7 2 2 8 2 3 4" xfId="42817" xr:uid="{00000000-0005-0000-0000-0000D7A70000}"/>
    <cellStyle name="Notas 7 2 2 8 2 4" xfId="42818" xr:uid="{00000000-0005-0000-0000-0000D8A70000}"/>
    <cellStyle name="Notas 7 2 2 8 2 5" xfId="42819" xr:uid="{00000000-0005-0000-0000-0000D9A70000}"/>
    <cellStyle name="Notas 7 2 2 8 2 6" xfId="42820" xr:uid="{00000000-0005-0000-0000-0000DAA70000}"/>
    <cellStyle name="Notas 7 2 2 8 3" xfId="42821" xr:uid="{00000000-0005-0000-0000-0000DBA70000}"/>
    <cellStyle name="Notas 7 2 2 8 3 2" xfId="42822" xr:uid="{00000000-0005-0000-0000-0000DCA70000}"/>
    <cellStyle name="Notas 7 2 2 8 3 2 2" xfId="42823" xr:uid="{00000000-0005-0000-0000-0000DDA70000}"/>
    <cellStyle name="Notas 7 2 2 8 3 2 3" xfId="42824" xr:uid="{00000000-0005-0000-0000-0000DEA70000}"/>
    <cellStyle name="Notas 7 2 2 8 3 2 4" xfId="42825" xr:uid="{00000000-0005-0000-0000-0000DFA70000}"/>
    <cellStyle name="Notas 7 2 2 8 3 3" xfId="42826" xr:uid="{00000000-0005-0000-0000-0000E0A70000}"/>
    <cellStyle name="Notas 7 2 2 8 3 3 2" xfId="42827" xr:uid="{00000000-0005-0000-0000-0000E1A70000}"/>
    <cellStyle name="Notas 7 2 2 8 3 3 3" xfId="42828" xr:uid="{00000000-0005-0000-0000-0000E2A70000}"/>
    <cellStyle name="Notas 7 2 2 8 3 3 4" xfId="42829" xr:uid="{00000000-0005-0000-0000-0000E3A70000}"/>
    <cellStyle name="Notas 7 2 2 8 3 4" xfId="42830" xr:uid="{00000000-0005-0000-0000-0000E4A70000}"/>
    <cellStyle name="Notas 7 2 2 8 3 5" xfId="42831" xr:uid="{00000000-0005-0000-0000-0000E5A70000}"/>
    <cellStyle name="Notas 7 2 2 8 3 6" xfId="42832" xr:uid="{00000000-0005-0000-0000-0000E6A70000}"/>
    <cellStyle name="Notas 7 2 2 8 4" xfId="42833" xr:uid="{00000000-0005-0000-0000-0000E7A70000}"/>
    <cellStyle name="Notas 7 2 2 8 4 2" xfId="42834" xr:uid="{00000000-0005-0000-0000-0000E8A70000}"/>
    <cellStyle name="Notas 7 2 2 8 4 3" xfId="42835" xr:uid="{00000000-0005-0000-0000-0000E9A70000}"/>
    <cellStyle name="Notas 7 2 2 8 4 4" xfId="42836" xr:uid="{00000000-0005-0000-0000-0000EAA70000}"/>
    <cellStyle name="Notas 7 2 2 8 5" xfId="42837" xr:uid="{00000000-0005-0000-0000-0000EBA70000}"/>
    <cellStyle name="Notas 7 2 2 8 6" xfId="42838" xr:uid="{00000000-0005-0000-0000-0000ECA70000}"/>
    <cellStyle name="Notas 7 2 2 9" xfId="42839" xr:uid="{00000000-0005-0000-0000-0000EDA70000}"/>
    <cellStyle name="Notas 7 2 2 9 2" xfId="42840" xr:uid="{00000000-0005-0000-0000-0000EEA70000}"/>
    <cellStyle name="Notas 7 2 2 9 2 2" xfId="42841" xr:uid="{00000000-0005-0000-0000-0000EFA70000}"/>
    <cellStyle name="Notas 7 2 2 9 2 2 2" xfId="42842" xr:uid="{00000000-0005-0000-0000-0000F0A70000}"/>
    <cellStyle name="Notas 7 2 2 9 2 2 3" xfId="42843" xr:uid="{00000000-0005-0000-0000-0000F1A70000}"/>
    <cellStyle name="Notas 7 2 2 9 2 2 4" xfId="42844" xr:uid="{00000000-0005-0000-0000-0000F2A70000}"/>
    <cellStyle name="Notas 7 2 2 9 2 3" xfId="42845" xr:uid="{00000000-0005-0000-0000-0000F3A70000}"/>
    <cellStyle name="Notas 7 2 2 9 2 3 2" xfId="42846" xr:uid="{00000000-0005-0000-0000-0000F4A70000}"/>
    <cellStyle name="Notas 7 2 2 9 2 3 3" xfId="42847" xr:uid="{00000000-0005-0000-0000-0000F5A70000}"/>
    <cellStyle name="Notas 7 2 2 9 2 3 4" xfId="42848" xr:uid="{00000000-0005-0000-0000-0000F6A70000}"/>
    <cellStyle name="Notas 7 2 2 9 2 4" xfId="42849" xr:uid="{00000000-0005-0000-0000-0000F7A70000}"/>
    <cellStyle name="Notas 7 2 2 9 2 5" xfId="42850" xr:uid="{00000000-0005-0000-0000-0000F8A70000}"/>
    <cellStyle name="Notas 7 2 2 9 2 6" xfId="42851" xr:uid="{00000000-0005-0000-0000-0000F9A70000}"/>
    <cellStyle name="Notas 7 2 2 9 3" xfId="42852" xr:uid="{00000000-0005-0000-0000-0000FAA70000}"/>
    <cellStyle name="Notas 7 2 2 9 3 2" xfId="42853" xr:uid="{00000000-0005-0000-0000-0000FBA70000}"/>
    <cellStyle name="Notas 7 2 2 9 3 2 2" xfId="42854" xr:uid="{00000000-0005-0000-0000-0000FCA70000}"/>
    <cellStyle name="Notas 7 2 2 9 3 2 3" xfId="42855" xr:uid="{00000000-0005-0000-0000-0000FDA70000}"/>
    <cellStyle name="Notas 7 2 2 9 3 2 4" xfId="42856" xr:uid="{00000000-0005-0000-0000-0000FEA70000}"/>
    <cellStyle name="Notas 7 2 2 9 3 3" xfId="42857" xr:uid="{00000000-0005-0000-0000-0000FFA70000}"/>
    <cellStyle name="Notas 7 2 2 9 3 3 2" xfId="42858" xr:uid="{00000000-0005-0000-0000-000000A80000}"/>
    <cellStyle name="Notas 7 2 2 9 3 3 3" xfId="42859" xr:uid="{00000000-0005-0000-0000-000001A80000}"/>
    <cellStyle name="Notas 7 2 2 9 3 3 4" xfId="42860" xr:uid="{00000000-0005-0000-0000-000002A80000}"/>
    <cellStyle name="Notas 7 2 2 9 3 4" xfId="42861" xr:uid="{00000000-0005-0000-0000-000003A80000}"/>
    <cellStyle name="Notas 7 2 2 9 3 5" xfId="42862" xr:uid="{00000000-0005-0000-0000-000004A80000}"/>
    <cellStyle name="Notas 7 2 2 9 3 6" xfId="42863" xr:uid="{00000000-0005-0000-0000-000005A80000}"/>
    <cellStyle name="Notas 7 2 2 9 4" xfId="42864" xr:uid="{00000000-0005-0000-0000-000006A80000}"/>
    <cellStyle name="Notas 7 2 2 9 4 2" xfId="42865" xr:uid="{00000000-0005-0000-0000-000007A80000}"/>
    <cellStyle name="Notas 7 2 2 9 4 3" xfId="42866" xr:uid="{00000000-0005-0000-0000-000008A80000}"/>
    <cellStyle name="Notas 7 2 2 9 4 4" xfId="42867" xr:uid="{00000000-0005-0000-0000-000009A80000}"/>
    <cellStyle name="Notas 7 2 2 9 5" xfId="42868" xr:uid="{00000000-0005-0000-0000-00000AA80000}"/>
    <cellStyle name="Notas 7 2 2 9 6" xfId="42869" xr:uid="{00000000-0005-0000-0000-00000BA80000}"/>
    <cellStyle name="Notas 7 2 3" xfId="42870" xr:uid="{00000000-0005-0000-0000-00000CA80000}"/>
    <cellStyle name="Notas 7 2 3 10" xfId="42871" xr:uid="{00000000-0005-0000-0000-00000DA80000}"/>
    <cellStyle name="Notas 7 2 3 10 2" xfId="42872" xr:uid="{00000000-0005-0000-0000-00000EA80000}"/>
    <cellStyle name="Notas 7 2 3 10 2 2" xfId="42873" xr:uid="{00000000-0005-0000-0000-00000FA80000}"/>
    <cellStyle name="Notas 7 2 3 10 2 2 2" xfId="42874" xr:uid="{00000000-0005-0000-0000-000010A80000}"/>
    <cellStyle name="Notas 7 2 3 10 2 2 3" xfId="42875" xr:uid="{00000000-0005-0000-0000-000011A80000}"/>
    <cellStyle name="Notas 7 2 3 10 2 2 4" xfId="42876" xr:uid="{00000000-0005-0000-0000-000012A80000}"/>
    <cellStyle name="Notas 7 2 3 10 2 3" xfId="42877" xr:uid="{00000000-0005-0000-0000-000013A80000}"/>
    <cellStyle name="Notas 7 2 3 10 2 3 2" xfId="42878" xr:uid="{00000000-0005-0000-0000-000014A80000}"/>
    <cellStyle name="Notas 7 2 3 10 2 3 3" xfId="42879" xr:uid="{00000000-0005-0000-0000-000015A80000}"/>
    <cellStyle name="Notas 7 2 3 10 2 3 4" xfId="42880" xr:uid="{00000000-0005-0000-0000-000016A80000}"/>
    <cellStyle name="Notas 7 2 3 10 2 4" xfId="42881" xr:uid="{00000000-0005-0000-0000-000017A80000}"/>
    <cellStyle name="Notas 7 2 3 10 2 5" xfId="42882" xr:uid="{00000000-0005-0000-0000-000018A80000}"/>
    <cellStyle name="Notas 7 2 3 10 2 6" xfId="42883" xr:uid="{00000000-0005-0000-0000-000019A80000}"/>
    <cellStyle name="Notas 7 2 3 10 3" xfId="42884" xr:uid="{00000000-0005-0000-0000-00001AA80000}"/>
    <cellStyle name="Notas 7 2 3 10 3 2" xfId="42885" xr:uid="{00000000-0005-0000-0000-00001BA80000}"/>
    <cellStyle name="Notas 7 2 3 10 3 2 2" xfId="42886" xr:uid="{00000000-0005-0000-0000-00001CA80000}"/>
    <cellStyle name="Notas 7 2 3 10 3 2 3" xfId="42887" xr:uid="{00000000-0005-0000-0000-00001DA80000}"/>
    <cellStyle name="Notas 7 2 3 10 3 2 4" xfId="42888" xr:uid="{00000000-0005-0000-0000-00001EA80000}"/>
    <cellStyle name="Notas 7 2 3 10 3 3" xfId="42889" xr:uid="{00000000-0005-0000-0000-00001FA80000}"/>
    <cellStyle name="Notas 7 2 3 10 3 3 2" xfId="42890" xr:uid="{00000000-0005-0000-0000-000020A80000}"/>
    <cellStyle name="Notas 7 2 3 10 3 3 3" xfId="42891" xr:uid="{00000000-0005-0000-0000-000021A80000}"/>
    <cellStyle name="Notas 7 2 3 10 3 3 4" xfId="42892" xr:uid="{00000000-0005-0000-0000-000022A80000}"/>
    <cellStyle name="Notas 7 2 3 10 3 4" xfId="42893" xr:uid="{00000000-0005-0000-0000-000023A80000}"/>
    <cellStyle name="Notas 7 2 3 10 3 5" xfId="42894" xr:uid="{00000000-0005-0000-0000-000024A80000}"/>
    <cellStyle name="Notas 7 2 3 10 3 6" xfId="42895" xr:uid="{00000000-0005-0000-0000-000025A80000}"/>
    <cellStyle name="Notas 7 2 3 10 4" xfId="42896" xr:uid="{00000000-0005-0000-0000-000026A80000}"/>
    <cellStyle name="Notas 7 2 3 10 5" xfId="42897" xr:uid="{00000000-0005-0000-0000-000027A80000}"/>
    <cellStyle name="Notas 7 2 3 10 6" xfId="42898" xr:uid="{00000000-0005-0000-0000-000028A80000}"/>
    <cellStyle name="Notas 7 2 3 11" xfId="42899" xr:uid="{00000000-0005-0000-0000-000029A80000}"/>
    <cellStyle name="Notas 7 2 3 12" xfId="42900" xr:uid="{00000000-0005-0000-0000-00002AA80000}"/>
    <cellStyle name="Notas 7 2 3 2" xfId="42901" xr:uid="{00000000-0005-0000-0000-00002BA80000}"/>
    <cellStyle name="Notas 7 2 3 2 2" xfId="42902" xr:uid="{00000000-0005-0000-0000-00002CA80000}"/>
    <cellStyle name="Notas 7 2 3 2 2 2" xfId="42903" xr:uid="{00000000-0005-0000-0000-00002DA80000}"/>
    <cellStyle name="Notas 7 2 3 2 2 2 2" xfId="42904" xr:uid="{00000000-0005-0000-0000-00002EA80000}"/>
    <cellStyle name="Notas 7 2 3 2 2 2 2 2" xfId="42905" xr:uid="{00000000-0005-0000-0000-00002FA80000}"/>
    <cellStyle name="Notas 7 2 3 2 2 2 2 3" xfId="42906" xr:uid="{00000000-0005-0000-0000-000030A80000}"/>
    <cellStyle name="Notas 7 2 3 2 2 2 2 4" xfId="42907" xr:uid="{00000000-0005-0000-0000-000031A80000}"/>
    <cellStyle name="Notas 7 2 3 2 2 2 3" xfId="42908" xr:uid="{00000000-0005-0000-0000-000032A80000}"/>
    <cellStyle name="Notas 7 2 3 2 2 2 3 2" xfId="42909" xr:uid="{00000000-0005-0000-0000-000033A80000}"/>
    <cellStyle name="Notas 7 2 3 2 2 2 3 3" xfId="42910" xr:uid="{00000000-0005-0000-0000-000034A80000}"/>
    <cellStyle name="Notas 7 2 3 2 2 2 3 4" xfId="42911" xr:uid="{00000000-0005-0000-0000-000035A80000}"/>
    <cellStyle name="Notas 7 2 3 2 2 2 4" xfId="42912" xr:uid="{00000000-0005-0000-0000-000036A80000}"/>
    <cellStyle name="Notas 7 2 3 2 2 2 5" xfId="42913" xr:uid="{00000000-0005-0000-0000-000037A80000}"/>
    <cellStyle name="Notas 7 2 3 2 2 2 6" xfId="42914" xr:uid="{00000000-0005-0000-0000-000038A80000}"/>
    <cellStyle name="Notas 7 2 3 2 2 3" xfId="42915" xr:uid="{00000000-0005-0000-0000-000039A80000}"/>
    <cellStyle name="Notas 7 2 3 2 2 3 2" xfId="42916" xr:uid="{00000000-0005-0000-0000-00003AA80000}"/>
    <cellStyle name="Notas 7 2 3 2 2 3 2 2" xfId="42917" xr:uid="{00000000-0005-0000-0000-00003BA80000}"/>
    <cellStyle name="Notas 7 2 3 2 2 3 2 3" xfId="42918" xr:uid="{00000000-0005-0000-0000-00003CA80000}"/>
    <cellStyle name="Notas 7 2 3 2 2 3 2 4" xfId="42919" xr:uid="{00000000-0005-0000-0000-00003DA80000}"/>
    <cellStyle name="Notas 7 2 3 2 2 3 3" xfId="42920" xr:uid="{00000000-0005-0000-0000-00003EA80000}"/>
    <cellStyle name="Notas 7 2 3 2 2 3 3 2" xfId="42921" xr:uid="{00000000-0005-0000-0000-00003FA80000}"/>
    <cellStyle name="Notas 7 2 3 2 2 3 3 3" xfId="42922" xr:uid="{00000000-0005-0000-0000-000040A80000}"/>
    <cellStyle name="Notas 7 2 3 2 2 3 3 4" xfId="42923" xr:uid="{00000000-0005-0000-0000-000041A80000}"/>
    <cellStyle name="Notas 7 2 3 2 2 3 4" xfId="42924" xr:uid="{00000000-0005-0000-0000-000042A80000}"/>
    <cellStyle name="Notas 7 2 3 2 2 3 5" xfId="42925" xr:uid="{00000000-0005-0000-0000-000043A80000}"/>
    <cellStyle name="Notas 7 2 3 2 2 3 6" xfId="42926" xr:uid="{00000000-0005-0000-0000-000044A80000}"/>
    <cellStyle name="Notas 7 2 3 2 2 4" xfId="42927" xr:uid="{00000000-0005-0000-0000-000045A80000}"/>
    <cellStyle name="Notas 7 2 3 2 2 5" xfId="42928" xr:uid="{00000000-0005-0000-0000-000046A80000}"/>
    <cellStyle name="Notas 7 2 3 2 2 6" xfId="42929" xr:uid="{00000000-0005-0000-0000-000047A80000}"/>
    <cellStyle name="Notas 7 2 3 2 3" xfId="42930" xr:uid="{00000000-0005-0000-0000-000048A80000}"/>
    <cellStyle name="Notas 7 2 3 2 4" xfId="42931" xr:uid="{00000000-0005-0000-0000-000049A80000}"/>
    <cellStyle name="Notas 7 2 3 3" xfId="42932" xr:uid="{00000000-0005-0000-0000-00004AA80000}"/>
    <cellStyle name="Notas 7 2 3 3 2" xfId="42933" xr:uid="{00000000-0005-0000-0000-00004BA80000}"/>
    <cellStyle name="Notas 7 2 3 3 2 2" xfId="42934" xr:uid="{00000000-0005-0000-0000-00004CA80000}"/>
    <cellStyle name="Notas 7 2 3 3 2 2 2" xfId="42935" xr:uid="{00000000-0005-0000-0000-00004DA80000}"/>
    <cellStyle name="Notas 7 2 3 3 2 2 2 2" xfId="42936" xr:uid="{00000000-0005-0000-0000-00004EA80000}"/>
    <cellStyle name="Notas 7 2 3 3 2 2 2 3" xfId="42937" xr:uid="{00000000-0005-0000-0000-00004FA80000}"/>
    <cellStyle name="Notas 7 2 3 3 2 2 2 4" xfId="42938" xr:uid="{00000000-0005-0000-0000-000050A80000}"/>
    <cellStyle name="Notas 7 2 3 3 2 2 3" xfId="42939" xr:uid="{00000000-0005-0000-0000-000051A80000}"/>
    <cellStyle name="Notas 7 2 3 3 2 2 3 2" xfId="42940" xr:uid="{00000000-0005-0000-0000-000052A80000}"/>
    <cellStyle name="Notas 7 2 3 3 2 2 3 3" xfId="42941" xr:uid="{00000000-0005-0000-0000-000053A80000}"/>
    <cellStyle name="Notas 7 2 3 3 2 2 3 4" xfId="42942" xr:uid="{00000000-0005-0000-0000-000054A80000}"/>
    <cellStyle name="Notas 7 2 3 3 2 2 4" xfId="42943" xr:uid="{00000000-0005-0000-0000-000055A80000}"/>
    <cellStyle name="Notas 7 2 3 3 2 2 5" xfId="42944" xr:uid="{00000000-0005-0000-0000-000056A80000}"/>
    <cellStyle name="Notas 7 2 3 3 2 2 6" xfId="42945" xr:uid="{00000000-0005-0000-0000-000057A80000}"/>
    <cellStyle name="Notas 7 2 3 3 2 3" xfId="42946" xr:uid="{00000000-0005-0000-0000-000058A80000}"/>
    <cellStyle name="Notas 7 2 3 3 2 3 2" xfId="42947" xr:uid="{00000000-0005-0000-0000-000059A80000}"/>
    <cellStyle name="Notas 7 2 3 3 2 3 2 2" xfId="42948" xr:uid="{00000000-0005-0000-0000-00005AA80000}"/>
    <cellStyle name="Notas 7 2 3 3 2 3 2 3" xfId="42949" xr:uid="{00000000-0005-0000-0000-00005BA80000}"/>
    <cellStyle name="Notas 7 2 3 3 2 3 2 4" xfId="42950" xr:uid="{00000000-0005-0000-0000-00005CA80000}"/>
    <cellStyle name="Notas 7 2 3 3 2 3 3" xfId="42951" xr:uid="{00000000-0005-0000-0000-00005DA80000}"/>
    <cellStyle name="Notas 7 2 3 3 2 3 3 2" xfId="42952" xr:uid="{00000000-0005-0000-0000-00005EA80000}"/>
    <cellStyle name="Notas 7 2 3 3 2 3 3 3" xfId="42953" xr:uid="{00000000-0005-0000-0000-00005FA80000}"/>
    <cellStyle name="Notas 7 2 3 3 2 3 3 4" xfId="42954" xr:uid="{00000000-0005-0000-0000-000060A80000}"/>
    <cellStyle name="Notas 7 2 3 3 2 3 4" xfId="42955" xr:uid="{00000000-0005-0000-0000-000061A80000}"/>
    <cellStyle name="Notas 7 2 3 3 2 3 5" xfId="42956" xr:uid="{00000000-0005-0000-0000-000062A80000}"/>
    <cellStyle name="Notas 7 2 3 3 2 3 6" xfId="42957" xr:uid="{00000000-0005-0000-0000-000063A80000}"/>
    <cellStyle name="Notas 7 2 3 3 2 4" xfId="42958" xr:uid="{00000000-0005-0000-0000-000064A80000}"/>
    <cellStyle name="Notas 7 2 3 3 2 5" xfId="42959" xr:uid="{00000000-0005-0000-0000-000065A80000}"/>
    <cellStyle name="Notas 7 2 3 3 2 6" xfId="42960" xr:uid="{00000000-0005-0000-0000-000066A80000}"/>
    <cellStyle name="Notas 7 2 3 3 3" xfId="42961" xr:uid="{00000000-0005-0000-0000-000067A80000}"/>
    <cellStyle name="Notas 7 2 3 3 4" xfId="42962" xr:uid="{00000000-0005-0000-0000-000068A80000}"/>
    <cellStyle name="Notas 7 2 3 4" xfId="42963" xr:uid="{00000000-0005-0000-0000-000069A80000}"/>
    <cellStyle name="Notas 7 2 3 4 2" xfId="42964" xr:uid="{00000000-0005-0000-0000-00006AA80000}"/>
    <cellStyle name="Notas 7 2 3 4 2 2" xfId="42965" xr:uid="{00000000-0005-0000-0000-00006BA80000}"/>
    <cellStyle name="Notas 7 2 3 4 2 2 2" xfId="42966" xr:uid="{00000000-0005-0000-0000-00006CA80000}"/>
    <cellStyle name="Notas 7 2 3 4 2 2 2 2" xfId="42967" xr:uid="{00000000-0005-0000-0000-00006DA80000}"/>
    <cellStyle name="Notas 7 2 3 4 2 2 2 3" xfId="42968" xr:uid="{00000000-0005-0000-0000-00006EA80000}"/>
    <cellStyle name="Notas 7 2 3 4 2 2 2 4" xfId="42969" xr:uid="{00000000-0005-0000-0000-00006FA80000}"/>
    <cellStyle name="Notas 7 2 3 4 2 2 3" xfId="42970" xr:uid="{00000000-0005-0000-0000-000070A80000}"/>
    <cellStyle name="Notas 7 2 3 4 2 2 3 2" xfId="42971" xr:uid="{00000000-0005-0000-0000-000071A80000}"/>
    <cellStyle name="Notas 7 2 3 4 2 2 3 3" xfId="42972" xr:uid="{00000000-0005-0000-0000-000072A80000}"/>
    <cellStyle name="Notas 7 2 3 4 2 2 3 4" xfId="42973" xr:uid="{00000000-0005-0000-0000-000073A80000}"/>
    <cellStyle name="Notas 7 2 3 4 2 2 4" xfId="42974" xr:uid="{00000000-0005-0000-0000-000074A80000}"/>
    <cellStyle name="Notas 7 2 3 4 2 2 5" xfId="42975" xr:uid="{00000000-0005-0000-0000-000075A80000}"/>
    <cellStyle name="Notas 7 2 3 4 2 2 6" xfId="42976" xr:uid="{00000000-0005-0000-0000-000076A80000}"/>
    <cellStyle name="Notas 7 2 3 4 2 3" xfId="42977" xr:uid="{00000000-0005-0000-0000-000077A80000}"/>
    <cellStyle name="Notas 7 2 3 4 2 3 2" xfId="42978" xr:uid="{00000000-0005-0000-0000-000078A80000}"/>
    <cellStyle name="Notas 7 2 3 4 2 3 2 2" xfId="42979" xr:uid="{00000000-0005-0000-0000-000079A80000}"/>
    <cellStyle name="Notas 7 2 3 4 2 3 2 3" xfId="42980" xr:uid="{00000000-0005-0000-0000-00007AA80000}"/>
    <cellStyle name="Notas 7 2 3 4 2 3 2 4" xfId="42981" xr:uid="{00000000-0005-0000-0000-00007BA80000}"/>
    <cellStyle name="Notas 7 2 3 4 2 3 3" xfId="42982" xr:uid="{00000000-0005-0000-0000-00007CA80000}"/>
    <cellStyle name="Notas 7 2 3 4 2 3 3 2" xfId="42983" xr:uid="{00000000-0005-0000-0000-00007DA80000}"/>
    <cellStyle name="Notas 7 2 3 4 2 3 3 3" xfId="42984" xr:uid="{00000000-0005-0000-0000-00007EA80000}"/>
    <cellStyle name="Notas 7 2 3 4 2 3 3 4" xfId="42985" xr:uid="{00000000-0005-0000-0000-00007FA80000}"/>
    <cellStyle name="Notas 7 2 3 4 2 3 4" xfId="42986" xr:uid="{00000000-0005-0000-0000-000080A80000}"/>
    <cellStyle name="Notas 7 2 3 4 2 3 5" xfId="42987" xr:uid="{00000000-0005-0000-0000-000081A80000}"/>
    <cellStyle name="Notas 7 2 3 4 2 3 6" xfId="42988" xr:uid="{00000000-0005-0000-0000-000082A80000}"/>
    <cellStyle name="Notas 7 2 3 4 2 4" xfId="42989" xr:uid="{00000000-0005-0000-0000-000083A80000}"/>
    <cellStyle name="Notas 7 2 3 4 2 5" xfId="42990" xr:uid="{00000000-0005-0000-0000-000084A80000}"/>
    <cellStyle name="Notas 7 2 3 4 2 6" xfId="42991" xr:uid="{00000000-0005-0000-0000-000085A80000}"/>
    <cellStyle name="Notas 7 2 3 4 3" xfId="42992" xr:uid="{00000000-0005-0000-0000-000086A80000}"/>
    <cellStyle name="Notas 7 2 3 4 4" xfId="42993" xr:uid="{00000000-0005-0000-0000-000087A80000}"/>
    <cellStyle name="Notas 7 2 3 5" xfId="42994" xr:uid="{00000000-0005-0000-0000-000088A80000}"/>
    <cellStyle name="Notas 7 2 3 5 2" xfId="42995" xr:uid="{00000000-0005-0000-0000-000089A80000}"/>
    <cellStyle name="Notas 7 2 3 5 2 2" xfId="42996" xr:uid="{00000000-0005-0000-0000-00008AA80000}"/>
    <cellStyle name="Notas 7 2 3 5 2 2 2" xfId="42997" xr:uid="{00000000-0005-0000-0000-00008BA80000}"/>
    <cellStyle name="Notas 7 2 3 5 2 2 2 2" xfId="42998" xr:uid="{00000000-0005-0000-0000-00008CA80000}"/>
    <cellStyle name="Notas 7 2 3 5 2 2 2 3" xfId="42999" xr:uid="{00000000-0005-0000-0000-00008DA80000}"/>
    <cellStyle name="Notas 7 2 3 5 2 2 2 4" xfId="43000" xr:uid="{00000000-0005-0000-0000-00008EA80000}"/>
    <cellStyle name="Notas 7 2 3 5 2 2 3" xfId="43001" xr:uid="{00000000-0005-0000-0000-00008FA80000}"/>
    <cellStyle name="Notas 7 2 3 5 2 2 3 2" xfId="43002" xr:uid="{00000000-0005-0000-0000-000090A80000}"/>
    <cellStyle name="Notas 7 2 3 5 2 2 3 3" xfId="43003" xr:uid="{00000000-0005-0000-0000-000091A80000}"/>
    <cellStyle name="Notas 7 2 3 5 2 2 3 4" xfId="43004" xr:uid="{00000000-0005-0000-0000-000092A80000}"/>
    <cellStyle name="Notas 7 2 3 5 2 2 4" xfId="43005" xr:uid="{00000000-0005-0000-0000-000093A80000}"/>
    <cellStyle name="Notas 7 2 3 5 2 2 5" xfId="43006" xr:uid="{00000000-0005-0000-0000-000094A80000}"/>
    <cellStyle name="Notas 7 2 3 5 2 2 6" xfId="43007" xr:uid="{00000000-0005-0000-0000-000095A80000}"/>
    <cellStyle name="Notas 7 2 3 5 2 3" xfId="43008" xr:uid="{00000000-0005-0000-0000-000096A80000}"/>
    <cellStyle name="Notas 7 2 3 5 2 3 2" xfId="43009" xr:uid="{00000000-0005-0000-0000-000097A80000}"/>
    <cellStyle name="Notas 7 2 3 5 2 3 2 2" xfId="43010" xr:uid="{00000000-0005-0000-0000-000098A80000}"/>
    <cellStyle name="Notas 7 2 3 5 2 3 2 3" xfId="43011" xr:uid="{00000000-0005-0000-0000-000099A80000}"/>
    <cellStyle name="Notas 7 2 3 5 2 3 2 4" xfId="43012" xr:uid="{00000000-0005-0000-0000-00009AA80000}"/>
    <cellStyle name="Notas 7 2 3 5 2 3 3" xfId="43013" xr:uid="{00000000-0005-0000-0000-00009BA80000}"/>
    <cellStyle name="Notas 7 2 3 5 2 3 3 2" xfId="43014" xr:uid="{00000000-0005-0000-0000-00009CA80000}"/>
    <cellStyle name="Notas 7 2 3 5 2 3 3 3" xfId="43015" xr:uid="{00000000-0005-0000-0000-00009DA80000}"/>
    <cellStyle name="Notas 7 2 3 5 2 3 3 4" xfId="43016" xr:uid="{00000000-0005-0000-0000-00009EA80000}"/>
    <cellStyle name="Notas 7 2 3 5 2 3 4" xfId="43017" xr:uid="{00000000-0005-0000-0000-00009FA80000}"/>
    <cellStyle name="Notas 7 2 3 5 2 3 5" xfId="43018" xr:uid="{00000000-0005-0000-0000-0000A0A80000}"/>
    <cellStyle name="Notas 7 2 3 5 2 3 6" xfId="43019" xr:uid="{00000000-0005-0000-0000-0000A1A80000}"/>
    <cellStyle name="Notas 7 2 3 5 2 4" xfId="43020" xr:uid="{00000000-0005-0000-0000-0000A2A80000}"/>
    <cellStyle name="Notas 7 2 3 5 2 5" xfId="43021" xr:uid="{00000000-0005-0000-0000-0000A3A80000}"/>
    <cellStyle name="Notas 7 2 3 5 2 6" xfId="43022" xr:uid="{00000000-0005-0000-0000-0000A4A80000}"/>
    <cellStyle name="Notas 7 2 3 5 3" xfId="43023" xr:uid="{00000000-0005-0000-0000-0000A5A80000}"/>
    <cellStyle name="Notas 7 2 3 5 4" xfId="43024" xr:uid="{00000000-0005-0000-0000-0000A6A80000}"/>
    <cellStyle name="Notas 7 2 3 6" xfId="43025" xr:uid="{00000000-0005-0000-0000-0000A7A80000}"/>
    <cellStyle name="Notas 7 2 3 6 2" xfId="43026" xr:uid="{00000000-0005-0000-0000-0000A8A80000}"/>
    <cellStyle name="Notas 7 2 3 6 2 2" xfId="43027" xr:uid="{00000000-0005-0000-0000-0000A9A80000}"/>
    <cellStyle name="Notas 7 2 3 6 2 2 2" xfId="43028" xr:uid="{00000000-0005-0000-0000-0000AAA80000}"/>
    <cellStyle name="Notas 7 2 3 6 2 2 3" xfId="43029" xr:uid="{00000000-0005-0000-0000-0000ABA80000}"/>
    <cellStyle name="Notas 7 2 3 6 2 2 4" xfId="43030" xr:uid="{00000000-0005-0000-0000-0000ACA80000}"/>
    <cellStyle name="Notas 7 2 3 6 2 3" xfId="43031" xr:uid="{00000000-0005-0000-0000-0000ADA80000}"/>
    <cellStyle name="Notas 7 2 3 6 2 3 2" xfId="43032" xr:uid="{00000000-0005-0000-0000-0000AEA80000}"/>
    <cellStyle name="Notas 7 2 3 6 2 3 3" xfId="43033" xr:uid="{00000000-0005-0000-0000-0000AFA80000}"/>
    <cellStyle name="Notas 7 2 3 6 2 3 4" xfId="43034" xr:uid="{00000000-0005-0000-0000-0000B0A80000}"/>
    <cellStyle name="Notas 7 2 3 6 2 4" xfId="43035" xr:uid="{00000000-0005-0000-0000-0000B1A80000}"/>
    <cellStyle name="Notas 7 2 3 6 2 5" xfId="43036" xr:uid="{00000000-0005-0000-0000-0000B2A80000}"/>
    <cellStyle name="Notas 7 2 3 6 2 6" xfId="43037" xr:uid="{00000000-0005-0000-0000-0000B3A80000}"/>
    <cellStyle name="Notas 7 2 3 6 3" xfId="43038" xr:uid="{00000000-0005-0000-0000-0000B4A80000}"/>
    <cellStyle name="Notas 7 2 3 6 3 2" xfId="43039" xr:uid="{00000000-0005-0000-0000-0000B5A80000}"/>
    <cellStyle name="Notas 7 2 3 6 3 2 2" xfId="43040" xr:uid="{00000000-0005-0000-0000-0000B6A80000}"/>
    <cellStyle name="Notas 7 2 3 6 3 2 3" xfId="43041" xr:uid="{00000000-0005-0000-0000-0000B7A80000}"/>
    <cellStyle name="Notas 7 2 3 6 3 2 4" xfId="43042" xr:uid="{00000000-0005-0000-0000-0000B8A80000}"/>
    <cellStyle name="Notas 7 2 3 6 3 3" xfId="43043" xr:uid="{00000000-0005-0000-0000-0000B9A80000}"/>
    <cellStyle name="Notas 7 2 3 6 3 3 2" xfId="43044" xr:uid="{00000000-0005-0000-0000-0000BAA80000}"/>
    <cellStyle name="Notas 7 2 3 6 3 3 3" xfId="43045" xr:uid="{00000000-0005-0000-0000-0000BBA80000}"/>
    <cellStyle name="Notas 7 2 3 6 3 3 4" xfId="43046" xr:uid="{00000000-0005-0000-0000-0000BCA80000}"/>
    <cellStyle name="Notas 7 2 3 6 3 4" xfId="43047" xr:uid="{00000000-0005-0000-0000-0000BDA80000}"/>
    <cellStyle name="Notas 7 2 3 6 3 5" xfId="43048" xr:uid="{00000000-0005-0000-0000-0000BEA80000}"/>
    <cellStyle name="Notas 7 2 3 6 3 6" xfId="43049" xr:uid="{00000000-0005-0000-0000-0000BFA80000}"/>
    <cellStyle name="Notas 7 2 3 6 4" xfId="43050" xr:uid="{00000000-0005-0000-0000-0000C0A80000}"/>
    <cellStyle name="Notas 7 2 3 6 4 2" xfId="43051" xr:uid="{00000000-0005-0000-0000-0000C1A80000}"/>
    <cellStyle name="Notas 7 2 3 6 4 3" xfId="43052" xr:uid="{00000000-0005-0000-0000-0000C2A80000}"/>
    <cellStyle name="Notas 7 2 3 6 4 4" xfId="43053" xr:uid="{00000000-0005-0000-0000-0000C3A80000}"/>
    <cellStyle name="Notas 7 2 3 6 5" xfId="43054" xr:uid="{00000000-0005-0000-0000-0000C4A80000}"/>
    <cellStyle name="Notas 7 2 3 6 6" xfId="43055" xr:uid="{00000000-0005-0000-0000-0000C5A80000}"/>
    <cellStyle name="Notas 7 2 3 7" xfId="43056" xr:uid="{00000000-0005-0000-0000-0000C6A80000}"/>
    <cellStyle name="Notas 7 2 3 7 2" xfId="43057" xr:uid="{00000000-0005-0000-0000-0000C7A80000}"/>
    <cellStyle name="Notas 7 2 3 7 2 2" xfId="43058" xr:uid="{00000000-0005-0000-0000-0000C8A80000}"/>
    <cellStyle name="Notas 7 2 3 7 2 2 2" xfId="43059" xr:uid="{00000000-0005-0000-0000-0000C9A80000}"/>
    <cellStyle name="Notas 7 2 3 7 2 2 3" xfId="43060" xr:uid="{00000000-0005-0000-0000-0000CAA80000}"/>
    <cellStyle name="Notas 7 2 3 7 2 2 4" xfId="43061" xr:uid="{00000000-0005-0000-0000-0000CBA80000}"/>
    <cellStyle name="Notas 7 2 3 7 2 3" xfId="43062" xr:uid="{00000000-0005-0000-0000-0000CCA80000}"/>
    <cellStyle name="Notas 7 2 3 7 2 3 2" xfId="43063" xr:uid="{00000000-0005-0000-0000-0000CDA80000}"/>
    <cellStyle name="Notas 7 2 3 7 2 3 3" xfId="43064" xr:uid="{00000000-0005-0000-0000-0000CEA80000}"/>
    <cellStyle name="Notas 7 2 3 7 2 3 4" xfId="43065" xr:uid="{00000000-0005-0000-0000-0000CFA80000}"/>
    <cellStyle name="Notas 7 2 3 7 2 4" xfId="43066" xr:uid="{00000000-0005-0000-0000-0000D0A80000}"/>
    <cellStyle name="Notas 7 2 3 7 2 5" xfId="43067" xr:uid="{00000000-0005-0000-0000-0000D1A80000}"/>
    <cellStyle name="Notas 7 2 3 7 2 6" xfId="43068" xr:uid="{00000000-0005-0000-0000-0000D2A80000}"/>
    <cellStyle name="Notas 7 2 3 7 3" xfId="43069" xr:uid="{00000000-0005-0000-0000-0000D3A80000}"/>
    <cellStyle name="Notas 7 2 3 7 3 2" xfId="43070" xr:uid="{00000000-0005-0000-0000-0000D4A80000}"/>
    <cellStyle name="Notas 7 2 3 7 3 2 2" xfId="43071" xr:uid="{00000000-0005-0000-0000-0000D5A80000}"/>
    <cellStyle name="Notas 7 2 3 7 3 2 3" xfId="43072" xr:uid="{00000000-0005-0000-0000-0000D6A80000}"/>
    <cellStyle name="Notas 7 2 3 7 3 2 4" xfId="43073" xr:uid="{00000000-0005-0000-0000-0000D7A80000}"/>
    <cellStyle name="Notas 7 2 3 7 3 3" xfId="43074" xr:uid="{00000000-0005-0000-0000-0000D8A80000}"/>
    <cellStyle name="Notas 7 2 3 7 3 3 2" xfId="43075" xr:uid="{00000000-0005-0000-0000-0000D9A80000}"/>
    <cellStyle name="Notas 7 2 3 7 3 3 3" xfId="43076" xr:uid="{00000000-0005-0000-0000-0000DAA80000}"/>
    <cellStyle name="Notas 7 2 3 7 3 3 4" xfId="43077" xr:uid="{00000000-0005-0000-0000-0000DBA80000}"/>
    <cellStyle name="Notas 7 2 3 7 3 4" xfId="43078" xr:uid="{00000000-0005-0000-0000-0000DCA80000}"/>
    <cellStyle name="Notas 7 2 3 7 3 5" xfId="43079" xr:uid="{00000000-0005-0000-0000-0000DDA80000}"/>
    <cellStyle name="Notas 7 2 3 7 3 6" xfId="43080" xr:uid="{00000000-0005-0000-0000-0000DEA80000}"/>
    <cellStyle name="Notas 7 2 3 7 4" xfId="43081" xr:uid="{00000000-0005-0000-0000-0000DFA80000}"/>
    <cellStyle name="Notas 7 2 3 7 4 2" xfId="43082" xr:uid="{00000000-0005-0000-0000-0000E0A80000}"/>
    <cellStyle name="Notas 7 2 3 7 4 3" xfId="43083" xr:uid="{00000000-0005-0000-0000-0000E1A80000}"/>
    <cellStyle name="Notas 7 2 3 7 4 4" xfId="43084" xr:uid="{00000000-0005-0000-0000-0000E2A80000}"/>
    <cellStyle name="Notas 7 2 3 7 5" xfId="43085" xr:uid="{00000000-0005-0000-0000-0000E3A80000}"/>
    <cellStyle name="Notas 7 2 3 7 6" xfId="43086" xr:uid="{00000000-0005-0000-0000-0000E4A80000}"/>
    <cellStyle name="Notas 7 2 3 8" xfId="43087" xr:uid="{00000000-0005-0000-0000-0000E5A80000}"/>
    <cellStyle name="Notas 7 2 3 8 2" xfId="43088" xr:uid="{00000000-0005-0000-0000-0000E6A80000}"/>
    <cellStyle name="Notas 7 2 3 8 2 2" xfId="43089" xr:uid="{00000000-0005-0000-0000-0000E7A80000}"/>
    <cellStyle name="Notas 7 2 3 8 2 2 2" xfId="43090" xr:uid="{00000000-0005-0000-0000-0000E8A80000}"/>
    <cellStyle name="Notas 7 2 3 8 2 2 3" xfId="43091" xr:uid="{00000000-0005-0000-0000-0000E9A80000}"/>
    <cellStyle name="Notas 7 2 3 8 2 2 4" xfId="43092" xr:uid="{00000000-0005-0000-0000-0000EAA80000}"/>
    <cellStyle name="Notas 7 2 3 8 2 3" xfId="43093" xr:uid="{00000000-0005-0000-0000-0000EBA80000}"/>
    <cellStyle name="Notas 7 2 3 8 2 3 2" xfId="43094" xr:uid="{00000000-0005-0000-0000-0000ECA80000}"/>
    <cellStyle name="Notas 7 2 3 8 2 3 3" xfId="43095" xr:uid="{00000000-0005-0000-0000-0000EDA80000}"/>
    <cellStyle name="Notas 7 2 3 8 2 3 4" xfId="43096" xr:uid="{00000000-0005-0000-0000-0000EEA80000}"/>
    <cellStyle name="Notas 7 2 3 8 2 4" xfId="43097" xr:uid="{00000000-0005-0000-0000-0000EFA80000}"/>
    <cellStyle name="Notas 7 2 3 8 2 5" xfId="43098" xr:uid="{00000000-0005-0000-0000-0000F0A80000}"/>
    <cellStyle name="Notas 7 2 3 8 2 6" xfId="43099" xr:uid="{00000000-0005-0000-0000-0000F1A80000}"/>
    <cellStyle name="Notas 7 2 3 8 3" xfId="43100" xr:uid="{00000000-0005-0000-0000-0000F2A80000}"/>
    <cellStyle name="Notas 7 2 3 8 3 2" xfId="43101" xr:uid="{00000000-0005-0000-0000-0000F3A80000}"/>
    <cellStyle name="Notas 7 2 3 8 3 2 2" xfId="43102" xr:uid="{00000000-0005-0000-0000-0000F4A80000}"/>
    <cellStyle name="Notas 7 2 3 8 3 2 3" xfId="43103" xr:uid="{00000000-0005-0000-0000-0000F5A80000}"/>
    <cellStyle name="Notas 7 2 3 8 3 2 4" xfId="43104" xr:uid="{00000000-0005-0000-0000-0000F6A80000}"/>
    <cellStyle name="Notas 7 2 3 8 3 3" xfId="43105" xr:uid="{00000000-0005-0000-0000-0000F7A80000}"/>
    <cellStyle name="Notas 7 2 3 8 3 3 2" xfId="43106" xr:uid="{00000000-0005-0000-0000-0000F8A80000}"/>
    <cellStyle name="Notas 7 2 3 8 3 3 3" xfId="43107" xr:uid="{00000000-0005-0000-0000-0000F9A80000}"/>
    <cellStyle name="Notas 7 2 3 8 3 3 4" xfId="43108" xr:uid="{00000000-0005-0000-0000-0000FAA80000}"/>
    <cellStyle name="Notas 7 2 3 8 3 4" xfId="43109" xr:uid="{00000000-0005-0000-0000-0000FBA80000}"/>
    <cellStyle name="Notas 7 2 3 8 3 5" xfId="43110" xr:uid="{00000000-0005-0000-0000-0000FCA80000}"/>
    <cellStyle name="Notas 7 2 3 8 3 6" xfId="43111" xr:uid="{00000000-0005-0000-0000-0000FDA80000}"/>
    <cellStyle name="Notas 7 2 3 8 4" xfId="43112" xr:uid="{00000000-0005-0000-0000-0000FEA80000}"/>
    <cellStyle name="Notas 7 2 3 8 4 2" xfId="43113" xr:uid="{00000000-0005-0000-0000-0000FFA80000}"/>
    <cellStyle name="Notas 7 2 3 8 4 3" xfId="43114" xr:uid="{00000000-0005-0000-0000-000000A90000}"/>
    <cellStyle name="Notas 7 2 3 8 4 4" xfId="43115" xr:uid="{00000000-0005-0000-0000-000001A90000}"/>
    <cellStyle name="Notas 7 2 3 8 5" xfId="43116" xr:uid="{00000000-0005-0000-0000-000002A90000}"/>
    <cellStyle name="Notas 7 2 3 8 6" xfId="43117" xr:uid="{00000000-0005-0000-0000-000003A90000}"/>
    <cellStyle name="Notas 7 2 3 9" xfId="43118" xr:uid="{00000000-0005-0000-0000-000004A90000}"/>
    <cellStyle name="Notas 7 2 3 9 2" xfId="43119" xr:uid="{00000000-0005-0000-0000-000005A90000}"/>
    <cellStyle name="Notas 7 2 3 9 2 2" xfId="43120" xr:uid="{00000000-0005-0000-0000-000006A90000}"/>
    <cellStyle name="Notas 7 2 3 9 2 2 2" xfId="43121" xr:uid="{00000000-0005-0000-0000-000007A90000}"/>
    <cellStyle name="Notas 7 2 3 9 2 2 3" xfId="43122" xr:uid="{00000000-0005-0000-0000-000008A90000}"/>
    <cellStyle name="Notas 7 2 3 9 2 2 4" xfId="43123" xr:uid="{00000000-0005-0000-0000-000009A90000}"/>
    <cellStyle name="Notas 7 2 3 9 2 3" xfId="43124" xr:uid="{00000000-0005-0000-0000-00000AA90000}"/>
    <cellStyle name="Notas 7 2 3 9 2 3 2" xfId="43125" xr:uid="{00000000-0005-0000-0000-00000BA90000}"/>
    <cellStyle name="Notas 7 2 3 9 2 3 3" xfId="43126" xr:uid="{00000000-0005-0000-0000-00000CA90000}"/>
    <cellStyle name="Notas 7 2 3 9 2 3 4" xfId="43127" xr:uid="{00000000-0005-0000-0000-00000DA90000}"/>
    <cellStyle name="Notas 7 2 3 9 2 4" xfId="43128" xr:uid="{00000000-0005-0000-0000-00000EA90000}"/>
    <cellStyle name="Notas 7 2 3 9 2 5" xfId="43129" xr:uid="{00000000-0005-0000-0000-00000FA90000}"/>
    <cellStyle name="Notas 7 2 3 9 2 6" xfId="43130" xr:uid="{00000000-0005-0000-0000-000010A90000}"/>
    <cellStyle name="Notas 7 2 3 9 3" xfId="43131" xr:uid="{00000000-0005-0000-0000-000011A90000}"/>
    <cellStyle name="Notas 7 2 3 9 3 2" xfId="43132" xr:uid="{00000000-0005-0000-0000-000012A90000}"/>
    <cellStyle name="Notas 7 2 3 9 3 2 2" xfId="43133" xr:uid="{00000000-0005-0000-0000-000013A90000}"/>
    <cellStyle name="Notas 7 2 3 9 3 2 3" xfId="43134" xr:uid="{00000000-0005-0000-0000-000014A90000}"/>
    <cellStyle name="Notas 7 2 3 9 3 2 4" xfId="43135" xr:uid="{00000000-0005-0000-0000-000015A90000}"/>
    <cellStyle name="Notas 7 2 3 9 3 3" xfId="43136" xr:uid="{00000000-0005-0000-0000-000016A90000}"/>
    <cellStyle name="Notas 7 2 3 9 3 3 2" xfId="43137" xr:uid="{00000000-0005-0000-0000-000017A90000}"/>
    <cellStyle name="Notas 7 2 3 9 3 3 3" xfId="43138" xr:uid="{00000000-0005-0000-0000-000018A90000}"/>
    <cellStyle name="Notas 7 2 3 9 3 3 4" xfId="43139" xr:uid="{00000000-0005-0000-0000-000019A90000}"/>
    <cellStyle name="Notas 7 2 3 9 3 4" xfId="43140" xr:uid="{00000000-0005-0000-0000-00001AA90000}"/>
    <cellStyle name="Notas 7 2 3 9 3 5" xfId="43141" xr:uid="{00000000-0005-0000-0000-00001BA90000}"/>
    <cellStyle name="Notas 7 2 3 9 3 6" xfId="43142" xr:uid="{00000000-0005-0000-0000-00001CA90000}"/>
    <cellStyle name="Notas 7 2 3 9 4" xfId="43143" xr:uid="{00000000-0005-0000-0000-00001DA90000}"/>
    <cellStyle name="Notas 7 2 3 9 4 2" xfId="43144" xr:uid="{00000000-0005-0000-0000-00001EA90000}"/>
    <cellStyle name="Notas 7 2 3 9 4 3" xfId="43145" xr:uid="{00000000-0005-0000-0000-00001FA90000}"/>
    <cellStyle name="Notas 7 2 3 9 4 4" xfId="43146" xr:uid="{00000000-0005-0000-0000-000020A90000}"/>
    <cellStyle name="Notas 7 2 3 9 5" xfId="43147" xr:uid="{00000000-0005-0000-0000-000021A90000}"/>
    <cellStyle name="Notas 7 2 3 9 6" xfId="43148" xr:uid="{00000000-0005-0000-0000-000022A90000}"/>
    <cellStyle name="Notas 7 2 4" xfId="43149" xr:uid="{00000000-0005-0000-0000-000023A90000}"/>
    <cellStyle name="Notas 7 2 4 2" xfId="43150" xr:uid="{00000000-0005-0000-0000-000024A90000}"/>
    <cellStyle name="Notas 7 2 4 2 2" xfId="43151" xr:uid="{00000000-0005-0000-0000-000025A90000}"/>
    <cellStyle name="Notas 7 2 4 2 2 2" xfId="43152" xr:uid="{00000000-0005-0000-0000-000026A90000}"/>
    <cellStyle name="Notas 7 2 4 2 2 2 2" xfId="43153" xr:uid="{00000000-0005-0000-0000-000027A90000}"/>
    <cellStyle name="Notas 7 2 4 2 2 2 3" xfId="43154" xr:uid="{00000000-0005-0000-0000-000028A90000}"/>
    <cellStyle name="Notas 7 2 4 2 2 2 4" xfId="43155" xr:uid="{00000000-0005-0000-0000-000029A90000}"/>
    <cellStyle name="Notas 7 2 4 2 2 3" xfId="43156" xr:uid="{00000000-0005-0000-0000-00002AA90000}"/>
    <cellStyle name="Notas 7 2 4 2 2 3 2" xfId="43157" xr:uid="{00000000-0005-0000-0000-00002BA90000}"/>
    <cellStyle name="Notas 7 2 4 2 2 3 3" xfId="43158" xr:uid="{00000000-0005-0000-0000-00002CA90000}"/>
    <cellStyle name="Notas 7 2 4 2 2 3 4" xfId="43159" xr:uid="{00000000-0005-0000-0000-00002DA90000}"/>
    <cellStyle name="Notas 7 2 4 2 2 4" xfId="43160" xr:uid="{00000000-0005-0000-0000-00002EA90000}"/>
    <cellStyle name="Notas 7 2 4 2 2 5" xfId="43161" xr:uid="{00000000-0005-0000-0000-00002FA90000}"/>
    <cellStyle name="Notas 7 2 4 2 2 6" xfId="43162" xr:uid="{00000000-0005-0000-0000-000030A90000}"/>
    <cellStyle name="Notas 7 2 4 2 3" xfId="43163" xr:uid="{00000000-0005-0000-0000-000031A90000}"/>
    <cellStyle name="Notas 7 2 4 2 3 2" xfId="43164" xr:uid="{00000000-0005-0000-0000-000032A90000}"/>
    <cellStyle name="Notas 7 2 4 2 3 2 2" xfId="43165" xr:uid="{00000000-0005-0000-0000-000033A90000}"/>
    <cellStyle name="Notas 7 2 4 2 3 2 3" xfId="43166" xr:uid="{00000000-0005-0000-0000-000034A90000}"/>
    <cellStyle name="Notas 7 2 4 2 3 2 4" xfId="43167" xr:uid="{00000000-0005-0000-0000-000035A90000}"/>
    <cellStyle name="Notas 7 2 4 2 3 3" xfId="43168" xr:uid="{00000000-0005-0000-0000-000036A90000}"/>
    <cellStyle name="Notas 7 2 4 2 3 3 2" xfId="43169" xr:uid="{00000000-0005-0000-0000-000037A90000}"/>
    <cellStyle name="Notas 7 2 4 2 3 3 3" xfId="43170" xr:uid="{00000000-0005-0000-0000-000038A90000}"/>
    <cellStyle name="Notas 7 2 4 2 3 3 4" xfId="43171" xr:uid="{00000000-0005-0000-0000-000039A90000}"/>
    <cellStyle name="Notas 7 2 4 2 3 4" xfId="43172" xr:uid="{00000000-0005-0000-0000-00003AA90000}"/>
    <cellStyle name="Notas 7 2 4 2 3 5" xfId="43173" xr:uid="{00000000-0005-0000-0000-00003BA90000}"/>
    <cellStyle name="Notas 7 2 4 2 3 6" xfId="43174" xr:uid="{00000000-0005-0000-0000-00003CA90000}"/>
    <cellStyle name="Notas 7 2 4 2 4" xfId="43175" xr:uid="{00000000-0005-0000-0000-00003DA90000}"/>
    <cellStyle name="Notas 7 2 4 2 5" xfId="43176" xr:uid="{00000000-0005-0000-0000-00003EA90000}"/>
    <cellStyle name="Notas 7 2 4 2 6" xfId="43177" xr:uid="{00000000-0005-0000-0000-00003FA90000}"/>
    <cellStyle name="Notas 7 2 4 3" xfId="43178" xr:uid="{00000000-0005-0000-0000-000040A90000}"/>
    <cellStyle name="Notas 7 2 4 4" xfId="43179" xr:uid="{00000000-0005-0000-0000-000041A90000}"/>
    <cellStyle name="Notas 7 2 5" xfId="43180" xr:uid="{00000000-0005-0000-0000-000042A90000}"/>
    <cellStyle name="Notas 7 2 5 2" xfId="43181" xr:uid="{00000000-0005-0000-0000-000043A90000}"/>
    <cellStyle name="Notas 7 2 5 2 2" xfId="43182" xr:uid="{00000000-0005-0000-0000-000044A90000}"/>
    <cellStyle name="Notas 7 2 5 2 2 2" xfId="43183" xr:uid="{00000000-0005-0000-0000-000045A90000}"/>
    <cellStyle name="Notas 7 2 5 2 2 2 2" xfId="43184" xr:uid="{00000000-0005-0000-0000-000046A90000}"/>
    <cellStyle name="Notas 7 2 5 2 2 2 3" xfId="43185" xr:uid="{00000000-0005-0000-0000-000047A90000}"/>
    <cellStyle name="Notas 7 2 5 2 2 2 4" xfId="43186" xr:uid="{00000000-0005-0000-0000-000048A90000}"/>
    <cellStyle name="Notas 7 2 5 2 2 3" xfId="43187" xr:uid="{00000000-0005-0000-0000-000049A90000}"/>
    <cellStyle name="Notas 7 2 5 2 2 3 2" xfId="43188" xr:uid="{00000000-0005-0000-0000-00004AA90000}"/>
    <cellStyle name="Notas 7 2 5 2 2 3 3" xfId="43189" xr:uid="{00000000-0005-0000-0000-00004BA90000}"/>
    <cellStyle name="Notas 7 2 5 2 2 3 4" xfId="43190" xr:uid="{00000000-0005-0000-0000-00004CA90000}"/>
    <cellStyle name="Notas 7 2 5 2 2 4" xfId="43191" xr:uid="{00000000-0005-0000-0000-00004DA90000}"/>
    <cellStyle name="Notas 7 2 5 2 2 5" xfId="43192" xr:uid="{00000000-0005-0000-0000-00004EA90000}"/>
    <cellStyle name="Notas 7 2 5 2 2 6" xfId="43193" xr:uid="{00000000-0005-0000-0000-00004FA90000}"/>
    <cellStyle name="Notas 7 2 5 2 3" xfId="43194" xr:uid="{00000000-0005-0000-0000-000050A90000}"/>
    <cellStyle name="Notas 7 2 5 2 3 2" xfId="43195" xr:uid="{00000000-0005-0000-0000-000051A90000}"/>
    <cellStyle name="Notas 7 2 5 2 3 2 2" xfId="43196" xr:uid="{00000000-0005-0000-0000-000052A90000}"/>
    <cellStyle name="Notas 7 2 5 2 3 2 3" xfId="43197" xr:uid="{00000000-0005-0000-0000-000053A90000}"/>
    <cellStyle name="Notas 7 2 5 2 3 2 4" xfId="43198" xr:uid="{00000000-0005-0000-0000-000054A90000}"/>
    <cellStyle name="Notas 7 2 5 2 3 3" xfId="43199" xr:uid="{00000000-0005-0000-0000-000055A90000}"/>
    <cellStyle name="Notas 7 2 5 2 3 3 2" xfId="43200" xr:uid="{00000000-0005-0000-0000-000056A90000}"/>
    <cellStyle name="Notas 7 2 5 2 3 3 3" xfId="43201" xr:uid="{00000000-0005-0000-0000-000057A90000}"/>
    <cellStyle name="Notas 7 2 5 2 3 3 4" xfId="43202" xr:uid="{00000000-0005-0000-0000-000058A90000}"/>
    <cellStyle name="Notas 7 2 5 2 3 4" xfId="43203" xr:uid="{00000000-0005-0000-0000-000059A90000}"/>
    <cellStyle name="Notas 7 2 5 2 3 5" xfId="43204" xr:uid="{00000000-0005-0000-0000-00005AA90000}"/>
    <cellStyle name="Notas 7 2 5 2 3 6" xfId="43205" xr:uid="{00000000-0005-0000-0000-00005BA90000}"/>
    <cellStyle name="Notas 7 2 5 2 4" xfId="43206" xr:uid="{00000000-0005-0000-0000-00005CA90000}"/>
    <cellStyle name="Notas 7 2 5 2 5" xfId="43207" xr:uid="{00000000-0005-0000-0000-00005DA90000}"/>
    <cellStyle name="Notas 7 2 5 2 6" xfId="43208" xr:uid="{00000000-0005-0000-0000-00005EA90000}"/>
    <cellStyle name="Notas 7 2 5 3" xfId="43209" xr:uid="{00000000-0005-0000-0000-00005FA90000}"/>
    <cellStyle name="Notas 7 2 5 4" xfId="43210" xr:uid="{00000000-0005-0000-0000-000060A90000}"/>
    <cellStyle name="Notas 7 2 6" xfId="43211" xr:uid="{00000000-0005-0000-0000-000061A90000}"/>
    <cellStyle name="Notas 7 2 6 2" xfId="43212" xr:uid="{00000000-0005-0000-0000-000062A90000}"/>
    <cellStyle name="Notas 7 2 6 2 2" xfId="43213" xr:uid="{00000000-0005-0000-0000-000063A90000}"/>
    <cellStyle name="Notas 7 2 6 2 2 2" xfId="43214" xr:uid="{00000000-0005-0000-0000-000064A90000}"/>
    <cellStyle name="Notas 7 2 6 2 2 2 2" xfId="43215" xr:uid="{00000000-0005-0000-0000-000065A90000}"/>
    <cellStyle name="Notas 7 2 6 2 2 2 3" xfId="43216" xr:uid="{00000000-0005-0000-0000-000066A90000}"/>
    <cellStyle name="Notas 7 2 6 2 2 2 4" xfId="43217" xr:uid="{00000000-0005-0000-0000-000067A90000}"/>
    <cellStyle name="Notas 7 2 6 2 2 3" xfId="43218" xr:uid="{00000000-0005-0000-0000-000068A90000}"/>
    <cellStyle name="Notas 7 2 6 2 2 3 2" xfId="43219" xr:uid="{00000000-0005-0000-0000-000069A90000}"/>
    <cellStyle name="Notas 7 2 6 2 2 3 3" xfId="43220" xr:uid="{00000000-0005-0000-0000-00006AA90000}"/>
    <cellStyle name="Notas 7 2 6 2 2 3 4" xfId="43221" xr:uid="{00000000-0005-0000-0000-00006BA90000}"/>
    <cellStyle name="Notas 7 2 6 2 2 4" xfId="43222" xr:uid="{00000000-0005-0000-0000-00006CA90000}"/>
    <cellStyle name="Notas 7 2 6 2 2 5" xfId="43223" xr:uid="{00000000-0005-0000-0000-00006DA90000}"/>
    <cellStyle name="Notas 7 2 6 2 2 6" xfId="43224" xr:uid="{00000000-0005-0000-0000-00006EA90000}"/>
    <cellStyle name="Notas 7 2 6 2 3" xfId="43225" xr:uid="{00000000-0005-0000-0000-00006FA90000}"/>
    <cellStyle name="Notas 7 2 6 2 3 2" xfId="43226" xr:uid="{00000000-0005-0000-0000-000070A90000}"/>
    <cellStyle name="Notas 7 2 6 2 3 2 2" xfId="43227" xr:uid="{00000000-0005-0000-0000-000071A90000}"/>
    <cellStyle name="Notas 7 2 6 2 3 2 3" xfId="43228" xr:uid="{00000000-0005-0000-0000-000072A90000}"/>
    <cellStyle name="Notas 7 2 6 2 3 2 4" xfId="43229" xr:uid="{00000000-0005-0000-0000-000073A90000}"/>
    <cellStyle name="Notas 7 2 6 2 3 3" xfId="43230" xr:uid="{00000000-0005-0000-0000-000074A90000}"/>
    <cellStyle name="Notas 7 2 6 2 3 3 2" xfId="43231" xr:uid="{00000000-0005-0000-0000-000075A90000}"/>
    <cellStyle name="Notas 7 2 6 2 3 3 3" xfId="43232" xr:uid="{00000000-0005-0000-0000-000076A90000}"/>
    <cellStyle name="Notas 7 2 6 2 3 3 4" xfId="43233" xr:uid="{00000000-0005-0000-0000-000077A90000}"/>
    <cellStyle name="Notas 7 2 6 2 3 4" xfId="43234" xr:uid="{00000000-0005-0000-0000-000078A90000}"/>
    <cellStyle name="Notas 7 2 6 2 3 5" xfId="43235" xr:uid="{00000000-0005-0000-0000-000079A90000}"/>
    <cellStyle name="Notas 7 2 6 2 3 6" xfId="43236" xr:uid="{00000000-0005-0000-0000-00007AA90000}"/>
    <cellStyle name="Notas 7 2 6 2 4" xfId="43237" xr:uid="{00000000-0005-0000-0000-00007BA90000}"/>
    <cellStyle name="Notas 7 2 6 2 5" xfId="43238" xr:uid="{00000000-0005-0000-0000-00007CA90000}"/>
    <cellStyle name="Notas 7 2 6 2 6" xfId="43239" xr:uid="{00000000-0005-0000-0000-00007DA90000}"/>
    <cellStyle name="Notas 7 2 6 3" xfId="43240" xr:uid="{00000000-0005-0000-0000-00007EA90000}"/>
    <cellStyle name="Notas 7 2 6 4" xfId="43241" xr:uid="{00000000-0005-0000-0000-00007FA90000}"/>
    <cellStyle name="Notas 7 2 7" xfId="43242" xr:uid="{00000000-0005-0000-0000-000080A90000}"/>
    <cellStyle name="Notas 7 2 7 2" xfId="43243" xr:uid="{00000000-0005-0000-0000-000081A90000}"/>
    <cellStyle name="Notas 7 2 7 2 2" xfId="43244" xr:uid="{00000000-0005-0000-0000-000082A90000}"/>
    <cellStyle name="Notas 7 2 7 2 2 2" xfId="43245" xr:uid="{00000000-0005-0000-0000-000083A90000}"/>
    <cellStyle name="Notas 7 2 7 2 2 2 2" xfId="43246" xr:uid="{00000000-0005-0000-0000-000084A90000}"/>
    <cellStyle name="Notas 7 2 7 2 2 2 3" xfId="43247" xr:uid="{00000000-0005-0000-0000-000085A90000}"/>
    <cellStyle name="Notas 7 2 7 2 2 2 4" xfId="43248" xr:uid="{00000000-0005-0000-0000-000086A90000}"/>
    <cellStyle name="Notas 7 2 7 2 2 3" xfId="43249" xr:uid="{00000000-0005-0000-0000-000087A90000}"/>
    <cellStyle name="Notas 7 2 7 2 2 3 2" xfId="43250" xr:uid="{00000000-0005-0000-0000-000088A90000}"/>
    <cellStyle name="Notas 7 2 7 2 2 3 3" xfId="43251" xr:uid="{00000000-0005-0000-0000-000089A90000}"/>
    <cellStyle name="Notas 7 2 7 2 2 3 4" xfId="43252" xr:uid="{00000000-0005-0000-0000-00008AA90000}"/>
    <cellStyle name="Notas 7 2 7 2 2 4" xfId="43253" xr:uid="{00000000-0005-0000-0000-00008BA90000}"/>
    <cellStyle name="Notas 7 2 7 2 2 5" xfId="43254" xr:uid="{00000000-0005-0000-0000-00008CA90000}"/>
    <cellStyle name="Notas 7 2 7 2 2 6" xfId="43255" xr:uid="{00000000-0005-0000-0000-00008DA90000}"/>
    <cellStyle name="Notas 7 2 7 2 3" xfId="43256" xr:uid="{00000000-0005-0000-0000-00008EA90000}"/>
    <cellStyle name="Notas 7 2 7 2 3 2" xfId="43257" xr:uid="{00000000-0005-0000-0000-00008FA90000}"/>
    <cellStyle name="Notas 7 2 7 2 3 2 2" xfId="43258" xr:uid="{00000000-0005-0000-0000-000090A90000}"/>
    <cellStyle name="Notas 7 2 7 2 3 2 3" xfId="43259" xr:uid="{00000000-0005-0000-0000-000091A90000}"/>
    <cellStyle name="Notas 7 2 7 2 3 2 4" xfId="43260" xr:uid="{00000000-0005-0000-0000-000092A90000}"/>
    <cellStyle name="Notas 7 2 7 2 3 3" xfId="43261" xr:uid="{00000000-0005-0000-0000-000093A90000}"/>
    <cellStyle name="Notas 7 2 7 2 3 3 2" xfId="43262" xr:uid="{00000000-0005-0000-0000-000094A90000}"/>
    <cellStyle name="Notas 7 2 7 2 3 3 3" xfId="43263" xr:uid="{00000000-0005-0000-0000-000095A90000}"/>
    <cellStyle name="Notas 7 2 7 2 3 3 4" xfId="43264" xr:uid="{00000000-0005-0000-0000-000096A90000}"/>
    <cellStyle name="Notas 7 2 7 2 3 4" xfId="43265" xr:uid="{00000000-0005-0000-0000-000097A90000}"/>
    <cellStyle name="Notas 7 2 7 2 3 5" xfId="43266" xr:uid="{00000000-0005-0000-0000-000098A90000}"/>
    <cellStyle name="Notas 7 2 7 2 3 6" xfId="43267" xr:uid="{00000000-0005-0000-0000-000099A90000}"/>
    <cellStyle name="Notas 7 2 7 2 4" xfId="43268" xr:uid="{00000000-0005-0000-0000-00009AA90000}"/>
    <cellStyle name="Notas 7 2 7 2 5" xfId="43269" xr:uid="{00000000-0005-0000-0000-00009BA90000}"/>
    <cellStyle name="Notas 7 2 7 2 6" xfId="43270" xr:uid="{00000000-0005-0000-0000-00009CA90000}"/>
    <cellStyle name="Notas 7 2 7 3" xfId="43271" xr:uid="{00000000-0005-0000-0000-00009DA90000}"/>
    <cellStyle name="Notas 7 2 7 4" xfId="43272" xr:uid="{00000000-0005-0000-0000-00009EA90000}"/>
    <cellStyle name="Notas 7 2 8" xfId="43273" xr:uid="{00000000-0005-0000-0000-00009FA90000}"/>
    <cellStyle name="Notas 7 2 8 2" xfId="43274" xr:uid="{00000000-0005-0000-0000-0000A0A90000}"/>
    <cellStyle name="Notas 7 2 8 2 2" xfId="43275" xr:uid="{00000000-0005-0000-0000-0000A1A90000}"/>
    <cellStyle name="Notas 7 2 8 2 2 2" xfId="43276" xr:uid="{00000000-0005-0000-0000-0000A2A90000}"/>
    <cellStyle name="Notas 7 2 8 2 2 3" xfId="43277" xr:uid="{00000000-0005-0000-0000-0000A3A90000}"/>
    <cellStyle name="Notas 7 2 8 2 2 4" xfId="43278" xr:uid="{00000000-0005-0000-0000-0000A4A90000}"/>
    <cellStyle name="Notas 7 2 8 2 3" xfId="43279" xr:uid="{00000000-0005-0000-0000-0000A5A90000}"/>
    <cellStyle name="Notas 7 2 8 2 3 2" xfId="43280" xr:uid="{00000000-0005-0000-0000-0000A6A90000}"/>
    <cellStyle name="Notas 7 2 8 2 3 3" xfId="43281" xr:uid="{00000000-0005-0000-0000-0000A7A90000}"/>
    <cellStyle name="Notas 7 2 8 2 3 4" xfId="43282" xr:uid="{00000000-0005-0000-0000-0000A8A90000}"/>
    <cellStyle name="Notas 7 2 8 2 4" xfId="43283" xr:uid="{00000000-0005-0000-0000-0000A9A90000}"/>
    <cellStyle name="Notas 7 2 8 2 5" xfId="43284" xr:uid="{00000000-0005-0000-0000-0000AAA90000}"/>
    <cellStyle name="Notas 7 2 8 2 6" xfId="43285" xr:uid="{00000000-0005-0000-0000-0000ABA90000}"/>
    <cellStyle name="Notas 7 2 8 3" xfId="43286" xr:uid="{00000000-0005-0000-0000-0000ACA90000}"/>
    <cellStyle name="Notas 7 2 8 3 2" xfId="43287" xr:uid="{00000000-0005-0000-0000-0000ADA90000}"/>
    <cellStyle name="Notas 7 2 8 3 2 2" xfId="43288" xr:uid="{00000000-0005-0000-0000-0000AEA90000}"/>
    <cellStyle name="Notas 7 2 8 3 2 3" xfId="43289" xr:uid="{00000000-0005-0000-0000-0000AFA90000}"/>
    <cellStyle name="Notas 7 2 8 3 2 4" xfId="43290" xr:uid="{00000000-0005-0000-0000-0000B0A90000}"/>
    <cellStyle name="Notas 7 2 8 3 3" xfId="43291" xr:uid="{00000000-0005-0000-0000-0000B1A90000}"/>
    <cellStyle name="Notas 7 2 8 3 3 2" xfId="43292" xr:uid="{00000000-0005-0000-0000-0000B2A90000}"/>
    <cellStyle name="Notas 7 2 8 3 3 3" xfId="43293" xr:uid="{00000000-0005-0000-0000-0000B3A90000}"/>
    <cellStyle name="Notas 7 2 8 3 3 4" xfId="43294" xr:uid="{00000000-0005-0000-0000-0000B4A90000}"/>
    <cellStyle name="Notas 7 2 8 3 4" xfId="43295" xr:uid="{00000000-0005-0000-0000-0000B5A90000}"/>
    <cellStyle name="Notas 7 2 8 3 5" xfId="43296" xr:uid="{00000000-0005-0000-0000-0000B6A90000}"/>
    <cellStyle name="Notas 7 2 8 3 6" xfId="43297" xr:uid="{00000000-0005-0000-0000-0000B7A90000}"/>
    <cellStyle name="Notas 7 2 8 4" xfId="43298" xr:uid="{00000000-0005-0000-0000-0000B8A90000}"/>
    <cellStyle name="Notas 7 2 8 4 2" xfId="43299" xr:uid="{00000000-0005-0000-0000-0000B9A90000}"/>
    <cellStyle name="Notas 7 2 8 4 3" xfId="43300" xr:uid="{00000000-0005-0000-0000-0000BAA90000}"/>
    <cellStyle name="Notas 7 2 8 4 4" xfId="43301" xr:uid="{00000000-0005-0000-0000-0000BBA90000}"/>
    <cellStyle name="Notas 7 2 8 5" xfId="43302" xr:uid="{00000000-0005-0000-0000-0000BCA90000}"/>
    <cellStyle name="Notas 7 2 8 6" xfId="43303" xr:uid="{00000000-0005-0000-0000-0000BDA90000}"/>
    <cellStyle name="Notas 7 2 9" xfId="43304" xr:uid="{00000000-0005-0000-0000-0000BEA90000}"/>
    <cellStyle name="Notas 7 2 9 2" xfId="43305" xr:uid="{00000000-0005-0000-0000-0000BFA90000}"/>
    <cellStyle name="Notas 7 2 9 2 2" xfId="43306" xr:uid="{00000000-0005-0000-0000-0000C0A90000}"/>
    <cellStyle name="Notas 7 2 9 2 2 2" xfId="43307" xr:uid="{00000000-0005-0000-0000-0000C1A90000}"/>
    <cellStyle name="Notas 7 2 9 2 2 3" xfId="43308" xr:uid="{00000000-0005-0000-0000-0000C2A90000}"/>
    <cellStyle name="Notas 7 2 9 2 2 4" xfId="43309" xr:uid="{00000000-0005-0000-0000-0000C3A90000}"/>
    <cellStyle name="Notas 7 2 9 2 3" xfId="43310" xr:uid="{00000000-0005-0000-0000-0000C4A90000}"/>
    <cellStyle name="Notas 7 2 9 2 3 2" xfId="43311" xr:uid="{00000000-0005-0000-0000-0000C5A90000}"/>
    <cellStyle name="Notas 7 2 9 2 3 3" xfId="43312" xr:uid="{00000000-0005-0000-0000-0000C6A90000}"/>
    <cellStyle name="Notas 7 2 9 2 3 4" xfId="43313" xr:uid="{00000000-0005-0000-0000-0000C7A90000}"/>
    <cellStyle name="Notas 7 2 9 2 4" xfId="43314" xr:uid="{00000000-0005-0000-0000-0000C8A90000}"/>
    <cellStyle name="Notas 7 2 9 2 5" xfId="43315" xr:uid="{00000000-0005-0000-0000-0000C9A90000}"/>
    <cellStyle name="Notas 7 2 9 2 6" xfId="43316" xr:uid="{00000000-0005-0000-0000-0000CAA90000}"/>
    <cellStyle name="Notas 7 2 9 3" xfId="43317" xr:uid="{00000000-0005-0000-0000-0000CBA90000}"/>
    <cellStyle name="Notas 7 2 9 3 2" xfId="43318" xr:uid="{00000000-0005-0000-0000-0000CCA90000}"/>
    <cellStyle name="Notas 7 2 9 3 2 2" xfId="43319" xr:uid="{00000000-0005-0000-0000-0000CDA90000}"/>
    <cellStyle name="Notas 7 2 9 3 2 3" xfId="43320" xr:uid="{00000000-0005-0000-0000-0000CEA90000}"/>
    <cellStyle name="Notas 7 2 9 3 2 4" xfId="43321" xr:uid="{00000000-0005-0000-0000-0000CFA90000}"/>
    <cellStyle name="Notas 7 2 9 3 3" xfId="43322" xr:uid="{00000000-0005-0000-0000-0000D0A90000}"/>
    <cellStyle name="Notas 7 2 9 3 3 2" xfId="43323" xr:uid="{00000000-0005-0000-0000-0000D1A90000}"/>
    <cellStyle name="Notas 7 2 9 3 3 3" xfId="43324" xr:uid="{00000000-0005-0000-0000-0000D2A90000}"/>
    <cellStyle name="Notas 7 2 9 3 3 4" xfId="43325" xr:uid="{00000000-0005-0000-0000-0000D3A90000}"/>
    <cellStyle name="Notas 7 2 9 3 4" xfId="43326" xr:uid="{00000000-0005-0000-0000-0000D4A90000}"/>
    <cellStyle name="Notas 7 2 9 3 5" xfId="43327" xr:uid="{00000000-0005-0000-0000-0000D5A90000}"/>
    <cellStyle name="Notas 7 2 9 3 6" xfId="43328" xr:uid="{00000000-0005-0000-0000-0000D6A90000}"/>
    <cellStyle name="Notas 7 2 9 4" xfId="43329" xr:uid="{00000000-0005-0000-0000-0000D7A90000}"/>
    <cellStyle name="Notas 7 2 9 4 2" xfId="43330" xr:uid="{00000000-0005-0000-0000-0000D8A90000}"/>
    <cellStyle name="Notas 7 2 9 4 3" xfId="43331" xr:uid="{00000000-0005-0000-0000-0000D9A90000}"/>
    <cellStyle name="Notas 7 2 9 4 4" xfId="43332" xr:uid="{00000000-0005-0000-0000-0000DAA90000}"/>
    <cellStyle name="Notas 7 2 9 5" xfId="43333" xr:uid="{00000000-0005-0000-0000-0000DBA90000}"/>
    <cellStyle name="Notas 7 2 9 6" xfId="43334" xr:uid="{00000000-0005-0000-0000-0000DCA90000}"/>
    <cellStyle name="Notas 7 3" xfId="43335" xr:uid="{00000000-0005-0000-0000-0000DDA90000}"/>
    <cellStyle name="Notas 7 3 10" xfId="43336" xr:uid="{00000000-0005-0000-0000-0000DEA90000}"/>
    <cellStyle name="Notas 7 3 10 2" xfId="43337" xr:uid="{00000000-0005-0000-0000-0000DFA90000}"/>
    <cellStyle name="Notas 7 3 10 2 2" xfId="43338" xr:uid="{00000000-0005-0000-0000-0000E0A90000}"/>
    <cellStyle name="Notas 7 3 10 2 2 2" xfId="43339" xr:uid="{00000000-0005-0000-0000-0000E1A90000}"/>
    <cellStyle name="Notas 7 3 10 2 2 3" xfId="43340" xr:uid="{00000000-0005-0000-0000-0000E2A90000}"/>
    <cellStyle name="Notas 7 3 10 2 2 4" xfId="43341" xr:uid="{00000000-0005-0000-0000-0000E3A90000}"/>
    <cellStyle name="Notas 7 3 10 2 3" xfId="43342" xr:uid="{00000000-0005-0000-0000-0000E4A90000}"/>
    <cellStyle name="Notas 7 3 10 2 3 2" xfId="43343" xr:uid="{00000000-0005-0000-0000-0000E5A90000}"/>
    <cellStyle name="Notas 7 3 10 2 3 3" xfId="43344" xr:uid="{00000000-0005-0000-0000-0000E6A90000}"/>
    <cellStyle name="Notas 7 3 10 2 3 4" xfId="43345" xr:uid="{00000000-0005-0000-0000-0000E7A90000}"/>
    <cellStyle name="Notas 7 3 10 2 4" xfId="43346" xr:uid="{00000000-0005-0000-0000-0000E8A90000}"/>
    <cellStyle name="Notas 7 3 10 2 5" xfId="43347" xr:uid="{00000000-0005-0000-0000-0000E9A90000}"/>
    <cellStyle name="Notas 7 3 10 2 6" xfId="43348" xr:uid="{00000000-0005-0000-0000-0000EAA90000}"/>
    <cellStyle name="Notas 7 3 10 3" xfId="43349" xr:uid="{00000000-0005-0000-0000-0000EBA90000}"/>
    <cellStyle name="Notas 7 3 10 3 2" xfId="43350" xr:uid="{00000000-0005-0000-0000-0000ECA90000}"/>
    <cellStyle name="Notas 7 3 10 3 2 2" xfId="43351" xr:uid="{00000000-0005-0000-0000-0000EDA90000}"/>
    <cellStyle name="Notas 7 3 10 3 2 3" xfId="43352" xr:uid="{00000000-0005-0000-0000-0000EEA90000}"/>
    <cellStyle name="Notas 7 3 10 3 2 4" xfId="43353" xr:uid="{00000000-0005-0000-0000-0000EFA90000}"/>
    <cellStyle name="Notas 7 3 10 3 3" xfId="43354" xr:uid="{00000000-0005-0000-0000-0000F0A90000}"/>
    <cellStyle name="Notas 7 3 10 3 3 2" xfId="43355" xr:uid="{00000000-0005-0000-0000-0000F1A90000}"/>
    <cellStyle name="Notas 7 3 10 3 3 3" xfId="43356" xr:uid="{00000000-0005-0000-0000-0000F2A90000}"/>
    <cellStyle name="Notas 7 3 10 3 3 4" xfId="43357" xr:uid="{00000000-0005-0000-0000-0000F3A90000}"/>
    <cellStyle name="Notas 7 3 10 3 4" xfId="43358" xr:uid="{00000000-0005-0000-0000-0000F4A90000}"/>
    <cellStyle name="Notas 7 3 10 3 5" xfId="43359" xr:uid="{00000000-0005-0000-0000-0000F5A90000}"/>
    <cellStyle name="Notas 7 3 10 3 6" xfId="43360" xr:uid="{00000000-0005-0000-0000-0000F6A90000}"/>
    <cellStyle name="Notas 7 3 10 4" xfId="43361" xr:uid="{00000000-0005-0000-0000-0000F7A90000}"/>
    <cellStyle name="Notas 7 3 10 5" xfId="43362" xr:uid="{00000000-0005-0000-0000-0000F8A90000}"/>
    <cellStyle name="Notas 7 3 10 6" xfId="43363" xr:uid="{00000000-0005-0000-0000-0000F9A90000}"/>
    <cellStyle name="Notas 7 3 11" xfId="43364" xr:uid="{00000000-0005-0000-0000-0000FAA90000}"/>
    <cellStyle name="Notas 7 3 12" xfId="43365" xr:uid="{00000000-0005-0000-0000-0000FBA90000}"/>
    <cellStyle name="Notas 7 3 2" xfId="43366" xr:uid="{00000000-0005-0000-0000-0000FCA90000}"/>
    <cellStyle name="Notas 7 3 2 2" xfId="43367" xr:uid="{00000000-0005-0000-0000-0000FDA90000}"/>
    <cellStyle name="Notas 7 3 2 2 2" xfId="43368" xr:uid="{00000000-0005-0000-0000-0000FEA90000}"/>
    <cellStyle name="Notas 7 3 2 2 2 2" xfId="43369" xr:uid="{00000000-0005-0000-0000-0000FFA90000}"/>
    <cellStyle name="Notas 7 3 2 2 2 2 2" xfId="43370" xr:uid="{00000000-0005-0000-0000-000000AA0000}"/>
    <cellStyle name="Notas 7 3 2 2 2 2 3" xfId="43371" xr:uid="{00000000-0005-0000-0000-000001AA0000}"/>
    <cellStyle name="Notas 7 3 2 2 2 2 4" xfId="43372" xr:uid="{00000000-0005-0000-0000-000002AA0000}"/>
    <cellStyle name="Notas 7 3 2 2 2 3" xfId="43373" xr:uid="{00000000-0005-0000-0000-000003AA0000}"/>
    <cellStyle name="Notas 7 3 2 2 2 3 2" xfId="43374" xr:uid="{00000000-0005-0000-0000-000004AA0000}"/>
    <cellStyle name="Notas 7 3 2 2 2 3 3" xfId="43375" xr:uid="{00000000-0005-0000-0000-000005AA0000}"/>
    <cellStyle name="Notas 7 3 2 2 2 3 4" xfId="43376" xr:uid="{00000000-0005-0000-0000-000006AA0000}"/>
    <cellStyle name="Notas 7 3 2 2 2 4" xfId="43377" xr:uid="{00000000-0005-0000-0000-000007AA0000}"/>
    <cellStyle name="Notas 7 3 2 2 2 5" xfId="43378" xr:uid="{00000000-0005-0000-0000-000008AA0000}"/>
    <cellStyle name="Notas 7 3 2 2 2 6" xfId="43379" xr:uid="{00000000-0005-0000-0000-000009AA0000}"/>
    <cellStyle name="Notas 7 3 2 2 3" xfId="43380" xr:uid="{00000000-0005-0000-0000-00000AAA0000}"/>
    <cellStyle name="Notas 7 3 2 2 3 2" xfId="43381" xr:uid="{00000000-0005-0000-0000-00000BAA0000}"/>
    <cellStyle name="Notas 7 3 2 2 3 2 2" xfId="43382" xr:uid="{00000000-0005-0000-0000-00000CAA0000}"/>
    <cellStyle name="Notas 7 3 2 2 3 2 3" xfId="43383" xr:uid="{00000000-0005-0000-0000-00000DAA0000}"/>
    <cellStyle name="Notas 7 3 2 2 3 2 4" xfId="43384" xr:uid="{00000000-0005-0000-0000-00000EAA0000}"/>
    <cellStyle name="Notas 7 3 2 2 3 3" xfId="43385" xr:uid="{00000000-0005-0000-0000-00000FAA0000}"/>
    <cellStyle name="Notas 7 3 2 2 3 3 2" xfId="43386" xr:uid="{00000000-0005-0000-0000-000010AA0000}"/>
    <cellStyle name="Notas 7 3 2 2 3 3 3" xfId="43387" xr:uid="{00000000-0005-0000-0000-000011AA0000}"/>
    <cellStyle name="Notas 7 3 2 2 3 3 4" xfId="43388" xr:uid="{00000000-0005-0000-0000-000012AA0000}"/>
    <cellStyle name="Notas 7 3 2 2 3 4" xfId="43389" xr:uid="{00000000-0005-0000-0000-000013AA0000}"/>
    <cellStyle name="Notas 7 3 2 2 3 5" xfId="43390" xr:uid="{00000000-0005-0000-0000-000014AA0000}"/>
    <cellStyle name="Notas 7 3 2 2 3 6" xfId="43391" xr:uid="{00000000-0005-0000-0000-000015AA0000}"/>
    <cellStyle name="Notas 7 3 2 2 4" xfId="43392" xr:uid="{00000000-0005-0000-0000-000016AA0000}"/>
    <cellStyle name="Notas 7 3 2 2 5" xfId="43393" xr:uid="{00000000-0005-0000-0000-000017AA0000}"/>
    <cellStyle name="Notas 7 3 2 2 6" xfId="43394" xr:uid="{00000000-0005-0000-0000-000018AA0000}"/>
    <cellStyle name="Notas 7 3 2 3" xfId="43395" xr:uid="{00000000-0005-0000-0000-000019AA0000}"/>
    <cellStyle name="Notas 7 3 2 4" xfId="43396" xr:uid="{00000000-0005-0000-0000-00001AAA0000}"/>
    <cellStyle name="Notas 7 3 3" xfId="43397" xr:uid="{00000000-0005-0000-0000-00001BAA0000}"/>
    <cellStyle name="Notas 7 3 3 2" xfId="43398" xr:uid="{00000000-0005-0000-0000-00001CAA0000}"/>
    <cellStyle name="Notas 7 3 3 2 2" xfId="43399" xr:uid="{00000000-0005-0000-0000-00001DAA0000}"/>
    <cellStyle name="Notas 7 3 3 2 2 2" xfId="43400" xr:uid="{00000000-0005-0000-0000-00001EAA0000}"/>
    <cellStyle name="Notas 7 3 3 2 2 2 2" xfId="43401" xr:uid="{00000000-0005-0000-0000-00001FAA0000}"/>
    <cellStyle name="Notas 7 3 3 2 2 2 3" xfId="43402" xr:uid="{00000000-0005-0000-0000-000020AA0000}"/>
    <cellStyle name="Notas 7 3 3 2 2 2 4" xfId="43403" xr:uid="{00000000-0005-0000-0000-000021AA0000}"/>
    <cellStyle name="Notas 7 3 3 2 2 3" xfId="43404" xr:uid="{00000000-0005-0000-0000-000022AA0000}"/>
    <cellStyle name="Notas 7 3 3 2 2 3 2" xfId="43405" xr:uid="{00000000-0005-0000-0000-000023AA0000}"/>
    <cellStyle name="Notas 7 3 3 2 2 3 3" xfId="43406" xr:uid="{00000000-0005-0000-0000-000024AA0000}"/>
    <cellStyle name="Notas 7 3 3 2 2 3 4" xfId="43407" xr:uid="{00000000-0005-0000-0000-000025AA0000}"/>
    <cellStyle name="Notas 7 3 3 2 2 4" xfId="43408" xr:uid="{00000000-0005-0000-0000-000026AA0000}"/>
    <cellStyle name="Notas 7 3 3 2 2 5" xfId="43409" xr:uid="{00000000-0005-0000-0000-000027AA0000}"/>
    <cellStyle name="Notas 7 3 3 2 2 6" xfId="43410" xr:uid="{00000000-0005-0000-0000-000028AA0000}"/>
    <cellStyle name="Notas 7 3 3 2 3" xfId="43411" xr:uid="{00000000-0005-0000-0000-000029AA0000}"/>
    <cellStyle name="Notas 7 3 3 2 3 2" xfId="43412" xr:uid="{00000000-0005-0000-0000-00002AAA0000}"/>
    <cellStyle name="Notas 7 3 3 2 3 2 2" xfId="43413" xr:uid="{00000000-0005-0000-0000-00002BAA0000}"/>
    <cellStyle name="Notas 7 3 3 2 3 2 3" xfId="43414" xr:uid="{00000000-0005-0000-0000-00002CAA0000}"/>
    <cellStyle name="Notas 7 3 3 2 3 2 4" xfId="43415" xr:uid="{00000000-0005-0000-0000-00002DAA0000}"/>
    <cellStyle name="Notas 7 3 3 2 3 3" xfId="43416" xr:uid="{00000000-0005-0000-0000-00002EAA0000}"/>
    <cellStyle name="Notas 7 3 3 2 3 3 2" xfId="43417" xr:uid="{00000000-0005-0000-0000-00002FAA0000}"/>
    <cellStyle name="Notas 7 3 3 2 3 3 3" xfId="43418" xr:uid="{00000000-0005-0000-0000-000030AA0000}"/>
    <cellStyle name="Notas 7 3 3 2 3 3 4" xfId="43419" xr:uid="{00000000-0005-0000-0000-000031AA0000}"/>
    <cellStyle name="Notas 7 3 3 2 3 4" xfId="43420" xr:uid="{00000000-0005-0000-0000-000032AA0000}"/>
    <cellStyle name="Notas 7 3 3 2 3 5" xfId="43421" xr:uid="{00000000-0005-0000-0000-000033AA0000}"/>
    <cellStyle name="Notas 7 3 3 2 3 6" xfId="43422" xr:uid="{00000000-0005-0000-0000-000034AA0000}"/>
    <cellStyle name="Notas 7 3 3 2 4" xfId="43423" xr:uid="{00000000-0005-0000-0000-000035AA0000}"/>
    <cellStyle name="Notas 7 3 3 2 5" xfId="43424" xr:uid="{00000000-0005-0000-0000-000036AA0000}"/>
    <cellStyle name="Notas 7 3 3 2 6" xfId="43425" xr:uid="{00000000-0005-0000-0000-000037AA0000}"/>
    <cellStyle name="Notas 7 3 3 3" xfId="43426" xr:uid="{00000000-0005-0000-0000-000038AA0000}"/>
    <cellStyle name="Notas 7 3 3 4" xfId="43427" xr:uid="{00000000-0005-0000-0000-000039AA0000}"/>
    <cellStyle name="Notas 7 3 4" xfId="43428" xr:uid="{00000000-0005-0000-0000-00003AAA0000}"/>
    <cellStyle name="Notas 7 3 4 2" xfId="43429" xr:uid="{00000000-0005-0000-0000-00003BAA0000}"/>
    <cellStyle name="Notas 7 3 4 2 2" xfId="43430" xr:uid="{00000000-0005-0000-0000-00003CAA0000}"/>
    <cellStyle name="Notas 7 3 4 2 2 2" xfId="43431" xr:uid="{00000000-0005-0000-0000-00003DAA0000}"/>
    <cellStyle name="Notas 7 3 4 2 2 2 2" xfId="43432" xr:uid="{00000000-0005-0000-0000-00003EAA0000}"/>
    <cellStyle name="Notas 7 3 4 2 2 2 3" xfId="43433" xr:uid="{00000000-0005-0000-0000-00003FAA0000}"/>
    <cellStyle name="Notas 7 3 4 2 2 2 4" xfId="43434" xr:uid="{00000000-0005-0000-0000-000040AA0000}"/>
    <cellStyle name="Notas 7 3 4 2 2 3" xfId="43435" xr:uid="{00000000-0005-0000-0000-000041AA0000}"/>
    <cellStyle name="Notas 7 3 4 2 2 3 2" xfId="43436" xr:uid="{00000000-0005-0000-0000-000042AA0000}"/>
    <cellStyle name="Notas 7 3 4 2 2 3 3" xfId="43437" xr:uid="{00000000-0005-0000-0000-000043AA0000}"/>
    <cellStyle name="Notas 7 3 4 2 2 3 4" xfId="43438" xr:uid="{00000000-0005-0000-0000-000044AA0000}"/>
    <cellStyle name="Notas 7 3 4 2 2 4" xfId="43439" xr:uid="{00000000-0005-0000-0000-000045AA0000}"/>
    <cellStyle name="Notas 7 3 4 2 2 5" xfId="43440" xr:uid="{00000000-0005-0000-0000-000046AA0000}"/>
    <cellStyle name="Notas 7 3 4 2 2 6" xfId="43441" xr:uid="{00000000-0005-0000-0000-000047AA0000}"/>
    <cellStyle name="Notas 7 3 4 2 3" xfId="43442" xr:uid="{00000000-0005-0000-0000-000048AA0000}"/>
    <cellStyle name="Notas 7 3 4 2 3 2" xfId="43443" xr:uid="{00000000-0005-0000-0000-000049AA0000}"/>
    <cellStyle name="Notas 7 3 4 2 3 2 2" xfId="43444" xr:uid="{00000000-0005-0000-0000-00004AAA0000}"/>
    <cellStyle name="Notas 7 3 4 2 3 2 3" xfId="43445" xr:uid="{00000000-0005-0000-0000-00004BAA0000}"/>
    <cellStyle name="Notas 7 3 4 2 3 2 4" xfId="43446" xr:uid="{00000000-0005-0000-0000-00004CAA0000}"/>
    <cellStyle name="Notas 7 3 4 2 3 3" xfId="43447" xr:uid="{00000000-0005-0000-0000-00004DAA0000}"/>
    <cellStyle name="Notas 7 3 4 2 3 3 2" xfId="43448" xr:uid="{00000000-0005-0000-0000-00004EAA0000}"/>
    <cellStyle name="Notas 7 3 4 2 3 3 3" xfId="43449" xr:uid="{00000000-0005-0000-0000-00004FAA0000}"/>
    <cellStyle name="Notas 7 3 4 2 3 3 4" xfId="43450" xr:uid="{00000000-0005-0000-0000-000050AA0000}"/>
    <cellStyle name="Notas 7 3 4 2 3 4" xfId="43451" xr:uid="{00000000-0005-0000-0000-000051AA0000}"/>
    <cellStyle name="Notas 7 3 4 2 3 5" xfId="43452" xr:uid="{00000000-0005-0000-0000-000052AA0000}"/>
    <cellStyle name="Notas 7 3 4 2 3 6" xfId="43453" xr:uid="{00000000-0005-0000-0000-000053AA0000}"/>
    <cellStyle name="Notas 7 3 4 2 4" xfId="43454" xr:uid="{00000000-0005-0000-0000-000054AA0000}"/>
    <cellStyle name="Notas 7 3 4 2 5" xfId="43455" xr:uid="{00000000-0005-0000-0000-000055AA0000}"/>
    <cellStyle name="Notas 7 3 4 2 6" xfId="43456" xr:uid="{00000000-0005-0000-0000-000056AA0000}"/>
    <cellStyle name="Notas 7 3 4 3" xfId="43457" xr:uid="{00000000-0005-0000-0000-000057AA0000}"/>
    <cellStyle name="Notas 7 3 4 4" xfId="43458" xr:uid="{00000000-0005-0000-0000-000058AA0000}"/>
    <cellStyle name="Notas 7 3 5" xfId="43459" xr:uid="{00000000-0005-0000-0000-000059AA0000}"/>
    <cellStyle name="Notas 7 3 5 2" xfId="43460" xr:uid="{00000000-0005-0000-0000-00005AAA0000}"/>
    <cellStyle name="Notas 7 3 5 2 2" xfId="43461" xr:uid="{00000000-0005-0000-0000-00005BAA0000}"/>
    <cellStyle name="Notas 7 3 5 2 2 2" xfId="43462" xr:uid="{00000000-0005-0000-0000-00005CAA0000}"/>
    <cellStyle name="Notas 7 3 5 2 2 2 2" xfId="43463" xr:uid="{00000000-0005-0000-0000-00005DAA0000}"/>
    <cellStyle name="Notas 7 3 5 2 2 2 3" xfId="43464" xr:uid="{00000000-0005-0000-0000-00005EAA0000}"/>
    <cellStyle name="Notas 7 3 5 2 2 2 4" xfId="43465" xr:uid="{00000000-0005-0000-0000-00005FAA0000}"/>
    <cellStyle name="Notas 7 3 5 2 2 3" xfId="43466" xr:uid="{00000000-0005-0000-0000-000060AA0000}"/>
    <cellStyle name="Notas 7 3 5 2 2 3 2" xfId="43467" xr:uid="{00000000-0005-0000-0000-000061AA0000}"/>
    <cellStyle name="Notas 7 3 5 2 2 3 3" xfId="43468" xr:uid="{00000000-0005-0000-0000-000062AA0000}"/>
    <cellStyle name="Notas 7 3 5 2 2 3 4" xfId="43469" xr:uid="{00000000-0005-0000-0000-000063AA0000}"/>
    <cellStyle name="Notas 7 3 5 2 2 4" xfId="43470" xr:uid="{00000000-0005-0000-0000-000064AA0000}"/>
    <cellStyle name="Notas 7 3 5 2 2 5" xfId="43471" xr:uid="{00000000-0005-0000-0000-000065AA0000}"/>
    <cellStyle name="Notas 7 3 5 2 2 6" xfId="43472" xr:uid="{00000000-0005-0000-0000-000066AA0000}"/>
    <cellStyle name="Notas 7 3 5 2 3" xfId="43473" xr:uid="{00000000-0005-0000-0000-000067AA0000}"/>
    <cellStyle name="Notas 7 3 5 2 3 2" xfId="43474" xr:uid="{00000000-0005-0000-0000-000068AA0000}"/>
    <cellStyle name="Notas 7 3 5 2 3 2 2" xfId="43475" xr:uid="{00000000-0005-0000-0000-000069AA0000}"/>
    <cellStyle name="Notas 7 3 5 2 3 2 3" xfId="43476" xr:uid="{00000000-0005-0000-0000-00006AAA0000}"/>
    <cellStyle name="Notas 7 3 5 2 3 2 4" xfId="43477" xr:uid="{00000000-0005-0000-0000-00006BAA0000}"/>
    <cellStyle name="Notas 7 3 5 2 3 3" xfId="43478" xr:uid="{00000000-0005-0000-0000-00006CAA0000}"/>
    <cellStyle name="Notas 7 3 5 2 3 3 2" xfId="43479" xr:uid="{00000000-0005-0000-0000-00006DAA0000}"/>
    <cellStyle name="Notas 7 3 5 2 3 3 3" xfId="43480" xr:uid="{00000000-0005-0000-0000-00006EAA0000}"/>
    <cellStyle name="Notas 7 3 5 2 3 3 4" xfId="43481" xr:uid="{00000000-0005-0000-0000-00006FAA0000}"/>
    <cellStyle name="Notas 7 3 5 2 3 4" xfId="43482" xr:uid="{00000000-0005-0000-0000-000070AA0000}"/>
    <cellStyle name="Notas 7 3 5 2 3 5" xfId="43483" xr:uid="{00000000-0005-0000-0000-000071AA0000}"/>
    <cellStyle name="Notas 7 3 5 2 3 6" xfId="43484" xr:uid="{00000000-0005-0000-0000-000072AA0000}"/>
    <cellStyle name="Notas 7 3 5 2 4" xfId="43485" xr:uid="{00000000-0005-0000-0000-000073AA0000}"/>
    <cellStyle name="Notas 7 3 5 2 5" xfId="43486" xr:uid="{00000000-0005-0000-0000-000074AA0000}"/>
    <cellStyle name="Notas 7 3 5 2 6" xfId="43487" xr:uid="{00000000-0005-0000-0000-000075AA0000}"/>
    <cellStyle name="Notas 7 3 5 3" xfId="43488" xr:uid="{00000000-0005-0000-0000-000076AA0000}"/>
    <cellStyle name="Notas 7 3 5 4" xfId="43489" xr:uid="{00000000-0005-0000-0000-000077AA0000}"/>
    <cellStyle name="Notas 7 3 6" xfId="43490" xr:uid="{00000000-0005-0000-0000-000078AA0000}"/>
    <cellStyle name="Notas 7 3 6 2" xfId="43491" xr:uid="{00000000-0005-0000-0000-000079AA0000}"/>
    <cellStyle name="Notas 7 3 6 2 2" xfId="43492" xr:uid="{00000000-0005-0000-0000-00007AAA0000}"/>
    <cellStyle name="Notas 7 3 6 2 2 2" xfId="43493" xr:uid="{00000000-0005-0000-0000-00007BAA0000}"/>
    <cellStyle name="Notas 7 3 6 2 2 3" xfId="43494" xr:uid="{00000000-0005-0000-0000-00007CAA0000}"/>
    <cellStyle name="Notas 7 3 6 2 2 4" xfId="43495" xr:uid="{00000000-0005-0000-0000-00007DAA0000}"/>
    <cellStyle name="Notas 7 3 6 2 3" xfId="43496" xr:uid="{00000000-0005-0000-0000-00007EAA0000}"/>
    <cellStyle name="Notas 7 3 6 2 3 2" xfId="43497" xr:uid="{00000000-0005-0000-0000-00007FAA0000}"/>
    <cellStyle name="Notas 7 3 6 2 3 3" xfId="43498" xr:uid="{00000000-0005-0000-0000-000080AA0000}"/>
    <cellStyle name="Notas 7 3 6 2 3 4" xfId="43499" xr:uid="{00000000-0005-0000-0000-000081AA0000}"/>
    <cellStyle name="Notas 7 3 6 2 4" xfId="43500" xr:uid="{00000000-0005-0000-0000-000082AA0000}"/>
    <cellStyle name="Notas 7 3 6 2 5" xfId="43501" xr:uid="{00000000-0005-0000-0000-000083AA0000}"/>
    <cellStyle name="Notas 7 3 6 2 6" xfId="43502" xr:uid="{00000000-0005-0000-0000-000084AA0000}"/>
    <cellStyle name="Notas 7 3 6 3" xfId="43503" xr:uid="{00000000-0005-0000-0000-000085AA0000}"/>
    <cellStyle name="Notas 7 3 6 3 2" xfId="43504" xr:uid="{00000000-0005-0000-0000-000086AA0000}"/>
    <cellStyle name="Notas 7 3 6 3 2 2" xfId="43505" xr:uid="{00000000-0005-0000-0000-000087AA0000}"/>
    <cellStyle name="Notas 7 3 6 3 2 3" xfId="43506" xr:uid="{00000000-0005-0000-0000-000088AA0000}"/>
    <cellStyle name="Notas 7 3 6 3 2 4" xfId="43507" xr:uid="{00000000-0005-0000-0000-000089AA0000}"/>
    <cellStyle name="Notas 7 3 6 3 3" xfId="43508" xr:uid="{00000000-0005-0000-0000-00008AAA0000}"/>
    <cellStyle name="Notas 7 3 6 3 3 2" xfId="43509" xr:uid="{00000000-0005-0000-0000-00008BAA0000}"/>
    <cellStyle name="Notas 7 3 6 3 3 3" xfId="43510" xr:uid="{00000000-0005-0000-0000-00008CAA0000}"/>
    <cellStyle name="Notas 7 3 6 3 3 4" xfId="43511" xr:uid="{00000000-0005-0000-0000-00008DAA0000}"/>
    <cellStyle name="Notas 7 3 6 3 4" xfId="43512" xr:uid="{00000000-0005-0000-0000-00008EAA0000}"/>
    <cellStyle name="Notas 7 3 6 3 5" xfId="43513" xr:uid="{00000000-0005-0000-0000-00008FAA0000}"/>
    <cellStyle name="Notas 7 3 6 3 6" xfId="43514" xr:uid="{00000000-0005-0000-0000-000090AA0000}"/>
    <cellStyle name="Notas 7 3 6 4" xfId="43515" xr:uid="{00000000-0005-0000-0000-000091AA0000}"/>
    <cellStyle name="Notas 7 3 6 4 2" xfId="43516" xr:uid="{00000000-0005-0000-0000-000092AA0000}"/>
    <cellStyle name="Notas 7 3 6 4 3" xfId="43517" xr:uid="{00000000-0005-0000-0000-000093AA0000}"/>
    <cellStyle name="Notas 7 3 6 4 4" xfId="43518" xr:uid="{00000000-0005-0000-0000-000094AA0000}"/>
    <cellStyle name="Notas 7 3 6 5" xfId="43519" xr:uid="{00000000-0005-0000-0000-000095AA0000}"/>
    <cellStyle name="Notas 7 3 6 6" xfId="43520" xr:uid="{00000000-0005-0000-0000-000096AA0000}"/>
    <cellStyle name="Notas 7 3 7" xfId="43521" xr:uid="{00000000-0005-0000-0000-000097AA0000}"/>
    <cellStyle name="Notas 7 3 7 2" xfId="43522" xr:uid="{00000000-0005-0000-0000-000098AA0000}"/>
    <cellStyle name="Notas 7 3 7 2 2" xfId="43523" xr:uid="{00000000-0005-0000-0000-000099AA0000}"/>
    <cellStyle name="Notas 7 3 7 2 2 2" xfId="43524" xr:uid="{00000000-0005-0000-0000-00009AAA0000}"/>
    <cellStyle name="Notas 7 3 7 2 2 3" xfId="43525" xr:uid="{00000000-0005-0000-0000-00009BAA0000}"/>
    <cellStyle name="Notas 7 3 7 2 2 4" xfId="43526" xr:uid="{00000000-0005-0000-0000-00009CAA0000}"/>
    <cellStyle name="Notas 7 3 7 2 3" xfId="43527" xr:uid="{00000000-0005-0000-0000-00009DAA0000}"/>
    <cellStyle name="Notas 7 3 7 2 3 2" xfId="43528" xr:uid="{00000000-0005-0000-0000-00009EAA0000}"/>
    <cellStyle name="Notas 7 3 7 2 3 3" xfId="43529" xr:uid="{00000000-0005-0000-0000-00009FAA0000}"/>
    <cellStyle name="Notas 7 3 7 2 3 4" xfId="43530" xr:uid="{00000000-0005-0000-0000-0000A0AA0000}"/>
    <cellStyle name="Notas 7 3 7 2 4" xfId="43531" xr:uid="{00000000-0005-0000-0000-0000A1AA0000}"/>
    <cellStyle name="Notas 7 3 7 2 5" xfId="43532" xr:uid="{00000000-0005-0000-0000-0000A2AA0000}"/>
    <cellStyle name="Notas 7 3 7 2 6" xfId="43533" xr:uid="{00000000-0005-0000-0000-0000A3AA0000}"/>
    <cellStyle name="Notas 7 3 7 3" xfId="43534" xr:uid="{00000000-0005-0000-0000-0000A4AA0000}"/>
    <cellStyle name="Notas 7 3 7 3 2" xfId="43535" xr:uid="{00000000-0005-0000-0000-0000A5AA0000}"/>
    <cellStyle name="Notas 7 3 7 3 2 2" xfId="43536" xr:uid="{00000000-0005-0000-0000-0000A6AA0000}"/>
    <cellStyle name="Notas 7 3 7 3 2 3" xfId="43537" xr:uid="{00000000-0005-0000-0000-0000A7AA0000}"/>
    <cellStyle name="Notas 7 3 7 3 2 4" xfId="43538" xr:uid="{00000000-0005-0000-0000-0000A8AA0000}"/>
    <cellStyle name="Notas 7 3 7 3 3" xfId="43539" xr:uid="{00000000-0005-0000-0000-0000A9AA0000}"/>
    <cellStyle name="Notas 7 3 7 3 3 2" xfId="43540" xr:uid="{00000000-0005-0000-0000-0000AAAA0000}"/>
    <cellStyle name="Notas 7 3 7 3 3 3" xfId="43541" xr:uid="{00000000-0005-0000-0000-0000ABAA0000}"/>
    <cellStyle name="Notas 7 3 7 3 3 4" xfId="43542" xr:uid="{00000000-0005-0000-0000-0000ACAA0000}"/>
    <cellStyle name="Notas 7 3 7 3 4" xfId="43543" xr:uid="{00000000-0005-0000-0000-0000ADAA0000}"/>
    <cellStyle name="Notas 7 3 7 3 5" xfId="43544" xr:uid="{00000000-0005-0000-0000-0000AEAA0000}"/>
    <cellStyle name="Notas 7 3 7 3 6" xfId="43545" xr:uid="{00000000-0005-0000-0000-0000AFAA0000}"/>
    <cellStyle name="Notas 7 3 7 4" xfId="43546" xr:uid="{00000000-0005-0000-0000-0000B0AA0000}"/>
    <cellStyle name="Notas 7 3 7 4 2" xfId="43547" xr:uid="{00000000-0005-0000-0000-0000B1AA0000}"/>
    <cellStyle name="Notas 7 3 7 4 3" xfId="43548" xr:uid="{00000000-0005-0000-0000-0000B2AA0000}"/>
    <cellStyle name="Notas 7 3 7 4 4" xfId="43549" xr:uid="{00000000-0005-0000-0000-0000B3AA0000}"/>
    <cellStyle name="Notas 7 3 7 5" xfId="43550" xr:uid="{00000000-0005-0000-0000-0000B4AA0000}"/>
    <cellStyle name="Notas 7 3 7 6" xfId="43551" xr:uid="{00000000-0005-0000-0000-0000B5AA0000}"/>
    <cellStyle name="Notas 7 3 8" xfId="43552" xr:uid="{00000000-0005-0000-0000-0000B6AA0000}"/>
    <cellStyle name="Notas 7 3 8 2" xfId="43553" xr:uid="{00000000-0005-0000-0000-0000B7AA0000}"/>
    <cellStyle name="Notas 7 3 8 2 2" xfId="43554" xr:uid="{00000000-0005-0000-0000-0000B8AA0000}"/>
    <cellStyle name="Notas 7 3 8 2 2 2" xfId="43555" xr:uid="{00000000-0005-0000-0000-0000B9AA0000}"/>
    <cellStyle name="Notas 7 3 8 2 2 3" xfId="43556" xr:uid="{00000000-0005-0000-0000-0000BAAA0000}"/>
    <cellStyle name="Notas 7 3 8 2 2 4" xfId="43557" xr:uid="{00000000-0005-0000-0000-0000BBAA0000}"/>
    <cellStyle name="Notas 7 3 8 2 3" xfId="43558" xr:uid="{00000000-0005-0000-0000-0000BCAA0000}"/>
    <cellStyle name="Notas 7 3 8 2 3 2" xfId="43559" xr:uid="{00000000-0005-0000-0000-0000BDAA0000}"/>
    <cellStyle name="Notas 7 3 8 2 3 3" xfId="43560" xr:uid="{00000000-0005-0000-0000-0000BEAA0000}"/>
    <cellStyle name="Notas 7 3 8 2 3 4" xfId="43561" xr:uid="{00000000-0005-0000-0000-0000BFAA0000}"/>
    <cellStyle name="Notas 7 3 8 2 4" xfId="43562" xr:uid="{00000000-0005-0000-0000-0000C0AA0000}"/>
    <cellStyle name="Notas 7 3 8 2 5" xfId="43563" xr:uid="{00000000-0005-0000-0000-0000C1AA0000}"/>
    <cellStyle name="Notas 7 3 8 2 6" xfId="43564" xr:uid="{00000000-0005-0000-0000-0000C2AA0000}"/>
    <cellStyle name="Notas 7 3 8 3" xfId="43565" xr:uid="{00000000-0005-0000-0000-0000C3AA0000}"/>
    <cellStyle name="Notas 7 3 8 3 2" xfId="43566" xr:uid="{00000000-0005-0000-0000-0000C4AA0000}"/>
    <cellStyle name="Notas 7 3 8 3 2 2" xfId="43567" xr:uid="{00000000-0005-0000-0000-0000C5AA0000}"/>
    <cellStyle name="Notas 7 3 8 3 2 3" xfId="43568" xr:uid="{00000000-0005-0000-0000-0000C6AA0000}"/>
    <cellStyle name="Notas 7 3 8 3 2 4" xfId="43569" xr:uid="{00000000-0005-0000-0000-0000C7AA0000}"/>
    <cellStyle name="Notas 7 3 8 3 3" xfId="43570" xr:uid="{00000000-0005-0000-0000-0000C8AA0000}"/>
    <cellStyle name="Notas 7 3 8 3 3 2" xfId="43571" xr:uid="{00000000-0005-0000-0000-0000C9AA0000}"/>
    <cellStyle name="Notas 7 3 8 3 3 3" xfId="43572" xr:uid="{00000000-0005-0000-0000-0000CAAA0000}"/>
    <cellStyle name="Notas 7 3 8 3 3 4" xfId="43573" xr:uid="{00000000-0005-0000-0000-0000CBAA0000}"/>
    <cellStyle name="Notas 7 3 8 3 4" xfId="43574" xr:uid="{00000000-0005-0000-0000-0000CCAA0000}"/>
    <cellStyle name="Notas 7 3 8 3 5" xfId="43575" xr:uid="{00000000-0005-0000-0000-0000CDAA0000}"/>
    <cellStyle name="Notas 7 3 8 3 6" xfId="43576" xr:uid="{00000000-0005-0000-0000-0000CEAA0000}"/>
    <cellStyle name="Notas 7 3 8 4" xfId="43577" xr:uid="{00000000-0005-0000-0000-0000CFAA0000}"/>
    <cellStyle name="Notas 7 3 8 4 2" xfId="43578" xr:uid="{00000000-0005-0000-0000-0000D0AA0000}"/>
    <cellStyle name="Notas 7 3 8 4 3" xfId="43579" xr:uid="{00000000-0005-0000-0000-0000D1AA0000}"/>
    <cellStyle name="Notas 7 3 8 4 4" xfId="43580" xr:uid="{00000000-0005-0000-0000-0000D2AA0000}"/>
    <cellStyle name="Notas 7 3 8 5" xfId="43581" xr:uid="{00000000-0005-0000-0000-0000D3AA0000}"/>
    <cellStyle name="Notas 7 3 8 6" xfId="43582" xr:uid="{00000000-0005-0000-0000-0000D4AA0000}"/>
    <cellStyle name="Notas 7 3 9" xfId="43583" xr:uid="{00000000-0005-0000-0000-0000D5AA0000}"/>
    <cellStyle name="Notas 7 3 9 2" xfId="43584" xr:uid="{00000000-0005-0000-0000-0000D6AA0000}"/>
    <cellStyle name="Notas 7 3 9 2 2" xfId="43585" xr:uid="{00000000-0005-0000-0000-0000D7AA0000}"/>
    <cellStyle name="Notas 7 3 9 2 2 2" xfId="43586" xr:uid="{00000000-0005-0000-0000-0000D8AA0000}"/>
    <cellStyle name="Notas 7 3 9 2 2 3" xfId="43587" xr:uid="{00000000-0005-0000-0000-0000D9AA0000}"/>
    <cellStyle name="Notas 7 3 9 2 2 4" xfId="43588" xr:uid="{00000000-0005-0000-0000-0000DAAA0000}"/>
    <cellStyle name="Notas 7 3 9 2 3" xfId="43589" xr:uid="{00000000-0005-0000-0000-0000DBAA0000}"/>
    <cellStyle name="Notas 7 3 9 2 3 2" xfId="43590" xr:uid="{00000000-0005-0000-0000-0000DCAA0000}"/>
    <cellStyle name="Notas 7 3 9 2 3 3" xfId="43591" xr:uid="{00000000-0005-0000-0000-0000DDAA0000}"/>
    <cellStyle name="Notas 7 3 9 2 3 4" xfId="43592" xr:uid="{00000000-0005-0000-0000-0000DEAA0000}"/>
    <cellStyle name="Notas 7 3 9 2 4" xfId="43593" xr:uid="{00000000-0005-0000-0000-0000DFAA0000}"/>
    <cellStyle name="Notas 7 3 9 2 5" xfId="43594" xr:uid="{00000000-0005-0000-0000-0000E0AA0000}"/>
    <cellStyle name="Notas 7 3 9 2 6" xfId="43595" xr:uid="{00000000-0005-0000-0000-0000E1AA0000}"/>
    <cellStyle name="Notas 7 3 9 3" xfId="43596" xr:uid="{00000000-0005-0000-0000-0000E2AA0000}"/>
    <cellStyle name="Notas 7 3 9 3 2" xfId="43597" xr:uid="{00000000-0005-0000-0000-0000E3AA0000}"/>
    <cellStyle name="Notas 7 3 9 3 2 2" xfId="43598" xr:uid="{00000000-0005-0000-0000-0000E4AA0000}"/>
    <cellStyle name="Notas 7 3 9 3 2 3" xfId="43599" xr:uid="{00000000-0005-0000-0000-0000E5AA0000}"/>
    <cellStyle name="Notas 7 3 9 3 2 4" xfId="43600" xr:uid="{00000000-0005-0000-0000-0000E6AA0000}"/>
    <cellStyle name="Notas 7 3 9 3 3" xfId="43601" xr:uid="{00000000-0005-0000-0000-0000E7AA0000}"/>
    <cellStyle name="Notas 7 3 9 3 3 2" xfId="43602" xr:uid="{00000000-0005-0000-0000-0000E8AA0000}"/>
    <cellStyle name="Notas 7 3 9 3 3 3" xfId="43603" xr:uid="{00000000-0005-0000-0000-0000E9AA0000}"/>
    <cellStyle name="Notas 7 3 9 3 3 4" xfId="43604" xr:uid="{00000000-0005-0000-0000-0000EAAA0000}"/>
    <cellStyle name="Notas 7 3 9 3 4" xfId="43605" xr:uid="{00000000-0005-0000-0000-0000EBAA0000}"/>
    <cellStyle name="Notas 7 3 9 3 5" xfId="43606" xr:uid="{00000000-0005-0000-0000-0000ECAA0000}"/>
    <cellStyle name="Notas 7 3 9 3 6" xfId="43607" xr:uid="{00000000-0005-0000-0000-0000EDAA0000}"/>
    <cellStyle name="Notas 7 3 9 4" xfId="43608" xr:uid="{00000000-0005-0000-0000-0000EEAA0000}"/>
    <cellStyle name="Notas 7 3 9 4 2" xfId="43609" xr:uid="{00000000-0005-0000-0000-0000EFAA0000}"/>
    <cellStyle name="Notas 7 3 9 4 3" xfId="43610" xr:uid="{00000000-0005-0000-0000-0000F0AA0000}"/>
    <cellStyle name="Notas 7 3 9 4 4" xfId="43611" xr:uid="{00000000-0005-0000-0000-0000F1AA0000}"/>
    <cellStyle name="Notas 7 3 9 5" xfId="43612" xr:uid="{00000000-0005-0000-0000-0000F2AA0000}"/>
    <cellStyle name="Notas 7 3 9 6" xfId="43613" xr:uid="{00000000-0005-0000-0000-0000F3AA0000}"/>
    <cellStyle name="Notas 7 4" xfId="43614" xr:uid="{00000000-0005-0000-0000-0000F4AA0000}"/>
    <cellStyle name="Notas 7 4 10" xfId="43615" xr:uid="{00000000-0005-0000-0000-0000F5AA0000}"/>
    <cellStyle name="Notas 7 4 10 2" xfId="43616" xr:uid="{00000000-0005-0000-0000-0000F6AA0000}"/>
    <cellStyle name="Notas 7 4 10 2 2" xfId="43617" xr:uid="{00000000-0005-0000-0000-0000F7AA0000}"/>
    <cellStyle name="Notas 7 4 10 2 2 2" xfId="43618" xr:uid="{00000000-0005-0000-0000-0000F8AA0000}"/>
    <cellStyle name="Notas 7 4 10 2 2 3" xfId="43619" xr:uid="{00000000-0005-0000-0000-0000F9AA0000}"/>
    <cellStyle name="Notas 7 4 10 2 2 4" xfId="43620" xr:uid="{00000000-0005-0000-0000-0000FAAA0000}"/>
    <cellStyle name="Notas 7 4 10 2 3" xfId="43621" xr:uid="{00000000-0005-0000-0000-0000FBAA0000}"/>
    <cellStyle name="Notas 7 4 10 2 3 2" xfId="43622" xr:uid="{00000000-0005-0000-0000-0000FCAA0000}"/>
    <cellStyle name="Notas 7 4 10 2 3 3" xfId="43623" xr:uid="{00000000-0005-0000-0000-0000FDAA0000}"/>
    <cellStyle name="Notas 7 4 10 2 3 4" xfId="43624" xr:uid="{00000000-0005-0000-0000-0000FEAA0000}"/>
    <cellStyle name="Notas 7 4 10 2 4" xfId="43625" xr:uid="{00000000-0005-0000-0000-0000FFAA0000}"/>
    <cellStyle name="Notas 7 4 10 2 5" xfId="43626" xr:uid="{00000000-0005-0000-0000-000000AB0000}"/>
    <cellStyle name="Notas 7 4 10 2 6" xfId="43627" xr:uid="{00000000-0005-0000-0000-000001AB0000}"/>
    <cellStyle name="Notas 7 4 10 3" xfId="43628" xr:uid="{00000000-0005-0000-0000-000002AB0000}"/>
    <cellStyle name="Notas 7 4 10 3 2" xfId="43629" xr:uid="{00000000-0005-0000-0000-000003AB0000}"/>
    <cellStyle name="Notas 7 4 10 3 2 2" xfId="43630" xr:uid="{00000000-0005-0000-0000-000004AB0000}"/>
    <cellStyle name="Notas 7 4 10 3 2 3" xfId="43631" xr:uid="{00000000-0005-0000-0000-000005AB0000}"/>
    <cellStyle name="Notas 7 4 10 3 2 4" xfId="43632" xr:uid="{00000000-0005-0000-0000-000006AB0000}"/>
    <cellStyle name="Notas 7 4 10 3 3" xfId="43633" xr:uid="{00000000-0005-0000-0000-000007AB0000}"/>
    <cellStyle name="Notas 7 4 10 3 3 2" xfId="43634" xr:uid="{00000000-0005-0000-0000-000008AB0000}"/>
    <cellStyle name="Notas 7 4 10 3 3 3" xfId="43635" xr:uid="{00000000-0005-0000-0000-000009AB0000}"/>
    <cellStyle name="Notas 7 4 10 3 3 4" xfId="43636" xr:uid="{00000000-0005-0000-0000-00000AAB0000}"/>
    <cellStyle name="Notas 7 4 10 3 4" xfId="43637" xr:uid="{00000000-0005-0000-0000-00000BAB0000}"/>
    <cellStyle name="Notas 7 4 10 3 5" xfId="43638" xr:uid="{00000000-0005-0000-0000-00000CAB0000}"/>
    <cellStyle name="Notas 7 4 10 3 6" xfId="43639" xr:uid="{00000000-0005-0000-0000-00000DAB0000}"/>
    <cellStyle name="Notas 7 4 10 4" xfId="43640" xr:uid="{00000000-0005-0000-0000-00000EAB0000}"/>
    <cellStyle name="Notas 7 4 10 5" xfId="43641" xr:uid="{00000000-0005-0000-0000-00000FAB0000}"/>
    <cellStyle name="Notas 7 4 10 6" xfId="43642" xr:uid="{00000000-0005-0000-0000-000010AB0000}"/>
    <cellStyle name="Notas 7 4 11" xfId="43643" xr:uid="{00000000-0005-0000-0000-000011AB0000}"/>
    <cellStyle name="Notas 7 4 12" xfId="43644" xr:uid="{00000000-0005-0000-0000-000012AB0000}"/>
    <cellStyle name="Notas 7 4 2" xfId="43645" xr:uid="{00000000-0005-0000-0000-000013AB0000}"/>
    <cellStyle name="Notas 7 4 2 2" xfId="43646" xr:uid="{00000000-0005-0000-0000-000014AB0000}"/>
    <cellStyle name="Notas 7 4 2 2 2" xfId="43647" xr:uid="{00000000-0005-0000-0000-000015AB0000}"/>
    <cellStyle name="Notas 7 4 2 2 2 2" xfId="43648" xr:uid="{00000000-0005-0000-0000-000016AB0000}"/>
    <cellStyle name="Notas 7 4 2 2 2 2 2" xfId="43649" xr:uid="{00000000-0005-0000-0000-000017AB0000}"/>
    <cellStyle name="Notas 7 4 2 2 2 2 3" xfId="43650" xr:uid="{00000000-0005-0000-0000-000018AB0000}"/>
    <cellStyle name="Notas 7 4 2 2 2 2 4" xfId="43651" xr:uid="{00000000-0005-0000-0000-000019AB0000}"/>
    <cellStyle name="Notas 7 4 2 2 2 3" xfId="43652" xr:uid="{00000000-0005-0000-0000-00001AAB0000}"/>
    <cellStyle name="Notas 7 4 2 2 2 3 2" xfId="43653" xr:uid="{00000000-0005-0000-0000-00001BAB0000}"/>
    <cellStyle name="Notas 7 4 2 2 2 3 3" xfId="43654" xr:uid="{00000000-0005-0000-0000-00001CAB0000}"/>
    <cellStyle name="Notas 7 4 2 2 2 3 4" xfId="43655" xr:uid="{00000000-0005-0000-0000-00001DAB0000}"/>
    <cellStyle name="Notas 7 4 2 2 2 4" xfId="43656" xr:uid="{00000000-0005-0000-0000-00001EAB0000}"/>
    <cellStyle name="Notas 7 4 2 2 2 5" xfId="43657" xr:uid="{00000000-0005-0000-0000-00001FAB0000}"/>
    <cellStyle name="Notas 7 4 2 2 2 6" xfId="43658" xr:uid="{00000000-0005-0000-0000-000020AB0000}"/>
    <cellStyle name="Notas 7 4 2 2 3" xfId="43659" xr:uid="{00000000-0005-0000-0000-000021AB0000}"/>
    <cellStyle name="Notas 7 4 2 2 3 2" xfId="43660" xr:uid="{00000000-0005-0000-0000-000022AB0000}"/>
    <cellStyle name="Notas 7 4 2 2 3 2 2" xfId="43661" xr:uid="{00000000-0005-0000-0000-000023AB0000}"/>
    <cellStyle name="Notas 7 4 2 2 3 2 3" xfId="43662" xr:uid="{00000000-0005-0000-0000-000024AB0000}"/>
    <cellStyle name="Notas 7 4 2 2 3 2 4" xfId="43663" xr:uid="{00000000-0005-0000-0000-000025AB0000}"/>
    <cellStyle name="Notas 7 4 2 2 3 3" xfId="43664" xr:uid="{00000000-0005-0000-0000-000026AB0000}"/>
    <cellStyle name="Notas 7 4 2 2 3 3 2" xfId="43665" xr:uid="{00000000-0005-0000-0000-000027AB0000}"/>
    <cellStyle name="Notas 7 4 2 2 3 3 3" xfId="43666" xr:uid="{00000000-0005-0000-0000-000028AB0000}"/>
    <cellStyle name="Notas 7 4 2 2 3 3 4" xfId="43667" xr:uid="{00000000-0005-0000-0000-000029AB0000}"/>
    <cellStyle name="Notas 7 4 2 2 3 4" xfId="43668" xr:uid="{00000000-0005-0000-0000-00002AAB0000}"/>
    <cellStyle name="Notas 7 4 2 2 3 5" xfId="43669" xr:uid="{00000000-0005-0000-0000-00002BAB0000}"/>
    <cellStyle name="Notas 7 4 2 2 3 6" xfId="43670" xr:uid="{00000000-0005-0000-0000-00002CAB0000}"/>
    <cellStyle name="Notas 7 4 2 2 4" xfId="43671" xr:uid="{00000000-0005-0000-0000-00002DAB0000}"/>
    <cellStyle name="Notas 7 4 2 2 5" xfId="43672" xr:uid="{00000000-0005-0000-0000-00002EAB0000}"/>
    <cellStyle name="Notas 7 4 2 2 6" xfId="43673" xr:uid="{00000000-0005-0000-0000-00002FAB0000}"/>
    <cellStyle name="Notas 7 4 2 3" xfId="43674" xr:uid="{00000000-0005-0000-0000-000030AB0000}"/>
    <cellStyle name="Notas 7 4 2 4" xfId="43675" xr:uid="{00000000-0005-0000-0000-000031AB0000}"/>
    <cellStyle name="Notas 7 4 3" xfId="43676" xr:uid="{00000000-0005-0000-0000-000032AB0000}"/>
    <cellStyle name="Notas 7 4 3 2" xfId="43677" xr:uid="{00000000-0005-0000-0000-000033AB0000}"/>
    <cellStyle name="Notas 7 4 3 2 2" xfId="43678" xr:uid="{00000000-0005-0000-0000-000034AB0000}"/>
    <cellStyle name="Notas 7 4 3 2 2 2" xfId="43679" xr:uid="{00000000-0005-0000-0000-000035AB0000}"/>
    <cellStyle name="Notas 7 4 3 2 2 2 2" xfId="43680" xr:uid="{00000000-0005-0000-0000-000036AB0000}"/>
    <cellStyle name="Notas 7 4 3 2 2 2 3" xfId="43681" xr:uid="{00000000-0005-0000-0000-000037AB0000}"/>
    <cellStyle name="Notas 7 4 3 2 2 2 4" xfId="43682" xr:uid="{00000000-0005-0000-0000-000038AB0000}"/>
    <cellStyle name="Notas 7 4 3 2 2 3" xfId="43683" xr:uid="{00000000-0005-0000-0000-000039AB0000}"/>
    <cellStyle name="Notas 7 4 3 2 2 3 2" xfId="43684" xr:uid="{00000000-0005-0000-0000-00003AAB0000}"/>
    <cellStyle name="Notas 7 4 3 2 2 3 3" xfId="43685" xr:uid="{00000000-0005-0000-0000-00003BAB0000}"/>
    <cellStyle name="Notas 7 4 3 2 2 3 4" xfId="43686" xr:uid="{00000000-0005-0000-0000-00003CAB0000}"/>
    <cellStyle name="Notas 7 4 3 2 2 4" xfId="43687" xr:uid="{00000000-0005-0000-0000-00003DAB0000}"/>
    <cellStyle name="Notas 7 4 3 2 2 5" xfId="43688" xr:uid="{00000000-0005-0000-0000-00003EAB0000}"/>
    <cellStyle name="Notas 7 4 3 2 2 6" xfId="43689" xr:uid="{00000000-0005-0000-0000-00003FAB0000}"/>
    <cellStyle name="Notas 7 4 3 2 3" xfId="43690" xr:uid="{00000000-0005-0000-0000-000040AB0000}"/>
    <cellStyle name="Notas 7 4 3 2 3 2" xfId="43691" xr:uid="{00000000-0005-0000-0000-000041AB0000}"/>
    <cellStyle name="Notas 7 4 3 2 3 2 2" xfId="43692" xr:uid="{00000000-0005-0000-0000-000042AB0000}"/>
    <cellStyle name="Notas 7 4 3 2 3 2 3" xfId="43693" xr:uid="{00000000-0005-0000-0000-000043AB0000}"/>
    <cellStyle name="Notas 7 4 3 2 3 2 4" xfId="43694" xr:uid="{00000000-0005-0000-0000-000044AB0000}"/>
    <cellStyle name="Notas 7 4 3 2 3 3" xfId="43695" xr:uid="{00000000-0005-0000-0000-000045AB0000}"/>
    <cellStyle name="Notas 7 4 3 2 3 3 2" xfId="43696" xr:uid="{00000000-0005-0000-0000-000046AB0000}"/>
    <cellStyle name="Notas 7 4 3 2 3 3 3" xfId="43697" xr:uid="{00000000-0005-0000-0000-000047AB0000}"/>
    <cellStyle name="Notas 7 4 3 2 3 3 4" xfId="43698" xr:uid="{00000000-0005-0000-0000-000048AB0000}"/>
    <cellStyle name="Notas 7 4 3 2 3 4" xfId="43699" xr:uid="{00000000-0005-0000-0000-000049AB0000}"/>
    <cellStyle name="Notas 7 4 3 2 3 5" xfId="43700" xr:uid="{00000000-0005-0000-0000-00004AAB0000}"/>
    <cellStyle name="Notas 7 4 3 2 3 6" xfId="43701" xr:uid="{00000000-0005-0000-0000-00004BAB0000}"/>
    <cellStyle name="Notas 7 4 3 2 4" xfId="43702" xr:uid="{00000000-0005-0000-0000-00004CAB0000}"/>
    <cellStyle name="Notas 7 4 3 2 5" xfId="43703" xr:uid="{00000000-0005-0000-0000-00004DAB0000}"/>
    <cellStyle name="Notas 7 4 3 2 6" xfId="43704" xr:uid="{00000000-0005-0000-0000-00004EAB0000}"/>
    <cellStyle name="Notas 7 4 3 3" xfId="43705" xr:uid="{00000000-0005-0000-0000-00004FAB0000}"/>
    <cellStyle name="Notas 7 4 3 4" xfId="43706" xr:uid="{00000000-0005-0000-0000-000050AB0000}"/>
    <cellStyle name="Notas 7 4 4" xfId="43707" xr:uid="{00000000-0005-0000-0000-000051AB0000}"/>
    <cellStyle name="Notas 7 4 4 2" xfId="43708" xr:uid="{00000000-0005-0000-0000-000052AB0000}"/>
    <cellStyle name="Notas 7 4 4 2 2" xfId="43709" xr:uid="{00000000-0005-0000-0000-000053AB0000}"/>
    <cellStyle name="Notas 7 4 4 2 2 2" xfId="43710" xr:uid="{00000000-0005-0000-0000-000054AB0000}"/>
    <cellStyle name="Notas 7 4 4 2 2 2 2" xfId="43711" xr:uid="{00000000-0005-0000-0000-000055AB0000}"/>
    <cellStyle name="Notas 7 4 4 2 2 2 3" xfId="43712" xr:uid="{00000000-0005-0000-0000-000056AB0000}"/>
    <cellStyle name="Notas 7 4 4 2 2 2 4" xfId="43713" xr:uid="{00000000-0005-0000-0000-000057AB0000}"/>
    <cellStyle name="Notas 7 4 4 2 2 3" xfId="43714" xr:uid="{00000000-0005-0000-0000-000058AB0000}"/>
    <cellStyle name="Notas 7 4 4 2 2 3 2" xfId="43715" xr:uid="{00000000-0005-0000-0000-000059AB0000}"/>
    <cellStyle name="Notas 7 4 4 2 2 3 3" xfId="43716" xr:uid="{00000000-0005-0000-0000-00005AAB0000}"/>
    <cellStyle name="Notas 7 4 4 2 2 3 4" xfId="43717" xr:uid="{00000000-0005-0000-0000-00005BAB0000}"/>
    <cellStyle name="Notas 7 4 4 2 2 4" xfId="43718" xr:uid="{00000000-0005-0000-0000-00005CAB0000}"/>
    <cellStyle name="Notas 7 4 4 2 2 5" xfId="43719" xr:uid="{00000000-0005-0000-0000-00005DAB0000}"/>
    <cellStyle name="Notas 7 4 4 2 2 6" xfId="43720" xr:uid="{00000000-0005-0000-0000-00005EAB0000}"/>
    <cellStyle name="Notas 7 4 4 2 3" xfId="43721" xr:uid="{00000000-0005-0000-0000-00005FAB0000}"/>
    <cellStyle name="Notas 7 4 4 2 3 2" xfId="43722" xr:uid="{00000000-0005-0000-0000-000060AB0000}"/>
    <cellStyle name="Notas 7 4 4 2 3 2 2" xfId="43723" xr:uid="{00000000-0005-0000-0000-000061AB0000}"/>
    <cellStyle name="Notas 7 4 4 2 3 2 3" xfId="43724" xr:uid="{00000000-0005-0000-0000-000062AB0000}"/>
    <cellStyle name="Notas 7 4 4 2 3 2 4" xfId="43725" xr:uid="{00000000-0005-0000-0000-000063AB0000}"/>
    <cellStyle name="Notas 7 4 4 2 3 3" xfId="43726" xr:uid="{00000000-0005-0000-0000-000064AB0000}"/>
    <cellStyle name="Notas 7 4 4 2 3 3 2" xfId="43727" xr:uid="{00000000-0005-0000-0000-000065AB0000}"/>
    <cellStyle name="Notas 7 4 4 2 3 3 3" xfId="43728" xr:uid="{00000000-0005-0000-0000-000066AB0000}"/>
    <cellStyle name="Notas 7 4 4 2 3 3 4" xfId="43729" xr:uid="{00000000-0005-0000-0000-000067AB0000}"/>
    <cellStyle name="Notas 7 4 4 2 3 4" xfId="43730" xr:uid="{00000000-0005-0000-0000-000068AB0000}"/>
    <cellStyle name="Notas 7 4 4 2 3 5" xfId="43731" xr:uid="{00000000-0005-0000-0000-000069AB0000}"/>
    <cellStyle name="Notas 7 4 4 2 3 6" xfId="43732" xr:uid="{00000000-0005-0000-0000-00006AAB0000}"/>
    <cellStyle name="Notas 7 4 4 2 4" xfId="43733" xr:uid="{00000000-0005-0000-0000-00006BAB0000}"/>
    <cellStyle name="Notas 7 4 4 2 5" xfId="43734" xr:uid="{00000000-0005-0000-0000-00006CAB0000}"/>
    <cellStyle name="Notas 7 4 4 2 6" xfId="43735" xr:uid="{00000000-0005-0000-0000-00006DAB0000}"/>
    <cellStyle name="Notas 7 4 4 3" xfId="43736" xr:uid="{00000000-0005-0000-0000-00006EAB0000}"/>
    <cellStyle name="Notas 7 4 4 4" xfId="43737" xr:uid="{00000000-0005-0000-0000-00006FAB0000}"/>
    <cellStyle name="Notas 7 4 5" xfId="43738" xr:uid="{00000000-0005-0000-0000-000070AB0000}"/>
    <cellStyle name="Notas 7 4 5 2" xfId="43739" xr:uid="{00000000-0005-0000-0000-000071AB0000}"/>
    <cellStyle name="Notas 7 4 5 2 2" xfId="43740" xr:uid="{00000000-0005-0000-0000-000072AB0000}"/>
    <cellStyle name="Notas 7 4 5 2 2 2" xfId="43741" xr:uid="{00000000-0005-0000-0000-000073AB0000}"/>
    <cellStyle name="Notas 7 4 5 2 2 2 2" xfId="43742" xr:uid="{00000000-0005-0000-0000-000074AB0000}"/>
    <cellStyle name="Notas 7 4 5 2 2 2 3" xfId="43743" xr:uid="{00000000-0005-0000-0000-000075AB0000}"/>
    <cellStyle name="Notas 7 4 5 2 2 2 4" xfId="43744" xr:uid="{00000000-0005-0000-0000-000076AB0000}"/>
    <cellStyle name="Notas 7 4 5 2 2 3" xfId="43745" xr:uid="{00000000-0005-0000-0000-000077AB0000}"/>
    <cellStyle name="Notas 7 4 5 2 2 3 2" xfId="43746" xr:uid="{00000000-0005-0000-0000-000078AB0000}"/>
    <cellStyle name="Notas 7 4 5 2 2 3 3" xfId="43747" xr:uid="{00000000-0005-0000-0000-000079AB0000}"/>
    <cellStyle name="Notas 7 4 5 2 2 3 4" xfId="43748" xr:uid="{00000000-0005-0000-0000-00007AAB0000}"/>
    <cellStyle name="Notas 7 4 5 2 2 4" xfId="43749" xr:uid="{00000000-0005-0000-0000-00007BAB0000}"/>
    <cellStyle name="Notas 7 4 5 2 2 5" xfId="43750" xr:uid="{00000000-0005-0000-0000-00007CAB0000}"/>
    <cellStyle name="Notas 7 4 5 2 2 6" xfId="43751" xr:uid="{00000000-0005-0000-0000-00007DAB0000}"/>
    <cellStyle name="Notas 7 4 5 2 3" xfId="43752" xr:uid="{00000000-0005-0000-0000-00007EAB0000}"/>
    <cellStyle name="Notas 7 4 5 2 3 2" xfId="43753" xr:uid="{00000000-0005-0000-0000-00007FAB0000}"/>
    <cellStyle name="Notas 7 4 5 2 3 2 2" xfId="43754" xr:uid="{00000000-0005-0000-0000-000080AB0000}"/>
    <cellStyle name="Notas 7 4 5 2 3 2 3" xfId="43755" xr:uid="{00000000-0005-0000-0000-000081AB0000}"/>
    <cellStyle name="Notas 7 4 5 2 3 2 4" xfId="43756" xr:uid="{00000000-0005-0000-0000-000082AB0000}"/>
    <cellStyle name="Notas 7 4 5 2 3 3" xfId="43757" xr:uid="{00000000-0005-0000-0000-000083AB0000}"/>
    <cellStyle name="Notas 7 4 5 2 3 3 2" xfId="43758" xr:uid="{00000000-0005-0000-0000-000084AB0000}"/>
    <cellStyle name="Notas 7 4 5 2 3 3 3" xfId="43759" xr:uid="{00000000-0005-0000-0000-000085AB0000}"/>
    <cellStyle name="Notas 7 4 5 2 3 3 4" xfId="43760" xr:uid="{00000000-0005-0000-0000-000086AB0000}"/>
    <cellStyle name="Notas 7 4 5 2 3 4" xfId="43761" xr:uid="{00000000-0005-0000-0000-000087AB0000}"/>
    <cellStyle name="Notas 7 4 5 2 3 5" xfId="43762" xr:uid="{00000000-0005-0000-0000-000088AB0000}"/>
    <cellStyle name="Notas 7 4 5 2 3 6" xfId="43763" xr:uid="{00000000-0005-0000-0000-000089AB0000}"/>
    <cellStyle name="Notas 7 4 5 2 4" xfId="43764" xr:uid="{00000000-0005-0000-0000-00008AAB0000}"/>
    <cellStyle name="Notas 7 4 5 2 5" xfId="43765" xr:uid="{00000000-0005-0000-0000-00008BAB0000}"/>
    <cellStyle name="Notas 7 4 5 2 6" xfId="43766" xr:uid="{00000000-0005-0000-0000-00008CAB0000}"/>
    <cellStyle name="Notas 7 4 5 3" xfId="43767" xr:uid="{00000000-0005-0000-0000-00008DAB0000}"/>
    <cellStyle name="Notas 7 4 5 4" xfId="43768" xr:uid="{00000000-0005-0000-0000-00008EAB0000}"/>
    <cellStyle name="Notas 7 4 6" xfId="43769" xr:uid="{00000000-0005-0000-0000-00008FAB0000}"/>
    <cellStyle name="Notas 7 4 6 2" xfId="43770" xr:uid="{00000000-0005-0000-0000-000090AB0000}"/>
    <cellStyle name="Notas 7 4 6 2 2" xfId="43771" xr:uid="{00000000-0005-0000-0000-000091AB0000}"/>
    <cellStyle name="Notas 7 4 6 2 2 2" xfId="43772" xr:uid="{00000000-0005-0000-0000-000092AB0000}"/>
    <cellStyle name="Notas 7 4 6 2 2 3" xfId="43773" xr:uid="{00000000-0005-0000-0000-000093AB0000}"/>
    <cellStyle name="Notas 7 4 6 2 2 4" xfId="43774" xr:uid="{00000000-0005-0000-0000-000094AB0000}"/>
    <cellStyle name="Notas 7 4 6 2 3" xfId="43775" xr:uid="{00000000-0005-0000-0000-000095AB0000}"/>
    <cellStyle name="Notas 7 4 6 2 3 2" xfId="43776" xr:uid="{00000000-0005-0000-0000-000096AB0000}"/>
    <cellStyle name="Notas 7 4 6 2 3 3" xfId="43777" xr:uid="{00000000-0005-0000-0000-000097AB0000}"/>
    <cellStyle name="Notas 7 4 6 2 3 4" xfId="43778" xr:uid="{00000000-0005-0000-0000-000098AB0000}"/>
    <cellStyle name="Notas 7 4 6 2 4" xfId="43779" xr:uid="{00000000-0005-0000-0000-000099AB0000}"/>
    <cellStyle name="Notas 7 4 6 2 5" xfId="43780" xr:uid="{00000000-0005-0000-0000-00009AAB0000}"/>
    <cellStyle name="Notas 7 4 6 2 6" xfId="43781" xr:uid="{00000000-0005-0000-0000-00009BAB0000}"/>
    <cellStyle name="Notas 7 4 6 3" xfId="43782" xr:uid="{00000000-0005-0000-0000-00009CAB0000}"/>
    <cellStyle name="Notas 7 4 6 3 2" xfId="43783" xr:uid="{00000000-0005-0000-0000-00009DAB0000}"/>
    <cellStyle name="Notas 7 4 6 3 2 2" xfId="43784" xr:uid="{00000000-0005-0000-0000-00009EAB0000}"/>
    <cellStyle name="Notas 7 4 6 3 2 3" xfId="43785" xr:uid="{00000000-0005-0000-0000-00009FAB0000}"/>
    <cellStyle name="Notas 7 4 6 3 2 4" xfId="43786" xr:uid="{00000000-0005-0000-0000-0000A0AB0000}"/>
    <cellStyle name="Notas 7 4 6 3 3" xfId="43787" xr:uid="{00000000-0005-0000-0000-0000A1AB0000}"/>
    <cellStyle name="Notas 7 4 6 3 3 2" xfId="43788" xr:uid="{00000000-0005-0000-0000-0000A2AB0000}"/>
    <cellStyle name="Notas 7 4 6 3 3 3" xfId="43789" xr:uid="{00000000-0005-0000-0000-0000A3AB0000}"/>
    <cellStyle name="Notas 7 4 6 3 3 4" xfId="43790" xr:uid="{00000000-0005-0000-0000-0000A4AB0000}"/>
    <cellStyle name="Notas 7 4 6 3 4" xfId="43791" xr:uid="{00000000-0005-0000-0000-0000A5AB0000}"/>
    <cellStyle name="Notas 7 4 6 3 5" xfId="43792" xr:uid="{00000000-0005-0000-0000-0000A6AB0000}"/>
    <cellStyle name="Notas 7 4 6 3 6" xfId="43793" xr:uid="{00000000-0005-0000-0000-0000A7AB0000}"/>
    <cellStyle name="Notas 7 4 6 4" xfId="43794" xr:uid="{00000000-0005-0000-0000-0000A8AB0000}"/>
    <cellStyle name="Notas 7 4 6 4 2" xfId="43795" xr:uid="{00000000-0005-0000-0000-0000A9AB0000}"/>
    <cellStyle name="Notas 7 4 6 4 3" xfId="43796" xr:uid="{00000000-0005-0000-0000-0000AAAB0000}"/>
    <cellStyle name="Notas 7 4 6 4 4" xfId="43797" xr:uid="{00000000-0005-0000-0000-0000ABAB0000}"/>
    <cellStyle name="Notas 7 4 6 5" xfId="43798" xr:uid="{00000000-0005-0000-0000-0000ACAB0000}"/>
    <cellStyle name="Notas 7 4 6 6" xfId="43799" xr:uid="{00000000-0005-0000-0000-0000ADAB0000}"/>
    <cellStyle name="Notas 7 4 7" xfId="43800" xr:uid="{00000000-0005-0000-0000-0000AEAB0000}"/>
    <cellStyle name="Notas 7 4 7 2" xfId="43801" xr:uid="{00000000-0005-0000-0000-0000AFAB0000}"/>
    <cellStyle name="Notas 7 4 7 2 2" xfId="43802" xr:uid="{00000000-0005-0000-0000-0000B0AB0000}"/>
    <cellStyle name="Notas 7 4 7 2 2 2" xfId="43803" xr:uid="{00000000-0005-0000-0000-0000B1AB0000}"/>
    <cellStyle name="Notas 7 4 7 2 2 3" xfId="43804" xr:uid="{00000000-0005-0000-0000-0000B2AB0000}"/>
    <cellStyle name="Notas 7 4 7 2 2 4" xfId="43805" xr:uid="{00000000-0005-0000-0000-0000B3AB0000}"/>
    <cellStyle name="Notas 7 4 7 2 3" xfId="43806" xr:uid="{00000000-0005-0000-0000-0000B4AB0000}"/>
    <cellStyle name="Notas 7 4 7 2 3 2" xfId="43807" xr:uid="{00000000-0005-0000-0000-0000B5AB0000}"/>
    <cellStyle name="Notas 7 4 7 2 3 3" xfId="43808" xr:uid="{00000000-0005-0000-0000-0000B6AB0000}"/>
    <cellStyle name="Notas 7 4 7 2 3 4" xfId="43809" xr:uid="{00000000-0005-0000-0000-0000B7AB0000}"/>
    <cellStyle name="Notas 7 4 7 2 4" xfId="43810" xr:uid="{00000000-0005-0000-0000-0000B8AB0000}"/>
    <cellStyle name="Notas 7 4 7 2 5" xfId="43811" xr:uid="{00000000-0005-0000-0000-0000B9AB0000}"/>
    <cellStyle name="Notas 7 4 7 2 6" xfId="43812" xr:uid="{00000000-0005-0000-0000-0000BAAB0000}"/>
    <cellStyle name="Notas 7 4 7 3" xfId="43813" xr:uid="{00000000-0005-0000-0000-0000BBAB0000}"/>
    <cellStyle name="Notas 7 4 7 3 2" xfId="43814" xr:uid="{00000000-0005-0000-0000-0000BCAB0000}"/>
    <cellStyle name="Notas 7 4 7 3 2 2" xfId="43815" xr:uid="{00000000-0005-0000-0000-0000BDAB0000}"/>
    <cellStyle name="Notas 7 4 7 3 2 3" xfId="43816" xr:uid="{00000000-0005-0000-0000-0000BEAB0000}"/>
    <cellStyle name="Notas 7 4 7 3 2 4" xfId="43817" xr:uid="{00000000-0005-0000-0000-0000BFAB0000}"/>
    <cellStyle name="Notas 7 4 7 3 3" xfId="43818" xr:uid="{00000000-0005-0000-0000-0000C0AB0000}"/>
    <cellStyle name="Notas 7 4 7 3 3 2" xfId="43819" xr:uid="{00000000-0005-0000-0000-0000C1AB0000}"/>
    <cellStyle name="Notas 7 4 7 3 3 3" xfId="43820" xr:uid="{00000000-0005-0000-0000-0000C2AB0000}"/>
    <cellStyle name="Notas 7 4 7 3 3 4" xfId="43821" xr:uid="{00000000-0005-0000-0000-0000C3AB0000}"/>
    <cellStyle name="Notas 7 4 7 3 4" xfId="43822" xr:uid="{00000000-0005-0000-0000-0000C4AB0000}"/>
    <cellStyle name="Notas 7 4 7 3 5" xfId="43823" xr:uid="{00000000-0005-0000-0000-0000C5AB0000}"/>
    <cellStyle name="Notas 7 4 7 3 6" xfId="43824" xr:uid="{00000000-0005-0000-0000-0000C6AB0000}"/>
    <cellStyle name="Notas 7 4 7 4" xfId="43825" xr:uid="{00000000-0005-0000-0000-0000C7AB0000}"/>
    <cellStyle name="Notas 7 4 7 4 2" xfId="43826" xr:uid="{00000000-0005-0000-0000-0000C8AB0000}"/>
    <cellStyle name="Notas 7 4 7 4 3" xfId="43827" xr:uid="{00000000-0005-0000-0000-0000C9AB0000}"/>
    <cellStyle name="Notas 7 4 7 4 4" xfId="43828" xr:uid="{00000000-0005-0000-0000-0000CAAB0000}"/>
    <cellStyle name="Notas 7 4 7 5" xfId="43829" xr:uid="{00000000-0005-0000-0000-0000CBAB0000}"/>
    <cellStyle name="Notas 7 4 7 6" xfId="43830" xr:uid="{00000000-0005-0000-0000-0000CCAB0000}"/>
    <cellStyle name="Notas 7 4 8" xfId="43831" xr:uid="{00000000-0005-0000-0000-0000CDAB0000}"/>
    <cellStyle name="Notas 7 4 8 2" xfId="43832" xr:uid="{00000000-0005-0000-0000-0000CEAB0000}"/>
    <cellStyle name="Notas 7 4 8 2 2" xfId="43833" xr:uid="{00000000-0005-0000-0000-0000CFAB0000}"/>
    <cellStyle name="Notas 7 4 8 2 2 2" xfId="43834" xr:uid="{00000000-0005-0000-0000-0000D0AB0000}"/>
    <cellStyle name="Notas 7 4 8 2 2 3" xfId="43835" xr:uid="{00000000-0005-0000-0000-0000D1AB0000}"/>
    <cellStyle name="Notas 7 4 8 2 2 4" xfId="43836" xr:uid="{00000000-0005-0000-0000-0000D2AB0000}"/>
    <cellStyle name="Notas 7 4 8 2 3" xfId="43837" xr:uid="{00000000-0005-0000-0000-0000D3AB0000}"/>
    <cellStyle name="Notas 7 4 8 2 3 2" xfId="43838" xr:uid="{00000000-0005-0000-0000-0000D4AB0000}"/>
    <cellStyle name="Notas 7 4 8 2 3 3" xfId="43839" xr:uid="{00000000-0005-0000-0000-0000D5AB0000}"/>
    <cellStyle name="Notas 7 4 8 2 3 4" xfId="43840" xr:uid="{00000000-0005-0000-0000-0000D6AB0000}"/>
    <cellStyle name="Notas 7 4 8 2 4" xfId="43841" xr:uid="{00000000-0005-0000-0000-0000D7AB0000}"/>
    <cellStyle name="Notas 7 4 8 2 5" xfId="43842" xr:uid="{00000000-0005-0000-0000-0000D8AB0000}"/>
    <cellStyle name="Notas 7 4 8 2 6" xfId="43843" xr:uid="{00000000-0005-0000-0000-0000D9AB0000}"/>
    <cellStyle name="Notas 7 4 8 3" xfId="43844" xr:uid="{00000000-0005-0000-0000-0000DAAB0000}"/>
    <cellStyle name="Notas 7 4 8 3 2" xfId="43845" xr:uid="{00000000-0005-0000-0000-0000DBAB0000}"/>
    <cellStyle name="Notas 7 4 8 3 2 2" xfId="43846" xr:uid="{00000000-0005-0000-0000-0000DCAB0000}"/>
    <cellStyle name="Notas 7 4 8 3 2 3" xfId="43847" xr:uid="{00000000-0005-0000-0000-0000DDAB0000}"/>
    <cellStyle name="Notas 7 4 8 3 2 4" xfId="43848" xr:uid="{00000000-0005-0000-0000-0000DEAB0000}"/>
    <cellStyle name="Notas 7 4 8 3 3" xfId="43849" xr:uid="{00000000-0005-0000-0000-0000DFAB0000}"/>
    <cellStyle name="Notas 7 4 8 3 3 2" xfId="43850" xr:uid="{00000000-0005-0000-0000-0000E0AB0000}"/>
    <cellStyle name="Notas 7 4 8 3 3 3" xfId="43851" xr:uid="{00000000-0005-0000-0000-0000E1AB0000}"/>
    <cellStyle name="Notas 7 4 8 3 3 4" xfId="43852" xr:uid="{00000000-0005-0000-0000-0000E2AB0000}"/>
    <cellStyle name="Notas 7 4 8 3 4" xfId="43853" xr:uid="{00000000-0005-0000-0000-0000E3AB0000}"/>
    <cellStyle name="Notas 7 4 8 3 5" xfId="43854" xr:uid="{00000000-0005-0000-0000-0000E4AB0000}"/>
    <cellStyle name="Notas 7 4 8 3 6" xfId="43855" xr:uid="{00000000-0005-0000-0000-0000E5AB0000}"/>
    <cellStyle name="Notas 7 4 8 4" xfId="43856" xr:uid="{00000000-0005-0000-0000-0000E6AB0000}"/>
    <cellStyle name="Notas 7 4 8 4 2" xfId="43857" xr:uid="{00000000-0005-0000-0000-0000E7AB0000}"/>
    <cellStyle name="Notas 7 4 8 4 3" xfId="43858" xr:uid="{00000000-0005-0000-0000-0000E8AB0000}"/>
    <cellStyle name="Notas 7 4 8 4 4" xfId="43859" xr:uid="{00000000-0005-0000-0000-0000E9AB0000}"/>
    <cellStyle name="Notas 7 4 8 5" xfId="43860" xr:uid="{00000000-0005-0000-0000-0000EAAB0000}"/>
    <cellStyle name="Notas 7 4 8 6" xfId="43861" xr:uid="{00000000-0005-0000-0000-0000EBAB0000}"/>
    <cellStyle name="Notas 7 4 9" xfId="43862" xr:uid="{00000000-0005-0000-0000-0000ECAB0000}"/>
    <cellStyle name="Notas 7 4 9 2" xfId="43863" xr:uid="{00000000-0005-0000-0000-0000EDAB0000}"/>
    <cellStyle name="Notas 7 4 9 2 2" xfId="43864" xr:uid="{00000000-0005-0000-0000-0000EEAB0000}"/>
    <cellStyle name="Notas 7 4 9 2 2 2" xfId="43865" xr:uid="{00000000-0005-0000-0000-0000EFAB0000}"/>
    <cellStyle name="Notas 7 4 9 2 2 3" xfId="43866" xr:uid="{00000000-0005-0000-0000-0000F0AB0000}"/>
    <cellStyle name="Notas 7 4 9 2 2 4" xfId="43867" xr:uid="{00000000-0005-0000-0000-0000F1AB0000}"/>
    <cellStyle name="Notas 7 4 9 2 3" xfId="43868" xr:uid="{00000000-0005-0000-0000-0000F2AB0000}"/>
    <cellStyle name="Notas 7 4 9 2 3 2" xfId="43869" xr:uid="{00000000-0005-0000-0000-0000F3AB0000}"/>
    <cellStyle name="Notas 7 4 9 2 3 3" xfId="43870" xr:uid="{00000000-0005-0000-0000-0000F4AB0000}"/>
    <cellStyle name="Notas 7 4 9 2 3 4" xfId="43871" xr:uid="{00000000-0005-0000-0000-0000F5AB0000}"/>
    <cellStyle name="Notas 7 4 9 2 4" xfId="43872" xr:uid="{00000000-0005-0000-0000-0000F6AB0000}"/>
    <cellStyle name="Notas 7 4 9 2 5" xfId="43873" xr:uid="{00000000-0005-0000-0000-0000F7AB0000}"/>
    <cellStyle name="Notas 7 4 9 2 6" xfId="43874" xr:uid="{00000000-0005-0000-0000-0000F8AB0000}"/>
    <cellStyle name="Notas 7 4 9 3" xfId="43875" xr:uid="{00000000-0005-0000-0000-0000F9AB0000}"/>
    <cellStyle name="Notas 7 4 9 3 2" xfId="43876" xr:uid="{00000000-0005-0000-0000-0000FAAB0000}"/>
    <cellStyle name="Notas 7 4 9 3 2 2" xfId="43877" xr:uid="{00000000-0005-0000-0000-0000FBAB0000}"/>
    <cellStyle name="Notas 7 4 9 3 2 3" xfId="43878" xr:uid="{00000000-0005-0000-0000-0000FCAB0000}"/>
    <cellStyle name="Notas 7 4 9 3 2 4" xfId="43879" xr:uid="{00000000-0005-0000-0000-0000FDAB0000}"/>
    <cellStyle name="Notas 7 4 9 3 3" xfId="43880" xr:uid="{00000000-0005-0000-0000-0000FEAB0000}"/>
    <cellStyle name="Notas 7 4 9 3 3 2" xfId="43881" xr:uid="{00000000-0005-0000-0000-0000FFAB0000}"/>
    <cellStyle name="Notas 7 4 9 3 3 3" xfId="43882" xr:uid="{00000000-0005-0000-0000-000000AC0000}"/>
    <cellStyle name="Notas 7 4 9 3 3 4" xfId="43883" xr:uid="{00000000-0005-0000-0000-000001AC0000}"/>
    <cellStyle name="Notas 7 4 9 3 4" xfId="43884" xr:uid="{00000000-0005-0000-0000-000002AC0000}"/>
    <cellStyle name="Notas 7 4 9 3 5" xfId="43885" xr:uid="{00000000-0005-0000-0000-000003AC0000}"/>
    <cellStyle name="Notas 7 4 9 3 6" xfId="43886" xr:uid="{00000000-0005-0000-0000-000004AC0000}"/>
    <cellStyle name="Notas 7 4 9 4" xfId="43887" xr:uid="{00000000-0005-0000-0000-000005AC0000}"/>
    <cellStyle name="Notas 7 4 9 4 2" xfId="43888" xr:uid="{00000000-0005-0000-0000-000006AC0000}"/>
    <cellStyle name="Notas 7 4 9 4 3" xfId="43889" xr:uid="{00000000-0005-0000-0000-000007AC0000}"/>
    <cellStyle name="Notas 7 4 9 4 4" xfId="43890" xr:uid="{00000000-0005-0000-0000-000008AC0000}"/>
    <cellStyle name="Notas 7 4 9 5" xfId="43891" xr:uid="{00000000-0005-0000-0000-000009AC0000}"/>
    <cellStyle name="Notas 7 4 9 6" xfId="43892" xr:uid="{00000000-0005-0000-0000-00000AAC0000}"/>
    <cellStyle name="Notas 7 5" xfId="43893" xr:uid="{00000000-0005-0000-0000-00000BAC0000}"/>
    <cellStyle name="Notas 7 5 2" xfId="43894" xr:uid="{00000000-0005-0000-0000-00000CAC0000}"/>
    <cellStyle name="Notas 7 5 2 2" xfId="43895" xr:uid="{00000000-0005-0000-0000-00000DAC0000}"/>
    <cellStyle name="Notas 7 5 2 2 2" xfId="43896" xr:uid="{00000000-0005-0000-0000-00000EAC0000}"/>
    <cellStyle name="Notas 7 5 2 2 2 2" xfId="43897" xr:uid="{00000000-0005-0000-0000-00000FAC0000}"/>
    <cellStyle name="Notas 7 5 2 2 2 3" xfId="43898" xr:uid="{00000000-0005-0000-0000-000010AC0000}"/>
    <cellStyle name="Notas 7 5 2 2 2 4" xfId="43899" xr:uid="{00000000-0005-0000-0000-000011AC0000}"/>
    <cellStyle name="Notas 7 5 2 2 3" xfId="43900" xr:uid="{00000000-0005-0000-0000-000012AC0000}"/>
    <cellStyle name="Notas 7 5 2 2 3 2" xfId="43901" xr:uid="{00000000-0005-0000-0000-000013AC0000}"/>
    <cellStyle name="Notas 7 5 2 2 3 3" xfId="43902" xr:uid="{00000000-0005-0000-0000-000014AC0000}"/>
    <cellStyle name="Notas 7 5 2 2 3 4" xfId="43903" xr:uid="{00000000-0005-0000-0000-000015AC0000}"/>
    <cellStyle name="Notas 7 5 2 2 4" xfId="43904" xr:uid="{00000000-0005-0000-0000-000016AC0000}"/>
    <cellStyle name="Notas 7 5 2 2 5" xfId="43905" xr:uid="{00000000-0005-0000-0000-000017AC0000}"/>
    <cellStyle name="Notas 7 5 2 2 6" xfId="43906" xr:uid="{00000000-0005-0000-0000-000018AC0000}"/>
    <cellStyle name="Notas 7 5 2 3" xfId="43907" xr:uid="{00000000-0005-0000-0000-000019AC0000}"/>
    <cellStyle name="Notas 7 5 2 3 2" xfId="43908" xr:uid="{00000000-0005-0000-0000-00001AAC0000}"/>
    <cellStyle name="Notas 7 5 2 3 2 2" xfId="43909" xr:uid="{00000000-0005-0000-0000-00001BAC0000}"/>
    <cellStyle name="Notas 7 5 2 3 2 3" xfId="43910" xr:uid="{00000000-0005-0000-0000-00001CAC0000}"/>
    <cellStyle name="Notas 7 5 2 3 2 4" xfId="43911" xr:uid="{00000000-0005-0000-0000-00001DAC0000}"/>
    <cellStyle name="Notas 7 5 2 3 3" xfId="43912" xr:uid="{00000000-0005-0000-0000-00001EAC0000}"/>
    <cellStyle name="Notas 7 5 2 3 3 2" xfId="43913" xr:uid="{00000000-0005-0000-0000-00001FAC0000}"/>
    <cellStyle name="Notas 7 5 2 3 3 3" xfId="43914" xr:uid="{00000000-0005-0000-0000-000020AC0000}"/>
    <cellStyle name="Notas 7 5 2 3 3 4" xfId="43915" xr:uid="{00000000-0005-0000-0000-000021AC0000}"/>
    <cellStyle name="Notas 7 5 2 3 4" xfId="43916" xr:uid="{00000000-0005-0000-0000-000022AC0000}"/>
    <cellStyle name="Notas 7 5 2 3 5" xfId="43917" xr:uid="{00000000-0005-0000-0000-000023AC0000}"/>
    <cellStyle name="Notas 7 5 2 3 6" xfId="43918" xr:uid="{00000000-0005-0000-0000-000024AC0000}"/>
    <cellStyle name="Notas 7 5 2 4" xfId="43919" xr:uid="{00000000-0005-0000-0000-000025AC0000}"/>
    <cellStyle name="Notas 7 5 2 5" xfId="43920" xr:uid="{00000000-0005-0000-0000-000026AC0000}"/>
    <cellStyle name="Notas 7 5 2 6" xfId="43921" xr:uid="{00000000-0005-0000-0000-000027AC0000}"/>
    <cellStyle name="Notas 7 5 3" xfId="43922" xr:uid="{00000000-0005-0000-0000-000028AC0000}"/>
    <cellStyle name="Notas 7 5 4" xfId="43923" xr:uid="{00000000-0005-0000-0000-000029AC0000}"/>
    <cellStyle name="Notas 7 6" xfId="43924" xr:uid="{00000000-0005-0000-0000-00002AAC0000}"/>
    <cellStyle name="Notas 7 6 2" xfId="43925" xr:uid="{00000000-0005-0000-0000-00002BAC0000}"/>
    <cellStyle name="Notas 7 6 2 2" xfId="43926" xr:uid="{00000000-0005-0000-0000-00002CAC0000}"/>
    <cellStyle name="Notas 7 6 2 2 2" xfId="43927" xr:uid="{00000000-0005-0000-0000-00002DAC0000}"/>
    <cellStyle name="Notas 7 6 2 2 2 2" xfId="43928" xr:uid="{00000000-0005-0000-0000-00002EAC0000}"/>
    <cellStyle name="Notas 7 6 2 2 2 3" xfId="43929" xr:uid="{00000000-0005-0000-0000-00002FAC0000}"/>
    <cellStyle name="Notas 7 6 2 2 2 4" xfId="43930" xr:uid="{00000000-0005-0000-0000-000030AC0000}"/>
    <cellStyle name="Notas 7 6 2 2 3" xfId="43931" xr:uid="{00000000-0005-0000-0000-000031AC0000}"/>
    <cellStyle name="Notas 7 6 2 2 3 2" xfId="43932" xr:uid="{00000000-0005-0000-0000-000032AC0000}"/>
    <cellStyle name="Notas 7 6 2 2 3 3" xfId="43933" xr:uid="{00000000-0005-0000-0000-000033AC0000}"/>
    <cellStyle name="Notas 7 6 2 2 3 4" xfId="43934" xr:uid="{00000000-0005-0000-0000-000034AC0000}"/>
    <cellStyle name="Notas 7 6 2 2 4" xfId="43935" xr:uid="{00000000-0005-0000-0000-000035AC0000}"/>
    <cellStyle name="Notas 7 6 2 2 5" xfId="43936" xr:uid="{00000000-0005-0000-0000-000036AC0000}"/>
    <cellStyle name="Notas 7 6 2 2 6" xfId="43937" xr:uid="{00000000-0005-0000-0000-000037AC0000}"/>
    <cellStyle name="Notas 7 6 2 3" xfId="43938" xr:uid="{00000000-0005-0000-0000-000038AC0000}"/>
    <cellStyle name="Notas 7 6 2 3 2" xfId="43939" xr:uid="{00000000-0005-0000-0000-000039AC0000}"/>
    <cellStyle name="Notas 7 6 2 3 2 2" xfId="43940" xr:uid="{00000000-0005-0000-0000-00003AAC0000}"/>
    <cellStyle name="Notas 7 6 2 3 2 3" xfId="43941" xr:uid="{00000000-0005-0000-0000-00003BAC0000}"/>
    <cellStyle name="Notas 7 6 2 3 2 4" xfId="43942" xr:uid="{00000000-0005-0000-0000-00003CAC0000}"/>
    <cellStyle name="Notas 7 6 2 3 3" xfId="43943" xr:uid="{00000000-0005-0000-0000-00003DAC0000}"/>
    <cellStyle name="Notas 7 6 2 3 3 2" xfId="43944" xr:uid="{00000000-0005-0000-0000-00003EAC0000}"/>
    <cellStyle name="Notas 7 6 2 3 3 3" xfId="43945" xr:uid="{00000000-0005-0000-0000-00003FAC0000}"/>
    <cellStyle name="Notas 7 6 2 3 3 4" xfId="43946" xr:uid="{00000000-0005-0000-0000-000040AC0000}"/>
    <cellStyle name="Notas 7 6 2 3 4" xfId="43947" xr:uid="{00000000-0005-0000-0000-000041AC0000}"/>
    <cellStyle name="Notas 7 6 2 3 5" xfId="43948" xr:uid="{00000000-0005-0000-0000-000042AC0000}"/>
    <cellStyle name="Notas 7 6 2 3 6" xfId="43949" xr:uid="{00000000-0005-0000-0000-000043AC0000}"/>
    <cellStyle name="Notas 7 6 2 4" xfId="43950" xr:uid="{00000000-0005-0000-0000-000044AC0000}"/>
    <cellStyle name="Notas 7 6 2 5" xfId="43951" xr:uid="{00000000-0005-0000-0000-000045AC0000}"/>
    <cellStyle name="Notas 7 6 2 6" xfId="43952" xr:uid="{00000000-0005-0000-0000-000046AC0000}"/>
    <cellStyle name="Notas 7 6 3" xfId="43953" xr:uid="{00000000-0005-0000-0000-000047AC0000}"/>
    <cellStyle name="Notas 7 6 4" xfId="43954" xr:uid="{00000000-0005-0000-0000-000048AC0000}"/>
    <cellStyle name="Notas 7 7" xfId="43955" xr:uid="{00000000-0005-0000-0000-000049AC0000}"/>
    <cellStyle name="Notas 7 7 2" xfId="43956" xr:uid="{00000000-0005-0000-0000-00004AAC0000}"/>
    <cellStyle name="Notas 7 7 2 2" xfId="43957" xr:uid="{00000000-0005-0000-0000-00004BAC0000}"/>
    <cellStyle name="Notas 7 7 2 2 2" xfId="43958" xr:uid="{00000000-0005-0000-0000-00004CAC0000}"/>
    <cellStyle name="Notas 7 7 2 2 2 2" xfId="43959" xr:uid="{00000000-0005-0000-0000-00004DAC0000}"/>
    <cellStyle name="Notas 7 7 2 2 2 3" xfId="43960" xr:uid="{00000000-0005-0000-0000-00004EAC0000}"/>
    <cellStyle name="Notas 7 7 2 2 2 4" xfId="43961" xr:uid="{00000000-0005-0000-0000-00004FAC0000}"/>
    <cellStyle name="Notas 7 7 2 2 3" xfId="43962" xr:uid="{00000000-0005-0000-0000-000050AC0000}"/>
    <cellStyle name="Notas 7 7 2 2 3 2" xfId="43963" xr:uid="{00000000-0005-0000-0000-000051AC0000}"/>
    <cellStyle name="Notas 7 7 2 2 3 3" xfId="43964" xr:uid="{00000000-0005-0000-0000-000052AC0000}"/>
    <cellStyle name="Notas 7 7 2 2 3 4" xfId="43965" xr:uid="{00000000-0005-0000-0000-000053AC0000}"/>
    <cellStyle name="Notas 7 7 2 2 4" xfId="43966" xr:uid="{00000000-0005-0000-0000-000054AC0000}"/>
    <cellStyle name="Notas 7 7 2 2 5" xfId="43967" xr:uid="{00000000-0005-0000-0000-000055AC0000}"/>
    <cellStyle name="Notas 7 7 2 2 6" xfId="43968" xr:uid="{00000000-0005-0000-0000-000056AC0000}"/>
    <cellStyle name="Notas 7 7 2 3" xfId="43969" xr:uid="{00000000-0005-0000-0000-000057AC0000}"/>
    <cellStyle name="Notas 7 7 2 3 2" xfId="43970" xr:uid="{00000000-0005-0000-0000-000058AC0000}"/>
    <cellStyle name="Notas 7 7 2 3 2 2" xfId="43971" xr:uid="{00000000-0005-0000-0000-000059AC0000}"/>
    <cellStyle name="Notas 7 7 2 3 2 3" xfId="43972" xr:uid="{00000000-0005-0000-0000-00005AAC0000}"/>
    <cellStyle name="Notas 7 7 2 3 2 4" xfId="43973" xr:uid="{00000000-0005-0000-0000-00005BAC0000}"/>
    <cellStyle name="Notas 7 7 2 3 3" xfId="43974" xr:uid="{00000000-0005-0000-0000-00005CAC0000}"/>
    <cellStyle name="Notas 7 7 2 3 3 2" xfId="43975" xr:uid="{00000000-0005-0000-0000-00005DAC0000}"/>
    <cellStyle name="Notas 7 7 2 3 3 3" xfId="43976" xr:uid="{00000000-0005-0000-0000-00005EAC0000}"/>
    <cellStyle name="Notas 7 7 2 3 3 4" xfId="43977" xr:uid="{00000000-0005-0000-0000-00005FAC0000}"/>
    <cellStyle name="Notas 7 7 2 3 4" xfId="43978" xr:uid="{00000000-0005-0000-0000-000060AC0000}"/>
    <cellStyle name="Notas 7 7 2 3 5" xfId="43979" xr:uid="{00000000-0005-0000-0000-000061AC0000}"/>
    <cellStyle name="Notas 7 7 2 3 6" xfId="43980" xr:uid="{00000000-0005-0000-0000-000062AC0000}"/>
    <cellStyle name="Notas 7 7 2 4" xfId="43981" xr:uid="{00000000-0005-0000-0000-000063AC0000}"/>
    <cellStyle name="Notas 7 7 2 5" xfId="43982" xr:uid="{00000000-0005-0000-0000-000064AC0000}"/>
    <cellStyle name="Notas 7 7 2 6" xfId="43983" xr:uid="{00000000-0005-0000-0000-000065AC0000}"/>
    <cellStyle name="Notas 7 7 3" xfId="43984" xr:uid="{00000000-0005-0000-0000-000066AC0000}"/>
    <cellStyle name="Notas 7 7 4" xfId="43985" xr:uid="{00000000-0005-0000-0000-000067AC0000}"/>
    <cellStyle name="Notas 7 8" xfId="43986" xr:uid="{00000000-0005-0000-0000-000068AC0000}"/>
    <cellStyle name="Notas 7 8 2" xfId="43987" xr:uid="{00000000-0005-0000-0000-000069AC0000}"/>
    <cellStyle name="Notas 7 8 2 2" xfId="43988" xr:uid="{00000000-0005-0000-0000-00006AAC0000}"/>
    <cellStyle name="Notas 7 8 2 2 2" xfId="43989" xr:uid="{00000000-0005-0000-0000-00006BAC0000}"/>
    <cellStyle name="Notas 7 8 2 2 2 2" xfId="43990" xr:uid="{00000000-0005-0000-0000-00006CAC0000}"/>
    <cellStyle name="Notas 7 8 2 2 2 3" xfId="43991" xr:uid="{00000000-0005-0000-0000-00006DAC0000}"/>
    <cellStyle name="Notas 7 8 2 2 2 4" xfId="43992" xr:uid="{00000000-0005-0000-0000-00006EAC0000}"/>
    <cellStyle name="Notas 7 8 2 2 3" xfId="43993" xr:uid="{00000000-0005-0000-0000-00006FAC0000}"/>
    <cellStyle name="Notas 7 8 2 2 3 2" xfId="43994" xr:uid="{00000000-0005-0000-0000-000070AC0000}"/>
    <cellStyle name="Notas 7 8 2 2 3 3" xfId="43995" xr:uid="{00000000-0005-0000-0000-000071AC0000}"/>
    <cellStyle name="Notas 7 8 2 2 3 4" xfId="43996" xr:uid="{00000000-0005-0000-0000-000072AC0000}"/>
    <cellStyle name="Notas 7 8 2 2 4" xfId="43997" xr:uid="{00000000-0005-0000-0000-000073AC0000}"/>
    <cellStyle name="Notas 7 8 2 2 5" xfId="43998" xr:uid="{00000000-0005-0000-0000-000074AC0000}"/>
    <cellStyle name="Notas 7 8 2 2 6" xfId="43999" xr:uid="{00000000-0005-0000-0000-000075AC0000}"/>
    <cellStyle name="Notas 7 8 2 3" xfId="44000" xr:uid="{00000000-0005-0000-0000-000076AC0000}"/>
    <cellStyle name="Notas 7 8 2 3 2" xfId="44001" xr:uid="{00000000-0005-0000-0000-000077AC0000}"/>
    <cellStyle name="Notas 7 8 2 3 2 2" xfId="44002" xr:uid="{00000000-0005-0000-0000-000078AC0000}"/>
    <cellStyle name="Notas 7 8 2 3 2 3" xfId="44003" xr:uid="{00000000-0005-0000-0000-000079AC0000}"/>
    <cellStyle name="Notas 7 8 2 3 2 4" xfId="44004" xr:uid="{00000000-0005-0000-0000-00007AAC0000}"/>
    <cellStyle name="Notas 7 8 2 3 3" xfId="44005" xr:uid="{00000000-0005-0000-0000-00007BAC0000}"/>
    <cellStyle name="Notas 7 8 2 3 3 2" xfId="44006" xr:uid="{00000000-0005-0000-0000-00007CAC0000}"/>
    <cellStyle name="Notas 7 8 2 3 3 3" xfId="44007" xr:uid="{00000000-0005-0000-0000-00007DAC0000}"/>
    <cellStyle name="Notas 7 8 2 3 3 4" xfId="44008" xr:uid="{00000000-0005-0000-0000-00007EAC0000}"/>
    <cellStyle name="Notas 7 8 2 3 4" xfId="44009" xr:uid="{00000000-0005-0000-0000-00007FAC0000}"/>
    <cellStyle name="Notas 7 8 2 3 5" xfId="44010" xr:uid="{00000000-0005-0000-0000-000080AC0000}"/>
    <cellStyle name="Notas 7 8 2 3 6" xfId="44011" xr:uid="{00000000-0005-0000-0000-000081AC0000}"/>
    <cellStyle name="Notas 7 8 2 4" xfId="44012" xr:uid="{00000000-0005-0000-0000-000082AC0000}"/>
    <cellStyle name="Notas 7 8 2 5" xfId="44013" xr:uid="{00000000-0005-0000-0000-000083AC0000}"/>
    <cellStyle name="Notas 7 8 2 6" xfId="44014" xr:uid="{00000000-0005-0000-0000-000084AC0000}"/>
    <cellStyle name="Notas 7 8 3" xfId="44015" xr:uid="{00000000-0005-0000-0000-000085AC0000}"/>
    <cellStyle name="Notas 7 8 4" xfId="44016" xr:uid="{00000000-0005-0000-0000-000086AC0000}"/>
    <cellStyle name="Notas 7 9" xfId="44017" xr:uid="{00000000-0005-0000-0000-000087AC0000}"/>
    <cellStyle name="Notas 7 9 2" xfId="44018" xr:uid="{00000000-0005-0000-0000-000088AC0000}"/>
    <cellStyle name="Notas 7 9 2 2" xfId="44019" xr:uid="{00000000-0005-0000-0000-000089AC0000}"/>
    <cellStyle name="Notas 7 9 2 2 2" xfId="44020" xr:uid="{00000000-0005-0000-0000-00008AAC0000}"/>
    <cellStyle name="Notas 7 9 2 2 3" xfId="44021" xr:uid="{00000000-0005-0000-0000-00008BAC0000}"/>
    <cellStyle name="Notas 7 9 2 2 4" xfId="44022" xr:uid="{00000000-0005-0000-0000-00008CAC0000}"/>
    <cellStyle name="Notas 7 9 2 3" xfId="44023" xr:uid="{00000000-0005-0000-0000-00008DAC0000}"/>
    <cellStyle name="Notas 7 9 2 3 2" xfId="44024" xr:uid="{00000000-0005-0000-0000-00008EAC0000}"/>
    <cellStyle name="Notas 7 9 2 3 3" xfId="44025" xr:uid="{00000000-0005-0000-0000-00008FAC0000}"/>
    <cellStyle name="Notas 7 9 2 3 4" xfId="44026" xr:uid="{00000000-0005-0000-0000-000090AC0000}"/>
    <cellStyle name="Notas 7 9 2 4" xfId="44027" xr:uid="{00000000-0005-0000-0000-000091AC0000}"/>
    <cellStyle name="Notas 7 9 2 5" xfId="44028" xr:uid="{00000000-0005-0000-0000-000092AC0000}"/>
    <cellStyle name="Notas 7 9 2 6" xfId="44029" xr:uid="{00000000-0005-0000-0000-000093AC0000}"/>
    <cellStyle name="Notas 7 9 3" xfId="44030" xr:uid="{00000000-0005-0000-0000-000094AC0000}"/>
    <cellStyle name="Notas 7 9 3 2" xfId="44031" xr:uid="{00000000-0005-0000-0000-000095AC0000}"/>
    <cellStyle name="Notas 7 9 3 2 2" xfId="44032" xr:uid="{00000000-0005-0000-0000-000096AC0000}"/>
    <cellStyle name="Notas 7 9 3 2 3" xfId="44033" xr:uid="{00000000-0005-0000-0000-000097AC0000}"/>
    <cellStyle name="Notas 7 9 3 2 4" xfId="44034" xr:uid="{00000000-0005-0000-0000-000098AC0000}"/>
    <cellStyle name="Notas 7 9 3 3" xfId="44035" xr:uid="{00000000-0005-0000-0000-000099AC0000}"/>
    <cellStyle name="Notas 7 9 3 3 2" xfId="44036" xr:uid="{00000000-0005-0000-0000-00009AAC0000}"/>
    <cellStyle name="Notas 7 9 3 3 3" xfId="44037" xr:uid="{00000000-0005-0000-0000-00009BAC0000}"/>
    <cellStyle name="Notas 7 9 3 3 4" xfId="44038" xr:uid="{00000000-0005-0000-0000-00009CAC0000}"/>
    <cellStyle name="Notas 7 9 3 4" xfId="44039" xr:uid="{00000000-0005-0000-0000-00009DAC0000}"/>
    <cellStyle name="Notas 7 9 3 5" xfId="44040" xr:uid="{00000000-0005-0000-0000-00009EAC0000}"/>
    <cellStyle name="Notas 7 9 3 6" xfId="44041" xr:uid="{00000000-0005-0000-0000-00009FAC0000}"/>
    <cellStyle name="Notas 7 9 4" xfId="44042" xr:uid="{00000000-0005-0000-0000-0000A0AC0000}"/>
    <cellStyle name="Notas 7 9 4 2" xfId="44043" xr:uid="{00000000-0005-0000-0000-0000A1AC0000}"/>
    <cellStyle name="Notas 7 9 4 3" xfId="44044" xr:uid="{00000000-0005-0000-0000-0000A2AC0000}"/>
    <cellStyle name="Notas 7 9 4 4" xfId="44045" xr:uid="{00000000-0005-0000-0000-0000A3AC0000}"/>
    <cellStyle name="Notas 7 9 5" xfId="44046" xr:uid="{00000000-0005-0000-0000-0000A4AC0000}"/>
    <cellStyle name="Notas 7 9 6" xfId="44047" xr:uid="{00000000-0005-0000-0000-0000A5AC0000}"/>
    <cellStyle name="Notas 8" xfId="58868" xr:uid="{00000000-0005-0000-0000-0000A6AC0000}"/>
    <cellStyle name="Notas 9" xfId="58870" xr:uid="{00000000-0005-0000-0000-0000A7AC0000}"/>
    <cellStyle name="Note" xfId="44048" xr:uid="{00000000-0005-0000-0000-0000A8AC0000}"/>
    <cellStyle name="Note 10" xfId="44049" xr:uid="{00000000-0005-0000-0000-0000A9AC0000}"/>
    <cellStyle name="Note 10 2" xfId="44050" xr:uid="{00000000-0005-0000-0000-0000AAAC0000}"/>
    <cellStyle name="Note 10 2 2" xfId="44051" xr:uid="{00000000-0005-0000-0000-0000ABAC0000}"/>
    <cellStyle name="Note 10 2 2 2" xfId="44052" xr:uid="{00000000-0005-0000-0000-0000ACAC0000}"/>
    <cellStyle name="Note 10 2 2 3" xfId="44053" xr:uid="{00000000-0005-0000-0000-0000ADAC0000}"/>
    <cellStyle name="Note 10 2 2 4" xfId="44054" xr:uid="{00000000-0005-0000-0000-0000AEAC0000}"/>
    <cellStyle name="Note 10 2 3" xfId="44055" xr:uid="{00000000-0005-0000-0000-0000AFAC0000}"/>
    <cellStyle name="Note 10 2 3 2" xfId="44056" xr:uid="{00000000-0005-0000-0000-0000B0AC0000}"/>
    <cellStyle name="Note 10 2 3 3" xfId="44057" xr:uid="{00000000-0005-0000-0000-0000B1AC0000}"/>
    <cellStyle name="Note 10 2 3 4" xfId="44058" xr:uid="{00000000-0005-0000-0000-0000B2AC0000}"/>
    <cellStyle name="Note 10 2 4" xfId="44059" xr:uid="{00000000-0005-0000-0000-0000B3AC0000}"/>
    <cellStyle name="Note 10 2 5" xfId="44060" xr:uid="{00000000-0005-0000-0000-0000B4AC0000}"/>
    <cellStyle name="Note 10 2 6" xfId="44061" xr:uid="{00000000-0005-0000-0000-0000B5AC0000}"/>
    <cellStyle name="Note 10 3" xfId="44062" xr:uid="{00000000-0005-0000-0000-0000B6AC0000}"/>
    <cellStyle name="Note 10 3 2" xfId="44063" xr:uid="{00000000-0005-0000-0000-0000B7AC0000}"/>
    <cellStyle name="Note 10 3 2 2" xfId="44064" xr:uid="{00000000-0005-0000-0000-0000B8AC0000}"/>
    <cellStyle name="Note 10 3 2 3" xfId="44065" xr:uid="{00000000-0005-0000-0000-0000B9AC0000}"/>
    <cellStyle name="Note 10 3 2 4" xfId="44066" xr:uid="{00000000-0005-0000-0000-0000BAAC0000}"/>
    <cellStyle name="Note 10 3 3" xfId="44067" xr:uid="{00000000-0005-0000-0000-0000BBAC0000}"/>
    <cellStyle name="Note 10 3 3 2" xfId="44068" xr:uid="{00000000-0005-0000-0000-0000BCAC0000}"/>
    <cellStyle name="Note 10 3 3 3" xfId="44069" xr:uid="{00000000-0005-0000-0000-0000BDAC0000}"/>
    <cellStyle name="Note 10 3 3 4" xfId="44070" xr:uid="{00000000-0005-0000-0000-0000BEAC0000}"/>
    <cellStyle name="Note 10 3 4" xfId="44071" xr:uid="{00000000-0005-0000-0000-0000BFAC0000}"/>
    <cellStyle name="Note 10 3 5" xfId="44072" xr:uid="{00000000-0005-0000-0000-0000C0AC0000}"/>
    <cellStyle name="Note 10 3 6" xfId="44073" xr:uid="{00000000-0005-0000-0000-0000C1AC0000}"/>
    <cellStyle name="Note 10 4" xfId="44074" xr:uid="{00000000-0005-0000-0000-0000C2AC0000}"/>
    <cellStyle name="Note 10 4 2" xfId="44075" xr:uid="{00000000-0005-0000-0000-0000C3AC0000}"/>
    <cellStyle name="Note 10 4 3" xfId="44076" xr:uid="{00000000-0005-0000-0000-0000C4AC0000}"/>
    <cellStyle name="Note 10 4 4" xfId="44077" xr:uid="{00000000-0005-0000-0000-0000C5AC0000}"/>
    <cellStyle name="Note 10 5" xfId="44078" xr:uid="{00000000-0005-0000-0000-0000C6AC0000}"/>
    <cellStyle name="Note 10 6" xfId="44079" xr:uid="{00000000-0005-0000-0000-0000C7AC0000}"/>
    <cellStyle name="Note 11" xfId="44080" xr:uid="{00000000-0005-0000-0000-0000C8AC0000}"/>
    <cellStyle name="Note 11 2" xfId="44081" xr:uid="{00000000-0005-0000-0000-0000C9AC0000}"/>
    <cellStyle name="Note 11 2 2" xfId="44082" xr:uid="{00000000-0005-0000-0000-0000CAAC0000}"/>
    <cellStyle name="Note 11 2 2 2" xfId="44083" xr:uid="{00000000-0005-0000-0000-0000CBAC0000}"/>
    <cellStyle name="Note 11 2 2 3" xfId="44084" xr:uid="{00000000-0005-0000-0000-0000CCAC0000}"/>
    <cellStyle name="Note 11 2 2 4" xfId="44085" xr:uid="{00000000-0005-0000-0000-0000CDAC0000}"/>
    <cellStyle name="Note 11 2 3" xfId="44086" xr:uid="{00000000-0005-0000-0000-0000CEAC0000}"/>
    <cellStyle name="Note 11 2 3 2" xfId="44087" xr:uid="{00000000-0005-0000-0000-0000CFAC0000}"/>
    <cellStyle name="Note 11 2 3 3" xfId="44088" xr:uid="{00000000-0005-0000-0000-0000D0AC0000}"/>
    <cellStyle name="Note 11 2 3 4" xfId="44089" xr:uid="{00000000-0005-0000-0000-0000D1AC0000}"/>
    <cellStyle name="Note 11 2 4" xfId="44090" xr:uid="{00000000-0005-0000-0000-0000D2AC0000}"/>
    <cellStyle name="Note 11 2 5" xfId="44091" xr:uid="{00000000-0005-0000-0000-0000D3AC0000}"/>
    <cellStyle name="Note 11 2 6" xfId="44092" xr:uid="{00000000-0005-0000-0000-0000D4AC0000}"/>
    <cellStyle name="Note 11 3" xfId="44093" xr:uid="{00000000-0005-0000-0000-0000D5AC0000}"/>
    <cellStyle name="Note 11 3 2" xfId="44094" xr:uid="{00000000-0005-0000-0000-0000D6AC0000}"/>
    <cellStyle name="Note 11 3 2 2" xfId="44095" xr:uid="{00000000-0005-0000-0000-0000D7AC0000}"/>
    <cellStyle name="Note 11 3 2 3" xfId="44096" xr:uid="{00000000-0005-0000-0000-0000D8AC0000}"/>
    <cellStyle name="Note 11 3 2 4" xfId="44097" xr:uid="{00000000-0005-0000-0000-0000D9AC0000}"/>
    <cellStyle name="Note 11 3 3" xfId="44098" xr:uid="{00000000-0005-0000-0000-0000DAAC0000}"/>
    <cellStyle name="Note 11 3 3 2" xfId="44099" xr:uid="{00000000-0005-0000-0000-0000DBAC0000}"/>
    <cellStyle name="Note 11 3 3 3" xfId="44100" xr:uid="{00000000-0005-0000-0000-0000DCAC0000}"/>
    <cellStyle name="Note 11 3 3 4" xfId="44101" xr:uid="{00000000-0005-0000-0000-0000DDAC0000}"/>
    <cellStyle name="Note 11 3 4" xfId="44102" xr:uid="{00000000-0005-0000-0000-0000DEAC0000}"/>
    <cellStyle name="Note 11 3 5" xfId="44103" xr:uid="{00000000-0005-0000-0000-0000DFAC0000}"/>
    <cellStyle name="Note 11 3 6" xfId="44104" xr:uid="{00000000-0005-0000-0000-0000E0AC0000}"/>
    <cellStyle name="Note 11 4" xfId="44105" xr:uid="{00000000-0005-0000-0000-0000E1AC0000}"/>
    <cellStyle name="Note 11 4 2" xfId="44106" xr:uid="{00000000-0005-0000-0000-0000E2AC0000}"/>
    <cellStyle name="Note 11 4 3" xfId="44107" xr:uid="{00000000-0005-0000-0000-0000E3AC0000}"/>
    <cellStyle name="Note 11 4 4" xfId="44108" xr:uid="{00000000-0005-0000-0000-0000E4AC0000}"/>
    <cellStyle name="Note 11 5" xfId="44109" xr:uid="{00000000-0005-0000-0000-0000E5AC0000}"/>
    <cellStyle name="Note 11 6" xfId="44110" xr:uid="{00000000-0005-0000-0000-0000E6AC0000}"/>
    <cellStyle name="Note 12" xfId="44111" xr:uid="{00000000-0005-0000-0000-0000E7AC0000}"/>
    <cellStyle name="Note 12 2" xfId="44112" xr:uid="{00000000-0005-0000-0000-0000E8AC0000}"/>
    <cellStyle name="Note 12 2 2" xfId="44113" xr:uid="{00000000-0005-0000-0000-0000E9AC0000}"/>
    <cellStyle name="Note 12 2 2 2" xfId="44114" xr:uid="{00000000-0005-0000-0000-0000EAAC0000}"/>
    <cellStyle name="Note 12 2 2 3" xfId="44115" xr:uid="{00000000-0005-0000-0000-0000EBAC0000}"/>
    <cellStyle name="Note 12 2 2 4" xfId="44116" xr:uid="{00000000-0005-0000-0000-0000ECAC0000}"/>
    <cellStyle name="Note 12 2 3" xfId="44117" xr:uid="{00000000-0005-0000-0000-0000EDAC0000}"/>
    <cellStyle name="Note 12 2 3 2" xfId="44118" xr:uid="{00000000-0005-0000-0000-0000EEAC0000}"/>
    <cellStyle name="Note 12 2 3 3" xfId="44119" xr:uid="{00000000-0005-0000-0000-0000EFAC0000}"/>
    <cellStyle name="Note 12 2 3 4" xfId="44120" xr:uid="{00000000-0005-0000-0000-0000F0AC0000}"/>
    <cellStyle name="Note 12 2 4" xfId="44121" xr:uid="{00000000-0005-0000-0000-0000F1AC0000}"/>
    <cellStyle name="Note 12 2 5" xfId="44122" xr:uid="{00000000-0005-0000-0000-0000F2AC0000}"/>
    <cellStyle name="Note 12 2 6" xfId="44123" xr:uid="{00000000-0005-0000-0000-0000F3AC0000}"/>
    <cellStyle name="Note 12 3" xfId="44124" xr:uid="{00000000-0005-0000-0000-0000F4AC0000}"/>
    <cellStyle name="Note 12 3 2" xfId="44125" xr:uid="{00000000-0005-0000-0000-0000F5AC0000}"/>
    <cellStyle name="Note 12 3 2 2" xfId="44126" xr:uid="{00000000-0005-0000-0000-0000F6AC0000}"/>
    <cellStyle name="Note 12 3 2 3" xfId="44127" xr:uid="{00000000-0005-0000-0000-0000F7AC0000}"/>
    <cellStyle name="Note 12 3 2 4" xfId="44128" xr:uid="{00000000-0005-0000-0000-0000F8AC0000}"/>
    <cellStyle name="Note 12 3 3" xfId="44129" xr:uid="{00000000-0005-0000-0000-0000F9AC0000}"/>
    <cellStyle name="Note 12 3 3 2" xfId="44130" xr:uid="{00000000-0005-0000-0000-0000FAAC0000}"/>
    <cellStyle name="Note 12 3 3 3" xfId="44131" xr:uid="{00000000-0005-0000-0000-0000FBAC0000}"/>
    <cellStyle name="Note 12 3 3 4" xfId="44132" xr:uid="{00000000-0005-0000-0000-0000FCAC0000}"/>
    <cellStyle name="Note 12 3 4" xfId="44133" xr:uid="{00000000-0005-0000-0000-0000FDAC0000}"/>
    <cellStyle name="Note 12 3 5" xfId="44134" xr:uid="{00000000-0005-0000-0000-0000FEAC0000}"/>
    <cellStyle name="Note 12 3 6" xfId="44135" xr:uid="{00000000-0005-0000-0000-0000FFAC0000}"/>
    <cellStyle name="Note 12 4" xfId="44136" xr:uid="{00000000-0005-0000-0000-000000AD0000}"/>
    <cellStyle name="Note 12 4 2" xfId="44137" xr:uid="{00000000-0005-0000-0000-000001AD0000}"/>
    <cellStyle name="Note 12 4 3" xfId="44138" xr:uid="{00000000-0005-0000-0000-000002AD0000}"/>
    <cellStyle name="Note 12 4 4" xfId="44139" xr:uid="{00000000-0005-0000-0000-000003AD0000}"/>
    <cellStyle name="Note 12 5" xfId="44140" xr:uid="{00000000-0005-0000-0000-000004AD0000}"/>
    <cellStyle name="Note 12 6" xfId="44141" xr:uid="{00000000-0005-0000-0000-000005AD0000}"/>
    <cellStyle name="Note 13" xfId="44142" xr:uid="{00000000-0005-0000-0000-000006AD0000}"/>
    <cellStyle name="Note 13 2" xfId="44143" xr:uid="{00000000-0005-0000-0000-000007AD0000}"/>
    <cellStyle name="Note 13 2 2" xfId="44144" xr:uid="{00000000-0005-0000-0000-000008AD0000}"/>
    <cellStyle name="Note 13 2 2 2" xfId="44145" xr:uid="{00000000-0005-0000-0000-000009AD0000}"/>
    <cellStyle name="Note 13 2 2 3" xfId="44146" xr:uid="{00000000-0005-0000-0000-00000AAD0000}"/>
    <cellStyle name="Note 13 2 2 4" xfId="44147" xr:uid="{00000000-0005-0000-0000-00000BAD0000}"/>
    <cellStyle name="Note 13 2 3" xfId="44148" xr:uid="{00000000-0005-0000-0000-00000CAD0000}"/>
    <cellStyle name="Note 13 2 3 2" xfId="44149" xr:uid="{00000000-0005-0000-0000-00000DAD0000}"/>
    <cellStyle name="Note 13 2 3 3" xfId="44150" xr:uid="{00000000-0005-0000-0000-00000EAD0000}"/>
    <cellStyle name="Note 13 2 3 4" xfId="44151" xr:uid="{00000000-0005-0000-0000-00000FAD0000}"/>
    <cellStyle name="Note 13 2 4" xfId="44152" xr:uid="{00000000-0005-0000-0000-000010AD0000}"/>
    <cellStyle name="Note 13 2 5" xfId="44153" xr:uid="{00000000-0005-0000-0000-000011AD0000}"/>
    <cellStyle name="Note 13 2 6" xfId="44154" xr:uid="{00000000-0005-0000-0000-000012AD0000}"/>
    <cellStyle name="Note 13 3" xfId="44155" xr:uid="{00000000-0005-0000-0000-000013AD0000}"/>
    <cellStyle name="Note 13 3 2" xfId="44156" xr:uid="{00000000-0005-0000-0000-000014AD0000}"/>
    <cellStyle name="Note 13 3 2 2" xfId="44157" xr:uid="{00000000-0005-0000-0000-000015AD0000}"/>
    <cellStyle name="Note 13 3 2 3" xfId="44158" xr:uid="{00000000-0005-0000-0000-000016AD0000}"/>
    <cellStyle name="Note 13 3 2 4" xfId="44159" xr:uid="{00000000-0005-0000-0000-000017AD0000}"/>
    <cellStyle name="Note 13 3 3" xfId="44160" xr:uid="{00000000-0005-0000-0000-000018AD0000}"/>
    <cellStyle name="Note 13 3 3 2" xfId="44161" xr:uid="{00000000-0005-0000-0000-000019AD0000}"/>
    <cellStyle name="Note 13 3 3 3" xfId="44162" xr:uid="{00000000-0005-0000-0000-00001AAD0000}"/>
    <cellStyle name="Note 13 3 3 4" xfId="44163" xr:uid="{00000000-0005-0000-0000-00001BAD0000}"/>
    <cellStyle name="Note 13 3 4" xfId="44164" xr:uid="{00000000-0005-0000-0000-00001CAD0000}"/>
    <cellStyle name="Note 13 3 5" xfId="44165" xr:uid="{00000000-0005-0000-0000-00001DAD0000}"/>
    <cellStyle name="Note 13 3 6" xfId="44166" xr:uid="{00000000-0005-0000-0000-00001EAD0000}"/>
    <cellStyle name="Note 13 4" xfId="44167" xr:uid="{00000000-0005-0000-0000-00001FAD0000}"/>
    <cellStyle name="Note 13 4 2" xfId="44168" xr:uid="{00000000-0005-0000-0000-000020AD0000}"/>
    <cellStyle name="Note 13 4 3" xfId="44169" xr:uid="{00000000-0005-0000-0000-000021AD0000}"/>
    <cellStyle name="Note 13 4 4" xfId="44170" xr:uid="{00000000-0005-0000-0000-000022AD0000}"/>
    <cellStyle name="Note 13 5" xfId="44171" xr:uid="{00000000-0005-0000-0000-000023AD0000}"/>
    <cellStyle name="Note 13 6" xfId="44172" xr:uid="{00000000-0005-0000-0000-000024AD0000}"/>
    <cellStyle name="Note 14" xfId="44173" xr:uid="{00000000-0005-0000-0000-000025AD0000}"/>
    <cellStyle name="Note 14 2" xfId="44174" xr:uid="{00000000-0005-0000-0000-000026AD0000}"/>
    <cellStyle name="Note 14 2 2" xfId="44175" xr:uid="{00000000-0005-0000-0000-000027AD0000}"/>
    <cellStyle name="Note 14 2 2 2" xfId="44176" xr:uid="{00000000-0005-0000-0000-000028AD0000}"/>
    <cellStyle name="Note 14 2 2 3" xfId="44177" xr:uid="{00000000-0005-0000-0000-000029AD0000}"/>
    <cellStyle name="Note 14 2 2 4" xfId="44178" xr:uid="{00000000-0005-0000-0000-00002AAD0000}"/>
    <cellStyle name="Note 14 2 3" xfId="44179" xr:uid="{00000000-0005-0000-0000-00002BAD0000}"/>
    <cellStyle name="Note 14 2 3 2" xfId="44180" xr:uid="{00000000-0005-0000-0000-00002CAD0000}"/>
    <cellStyle name="Note 14 2 3 3" xfId="44181" xr:uid="{00000000-0005-0000-0000-00002DAD0000}"/>
    <cellStyle name="Note 14 2 3 4" xfId="44182" xr:uid="{00000000-0005-0000-0000-00002EAD0000}"/>
    <cellStyle name="Note 14 2 4" xfId="44183" xr:uid="{00000000-0005-0000-0000-00002FAD0000}"/>
    <cellStyle name="Note 14 2 5" xfId="44184" xr:uid="{00000000-0005-0000-0000-000030AD0000}"/>
    <cellStyle name="Note 14 2 6" xfId="44185" xr:uid="{00000000-0005-0000-0000-000031AD0000}"/>
    <cellStyle name="Note 14 3" xfId="44186" xr:uid="{00000000-0005-0000-0000-000032AD0000}"/>
    <cellStyle name="Note 14 3 2" xfId="44187" xr:uid="{00000000-0005-0000-0000-000033AD0000}"/>
    <cellStyle name="Note 14 3 2 2" xfId="44188" xr:uid="{00000000-0005-0000-0000-000034AD0000}"/>
    <cellStyle name="Note 14 3 2 3" xfId="44189" xr:uid="{00000000-0005-0000-0000-000035AD0000}"/>
    <cellStyle name="Note 14 3 2 4" xfId="44190" xr:uid="{00000000-0005-0000-0000-000036AD0000}"/>
    <cellStyle name="Note 14 3 3" xfId="44191" xr:uid="{00000000-0005-0000-0000-000037AD0000}"/>
    <cellStyle name="Note 14 3 3 2" xfId="44192" xr:uid="{00000000-0005-0000-0000-000038AD0000}"/>
    <cellStyle name="Note 14 3 3 3" xfId="44193" xr:uid="{00000000-0005-0000-0000-000039AD0000}"/>
    <cellStyle name="Note 14 3 3 4" xfId="44194" xr:uid="{00000000-0005-0000-0000-00003AAD0000}"/>
    <cellStyle name="Note 14 3 4" xfId="44195" xr:uid="{00000000-0005-0000-0000-00003BAD0000}"/>
    <cellStyle name="Note 14 3 5" xfId="44196" xr:uid="{00000000-0005-0000-0000-00003CAD0000}"/>
    <cellStyle name="Note 14 3 6" xfId="44197" xr:uid="{00000000-0005-0000-0000-00003DAD0000}"/>
    <cellStyle name="Note 14 4" xfId="44198" xr:uid="{00000000-0005-0000-0000-00003EAD0000}"/>
    <cellStyle name="Note 14 5" xfId="44199" xr:uid="{00000000-0005-0000-0000-00003FAD0000}"/>
    <cellStyle name="Note 14 6" xfId="44200" xr:uid="{00000000-0005-0000-0000-000040AD0000}"/>
    <cellStyle name="Note 15" xfId="44201" xr:uid="{00000000-0005-0000-0000-000041AD0000}"/>
    <cellStyle name="Note 15 2" xfId="44202" xr:uid="{00000000-0005-0000-0000-000042AD0000}"/>
    <cellStyle name="Note 15 2 2" xfId="44203" xr:uid="{00000000-0005-0000-0000-000043AD0000}"/>
    <cellStyle name="Note 15 2 2 2" xfId="44204" xr:uid="{00000000-0005-0000-0000-000044AD0000}"/>
    <cellStyle name="Note 15 2 2 3" xfId="44205" xr:uid="{00000000-0005-0000-0000-000045AD0000}"/>
    <cellStyle name="Note 15 2 2 4" xfId="44206" xr:uid="{00000000-0005-0000-0000-000046AD0000}"/>
    <cellStyle name="Note 15 2 3" xfId="44207" xr:uid="{00000000-0005-0000-0000-000047AD0000}"/>
    <cellStyle name="Note 15 2 3 2" xfId="44208" xr:uid="{00000000-0005-0000-0000-000048AD0000}"/>
    <cellStyle name="Note 15 2 3 3" xfId="44209" xr:uid="{00000000-0005-0000-0000-000049AD0000}"/>
    <cellStyle name="Note 15 2 3 4" xfId="44210" xr:uid="{00000000-0005-0000-0000-00004AAD0000}"/>
    <cellStyle name="Note 15 2 4" xfId="44211" xr:uid="{00000000-0005-0000-0000-00004BAD0000}"/>
    <cellStyle name="Note 15 2 5" xfId="44212" xr:uid="{00000000-0005-0000-0000-00004CAD0000}"/>
    <cellStyle name="Note 15 2 6" xfId="44213" xr:uid="{00000000-0005-0000-0000-00004DAD0000}"/>
    <cellStyle name="Note 15 3" xfId="44214" xr:uid="{00000000-0005-0000-0000-00004EAD0000}"/>
    <cellStyle name="Note 15 3 2" xfId="44215" xr:uid="{00000000-0005-0000-0000-00004FAD0000}"/>
    <cellStyle name="Note 15 3 2 2" xfId="44216" xr:uid="{00000000-0005-0000-0000-000050AD0000}"/>
    <cellStyle name="Note 15 3 2 3" xfId="44217" xr:uid="{00000000-0005-0000-0000-000051AD0000}"/>
    <cellStyle name="Note 15 3 2 4" xfId="44218" xr:uid="{00000000-0005-0000-0000-000052AD0000}"/>
    <cellStyle name="Note 15 3 3" xfId="44219" xr:uid="{00000000-0005-0000-0000-000053AD0000}"/>
    <cellStyle name="Note 15 3 3 2" xfId="44220" xr:uid="{00000000-0005-0000-0000-000054AD0000}"/>
    <cellStyle name="Note 15 3 3 3" xfId="44221" xr:uid="{00000000-0005-0000-0000-000055AD0000}"/>
    <cellStyle name="Note 15 3 3 4" xfId="44222" xr:uid="{00000000-0005-0000-0000-000056AD0000}"/>
    <cellStyle name="Note 15 3 4" xfId="44223" xr:uid="{00000000-0005-0000-0000-000057AD0000}"/>
    <cellStyle name="Note 15 3 5" xfId="44224" xr:uid="{00000000-0005-0000-0000-000058AD0000}"/>
    <cellStyle name="Note 15 3 6" xfId="44225" xr:uid="{00000000-0005-0000-0000-000059AD0000}"/>
    <cellStyle name="Note 15 4" xfId="44226" xr:uid="{00000000-0005-0000-0000-00005AAD0000}"/>
    <cellStyle name="Note 15 5" xfId="44227" xr:uid="{00000000-0005-0000-0000-00005BAD0000}"/>
    <cellStyle name="Note 15 6" xfId="44228" xr:uid="{00000000-0005-0000-0000-00005CAD0000}"/>
    <cellStyle name="Note 16" xfId="44229" xr:uid="{00000000-0005-0000-0000-00005DAD0000}"/>
    <cellStyle name="Note 17" xfId="44230" xr:uid="{00000000-0005-0000-0000-00005EAD0000}"/>
    <cellStyle name="Note 2" xfId="44231" xr:uid="{00000000-0005-0000-0000-00005FAD0000}"/>
    <cellStyle name="Note 2 10" xfId="44232" xr:uid="{00000000-0005-0000-0000-000060AD0000}"/>
    <cellStyle name="Note 2 10 2" xfId="44233" xr:uid="{00000000-0005-0000-0000-000061AD0000}"/>
    <cellStyle name="Note 2 10 2 2" xfId="44234" xr:uid="{00000000-0005-0000-0000-000062AD0000}"/>
    <cellStyle name="Note 2 10 2 2 2" xfId="44235" xr:uid="{00000000-0005-0000-0000-000063AD0000}"/>
    <cellStyle name="Note 2 10 2 2 3" xfId="44236" xr:uid="{00000000-0005-0000-0000-000064AD0000}"/>
    <cellStyle name="Note 2 10 2 2 4" xfId="44237" xr:uid="{00000000-0005-0000-0000-000065AD0000}"/>
    <cellStyle name="Note 2 10 2 3" xfId="44238" xr:uid="{00000000-0005-0000-0000-000066AD0000}"/>
    <cellStyle name="Note 2 10 2 3 2" xfId="44239" xr:uid="{00000000-0005-0000-0000-000067AD0000}"/>
    <cellStyle name="Note 2 10 2 3 3" xfId="44240" xr:uid="{00000000-0005-0000-0000-000068AD0000}"/>
    <cellStyle name="Note 2 10 2 3 4" xfId="44241" xr:uid="{00000000-0005-0000-0000-000069AD0000}"/>
    <cellStyle name="Note 2 10 2 4" xfId="44242" xr:uid="{00000000-0005-0000-0000-00006AAD0000}"/>
    <cellStyle name="Note 2 10 2 5" xfId="44243" xr:uid="{00000000-0005-0000-0000-00006BAD0000}"/>
    <cellStyle name="Note 2 10 2 6" xfId="44244" xr:uid="{00000000-0005-0000-0000-00006CAD0000}"/>
    <cellStyle name="Note 2 10 3" xfId="44245" xr:uid="{00000000-0005-0000-0000-00006DAD0000}"/>
    <cellStyle name="Note 2 10 3 2" xfId="44246" xr:uid="{00000000-0005-0000-0000-00006EAD0000}"/>
    <cellStyle name="Note 2 10 3 2 2" xfId="44247" xr:uid="{00000000-0005-0000-0000-00006FAD0000}"/>
    <cellStyle name="Note 2 10 3 2 3" xfId="44248" xr:uid="{00000000-0005-0000-0000-000070AD0000}"/>
    <cellStyle name="Note 2 10 3 2 4" xfId="44249" xr:uid="{00000000-0005-0000-0000-000071AD0000}"/>
    <cellStyle name="Note 2 10 3 3" xfId="44250" xr:uid="{00000000-0005-0000-0000-000072AD0000}"/>
    <cellStyle name="Note 2 10 3 3 2" xfId="44251" xr:uid="{00000000-0005-0000-0000-000073AD0000}"/>
    <cellStyle name="Note 2 10 3 3 3" xfId="44252" xr:uid="{00000000-0005-0000-0000-000074AD0000}"/>
    <cellStyle name="Note 2 10 3 3 4" xfId="44253" xr:uid="{00000000-0005-0000-0000-000075AD0000}"/>
    <cellStyle name="Note 2 10 3 4" xfId="44254" xr:uid="{00000000-0005-0000-0000-000076AD0000}"/>
    <cellStyle name="Note 2 10 3 5" xfId="44255" xr:uid="{00000000-0005-0000-0000-000077AD0000}"/>
    <cellStyle name="Note 2 10 3 6" xfId="44256" xr:uid="{00000000-0005-0000-0000-000078AD0000}"/>
    <cellStyle name="Note 2 10 4" xfId="44257" xr:uid="{00000000-0005-0000-0000-000079AD0000}"/>
    <cellStyle name="Note 2 10 4 2" xfId="44258" xr:uid="{00000000-0005-0000-0000-00007AAD0000}"/>
    <cellStyle name="Note 2 10 4 3" xfId="44259" xr:uid="{00000000-0005-0000-0000-00007BAD0000}"/>
    <cellStyle name="Note 2 10 4 4" xfId="44260" xr:uid="{00000000-0005-0000-0000-00007CAD0000}"/>
    <cellStyle name="Note 2 10 5" xfId="44261" xr:uid="{00000000-0005-0000-0000-00007DAD0000}"/>
    <cellStyle name="Note 2 10 6" xfId="44262" xr:uid="{00000000-0005-0000-0000-00007EAD0000}"/>
    <cellStyle name="Note 2 11" xfId="44263" xr:uid="{00000000-0005-0000-0000-00007FAD0000}"/>
    <cellStyle name="Note 2 11 2" xfId="44264" xr:uid="{00000000-0005-0000-0000-000080AD0000}"/>
    <cellStyle name="Note 2 11 2 2" xfId="44265" xr:uid="{00000000-0005-0000-0000-000081AD0000}"/>
    <cellStyle name="Note 2 11 2 2 2" xfId="44266" xr:uid="{00000000-0005-0000-0000-000082AD0000}"/>
    <cellStyle name="Note 2 11 2 2 3" xfId="44267" xr:uid="{00000000-0005-0000-0000-000083AD0000}"/>
    <cellStyle name="Note 2 11 2 2 4" xfId="44268" xr:uid="{00000000-0005-0000-0000-000084AD0000}"/>
    <cellStyle name="Note 2 11 2 3" xfId="44269" xr:uid="{00000000-0005-0000-0000-000085AD0000}"/>
    <cellStyle name="Note 2 11 2 3 2" xfId="44270" xr:uid="{00000000-0005-0000-0000-000086AD0000}"/>
    <cellStyle name="Note 2 11 2 3 3" xfId="44271" xr:uid="{00000000-0005-0000-0000-000087AD0000}"/>
    <cellStyle name="Note 2 11 2 3 4" xfId="44272" xr:uid="{00000000-0005-0000-0000-000088AD0000}"/>
    <cellStyle name="Note 2 11 2 4" xfId="44273" xr:uid="{00000000-0005-0000-0000-000089AD0000}"/>
    <cellStyle name="Note 2 11 2 5" xfId="44274" xr:uid="{00000000-0005-0000-0000-00008AAD0000}"/>
    <cellStyle name="Note 2 11 2 6" xfId="44275" xr:uid="{00000000-0005-0000-0000-00008BAD0000}"/>
    <cellStyle name="Note 2 11 3" xfId="44276" xr:uid="{00000000-0005-0000-0000-00008CAD0000}"/>
    <cellStyle name="Note 2 11 3 2" xfId="44277" xr:uid="{00000000-0005-0000-0000-00008DAD0000}"/>
    <cellStyle name="Note 2 11 3 2 2" xfId="44278" xr:uid="{00000000-0005-0000-0000-00008EAD0000}"/>
    <cellStyle name="Note 2 11 3 2 3" xfId="44279" xr:uid="{00000000-0005-0000-0000-00008FAD0000}"/>
    <cellStyle name="Note 2 11 3 2 4" xfId="44280" xr:uid="{00000000-0005-0000-0000-000090AD0000}"/>
    <cellStyle name="Note 2 11 3 3" xfId="44281" xr:uid="{00000000-0005-0000-0000-000091AD0000}"/>
    <cellStyle name="Note 2 11 3 3 2" xfId="44282" xr:uid="{00000000-0005-0000-0000-000092AD0000}"/>
    <cellStyle name="Note 2 11 3 3 3" xfId="44283" xr:uid="{00000000-0005-0000-0000-000093AD0000}"/>
    <cellStyle name="Note 2 11 3 3 4" xfId="44284" xr:uid="{00000000-0005-0000-0000-000094AD0000}"/>
    <cellStyle name="Note 2 11 3 4" xfId="44285" xr:uid="{00000000-0005-0000-0000-000095AD0000}"/>
    <cellStyle name="Note 2 11 3 5" xfId="44286" xr:uid="{00000000-0005-0000-0000-000096AD0000}"/>
    <cellStyle name="Note 2 11 3 6" xfId="44287" xr:uid="{00000000-0005-0000-0000-000097AD0000}"/>
    <cellStyle name="Note 2 11 4" xfId="44288" xr:uid="{00000000-0005-0000-0000-000098AD0000}"/>
    <cellStyle name="Note 2 11 5" xfId="44289" xr:uid="{00000000-0005-0000-0000-000099AD0000}"/>
    <cellStyle name="Note 2 11 6" xfId="44290" xr:uid="{00000000-0005-0000-0000-00009AAD0000}"/>
    <cellStyle name="Note 2 12" xfId="44291" xr:uid="{00000000-0005-0000-0000-00009BAD0000}"/>
    <cellStyle name="Note 2 13" xfId="44292" xr:uid="{00000000-0005-0000-0000-00009CAD0000}"/>
    <cellStyle name="Note 2 2" xfId="44293" xr:uid="{00000000-0005-0000-0000-00009DAD0000}"/>
    <cellStyle name="Note 2 2 10" xfId="44294" xr:uid="{00000000-0005-0000-0000-00009EAD0000}"/>
    <cellStyle name="Note 2 2 10 2" xfId="44295" xr:uid="{00000000-0005-0000-0000-00009FAD0000}"/>
    <cellStyle name="Note 2 2 10 2 2" xfId="44296" xr:uid="{00000000-0005-0000-0000-0000A0AD0000}"/>
    <cellStyle name="Note 2 2 10 2 2 2" xfId="44297" xr:uid="{00000000-0005-0000-0000-0000A1AD0000}"/>
    <cellStyle name="Note 2 2 10 2 2 3" xfId="44298" xr:uid="{00000000-0005-0000-0000-0000A2AD0000}"/>
    <cellStyle name="Note 2 2 10 2 2 4" xfId="44299" xr:uid="{00000000-0005-0000-0000-0000A3AD0000}"/>
    <cellStyle name="Note 2 2 10 2 3" xfId="44300" xr:uid="{00000000-0005-0000-0000-0000A4AD0000}"/>
    <cellStyle name="Note 2 2 10 2 3 2" xfId="44301" xr:uid="{00000000-0005-0000-0000-0000A5AD0000}"/>
    <cellStyle name="Note 2 2 10 2 3 3" xfId="44302" xr:uid="{00000000-0005-0000-0000-0000A6AD0000}"/>
    <cellStyle name="Note 2 2 10 2 3 4" xfId="44303" xr:uid="{00000000-0005-0000-0000-0000A7AD0000}"/>
    <cellStyle name="Note 2 2 10 2 4" xfId="44304" xr:uid="{00000000-0005-0000-0000-0000A8AD0000}"/>
    <cellStyle name="Note 2 2 10 2 5" xfId="44305" xr:uid="{00000000-0005-0000-0000-0000A9AD0000}"/>
    <cellStyle name="Note 2 2 10 2 6" xfId="44306" xr:uid="{00000000-0005-0000-0000-0000AAAD0000}"/>
    <cellStyle name="Note 2 2 10 3" xfId="44307" xr:uid="{00000000-0005-0000-0000-0000ABAD0000}"/>
    <cellStyle name="Note 2 2 10 3 2" xfId="44308" xr:uid="{00000000-0005-0000-0000-0000ACAD0000}"/>
    <cellStyle name="Note 2 2 10 3 2 2" xfId="44309" xr:uid="{00000000-0005-0000-0000-0000ADAD0000}"/>
    <cellStyle name="Note 2 2 10 3 2 3" xfId="44310" xr:uid="{00000000-0005-0000-0000-0000AEAD0000}"/>
    <cellStyle name="Note 2 2 10 3 2 4" xfId="44311" xr:uid="{00000000-0005-0000-0000-0000AFAD0000}"/>
    <cellStyle name="Note 2 2 10 3 3" xfId="44312" xr:uid="{00000000-0005-0000-0000-0000B0AD0000}"/>
    <cellStyle name="Note 2 2 10 3 3 2" xfId="44313" xr:uid="{00000000-0005-0000-0000-0000B1AD0000}"/>
    <cellStyle name="Note 2 2 10 3 3 3" xfId="44314" xr:uid="{00000000-0005-0000-0000-0000B2AD0000}"/>
    <cellStyle name="Note 2 2 10 3 3 4" xfId="44315" xr:uid="{00000000-0005-0000-0000-0000B3AD0000}"/>
    <cellStyle name="Note 2 2 10 3 4" xfId="44316" xr:uid="{00000000-0005-0000-0000-0000B4AD0000}"/>
    <cellStyle name="Note 2 2 10 3 5" xfId="44317" xr:uid="{00000000-0005-0000-0000-0000B5AD0000}"/>
    <cellStyle name="Note 2 2 10 3 6" xfId="44318" xr:uid="{00000000-0005-0000-0000-0000B6AD0000}"/>
    <cellStyle name="Note 2 2 10 4" xfId="44319" xr:uid="{00000000-0005-0000-0000-0000B7AD0000}"/>
    <cellStyle name="Note 2 2 10 5" xfId="44320" xr:uid="{00000000-0005-0000-0000-0000B8AD0000}"/>
    <cellStyle name="Note 2 2 10 6" xfId="44321" xr:uid="{00000000-0005-0000-0000-0000B9AD0000}"/>
    <cellStyle name="Note 2 2 11" xfId="44322" xr:uid="{00000000-0005-0000-0000-0000BAAD0000}"/>
    <cellStyle name="Note 2 2 12" xfId="44323" xr:uid="{00000000-0005-0000-0000-0000BBAD0000}"/>
    <cellStyle name="Note 2 2 2" xfId="44324" xr:uid="{00000000-0005-0000-0000-0000BCAD0000}"/>
    <cellStyle name="Note 2 2 2 2" xfId="44325" xr:uid="{00000000-0005-0000-0000-0000BDAD0000}"/>
    <cellStyle name="Note 2 2 2 2 2" xfId="44326" xr:uid="{00000000-0005-0000-0000-0000BEAD0000}"/>
    <cellStyle name="Note 2 2 2 2 2 2" xfId="44327" xr:uid="{00000000-0005-0000-0000-0000BFAD0000}"/>
    <cellStyle name="Note 2 2 2 2 2 2 2" xfId="44328" xr:uid="{00000000-0005-0000-0000-0000C0AD0000}"/>
    <cellStyle name="Note 2 2 2 2 2 2 3" xfId="44329" xr:uid="{00000000-0005-0000-0000-0000C1AD0000}"/>
    <cellStyle name="Note 2 2 2 2 2 2 4" xfId="44330" xr:uid="{00000000-0005-0000-0000-0000C2AD0000}"/>
    <cellStyle name="Note 2 2 2 2 2 3" xfId="44331" xr:uid="{00000000-0005-0000-0000-0000C3AD0000}"/>
    <cellStyle name="Note 2 2 2 2 2 3 2" xfId="44332" xr:uid="{00000000-0005-0000-0000-0000C4AD0000}"/>
    <cellStyle name="Note 2 2 2 2 2 3 3" xfId="44333" xr:uid="{00000000-0005-0000-0000-0000C5AD0000}"/>
    <cellStyle name="Note 2 2 2 2 2 3 4" xfId="44334" xr:uid="{00000000-0005-0000-0000-0000C6AD0000}"/>
    <cellStyle name="Note 2 2 2 2 2 4" xfId="44335" xr:uid="{00000000-0005-0000-0000-0000C7AD0000}"/>
    <cellStyle name="Note 2 2 2 2 2 5" xfId="44336" xr:uid="{00000000-0005-0000-0000-0000C8AD0000}"/>
    <cellStyle name="Note 2 2 2 2 2 6" xfId="44337" xr:uid="{00000000-0005-0000-0000-0000C9AD0000}"/>
    <cellStyle name="Note 2 2 2 2 3" xfId="44338" xr:uid="{00000000-0005-0000-0000-0000CAAD0000}"/>
    <cellStyle name="Note 2 2 2 2 3 2" xfId="44339" xr:uid="{00000000-0005-0000-0000-0000CBAD0000}"/>
    <cellStyle name="Note 2 2 2 2 3 2 2" xfId="44340" xr:uid="{00000000-0005-0000-0000-0000CCAD0000}"/>
    <cellStyle name="Note 2 2 2 2 3 2 3" xfId="44341" xr:uid="{00000000-0005-0000-0000-0000CDAD0000}"/>
    <cellStyle name="Note 2 2 2 2 3 2 4" xfId="44342" xr:uid="{00000000-0005-0000-0000-0000CEAD0000}"/>
    <cellStyle name="Note 2 2 2 2 3 3" xfId="44343" xr:uid="{00000000-0005-0000-0000-0000CFAD0000}"/>
    <cellStyle name="Note 2 2 2 2 3 3 2" xfId="44344" xr:uid="{00000000-0005-0000-0000-0000D0AD0000}"/>
    <cellStyle name="Note 2 2 2 2 3 3 3" xfId="44345" xr:uid="{00000000-0005-0000-0000-0000D1AD0000}"/>
    <cellStyle name="Note 2 2 2 2 3 3 4" xfId="44346" xr:uid="{00000000-0005-0000-0000-0000D2AD0000}"/>
    <cellStyle name="Note 2 2 2 2 3 4" xfId="44347" xr:uid="{00000000-0005-0000-0000-0000D3AD0000}"/>
    <cellStyle name="Note 2 2 2 2 3 5" xfId="44348" xr:uid="{00000000-0005-0000-0000-0000D4AD0000}"/>
    <cellStyle name="Note 2 2 2 2 3 6" xfId="44349" xr:uid="{00000000-0005-0000-0000-0000D5AD0000}"/>
    <cellStyle name="Note 2 2 2 2 4" xfId="44350" xr:uid="{00000000-0005-0000-0000-0000D6AD0000}"/>
    <cellStyle name="Note 2 2 2 2 5" xfId="44351" xr:uid="{00000000-0005-0000-0000-0000D7AD0000}"/>
    <cellStyle name="Note 2 2 2 2 6" xfId="44352" xr:uid="{00000000-0005-0000-0000-0000D8AD0000}"/>
    <cellStyle name="Note 2 2 2 3" xfId="44353" xr:uid="{00000000-0005-0000-0000-0000D9AD0000}"/>
    <cellStyle name="Note 2 2 2 4" xfId="44354" xr:uid="{00000000-0005-0000-0000-0000DAAD0000}"/>
    <cellStyle name="Note 2 2 3" xfId="44355" xr:uid="{00000000-0005-0000-0000-0000DBAD0000}"/>
    <cellStyle name="Note 2 2 3 2" xfId="44356" xr:uid="{00000000-0005-0000-0000-0000DCAD0000}"/>
    <cellStyle name="Note 2 2 3 2 2" xfId="44357" xr:uid="{00000000-0005-0000-0000-0000DDAD0000}"/>
    <cellStyle name="Note 2 2 3 2 2 2" xfId="44358" xr:uid="{00000000-0005-0000-0000-0000DEAD0000}"/>
    <cellStyle name="Note 2 2 3 2 2 2 2" xfId="44359" xr:uid="{00000000-0005-0000-0000-0000DFAD0000}"/>
    <cellStyle name="Note 2 2 3 2 2 2 3" xfId="44360" xr:uid="{00000000-0005-0000-0000-0000E0AD0000}"/>
    <cellStyle name="Note 2 2 3 2 2 2 4" xfId="44361" xr:uid="{00000000-0005-0000-0000-0000E1AD0000}"/>
    <cellStyle name="Note 2 2 3 2 2 3" xfId="44362" xr:uid="{00000000-0005-0000-0000-0000E2AD0000}"/>
    <cellStyle name="Note 2 2 3 2 2 3 2" xfId="44363" xr:uid="{00000000-0005-0000-0000-0000E3AD0000}"/>
    <cellStyle name="Note 2 2 3 2 2 3 3" xfId="44364" xr:uid="{00000000-0005-0000-0000-0000E4AD0000}"/>
    <cellStyle name="Note 2 2 3 2 2 3 4" xfId="44365" xr:uid="{00000000-0005-0000-0000-0000E5AD0000}"/>
    <cellStyle name="Note 2 2 3 2 2 4" xfId="44366" xr:uid="{00000000-0005-0000-0000-0000E6AD0000}"/>
    <cellStyle name="Note 2 2 3 2 2 5" xfId="44367" xr:uid="{00000000-0005-0000-0000-0000E7AD0000}"/>
    <cellStyle name="Note 2 2 3 2 2 6" xfId="44368" xr:uid="{00000000-0005-0000-0000-0000E8AD0000}"/>
    <cellStyle name="Note 2 2 3 2 3" xfId="44369" xr:uid="{00000000-0005-0000-0000-0000E9AD0000}"/>
    <cellStyle name="Note 2 2 3 2 3 2" xfId="44370" xr:uid="{00000000-0005-0000-0000-0000EAAD0000}"/>
    <cellStyle name="Note 2 2 3 2 3 2 2" xfId="44371" xr:uid="{00000000-0005-0000-0000-0000EBAD0000}"/>
    <cellStyle name="Note 2 2 3 2 3 2 3" xfId="44372" xr:uid="{00000000-0005-0000-0000-0000ECAD0000}"/>
    <cellStyle name="Note 2 2 3 2 3 2 4" xfId="44373" xr:uid="{00000000-0005-0000-0000-0000EDAD0000}"/>
    <cellStyle name="Note 2 2 3 2 3 3" xfId="44374" xr:uid="{00000000-0005-0000-0000-0000EEAD0000}"/>
    <cellStyle name="Note 2 2 3 2 3 3 2" xfId="44375" xr:uid="{00000000-0005-0000-0000-0000EFAD0000}"/>
    <cellStyle name="Note 2 2 3 2 3 3 3" xfId="44376" xr:uid="{00000000-0005-0000-0000-0000F0AD0000}"/>
    <cellStyle name="Note 2 2 3 2 3 3 4" xfId="44377" xr:uid="{00000000-0005-0000-0000-0000F1AD0000}"/>
    <cellStyle name="Note 2 2 3 2 3 4" xfId="44378" xr:uid="{00000000-0005-0000-0000-0000F2AD0000}"/>
    <cellStyle name="Note 2 2 3 2 3 5" xfId="44379" xr:uid="{00000000-0005-0000-0000-0000F3AD0000}"/>
    <cellStyle name="Note 2 2 3 2 3 6" xfId="44380" xr:uid="{00000000-0005-0000-0000-0000F4AD0000}"/>
    <cellStyle name="Note 2 2 3 2 4" xfId="44381" xr:uid="{00000000-0005-0000-0000-0000F5AD0000}"/>
    <cellStyle name="Note 2 2 3 2 5" xfId="44382" xr:uid="{00000000-0005-0000-0000-0000F6AD0000}"/>
    <cellStyle name="Note 2 2 3 2 6" xfId="44383" xr:uid="{00000000-0005-0000-0000-0000F7AD0000}"/>
    <cellStyle name="Note 2 2 3 3" xfId="44384" xr:uid="{00000000-0005-0000-0000-0000F8AD0000}"/>
    <cellStyle name="Note 2 2 3 4" xfId="44385" xr:uid="{00000000-0005-0000-0000-0000F9AD0000}"/>
    <cellStyle name="Note 2 2 4" xfId="44386" xr:uid="{00000000-0005-0000-0000-0000FAAD0000}"/>
    <cellStyle name="Note 2 2 4 2" xfId="44387" xr:uid="{00000000-0005-0000-0000-0000FBAD0000}"/>
    <cellStyle name="Note 2 2 4 2 2" xfId="44388" xr:uid="{00000000-0005-0000-0000-0000FCAD0000}"/>
    <cellStyle name="Note 2 2 4 2 2 2" xfId="44389" xr:uid="{00000000-0005-0000-0000-0000FDAD0000}"/>
    <cellStyle name="Note 2 2 4 2 2 2 2" xfId="44390" xr:uid="{00000000-0005-0000-0000-0000FEAD0000}"/>
    <cellStyle name="Note 2 2 4 2 2 2 3" xfId="44391" xr:uid="{00000000-0005-0000-0000-0000FFAD0000}"/>
    <cellStyle name="Note 2 2 4 2 2 2 4" xfId="44392" xr:uid="{00000000-0005-0000-0000-000000AE0000}"/>
    <cellStyle name="Note 2 2 4 2 2 3" xfId="44393" xr:uid="{00000000-0005-0000-0000-000001AE0000}"/>
    <cellStyle name="Note 2 2 4 2 2 3 2" xfId="44394" xr:uid="{00000000-0005-0000-0000-000002AE0000}"/>
    <cellStyle name="Note 2 2 4 2 2 3 3" xfId="44395" xr:uid="{00000000-0005-0000-0000-000003AE0000}"/>
    <cellStyle name="Note 2 2 4 2 2 3 4" xfId="44396" xr:uid="{00000000-0005-0000-0000-000004AE0000}"/>
    <cellStyle name="Note 2 2 4 2 2 4" xfId="44397" xr:uid="{00000000-0005-0000-0000-000005AE0000}"/>
    <cellStyle name="Note 2 2 4 2 2 5" xfId="44398" xr:uid="{00000000-0005-0000-0000-000006AE0000}"/>
    <cellStyle name="Note 2 2 4 2 2 6" xfId="44399" xr:uid="{00000000-0005-0000-0000-000007AE0000}"/>
    <cellStyle name="Note 2 2 4 2 3" xfId="44400" xr:uid="{00000000-0005-0000-0000-000008AE0000}"/>
    <cellStyle name="Note 2 2 4 2 3 2" xfId="44401" xr:uid="{00000000-0005-0000-0000-000009AE0000}"/>
    <cellStyle name="Note 2 2 4 2 3 2 2" xfId="44402" xr:uid="{00000000-0005-0000-0000-00000AAE0000}"/>
    <cellStyle name="Note 2 2 4 2 3 2 3" xfId="44403" xr:uid="{00000000-0005-0000-0000-00000BAE0000}"/>
    <cellStyle name="Note 2 2 4 2 3 2 4" xfId="44404" xr:uid="{00000000-0005-0000-0000-00000CAE0000}"/>
    <cellStyle name="Note 2 2 4 2 3 3" xfId="44405" xr:uid="{00000000-0005-0000-0000-00000DAE0000}"/>
    <cellStyle name="Note 2 2 4 2 3 3 2" xfId="44406" xr:uid="{00000000-0005-0000-0000-00000EAE0000}"/>
    <cellStyle name="Note 2 2 4 2 3 3 3" xfId="44407" xr:uid="{00000000-0005-0000-0000-00000FAE0000}"/>
    <cellStyle name="Note 2 2 4 2 3 3 4" xfId="44408" xr:uid="{00000000-0005-0000-0000-000010AE0000}"/>
    <cellStyle name="Note 2 2 4 2 3 4" xfId="44409" xr:uid="{00000000-0005-0000-0000-000011AE0000}"/>
    <cellStyle name="Note 2 2 4 2 3 5" xfId="44410" xr:uid="{00000000-0005-0000-0000-000012AE0000}"/>
    <cellStyle name="Note 2 2 4 2 3 6" xfId="44411" xr:uid="{00000000-0005-0000-0000-000013AE0000}"/>
    <cellStyle name="Note 2 2 4 2 4" xfId="44412" xr:uid="{00000000-0005-0000-0000-000014AE0000}"/>
    <cellStyle name="Note 2 2 4 2 5" xfId="44413" xr:uid="{00000000-0005-0000-0000-000015AE0000}"/>
    <cellStyle name="Note 2 2 4 2 6" xfId="44414" xr:uid="{00000000-0005-0000-0000-000016AE0000}"/>
    <cellStyle name="Note 2 2 4 3" xfId="44415" xr:uid="{00000000-0005-0000-0000-000017AE0000}"/>
    <cellStyle name="Note 2 2 4 4" xfId="44416" xr:uid="{00000000-0005-0000-0000-000018AE0000}"/>
    <cellStyle name="Note 2 2 5" xfId="44417" xr:uid="{00000000-0005-0000-0000-000019AE0000}"/>
    <cellStyle name="Note 2 2 5 2" xfId="44418" xr:uid="{00000000-0005-0000-0000-00001AAE0000}"/>
    <cellStyle name="Note 2 2 5 2 2" xfId="44419" xr:uid="{00000000-0005-0000-0000-00001BAE0000}"/>
    <cellStyle name="Note 2 2 5 2 2 2" xfId="44420" xr:uid="{00000000-0005-0000-0000-00001CAE0000}"/>
    <cellStyle name="Note 2 2 5 2 2 2 2" xfId="44421" xr:uid="{00000000-0005-0000-0000-00001DAE0000}"/>
    <cellStyle name="Note 2 2 5 2 2 2 3" xfId="44422" xr:uid="{00000000-0005-0000-0000-00001EAE0000}"/>
    <cellStyle name="Note 2 2 5 2 2 2 4" xfId="44423" xr:uid="{00000000-0005-0000-0000-00001FAE0000}"/>
    <cellStyle name="Note 2 2 5 2 2 3" xfId="44424" xr:uid="{00000000-0005-0000-0000-000020AE0000}"/>
    <cellStyle name="Note 2 2 5 2 2 3 2" xfId="44425" xr:uid="{00000000-0005-0000-0000-000021AE0000}"/>
    <cellStyle name="Note 2 2 5 2 2 3 3" xfId="44426" xr:uid="{00000000-0005-0000-0000-000022AE0000}"/>
    <cellStyle name="Note 2 2 5 2 2 3 4" xfId="44427" xr:uid="{00000000-0005-0000-0000-000023AE0000}"/>
    <cellStyle name="Note 2 2 5 2 2 4" xfId="44428" xr:uid="{00000000-0005-0000-0000-000024AE0000}"/>
    <cellStyle name="Note 2 2 5 2 2 5" xfId="44429" xr:uid="{00000000-0005-0000-0000-000025AE0000}"/>
    <cellStyle name="Note 2 2 5 2 2 6" xfId="44430" xr:uid="{00000000-0005-0000-0000-000026AE0000}"/>
    <cellStyle name="Note 2 2 5 2 3" xfId="44431" xr:uid="{00000000-0005-0000-0000-000027AE0000}"/>
    <cellStyle name="Note 2 2 5 2 3 2" xfId="44432" xr:uid="{00000000-0005-0000-0000-000028AE0000}"/>
    <cellStyle name="Note 2 2 5 2 3 2 2" xfId="44433" xr:uid="{00000000-0005-0000-0000-000029AE0000}"/>
    <cellStyle name="Note 2 2 5 2 3 2 3" xfId="44434" xr:uid="{00000000-0005-0000-0000-00002AAE0000}"/>
    <cellStyle name="Note 2 2 5 2 3 2 4" xfId="44435" xr:uid="{00000000-0005-0000-0000-00002BAE0000}"/>
    <cellStyle name="Note 2 2 5 2 3 3" xfId="44436" xr:uid="{00000000-0005-0000-0000-00002CAE0000}"/>
    <cellStyle name="Note 2 2 5 2 3 3 2" xfId="44437" xr:uid="{00000000-0005-0000-0000-00002DAE0000}"/>
    <cellStyle name="Note 2 2 5 2 3 3 3" xfId="44438" xr:uid="{00000000-0005-0000-0000-00002EAE0000}"/>
    <cellStyle name="Note 2 2 5 2 3 3 4" xfId="44439" xr:uid="{00000000-0005-0000-0000-00002FAE0000}"/>
    <cellStyle name="Note 2 2 5 2 3 4" xfId="44440" xr:uid="{00000000-0005-0000-0000-000030AE0000}"/>
    <cellStyle name="Note 2 2 5 2 3 5" xfId="44441" xr:uid="{00000000-0005-0000-0000-000031AE0000}"/>
    <cellStyle name="Note 2 2 5 2 3 6" xfId="44442" xr:uid="{00000000-0005-0000-0000-000032AE0000}"/>
    <cellStyle name="Note 2 2 5 2 4" xfId="44443" xr:uid="{00000000-0005-0000-0000-000033AE0000}"/>
    <cellStyle name="Note 2 2 5 2 5" xfId="44444" xr:uid="{00000000-0005-0000-0000-000034AE0000}"/>
    <cellStyle name="Note 2 2 5 2 6" xfId="44445" xr:uid="{00000000-0005-0000-0000-000035AE0000}"/>
    <cellStyle name="Note 2 2 5 3" xfId="44446" xr:uid="{00000000-0005-0000-0000-000036AE0000}"/>
    <cellStyle name="Note 2 2 5 4" xfId="44447" xr:uid="{00000000-0005-0000-0000-000037AE0000}"/>
    <cellStyle name="Note 2 2 6" xfId="44448" xr:uid="{00000000-0005-0000-0000-000038AE0000}"/>
    <cellStyle name="Note 2 2 6 2" xfId="44449" xr:uid="{00000000-0005-0000-0000-000039AE0000}"/>
    <cellStyle name="Note 2 2 6 2 2" xfId="44450" xr:uid="{00000000-0005-0000-0000-00003AAE0000}"/>
    <cellStyle name="Note 2 2 6 2 2 2" xfId="44451" xr:uid="{00000000-0005-0000-0000-00003BAE0000}"/>
    <cellStyle name="Note 2 2 6 2 2 3" xfId="44452" xr:uid="{00000000-0005-0000-0000-00003CAE0000}"/>
    <cellStyle name="Note 2 2 6 2 2 4" xfId="44453" xr:uid="{00000000-0005-0000-0000-00003DAE0000}"/>
    <cellStyle name="Note 2 2 6 2 3" xfId="44454" xr:uid="{00000000-0005-0000-0000-00003EAE0000}"/>
    <cellStyle name="Note 2 2 6 2 3 2" xfId="44455" xr:uid="{00000000-0005-0000-0000-00003FAE0000}"/>
    <cellStyle name="Note 2 2 6 2 3 3" xfId="44456" xr:uid="{00000000-0005-0000-0000-000040AE0000}"/>
    <cellStyle name="Note 2 2 6 2 3 4" xfId="44457" xr:uid="{00000000-0005-0000-0000-000041AE0000}"/>
    <cellStyle name="Note 2 2 6 2 4" xfId="44458" xr:uid="{00000000-0005-0000-0000-000042AE0000}"/>
    <cellStyle name="Note 2 2 6 2 5" xfId="44459" xr:uid="{00000000-0005-0000-0000-000043AE0000}"/>
    <cellStyle name="Note 2 2 6 2 6" xfId="44460" xr:uid="{00000000-0005-0000-0000-000044AE0000}"/>
    <cellStyle name="Note 2 2 6 3" xfId="44461" xr:uid="{00000000-0005-0000-0000-000045AE0000}"/>
    <cellStyle name="Note 2 2 6 3 2" xfId="44462" xr:uid="{00000000-0005-0000-0000-000046AE0000}"/>
    <cellStyle name="Note 2 2 6 3 2 2" xfId="44463" xr:uid="{00000000-0005-0000-0000-000047AE0000}"/>
    <cellStyle name="Note 2 2 6 3 2 3" xfId="44464" xr:uid="{00000000-0005-0000-0000-000048AE0000}"/>
    <cellStyle name="Note 2 2 6 3 2 4" xfId="44465" xr:uid="{00000000-0005-0000-0000-000049AE0000}"/>
    <cellStyle name="Note 2 2 6 3 3" xfId="44466" xr:uid="{00000000-0005-0000-0000-00004AAE0000}"/>
    <cellStyle name="Note 2 2 6 3 3 2" xfId="44467" xr:uid="{00000000-0005-0000-0000-00004BAE0000}"/>
    <cellStyle name="Note 2 2 6 3 3 3" xfId="44468" xr:uid="{00000000-0005-0000-0000-00004CAE0000}"/>
    <cellStyle name="Note 2 2 6 3 3 4" xfId="44469" xr:uid="{00000000-0005-0000-0000-00004DAE0000}"/>
    <cellStyle name="Note 2 2 6 3 4" xfId="44470" xr:uid="{00000000-0005-0000-0000-00004EAE0000}"/>
    <cellStyle name="Note 2 2 6 3 5" xfId="44471" xr:uid="{00000000-0005-0000-0000-00004FAE0000}"/>
    <cellStyle name="Note 2 2 6 3 6" xfId="44472" xr:uid="{00000000-0005-0000-0000-000050AE0000}"/>
    <cellStyle name="Note 2 2 6 4" xfId="44473" xr:uid="{00000000-0005-0000-0000-000051AE0000}"/>
    <cellStyle name="Note 2 2 6 4 2" xfId="44474" xr:uid="{00000000-0005-0000-0000-000052AE0000}"/>
    <cellStyle name="Note 2 2 6 4 3" xfId="44475" xr:uid="{00000000-0005-0000-0000-000053AE0000}"/>
    <cellStyle name="Note 2 2 6 4 4" xfId="44476" xr:uid="{00000000-0005-0000-0000-000054AE0000}"/>
    <cellStyle name="Note 2 2 6 5" xfId="44477" xr:uid="{00000000-0005-0000-0000-000055AE0000}"/>
    <cellStyle name="Note 2 2 6 6" xfId="44478" xr:uid="{00000000-0005-0000-0000-000056AE0000}"/>
    <cellStyle name="Note 2 2 7" xfId="44479" xr:uid="{00000000-0005-0000-0000-000057AE0000}"/>
    <cellStyle name="Note 2 2 7 2" xfId="44480" xr:uid="{00000000-0005-0000-0000-000058AE0000}"/>
    <cellStyle name="Note 2 2 7 2 2" xfId="44481" xr:uid="{00000000-0005-0000-0000-000059AE0000}"/>
    <cellStyle name="Note 2 2 7 2 2 2" xfId="44482" xr:uid="{00000000-0005-0000-0000-00005AAE0000}"/>
    <cellStyle name="Note 2 2 7 2 2 3" xfId="44483" xr:uid="{00000000-0005-0000-0000-00005BAE0000}"/>
    <cellStyle name="Note 2 2 7 2 2 4" xfId="44484" xr:uid="{00000000-0005-0000-0000-00005CAE0000}"/>
    <cellStyle name="Note 2 2 7 2 3" xfId="44485" xr:uid="{00000000-0005-0000-0000-00005DAE0000}"/>
    <cellStyle name="Note 2 2 7 2 3 2" xfId="44486" xr:uid="{00000000-0005-0000-0000-00005EAE0000}"/>
    <cellStyle name="Note 2 2 7 2 3 3" xfId="44487" xr:uid="{00000000-0005-0000-0000-00005FAE0000}"/>
    <cellStyle name="Note 2 2 7 2 3 4" xfId="44488" xr:uid="{00000000-0005-0000-0000-000060AE0000}"/>
    <cellStyle name="Note 2 2 7 2 4" xfId="44489" xr:uid="{00000000-0005-0000-0000-000061AE0000}"/>
    <cellStyle name="Note 2 2 7 2 5" xfId="44490" xr:uid="{00000000-0005-0000-0000-000062AE0000}"/>
    <cellStyle name="Note 2 2 7 2 6" xfId="44491" xr:uid="{00000000-0005-0000-0000-000063AE0000}"/>
    <cellStyle name="Note 2 2 7 3" xfId="44492" xr:uid="{00000000-0005-0000-0000-000064AE0000}"/>
    <cellStyle name="Note 2 2 7 3 2" xfId="44493" xr:uid="{00000000-0005-0000-0000-000065AE0000}"/>
    <cellStyle name="Note 2 2 7 3 2 2" xfId="44494" xr:uid="{00000000-0005-0000-0000-000066AE0000}"/>
    <cellStyle name="Note 2 2 7 3 2 3" xfId="44495" xr:uid="{00000000-0005-0000-0000-000067AE0000}"/>
    <cellStyle name="Note 2 2 7 3 2 4" xfId="44496" xr:uid="{00000000-0005-0000-0000-000068AE0000}"/>
    <cellStyle name="Note 2 2 7 3 3" xfId="44497" xr:uid="{00000000-0005-0000-0000-000069AE0000}"/>
    <cellStyle name="Note 2 2 7 3 3 2" xfId="44498" xr:uid="{00000000-0005-0000-0000-00006AAE0000}"/>
    <cellStyle name="Note 2 2 7 3 3 3" xfId="44499" xr:uid="{00000000-0005-0000-0000-00006BAE0000}"/>
    <cellStyle name="Note 2 2 7 3 3 4" xfId="44500" xr:uid="{00000000-0005-0000-0000-00006CAE0000}"/>
    <cellStyle name="Note 2 2 7 3 4" xfId="44501" xr:uid="{00000000-0005-0000-0000-00006DAE0000}"/>
    <cellStyle name="Note 2 2 7 3 5" xfId="44502" xr:uid="{00000000-0005-0000-0000-00006EAE0000}"/>
    <cellStyle name="Note 2 2 7 3 6" xfId="44503" xr:uid="{00000000-0005-0000-0000-00006FAE0000}"/>
    <cellStyle name="Note 2 2 7 4" xfId="44504" xr:uid="{00000000-0005-0000-0000-000070AE0000}"/>
    <cellStyle name="Note 2 2 7 4 2" xfId="44505" xr:uid="{00000000-0005-0000-0000-000071AE0000}"/>
    <cellStyle name="Note 2 2 7 4 3" xfId="44506" xr:uid="{00000000-0005-0000-0000-000072AE0000}"/>
    <cellStyle name="Note 2 2 7 4 4" xfId="44507" xr:uid="{00000000-0005-0000-0000-000073AE0000}"/>
    <cellStyle name="Note 2 2 7 5" xfId="44508" xr:uid="{00000000-0005-0000-0000-000074AE0000}"/>
    <cellStyle name="Note 2 2 7 6" xfId="44509" xr:uid="{00000000-0005-0000-0000-000075AE0000}"/>
    <cellStyle name="Note 2 2 8" xfId="44510" xr:uid="{00000000-0005-0000-0000-000076AE0000}"/>
    <cellStyle name="Note 2 2 8 2" xfId="44511" xr:uid="{00000000-0005-0000-0000-000077AE0000}"/>
    <cellStyle name="Note 2 2 8 2 2" xfId="44512" xr:uid="{00000000-0005-0000-0000-000078AE0000}"/>
    <cellStyle name="Note 2 2 8 2 2 2" xfId="44513" xr:uid="{00000000-0005-0000-0000-000079AE0000}"/>
    <cellStyle name="Note 2 2 8 2 2 3" xfId="44514" xr:uid="{00000000-0005-0000-0000-00007AAE0000}"/>
    <cellStyle name="Note 2 2 8 2 2 4" xfId="44515" xr:uid="{00000000-0005-0000-0000-00007BAE0000}"/>
    <cellStyle name="Note 2 2 8 2 3" xfId="44516" xr:uid="{00000000-0005-0000-0000-00007CAE0000}"/>
    <cellStyle name="Note 2 2 8 2 3 2" xfId="44517" xr:uid="{00000000-0005-0000-0000-00007DAE0000}"/>
    <cellStyle name="Note 2 2 8 2 3 3" xfId="44518" xr:uid="{00000000-0005-0000-0000-00007EAE0000}"/>
    <cellStyle name="Note 2 2 8 2 3 4" xfId="44519" xr:uid="{00000000-0005-0000-0000-00007FAE0000}"/>
    <cellStyle name="Note 2 2 8 2 4" xfId="44520" xr:uid="{00000000-0005-0000-0000-000080AE0000}"/>
    <cellStyle name="Note 2 2 8 2 5" xfId="44521" xr:uid="{00000000-0005-0000-0000-000081AE0000}"/>
    <cellStyle name="Note 2 2 8 2 6" xfId="44522" xr:uid="{00000000-0005-0000-0000-000082AE0000}"/>
    <cellStyle name="Note 2 2 8 3" xfId="44523" xr:uid="{00000000-0005-0000-0000-000083AE0000}"/>
    <cellStyle name="Note 2 2 8 3 2" xfId="44524" xr:uid="{00000000-0005-0000-0000-000084AE0000}"/>
    <cellStyle name="Note 2 2 8 3 2 2" xfId="44525" xr:uid="{00000000-0005-0000-0000-000085AE0000}"/>
    <cellStyle name="Note 2 2 8 3 2 3" xfId="44526" xr:uid="{00000000-0005-0000-0000-000086AE0000}"/>
    <cellStyle name="Note 2 2 8 3 2 4" xfId="44527" xr:uid="{00000000-0005-0000-0000-000087AE0000}"/>
    <cellStyle name="Note 2 2 8 3 3" xfId="44528" xr:uid="{00000000-0005-0000-0000-000088AE0000}"/>
    <cellStyle name="Note 2 2 8 3 3 2" xfId="44529" xr:uid="{00000000-0005-0000-0000-000089AE0000}"/>
    <cellStyle name="Note 2 2 8 3 3 3" xfId="44530" xr:uid="{00000000-0005-0000-0000-00008AAE0000}"/>
    <cellStyle name="Note 2 2 8 3 3 4" xfId="44531" xr:uid="{00000000-0005-0000-0000-00008BAE0000}"/>
    <cellStyle name="Note 2 2 8 3 4" xfId="44532" xr:uid="{00000000-0005-0000-0000-00008CAE0000}"/>
    <cellStyle name="Note 2 2 8 3 5" xfId="44533" xr:uid="{00000000-0005-0000-0000-00008DAE0000}"/>
    <cellStyle name="Note 2 2 8 3 6" xfId="44534" xr:uid="{00000000-0005-0000-0000-00008EAE0000}"/>
    <cellStyle name="Note 2 2 8 4" xfId="44535" xr:uid="{00000000-0005-0000-0000-00008FAE0000}"/>
    <cellStyle name="Note 2 2 8 4 2" xfId="44536" xr:uid="{00000000-0005-0000-0000-000090AE0000}"/>
    <cellStyle name="Note 2 2 8 4 3" xfId="44537" xr:uid="{00000000-0005-0000-0000-000091AE0000}"/>
    <cellStyle name="Note 2 2 8 4 4" xfId="44538" xr:uid="{00000000-0005-0000-0000-000092AE0000}"/>
    <cellStyle name="Note 2 2 8 5" xfId="44539" xr:uid="{00000000-0005-0000-0000-000093AE0000}"/>
    <cellStyle name="Note 2 2 8 6" xfId="44540" xr:uid="{00000000-0005-0000-0000-000094AE0000}"/>
    <cellStyle name="Note 2 2 9" xfId="44541" xr:uid="{00000000-0005-0000-0000-000095AE0000}"/>
    <cellStyle name="Note 2 2 9 2" xfId="44542" xr:uid="{00000000-0005-0000-0000-000096AE0000}"/>
    <cellStyle name="Note 2 2 9 2 2" xfId="44543" xr:uid="{00000000-0005-0000-0000-000097AE0000}"/>
    <cellStyle name="Note 2 2 9 2 2 2" xfId="44544" xr:uid="{00000000-0005-0000-0000-000098AE0000}"/>
    <cellStyle name="Note 2 2 9 2 2 3" xfId="44545" xr:uid="{00000000-0005-0000-0000-000099AE0000}"/>
    <cellStyle name="Note 2 2 9 2 2 4" xfId="44546" xr:uid="{00000000-0005-0000-0000-00009AAE0000}"/>
    <cellStyle name="Note 2 2 9 2 3" xfId="44547" xr:uid="{00000000-0005-0000-0000-00009BAE0000}"/>
    <cellStyle name="Note 2 2 9 2 3 2" xfId="44548" xr:uid="{00000000-0005-0000-0000-00009CAE0000}"/>
    <cellStyle name="Note 2 2 9 2 3 3" xfId="44549" xr:uid="{00000000-0005-0000-0000-00009DAE0000}"/>
    <cellStyle name="Note 2 2 9 2 3 4" xfId="44550" xr:uid="{00000000-0005-0000-0000-00009EAE0000}"/>
    <cellStyle name="Note 2 2 9 2 4" xfId="44551" xr:uid="{00000000-0005-0000-0000-00009FAE0000}"/>
    <cellStyle name="Note 2 2 9 2 5" xfId="44552" xr:uid="{00000000-0005-0000-0000-0000A0AE0000}"/>
    <cellStyle name="Note 2 2 9 2 6" xfId="44553" xr:uid="{00000000-0005-0000-0000-0000A1AE0000}"/>
    <cellStyle name="Note 2 2 9 3" xfId="44554" xr:uid="{00000000-0005-0000-0000-0000A2AE0000}"/>
    <cellStyle name="Note 2 2 9 3 2" xfId="44555" xr:uid="{00000000-0005-0000-0000-0000A3AE0000}"/>
    <cellStyle name="Note 2 2 9 3 2 2" xfId="44556" xr:uid="{00000000-0005-0000-0000-0000A4AE0000}"/>
    <cellStyle name="Note 2 2 9 3 2 3" xfId="44557" xr:uid="{00000000-0005-0000-0000-0000A5AE0000}"/>
    <cellStyle name="Note 2 2 9 3 2 4" xfId="44558" xr:uid="{00000000-0005-0000-0000-0000A6AE0000}"/>
    <cellStyle name="Note 2 2 9 3 3" xfId="44559" xr:uid="{00000000-0005-0000-0000-0000A7AE0000}"/>
    <cellStyle name="Note 2 2 9 3 3 2" xfId="44560" xr:uid="{00000000-0005-0000-0000-0000A8AE0000}"/>
    <cellStyle name="Note 2 2 9 3 3 3" xfId="44561" xr:uid="{00000000-0005-0000-0000-0000A9AE0000}"/>
    <cellStyle name="Note 2 2 9 3 3 4" xfId="44562" xr:uid="{00000000-0005-0000-0000-0000AAAE0000}"/>
    <cellStyle name="Note 2 2 9 3 4" xfId="44563" xr:uid="{00000000-0005-0000-0000-0000ABAE0000}"/>
    <cellStyle name="Note 2 2 9 3 5" xfId="44564" xr:uid="{00000000-0005-0000-0000-0000ACAE0000}"/>
    <cellStyle name="Note 2 2 9 3 6" xfId="44565" xr:uid="{00000000-0005-0000-0000-0000ADAE0000}"/>
    <cellStyle name="Note 2 2 9 4" xfId="44566" xr:uid="{00000000-0005-0000-0000-0000AEAE0000}"/>
    <cellStyle name="Note 2 2 9 4 2" xfId="44567" xr:uid="{00000000-0005-0000-0000-0000AFAE0000}"/>
    <cellStyle name="Note 2 2 9 4 3" xfId="44568" xr:uid="{00000000-0005-0000-0000-0000B0AE0000}"/>
    <cellStyle name="Note 2 2 9 4 4" xfId="44569" xr:uid="{00000000-0005-0000-0000-0000B1AE0000}"/>
    <cellStyle name="Note 2 2 9 5" xfId="44570" xr:uid="{00000000-0005-0000-0000-0000B2AE0000}"/>
    <cellStyle name="Note 2 2 9 6" xfId="44571" xr:uid="{00000000-0005-0000-0000-0000B3AE0000}"/>
    <cellStyle name="Note 2 3" xfId="44572" xr:uid="{00000000-0005-0000-0000-0000B4AE0000}"/>
    <cellStyle name="Note 2 3 2" xfId="44573" xr:uid="{00000000-0005-0000-0000-0000B5AE0000}"/>
    <cellStyle name="Note 2 3 2 2" xfId="44574" xr:uid="{00000000-0005-0000-0000-0000B6AE0000}"/>
    <cellStyle name="Note 2 3 2 2 2" xfId="44575" xr:uid="{00000000-0005-0000-0000-0000B7AE0000}"/>
    <cellStyle name="Note 2 3 2 2 2 2" xfId="44576" xr:uid="{00000000-0005-0000-0000-0000B8AE0000}"/>
    <cellStyle name="Note 2 3 2 2 2 3" xfId="44577" xr:uid="{00000000-0005-0000-0000-0000B9AE0000}"/>
    <cellStyle name="Note 2 3 2 2 2 4" xfId="44578" xr:uid="{00000000-0005-0000-0000-0000BAAE0000}"/>
    <cellStyle name="Note 2 3 2 2 3" xfId="44579" xr:uid="{00000000-0005-0000-0000-0000BBAE0000}"/>
    <cellStyle name="Note 2 3 2 2 3 2" xfId="44580" xr:uid="{00000000-0005-0000-0000-0000BCAE0000}"/>
    <cellStyle name="Note 2 3 2 2 3 3" xfId="44581" xr:uid="{00000000-0005-0000-0000-0000BDAE0000}"/>
    <cellStyle name="Note 2 3 2 2 3 4" xfId="44582" xr:uid="{00000000-0005-0000-0000-0000BEAE0000}"/>
    <cellStyle name="Note 2 3 2 2 4" xfId="44583" xr:uid="{00000000-0005-0000-0000-0000BFAE0000}"/>
    <cellStyle name="Note 2 3 2 2 5" xfId="44584" xr:uid="{00000000-0005-0000-0000-0000C0AE0000}"/>
    <cellStyle name="Note 2 3 2 2 6" xfId="44585" xr:uid="{00000000-0005-0000-0000-0000C1AE0000}"/>
    <cellStyle name="Note 2 3 2 3" xfId="44586" xr:uid="{00000000-0005-0000-0000-0000C2AE0000}"/>
    <cellStyle name="Note 2 3 2 3 2" xfId="44587" xr:uid="{00000000-0005-0000-0000-0000C3AE0000}"/>
    <cellStyle name="Note 2 3 2 3 2 2" xfId="44588" xr:uid="{00000000-0005-0000-0000-0000C4AE0000}"/>
    <cellStyle name="Note 2 3 2 3 2 3" xfId="44589" xr:uid="{00000000-0005-0000-0000-0000C5AE0000}"/>
    <cellStyle name="Note 2 3 2 3 2 4" xfId="44590" xr:uid="{00000000-0005-0000-0000-0000C6AE0000}"/>
    <cellStyle name="Note 2 3 2 3 3" xfId="44591" xr:uid="{00000000-0005-0000-0000-0000C7AE0000}"/>
    <cellStyle name="Note 2 3 2 3 3 2" xfId="44592" xr:uid="{00000000-0005-0000-0000-0000C8AE0000}"/>
    <cellStyle name="Note 2 3 2 3 3 3" xfId="44593" xr:uid="{00000000-0005-0000-0000-0000C9AE0000}"/>
    <cellStyle name="Note 2 3 2 3 3 4" xfId="44594" xr:uid="{00000000-0005-0000-0000-0000CAAE0000}"/>
    <cellStyle name="Note 2 3 2 3 4" xfId="44595" xr:uid="{00000000-0005-0000-0000-0000CBAE0000}"/>
    <cellStyle name="Note 2 3 2 3 5" xfId="44596" xr:uid="{00000000-0005-0000-0000-0000CCAE0000}"/>
    <cellStyle name="Note 2 3 2 3 6" xfId="44597" xr:uid="{00000000-0005-0000-0000-0000CDAE0000}"/>
    <cellStyle name="Note 2 3 2 4" xfId="44598" xr:uid="{00000000-0005-0000-0000-0000CEAE0000}"/>
    <cellStyle name="Note 2 3 2 5" xfId="44599" xr:uid="{00000000-0005-0000-0000-0000CFAE0000}"/>
    <cellStyle name="Note 2 3 2 6" xfId="44600" xr:uid="{00000000-0005-0000-0000-0000D0AE0000}"/>
    <cellStyle name="Note 2 3 3" xfId="44601" xr:uid="{00000000-0005-0000-0000-0000D1AE0000}"/>
    <cellStyle name="Note 2 3 4" xfId="44602" xr:uid="{00000000-0005-0000-0000-0000D2AE0000}"/>
    <cellStyle name="Note 2 4" xfId="44603" xr:uid="{00000000-0005-0000-0000-0000D3AE0000}"/>
    <cellStyle name="Note 2 4 2" xfId="44604" xr:uid="{00000000-0005-0000-0000-0000D4AE0000}"/>
    <cellStyle name="Note 2 4 2 2" xfId="44605" xr:uid="{00000000-0005-0000-0000-0000D5AE0000}"/>
    <cellStyle name="Note 2 4 2 2 2" xfId="44606" xr:uid="{00000000-0005-0000-0000-0000D6AE0000}"/>
    <cellStyle name="Note 2 4 2 2 2 2" xfId="44607" xr:uid="{00000000-0005-0000-0000-0000D7AE0000}"/>
    <cellStyle name="Note 2 4 2 2 2 3" xfId="44608" xr:uid="{00000000-0005-0000-0000-0000D8AE0000}"/>
    <cellStyle name="Note 2 4 2 2 2 4" xfId="44609" xr:uid="{00000000-0005-0000-0000-0000D9AE0000}"/>
    <cellStyle name="Note 2 4 2 2 3" xfId="44610" xr:uid="{00000000-0005-0000-0000-0000DAAE0000}"/>
    <cellStyle name="Note 2 4 2 2 3 2" xfId="44611" xr:uid="{00000000-0005-0000-0000-0000DBAE0000}"/>
    <cellStyle name="Note 2 4 2 2 3 3" xfId="44612" xr:uid="{00000000-0005-0000-0000-0000DCAE0000}"/>
    <cellStyle name="Note 2 4 2 2 3 4" xfId="44613" xr:uid="{00000000-0005-0000-0000-0000DDAE0000}"/>
    <cellStyle name="Note 2 4 2 2 4" xfId="44614" xr:uid="{00000000-0005-0000-0000-0000DEAE0000}"/>
    <cellStyle name="Note 2 4 2 2 5" xfId="44615" xr:uid="{00000000-0005-0000-0000-0000DFAE0000}"/>
    <cellStyle name="Note 2 4 2 2 6" xfId="44616" xr:uid="{00000000-0005-0000-0000-0000E0AE0000}"/>
    <cellStyle name="Note 2 4 2 3" xfId="44617" xr:uid="{00000000-0005-0000-0000-0000E1AE0000}"/>
    <cellStyle name="Note 2 4 2 3 2" xfId="44618" xr:uid="{00000000-0005-0000-0000-0000E2AE0000}"/>
    <cellStyle name="Note 2 4 2 3 2 2" xfId="44619" xr:uid="{00000000-0005-0000-0000-0000E3AE0000}"/>
    <cellStyle name="Note 2 4 2 3 2 3" xfId="44620" xr:uid="{00000000-0005-0000-0000-0000E4AE0000}"/>
    <cellStyle name="Note 2 4 2 3 2 4" xfId="44621" xr:uid="{00000000-0005-0000-0000-0000E5AE0000}"/>
    <cellStyle name="Note 2 4 2 3 3" xfId="44622" xr:uid="{00000000-0005-0000-0000-0000E6AE0000}"/>
    <cellStyle name="Note 2 4 2 3 3 2" xfId="44623" xr:uid="{00000000-0005-0000-0000-0000E7AE0000}"/>
    <cellStyle name="Note 2 4 2 3 3 3" xfId="44624" xr:uid="{00000000-0005-0000-0000-0000E8AE0000}"/>
    <cellStyle name="Note 2 4 2 3 3 4" xfId="44625" xr:uid="{00000000-0005-0000-0000-0000E9AE0000}"/>
    <cellStyle name="Note 2 4 2 3 4" xfId="44626" xr:uid="{00000000-0005-0000-0000-0000EAAE0000}"/>
    <cellStyle name="Note 2 4 2 3 5" xfId="44627" xr:uid="{00000000-0005-0000-0000-0000EBAE0000}"/>
    <cellStyle name="Note 2 4 2 3 6" xfId="44628" xr:uid="{00000000-0005-0000-0000-0000ECAE0000}"/>
    <cellStyle name="Note 2 4 2 4" xfId="44629" xr:uid="{00000000-0005-0000-0000-0000EDAE0000}"/>
    <cellStyle name="Note 2 4 2 5" xfId="44630" xr:uid="{00000000-0005-0000-0000-0000EEAE0000}"/>
    <cellStyle name="Note 2 4 2 6" xfId="44631" xr:uid="{00000000-0005-0000-0000-0000EFAE0000}"/>
    <cellStyle name="Note 2 4 3" xfId="44632" xr:uid="{00000000-0005-0000-0000-0000F0AE0000}"/>
    <cellStyle name="Note 2 4 4" xfId="44633" xr:uid="{00000000-0005-0000-0000-0000F1AE0000}"/>
    <cellStyle name="Note 2 5" xfId="44634" xr:uid="{00000000-0005-0000-0000-0000F2AE0000}"/>
    <cellStyle name="Note 2 5 2" xfId="44635" xr:uid="{00000000-0005-0000-0000-0000F3AE0000}"/>
    <cellStyle name="Note 2 5 2 2" xfId="44636" xr:uid="{00000000-0005-0000-0000-0000F4AE0000}"/>
    <cellStyle name="Note 2 5 2 2 2" xfId="44637" xr:uid="{00000000-0005-0000-0000-0000F5AE0000}"/>
    <cellStyle name="Note 2 5 2 2 2 2" xfId="44638" xr:uid="{00000000-0005-0000-0000-0000F6AE0000}"/>
    <cellStyle name="Note 2 5 2 2 2 3" xfId="44639" xr:uid="{00000000-0005-0000-0000-0000F7AE0000}"/>
    <cellStyle name="Note 2 5 2 2 2 4" xfId="44640" xr:uid="{00000000-0005-0000-0000-0000F8AE0000}"/>
    <cellStyle name="Note 2 5 2 2 3" xfId="44641" xr:uid="{00000000-0005-0000-0000-0000F9AE0000}"/>
    <cellStyle name="Note 2 5 2 2 3 2" xfId="44642" xr:uid="{00000000-0005-0000-0000-0000FAAE0000}"/>
    <cellStyle name="Note 2 5 2 2 3 3" xfId="44643" xr:uid="{00000000-0005-0000-0000-0000FBAE0000}"/>
    <cellStyle name="Note 2 5 2 2 3 4" xfId="44644" xr:uid="{00000000-0005-0000-0000-0000FCAE0000}"/>
    <cellStyle name="Note 2 5 2 2 4" xfId="44645" xr:uid="{00000000-0005-0000-0000-0000FDAE0000}"/>
    <cellStyle name="Note 2 5 2 2 5" xfId="44646" xr:uid="{00000000-0005-0000-0000-0000FEAE0000}"/>
    <cellStyle name="Note 2 5 2 2 6" xfId="44647" xr:uid="{00000000-0005-0000-0000-0000FFAE0000}"/>
    <cellStyle name="Note 2 5 2 3" xfId="44648" xr:uid="{00000000-0005-0000-0000-000000AF0000}"/>
    <cellStyle name="Note 2 5 2 3 2" xfId="44649" xr:uid="{00000000-0005-0000-0000-000001AF0000}"/>
    <cellStyle name="Note 2 5 2 3 2 2" xfId="44650" xr:uid="{00000000-0005-0000-0000-000002AF0000}"/>
    <cellStyle name="Note 2 5 2 3 2 3" xfId="44651" xr:uid="{00000000-0005-0000-0000-000003AF0000}"/>
    <cellStyle name="Note 2 5 2 3 2 4" xfId="44652" xr:uid="{00000000-0005-0000-0000-000004AF0000}"/>
    <cellStyle name="Note 2 5 2 3 3" xfId="44653" xr:uid="{00000000-0005-0000-0000-000005AF0000}"/>
    <cellStyle name="Note 2 5 2 3 3 2" xfId="44654" xr:uid="{00000000-0005-0000-0000-000006AF0000}"/>
    <cellStyle name="Note 2 5 2 3 3 3" xfId="44655" xr:uid="{00000000-0005-0000-0000-000007AF0000}"/>
    <cellStyle name="Note 2 5 2 3 3 4" xfId="44656" xr:uid="{00000000-0005-0000-0000-000008AF0000}"/>
    <cellStyle name="Note 2 5 2 3 4" xfId="44657" xr:uid="{00000000-0005-0000-0000-000009AF0000}"/>
    <cellStyle name="Note 2 5 2 3 5" xfId="44658" xr:uid="{00000000-0005-0000-0000-00000AAF0000}"/>
    <cellStyle name="Note 2 5 2 3 6" xfId="44659" xr:uid="{00000000-0005-0000-0000-00000BAF0000}"/>
    <cellStyle name="Note 2 5 2 4" xfId="44660" xr:uid="{00000000-0005-0000-0000-00000CAF0000}"/>
    <cellStyle name="Note 2 5 2 5" xfId="44661" xr:uid="{00000000-0005-0000-0000-00000DAF0000}"/>
    <cellStyle name="Note 2 5 2 6" xfId="44662" xr:uid="{00000000-0005-0000-0000-00000EAF0000}"/>
    <cellStyle name="Note 2 5 3" xfId="44663" xr:uid="{00000000-0005-0000-0000-00000FAF0000}"/>
    <cellStyle name="Note 2 5 4" xfId="44664" xr:uid="{00000000-0005-0000-0000-000010AF0000}"/>
    <cellStyle name="Note 2 6" xfId="44665" xr:uid="{00000000-0005-0000-0000-000011AF0000}"/>
    <cellStyle name="Note 2 6 2" xfId="44666" xr:uid="{00000000-0005-0000-0000-000012AF0000}"/>
    <cellStyle name="Note 2 6 2 2" xfId="44667" xr:uid="{00000000-0005-0000-0000-000013AF0000}"/>
    <cellStyle name="Note 2 6 2 2 2" xfId="44668" xr:uid="{00000000-0005-0000-0000-000014AF0000}"/>
    <cellStyle name="Note 2 6 2 2 2 2" xfId="44669" xr:uid="{00000000-0005-0000-0000-000015AF0000}"/>
    <cellStyle name="Note 2 6 2 2 2 3" xfId="44670" xr:uid="{00000000-0005-0000-0000-000016AF0000}"/>
    <cellStyle name="Note 2 6 2 2 2 4" xfId="44671" xr:uid="{00000000-0005-0000-0000-000017AF0000}"/>
    <cellStyle name="Note 2 6 2 2 3" xfId="44672" xr:uid="{00000000-0005-0000-0000-000018AF0000}"/>
    <cellStyle name="Note 2 6 2 2 3 2" xfId="44673" xr:uid="{00000000-0005-0000-0000-000019AF0000}"/>
    <cellStyle name="Note 2 6 2 2 3 3" xfId="44674" xr:uid="{00000000-0005-0000-0000-00001AAF0000}"/>
    <cellStyle name="Note 2 6 2 2 3 4" xfId="44675" xr:uid="{00000000-0005-0000-0000-00001BAF0000}"/>
    <cellStyle name="Note 2 6 2 2 4" xfId="44676" xr:uid="{00000000-0005-0000-0000-00001CAF0000}"/>
    <cellStyle name="Note 2 6 2 2 5" xfId="44677" xr:uid="{00000000-0005-0000-0000-00001DAF0000}"/>
    <cellStyle name="Note 2 6 2 2 6" xfId="44678" xr:uid="{00000000-0005-0000-0000-00001EAF0000}"/>
    <cellStyle name="Note 2 6 2 3" xfId="44679" xr:uid="{00000000-0005-0000-0000-00001FAF0000}"/>
    <cellStyle name="Note 2 6 2 3 2" xfId="44680" xr:uid="{00000000-0005-0000-0000-000020AF0000}"/>
    <cellStyle name="Note 2 6 2 3 2 2" xfId="44681" xr:uid="{00000000-0005-0000-0000-000021AF0000}"/>
    <cellStyle name="Note 2 6 2 3 2 3" xfId="44682" xr:uid="{00000000-0005-0000-0000-000022AF0000}"/>
    <cellStyle name="Note 2 6 2 3 2 4" xfId="44683" xr:uid="{00000000-0005-0000-0000-000023AF0000}"/>
    <cellStyle name="Note 2 6 2 3 3" xfId="44684" xr:uid="{00000000-0005-0000-0000-000024AF0000}"/>
    <cellStyle name="Note 2 6 2 3 3 2" xfId="44685" xr:uid="{00000000-0005-0000-0000-000025AF0000}"/>
    <cellStyle name="Note 2 6 2 3 3 3" xfId="44686" xr:uid="{00000000-0005-0000-0000-000026AF0000}"/>
    <cellStyle name="Note 2 6 2 3 3 4" xfId="44687" xr:uid="{00000000-0005-0000-0000-000027AF0000}"/>
    <cellStyle name="Note 2 6 2 3 4" xfId="44688" xr:uid="{00000000-0005-0000-0000-000028AF0000}"/>
    <cellStyle name="Note 2 6 2 3 5" xfId="44689" xr:uid="{00000000-0005-0000-0000-000029AF0000}"/>
    <cellStyle name="Note 2 6 2 3 6" xfId="44690" xr:uid="{00000000-0005-0000-0000-00002AAF0000}"/>
    <cellStyle name="Note 2 6 2 4" xfId="44691" xr:uid="{00000000-0005-0000-0000-00002BAF0000}"/>
    <cellStyle name="Note 2 6 2 5" xfId="44692" xr:uid="{00000000-0005-0000-0000-00002CAF0000}"/>
    <cellStyle name="Note 2 6 2 6" xfId="44693" xr:uid="{00000000-0005-0000-0000-00002DAF0000}"/>
    <cellStyle name="Note 2 6 3" xfId="44694" xr:uid="{00000000-0005-0000-0000-00002EAF0000}"/>
    <cellStyle name="Note 2 6 4" xfId="44695" xr:uid="{00000000-0005-0000-0000-00002FAF0000}"/>
    <cellStyle name="Note 2 7" xfId="44696" xr:uid="{00000000-0005-0000-0000-000030AF0000}"/>
    <cellStyle name="Note 2 7 2" xfId="44697" xr:uid="{00000000-0005-0000-0000-000031AF0000}"/>
    <cellStyle name="Note 2 7 2 2" xfId="44698" xr:uid="{00000000-0005-0000-0000-000032AF0000}"/>
    <cellStyle name="Note 2 7 2 2 2" xfId="44699" xr:uid="{00000000-0005-0000-0000-000033AF0000}"/>
    <cellStyle name="Note 2 7 2 2 3" xfId="44700" xr:uid="{00000000-0005-0000-0000-000034AF0000}"/>
    <cellStyle name="Note 2 7 2 2 4" xfId="44701" xr:uid="{00000000-0005-0000-0000-000035AF0000}"/>
    <cellStyle name="Note 2 7 2 3" xfId="44702" xr:uid="{00000000-0005-0000-0000-000036AF0000}"/>
    <cellStyle name="Note 2 7 2 3 2" xfId="44703" xr:uid="{00000000-0005-0000-0000-000037AF0000}"/>
    <cellStyle name="Note 2 7 2 3 3" xfId="44704" xr:uid="{00000000-0005-0000-0000-000038AF0000}"/>
    <cellStyle name="Note 2 7 2 3 4" xfId="44705" xr:uid="{00000000-0005-0000-0000-000039AF0000}"/>
    <cellStyle name="Note 2 7 2 4" xfId="44706" xr:uid="{00000000-0005-0000-0000-00003AAF0000}"/>
    <cellStyle name="Note 2 7 2 5" xfId="44707" xr:uid="{00000000-0005-0000-0000-00003BAF0000}"/>
    <cellStyle name="Note 2 7 2 6" xfId="44708" xr:uid="{00000000-0005-0000-0000-00003CAF0000}"/>
    <cellStyle name="Note 2 7 3" xfId="44709" xr:uid="{00000000-0005-0000-0000-00003DAF0000}"/>
    <cellStyle name="Note 2 7 3 2" xfId="44710" xr:uid="{00000000-0005-0000-0000-00003EAF0000}"/>
    <cellStyle name="Note 2 7 3 2 2" xfId="44711" xr:uid="{00000000-0005-0000-0000-00003FAF0000}"/>
    <cellStyle name="Note 2 7 3 2 3" xfId="44712" xr:uid="{00000000-0005-0000-0000-000040AF0000}"/>
    <cellStyle name="Note 2 7 3 2 4" xfId="44713" xr:uid="{00000000-0005-0000-0000-000041AF0000}"/>
    <cellStyle name="Note 2 7 3 3" xfId="44714" xr:uid="{00000000-0005-0000-0000-000042AF0000}"/>
    <cellStyle name="Note 2 7 3 3 2" xfId="44715" xr:uid="{00000000-0005-0000-0000-000043AF0000}"/>
    <cellStyle name="Note 2 7 3 3 3" xfId="44716" xr:uid="{00000000-0005-0000-0000-000044AF0000}"/>
    <cellStyle name="Note 2 7 3 3 4" xfId="44717" xr:uid="{00000000-0005-0000-0000-000045AF0000}"/>
    <cellStyle name="Note 2 7 3 4" xfId="44718" xr:uid="{00000000-0005-0000-0000-000046AF0000}"/>
    <cellStyle name="Note 2 7 3 5" xfId="44719" xr:uid="{00000000-0005-0000-0000-000047AF0000}"/>
    <cellStyle name="Note 2 7 3 6" xfId="44720" xr:uid="{00000000-0005-0000-0000-000048AF0000}"/>
    <cellStyle name="Note 2 7 4" xfId="44721" xr:uid="{00000000-0005-0000-0000-000049AF0000}"/>
    <cellStyle name="Note 2 7 4 2" xfId="44722" xr:uid="{00000000-0005-0000-0000-00004AAF0000}"/>
    <cellStyle name="Note 2 7 4 3" xfId="44723" xr:uid="{00000000-0005-0000-0000-00004BAF0000}"/>
    <cellStyle name="Note 2 7 4 4" xfId="44724" xr:uid="{00000000-0005-0000-0000-00004CAF0000}"/>
    <cellStyle name="Note 2 7 5" xfId="44725" xr:uid="{00000000-0005-0000-0000-00004DAF0000}"/>
    <cellStyle name="Note 2 7 6" xfId="44726" xr:uid="{00000000-0005-0000-0000-00004EAF0000}"/>
    <cellStyle name="Note 2 8" xfId="44727" xr:uid="{00000000-0005-0000-0000-00004FAF0000}"/>
    <cellStyle name="Note 2 8 2" xfId="44728" xr:uid="{00000000-0005-0000-0000-000050AF0000}"/>
    <cellStyle name="Note 2 8 2 2" xfId="44729" xr:uid="{00000000-0005-0000-0000-000051AF0000}"/>
    <cellStyle name="Note 2 8 2 2 2" xfId="44730" xr:uid="{00000000-0005-0000-0000-000052AF0000}"/>
    <cellStyle name="Note 2 8 2 2 3" xfId="44731" xr:uid="{00000000-0005-0000-0000-000053AF0000}"/>
    <cellStyle name="Note 2 8 2 2 4" xfId="44732" xr:uid="{00000000-0005-0000-0000-000054AF0000}"/>
    <cellStyle name="Note 2 8 2 3" xfId="44733" xr:uid="{00000000-0005-0000-0000-000055AF0000}"/>
    <cellStyle name="Note 2 8 2 3 2" xfId="44734" xr:uid="{00000000-0005-0000-0000-000056AF0000}"/>
    <cellStyle name="Note 2 8 2 3 3" xfId="44735" xr:uid="{00000000-0005-0000-0000-000057AF0000}"/>
    <cellStyle name="Note 2 8 2 3 4" xfId="44736" xr:uid="{00000000-0005-0000-0000-000058AF0000}"/>
    <cellStyle name="Note 2 8 2 4" xfId="44737" xr:uid="{00000000-0005-0000-0000-000059AF0000}"/>
    <cellStyle name="Note 2 8 2 5" xfId="44738" xr:uid="{00000000-0005-0000-0000-00005AAF0000}"/>
    <cellStyle name="Note 2 8 2 6" xfId="44739" xr:uid="{00000000-0005-0000-0000-00005BAF0000}"/>
    <cellStyle name="Note 2 8 3" xfId="44740" xr:uid="{00000000-0005-0000-0000-00005CAF0000}"/>
    <cellStyle name="Note 2 8 3 2" xfId="44741" xr:uid="{00000000-0005-0000-0000-00005DAF0000}"/>
    <cellStyle name="Note 2 8 3 2 2" xfId="44742" xr:uid="{00000000-0005-0000-0000-00005EAF0000}"/>
    <cellStyle name="Note 2 8 3 2 3" xfId="44743" xr:uid="{00000000-0005-0000-0000-00005FAF0000}"/>
    <cellStyle name="Note 2 8 3 2 4" xfId="44744" xr:uid="{00000000-0005-0000-0000-000060AF0000}"/>
    <cellStyle name="Note 2 8 3 3" xfId="44745" xr:uid="{00000000-0005-0000-0000-000061AF0000}"/>
    <cellStyle name="Note 2 8 3 3 2" xfId="44746" xr:uid="{00000000-0005-0000-0000-000062AF0000}"/>
    <cellStyle name="Note 2 8 3 3 3" xfId="44747" xr:uid="{00000000-0005-0000-0000-000063AF0000}"/>
    <cellStyle name="Note 2 8 3 3 4" xfId="44748" xr:uid="{00000000-0005-0000-0000-000064AF0000}"/>
    <cellStyle name="Note 2 8 3 4" xfId="44749" xr:uid="{00000000-0005-0000-0000-000065AF0000}"/>
    <cellStyle name="Note 2 8 3 5" xfId="44750" xr:uid="{00000000-0005-0000-0000-000066AF0000}"/>
    <cellStyle name="Note 2 8 3 6" xfId="44751" xr:uid="{00000000-0005-0000-0000-000067AF0000}"/>
    <cellStyle name="Note 2 8 4" xfId="44752" xr:uid="{00000000-0005-0000-0000-000068AF0000}"/>
    <cellStyle name="Note 2 8 4 2" xfId="44753" xr:uid="{00000000-0005-0000-0000-000069AF0000}"/>
    <cellStyle name="Note 2 8 4 3" xfId="44754" xr:uid="{00000000-0005-0000-0000-00006AAF0000}"/>
    <cellStyle name="Note 2 8 4 4" xfId="44755" xr:uid="{00000000-0005-0000-0000-00006BAF0000}"/>
    <cellStyle name="Note 2 8 5" xfId="44756" xr:uid="{00000000-0005-0000-0000-00006CAF0000}"/>
    <cellStyle name="Note 2 8 6" xfId="44757" xr:uid="{00000000-0005-0000-0000-00006DAF0000}"/>
    <cellStyle name="Note 2 9" xfId="44758" xr:uid="{00000000-0005-0000-0000-00006EAF0000}"/>
    <cellStyle name="Note 2 9 2" xfId="44759" xr:uid="{00000000-0005-0000-0000-00006FAF0000}"/>
    <cellStyle name="Note 2 9 2 2" xfId="44760" xr:uid="{00000000-0005-0000-0000-000070AF0000}"/>
    <cellStyle name="Note 2 9 2 2 2" xfId="44761" xr:uid="{00000000-0005-0000-0000-000071AF0000}"/>
    <cellStyle name="Note 2 9 2 2 3" xfId="44762" xr:uid="{00000000-0005-0000-0000-000072AF0000}"/>
    <cellStyle name="Note 2 9 2 2 4" xfId="44763" xr:uid="{00000000-0005-0000-0000-000073AF0000}"/>
    <cellStyle name="Note 2 9 2 3" xfId="44764" xr:uid="{00000000-0005-0000-0000-000074AF0000}"/>
    <cellStyle name="Note 2 9 2 3 2" xfId="44765" xr:uid="{00000000-0005-0000-0000-000075AF0000}"/>
    <cellStyle name="Note 2 9 2 3 3" xfId="44766" xr:uid="{00000000-0005-0000-0000-000076AF0000}"/>
    <cellStyle name="Note 2 9 2 3 4" xfId="44767" xr:uid="{00000000-0005-0000-0000-000077AF0000}"/>
    <cellStyle name="Note 2 9 2 4" xfId="44768" xr:uid="{00000000-0005-0000-0000-000078AF0000}"/>
    <cellStyle name="Note 2 9 2 5" xfId="44769" xr:uid="{00000000-0005-0000-0000-000079AF0000}"/>
    <cellStyle name="Note 2 9 2 6" xfId="44770" xr:uid="{00000000-0005-0000-0000-00007AAF0000}"/>
    <cellStyle name="Note 2 9 3" xfId="44771" xr:uid="{00000000-0005-0000-0000-00007BAF0000}"/>
    <cellStyle name="Note 2 9 3 2" xfId="44772" xr:uid="{00000000-0005-0000-0000-00007CAF0000}"/>
    <cellStyle name="Note 2 9 3 2 2" xfId="44773" xr:uid="{00000000-0005-0000-0000-00007DAF0000}"/>
    <cellStyle name="Note 2 9 3 2 3" xfId="44774" xr:uid="{00000000-0005-0000-0000-00007EAF0000}"/>
    <cellStyle name="Note 2 9 3 2 4" xfId="44775" xr:uid="{00000000-0005-0000-0000-00007FAF0000}"/>
    <cellStyle name="Note 2 9 3 3" xfId="44776" xr:uid="{00000000-0005-0000-0000-000080AF0000}"/>
    <cellStyle name="Note 2 9 3 3 2" xfId="44777" xr:uid="{00000000-0005-0000-0000-000081AF0000}"/>
    <cellStyle name="Note 2 9 3 3 3" xfId="44778" xr:uid="{00000000-0005-0000-0000-000082AF0000}"/>
    <cellStyle name="Note 2 9 3 3 4" xfId="44779" xr:uid="{00000000-0005-0000-0000-000083AF0000}"/>
    <cellStyle name="Note 2 9 3 4" xfId="44780" xr:uid="{00000000-0005-0000-0000-000084AF0000}"/>
    <cellStyle name="Note 2 9 3 5" xfId="44781" xr:uid="{00000000-0005-0000-0000-000085AF0000}"/>
    <cellStyle name="Note 2 9 3 6" xfId="44782" xr:uid="{00000000-0005-0000-0000-000086AF0000}"/>
    <cellStyle name="Note 2 9 4" xfId="44783" xr:uid="{00000000-0005-0000-0000-000087AF0000}"/>
    <cellStyle name="Note 2 9 4 2" xfId="44784" xr:uid="{00000000-0005-0000-0000-000088AF0000}"/>
    <cellStyle name="Note 2 9 4 3" xfId="44785" xr:uid="{00000000-0005-0000-0000-000089AF0000}"/>
    <cellStyle name="Note 2 9 4 4" xfId="44786" xr:uid="{00000000-0005-0000-0000-00008AAF0000}"/>
    <cellStyle name="Note 2 9 5" xfId="44787" xr:uid="{00000000-0005-0000-0000-00008BAF0000}"/>
    <cellStyle name="Note 2 9 6" xfId="44788" xr:uid="{00000000-0005-0000-0000-00008CAF0000}"/>
    <cellStyle name="Note 3" xfId="44789" xr:uid="{00000000-0005-0000-0000-00008DAF0000}"/>
    <cellStyle name="Note 3 10" xfId="44790" xr:uid="{00000000-0005-0000-0000-00008EAF0000}"/>
    <cellStyle name="Note 3 10 2" xfId="44791" xr:uid="{00000000-0005-0000-0000-00008FAF0000}"/>
    <cellStyle name="Note 3 10 2 2" xfId="44792" xr:uid="{00000000-0005-0000-0000-000090AF0000}"/>
    <cellStyle name="Note 3 10 2 2 2" xfId="44793" xr:uid="{00000000-0005-0000-0000-000091AF0000}"/>
    <cellStyle name="Note 3 10 2 2 3" xfId="44794" xr:uid="{00000000-0005-0000-0000-000092AF0000}"/>
    <cellStyle name="Note 3 10 2 2 4" xfId="44795" xr:uid="{00000000-0005-0000-0000-000093AF0000}"/>
    <cellStyle name="Note 3 10 2 3" xfId="44796" xr:uid="{00000000-0005-0000-0000-000094AF0000}"/>
    <cellStyle name="Note 3 10 2 3 2" xfId="44797" xr:uid="{00000000-0005-0000-0000-000095AF0000}"/>
    <cellStyle name="Note 3 10 2 3 3" xfId="44798" xr:uid="{00000000-0005-0000-0000-000096AF0000}"/>
    <cellStyle name="Note 3 10 2 3 4" xfId="44799" xr:uid="{00000000-0005-0000-0000-000097AF0000}"/>
    <cellStyle name="Note 3 10 2 4" xfId="44800" xr:uid="{00000000-0005-0000-0000-000098AF0000}"/>
    <cellStyle name="Note 3 10 2 5" xfId="44801" xr:uid="{00000000-0005-0000-0000-000099AF0000}"/>
    <cellStyle name="Note 3 10 2 6" xfId="44802" xr:uid="{00000000-0005-0000-0000-00009AAF0000}"/>
    <cellStyle name="Note 3 10 3" xfId="44803" xr:uid="{00000000-0005-0000-0000-00009BAF0000}"/>
    <cellStyle name="Note 3 10 3 2" xfId="44804" xr:uid="{00000000-0005-0000-0000-00009CAF0000}"/>
    <cellStyle name="Note 3 10 3 2 2" xfId="44805" xr:uid="{00000000-0005-0000-0000-00009DAF0000}"/>
    <cellStyle name="Note 3 10 3 2 3" xfId="44806" xr:uid="{00000000-0005-0000-0000-00009EAF0000}"/>
    <cellStyle name="Note 3 10 3 2 4" xfId="44807" xr:uid="{00000000-0005-0000-0000-00009FAF0000}"/>
    <cellStyle name="Note 3 10 3 3" xfId="44808" xr:uid="{00000000-0005-0000-0000-0000A0AF0000}"/>
    <cellStyle name="Note 3 10 3 3 2" xfId="44809" xr:uid="{00000000-0005-0000-0000-0000A1AF0000}"/>
    <cellStyle name="Note 3 10 3 3 3" xfId="44810" xr:uid="{00000000-0005-0000-0000-0000A2AF0000}"/>
    <cellStyle name="Note 3 10 3 3 4" xfId="44811" xr:uid="{00000000-0005-0000-0000-0000A3AF0000}"/>
    <cellStyle name="Note 3 10 3 4" xfId="44812" xr:uid="{00000000-0005-0000-0000-0000A4AF0000}"/>
    <cellStyle name="Note 3 10 3 5" xfId="44813" xr:uid="{00000000-0005-0000-0000-0000A5AF0000}"/>
    <cellStyle name="Note 3 10 3 6" xfId="44814" xr:uid="{00000000-0005-0000-0000-0000A6AF0000}"/>
    <cellStyle name="Note 3 10 4" xfId="44815" xr:uid="{00000000-0005-0000-0000-0000A7AF0000}"/>
    <cellStyle name="Note 3 10 5" xfId="44816" xr:uid="{00000000-0005-0000-0000-0000A8AF0000}"/>
    <cellStyle name="Note 3 10 6" xfId="44817" xr:uid="{00000000-0005-0000-0000-0000A9AF0000}"/>
    <cellStyle name="Note 3 11" xfId="44818" xr:uid="{00000000-0005-0000-0000-0000AAAF0000}"/>
    <cellStyle name="Note 3 12" xfId="44819" xr:uid="{00000000-0005-0000-0000-0000ABAF0000}"/>
    <cellStyle name="Note 3 2" xfId="44820" xr:uid="{00000000-0005-0000-0000-0000ACAF0000}"/>
    <cellStyle name="Note 3 2 2" xfId="44821" xr:uid="{00000000-0005-0000-0000-0000ADAF0000}"/>
    <cellStyle name="Note 3 2 2 2" xfId="44822" xr:uid="{00000000-0005-0000-0000-0000AEAF0000}"/>
    <cellStyle name="Note 3 2 2 2 2" xfId="44823" xr:uid="{00000000-0005-0000-0000-0000AFAF0000}"/>
    <cellStyle name="Note 3 2 2 2 2 2" xfId="44824" xr:uid="{00000000-0005-0000-0000-0000B0AF0000}"/>
    <cellStyle name="Note 3 2 2 2 2 3" xfId="44825" xr:uid="{00000000-0005-0000-0000-0000B1AF0000}"/>
    <cellStyle name="Note 3 2 2 2 2 4" xfId="44826" xr:uid="{00000000-0005-0000-0000-0000B2AF0000}"/>
    <cellStyle name="Note 3 2 2 2 3" xfId="44827" xr:uid="{00000000-0005-0000-0000-0000B3AF0000}"/>
    <cellStyle name="Note 3 2 2 2 3 2" xfId="44828" xr:uid="{00000000-0005-0000-0000-0000B4AF0000}"/>
    <cellStyle name="Note 3 2 2 2 3 3" xfId="44829" xr:uid="{00000000-0005-0000-0000-0000B5AF0000}"/>
    <cellStyle name="Note 3 2 2 2 3 4" xfId="44830" xr:uid="{00000000-0005-0000-0000-0000B6AF0000}"/>
    <cellStyle name="Note 3 2 2 2 4" xfId="44831" xr:uid="{00000000-0005-0000-0000-0000B7AF0000}"/>
    <cellStyle name="Note 3 2 2 2 5" xfId="44832" xr:uid="{00000000-0005-0000-0000-0000B8AF0000}"/>
    <cellStyle name="Note 3 2 2 2 6" xfId="44833" xr:uid="{00000000-0005-0000-0000-0000B9AF0000}"/>
    <cellStyle name="Note 3 2 2 3" xfId="44834" xr:uid="{00000000-0005-0000-0000-0000BAAF0000}"/>
    <cellStyle name="Note 3 2 2 3 2" xfId="44835" xr:uid="{00000000-0005-0000-0000-0000BBAF0000}"/>
    <cellStyle name="Note 3 2 2 3 2 2" xfId="44836" xr:uid="{00000000-0005-0000-0000-0000BCAF0000}"/>
    <cellStyle name="Note 3 2 2 3 2 3" xfId="44837" xr:uid="{00000000-0005-0000-0000-0000BDAF0000}"/>
    <cellStyle name="Note 3 2 2 3 2 4" xfId="44838" xr:uid="{00000000-0005-0000-0000-0000BEAF0000}"/>
    <cellStyle name="Note 3 2 2 3 3" xfId="44839" xr:uid="{00000000-0005-0000-0000-0000BFAF0000}"/>
    <cellStyle name="Note 3 2 2 3 3 2" xfId="44840" xr:uid="{00000000-0005-0000-0000-0000C0AF0000}"/>
    <cellStyle name="Note 3 2 2 3 3 3" xfId="44841" xr:uid="{00000000-0005-0000-0000-0000C1AF0000}"/>
    <cellStyle name="Note 3 2 2 3 3 4" xfId="44842" xr:uid="{00000000-0005-0000-0000-0000C2AF0000}"/>
    <cellStyle name="Note 3 2 2 3 4" xfId="44843" xr:uid="{00000000-0005-0000-0000-0000C3AF0000}"/>
    <cellStyle name="Note 3 2 2 3 5" xfId="44844" xr:uid="{00000000-0005-0000-0000-0000C4AF0000}"/>
    <cellStyle name="Note 3 2 2 3 6" xfId="44845" xr:uid="{00000000-0005-0000-0000-0000C5AF0000}"/>
    <cellStyle name="Note 3 2 2 4" xfId="44846" xr:uid="{00000000-0005-0000-0000-0000C6AF0000}"/>
    <cellStyle name="Note 3 2 2 5" xfId="44847" xr:uid="{00000000-0005-0000-0000-0000C7AF0000}"/>
    <cellStyle name="Note 3 2 2 6" xfId="44848" xr:uid="{00000000-0005-0000-0000-0000C8AF0000}"/>
    <cellStyle name="Note 3 2 3" xfId="44849" xr:uid="{00000000-0005-0000-0000-0000C9AF0000}"/>
    <cellStyle name="Note 3 2 4" xfId="44850" xr:uid="{00000000-0005-0000-0000-0000CAAF0000}"/>
    <cellStyle name="Note 3 3" xfId="44851" xr:uid="{00000000-0005-0000-0000-0000CBAF0000}"/>
    <cellStyle name="Note 3 3 2" xfId="44852" xr:uid="{00000000-0005-0000-0000-0000CCAF0000}"/>
    <cellStyle name="Note 3 3 2 2" xfId="44853" xr:uid="{00000000-0005-0000-0000-0000CDAF0000}"/>
    <cellStyle name="Note 3 3 2 2 2" xfId="44854" xr:uid="{00000000-0005-0000-0000-0000CEAF0000}"/>
    <cellStyle name="Note 3 3 2 2 2 2" xfId="44855" xr:uid="{00000000-0005-0000-0000-0000CFAF0000}"/>
    <cellStyle name="Note 3 3 2 2 2 3" xfId="44856" xr:uid="{00000000-0005-0000-0000-0000D0AF0000}"/>
    <cellStyle name="Note 3 3 2 2 2 4" xfId="44857" xr:uid="{00000000-0005-0000-0000-0000D1AF0000}"/>
    <cellStyle name="Note 3 3 2 2 3" xfId="44858" xr:uid="{00000000-0005-0000-0000-0000D2AF0000}"/>
    <cellStyle name="Note 3 3 2 2 3 2" xfId="44859" xr:uid="{00000000-0005-0000-0000-0000D3AF0000}"/>
    <cellStyle name="Note 3 3 2 2 3 3" xfId="44860" xr:uid="{00000000-0005-0000-0000-0000D4AF0000}"/>
    <cellStyle name="Note 3 3 2 2 3 4" xfId="44861" xr:uid="{00000000-0005-0000-0000-0000D5AF0000}"/>
    <cellStyle name="Note 3 3 2 2 4" xfId="44862" xr:uid="{00000000-0005-0000-0000-0000D6AF0000}"/>
    <cellStyle name="Note 3 3 2 2 5" xfId="44863" xr:uid="{00000000-0005-0000-0000-0000D7AF0000}"/>
    <cellStyle name="Note 3 3 2 2 6" xfId="44864" xr:uid="{00000000-0005-0000-0000-0000D8AF0000}"/>
    <cellStyle name="Note 3 3 2 3" xfId="44865" xr:uid="{00000000-0005-0000-0000-0000D9AF0000}"/>
    <cellStyle name="Note 3 3 2 3 2" xfId="44866" xr:uid="{00000000-0005-0000-0000-0000DAAF0000}"/>
    <cellStyle name="Note 3 3 2 3 2 2" xfId="44867" xr:uid="{00000000-0005-0000-0000-0000DBAF0000}"/>
    <cellStyle name="Note 3 3 2 3 2 3" xfId="44868" xr:uid="{00000000-0005-0000-0000-0000DCAF0000}"/>
    <cellStyle name="Note 3 3 2 3 2 4" xfId="44869" xr:uid="{00000000-0005-0000-0000-0000DDAF0000}"/>
    <cellStyle name="Note 3 3 2 3 3" xfId="44870" xr:uid="{00000000-0005-0000-0000-0000DEAF0000}"/>
    <cellStyle name="Note 3 3 2 3 3 2" xfId="44871" xr:uid="{00000000-0005-0000-0000-0000DFAF0000}"/>
    <cellStyle name="Note 3 3 2 3 3 3" xfId="44872" xr:uid="{00000000-0005-0000-0000-0000E0AF0000}"/>
    <cellStyle name="Note 3 3 2 3 3 4" xfId="44873" xr:uid="{00000000-0005-0000-0000-0000E1AF0000}"/>
    <cellStyle name="Note 3 3 2 3 4" xfId="44874" xr:uid="{00000000-0005-0000-0000-0000E2AF0000}"/>
    <cellStyle name="Note 3 3 2 3 5" xfId="44875" xr:uid="{00000000-0005-0000-0000-0000E3AF0000}"/>
    <cellStyle name="Note 3 3 2 3 6" xfId="44876" xr:uid="{00000000-0005-0000-0000-0000E4AF0000}"/>
    <cellStyle name="Note 3 3 2 4" xfId="44877" xr:uid="{00000000-0005-0000-0000-0000E5AF0000}"/>
    <cellStyle name="Note 3 3 2 5" xfId="44878" xr:uid="{00000000-0005-0000-0000-0000E6AF0000}"/>
    <cellStyle name="Note 3 3 2 6" xfId="44879" xr:uid="{00000000-0005-0000-0000-0000E7AF0000}"/>
    <cellStyle name="Note 3 3 3" xfId="44880" xr:uid="{00000000-0005-0000-0000-0000E8AF0000}"/>
    <cellStyle name="Note 3 3 4" xfId="44881" xr:uid="{00000000-0005-0000-0000-0000E9AF0000}"/>
    <cellStyle name="Note 3 4" xfId="44882" xr:uid="{00000000-0005-0000-0000-0000EAAF0000}"/>
    <cellStyle name="Note 3 4 2" xfId="44883" xr:uid="{00000000-0005-0000-0000-0000EBAF0000}"/>
    <cellStyle name="Note 3 4 2 2" xfId="44884" xr:uid="{00000000-0005-0000-0000-0000ECAF0000}"/>
    <cellStyle name="Note 3 4 2 2 2" xfId="44885" xr:uid="{00000000-0005-0000-0000-0000EDAF0000}"/>
    <cellStyle name="Note 3 4 2 2 2 2" xfId="44886" xr:uid="{00000000-0005-0000-0000-0000EEAF0000}"/>
    <cellStyle name="Note 3 4 2 2 2 3" xfId="44887" xr:uid="{00000000-0005-0000-0000-0000EFAF0000}"/>
    <cellStyle name="Note 3 4 2 2 2 4" xfId="44888" xr:uid="{00000000-0005-0000-0000-0000F0AF0000}"/>
    <cellStyle name="Note 3 4 2 2 3" xfId="44889" xr:uid="{00000000-0005-0000-0000-0000F1AF0000}"/>
    <cellStyle name="Note 3 4 2 2 3 2" xfId="44890" xr:uid="{00000000-0005-0000-0000-0000F2AF0000}"/>
    <cellStyle name="Note 3 4 2 2 3 3" xfId="44891" xr:uid="{00000000-0005-0000-0000-0000F3AF0000}"/>
    <cellStyle name="Note 3 4 2 2 3 4" xfId="44892" xr:uid="{00000000-0005-0000-0000-0000F4AF0000}"/>
    <cellStyle name="Note 3 4 2 2 4" xfId="44893" xr:uid="{00000000-0005-0000-0000-0000F5AF0000}"/>
    <cellStyle name="Note 3 4 2 2 5" xfId="44894" xr:uid="{00000000-0005-0000-0000-0000F6AF0000}"/>
    <cellStyle name="Note 3 4 2 2 6" xfId="44895" xr:uid="{00000000-0005-0000-0000-0000F7AF0000}"/>
    <cellStyle name="Note 3 4 2 3" xfId="44896" xr:uid="{00000000-0005-0000-0000-0000F8AF0000}"/>
    <cellStyle name="Note 3 4 2 3 2" xfId="44897" xr:uid="{00000000-0005-0000-0000-0000F9AF0000}"/>
    <cellStyle name="Note 3 4 2 3 2 2" xfId="44898" xr:uid="{00000000-0005-0000-0000-0000FAAF0000}"/>
    <cellStyle name="Note 3 4 2 3 2 3" xfId="44899" xr:uid="{00000000-0005-0000-0000-0000FBAF0000}"/>
    <cellStyle name="Note 3 4 2 3 2 4" xfId="44900" xr:uid="{00000000-0005-0000-0000-0000FCAF0000}"/>
    <cellStyle name="Note 3 4 2 3 3" xfId="44901" xr:uid="{00000000-0005-0000-0000-0000FDAF0000}"/>
    <cellStyle name="Note 3 4 2 3 3 2" xfId="44902" xr:uid="{00000000-0005-0000-0000-0000FEAF0000}"/>
    <cellStyle name="Note 3 4 2 3 3 3" xfId="44903" xr:uid="{00000000-0005-0000-0000-0000FFAF0000}"/>
    <cellStyle name="Note 3 4 2 3 3 4" xfId="44904" xr:uid="{00000000-0005-0000-0000-000000B00000}"/>
    <cellStyle name="Note 3 4 2 3 4" xfId="44905" xr:uid="{00000000-0005-0000-0000-000001B00000}"/>
    <cellStyle name="Note 3 4 2 3 5" xfId="44906" xr:uid="{00000000-0005-0000-0000-000002B00000}"/>
    <cellStyle name="Note 3 4 2 3 6" xfId="44907" xr:uid="{00000000-0005-0000-0000-000003B00000}"/>
    <cellStyle name="Note 3 4 2 4" xfId="44908" xr:uid="{00000000-0005-0000-0000-000004B00000}"/>
    <cellStyle name="Note 3 4 2 5" xfId="44909" xr:uid="{00000000-0005-0000-0000-000005B00000}"/>
    <cellStyle name="Note 3 4 2 6" xfId="44910" xr:uid="{00000000-0005-0000-0000-000006B00000}"/>
    <cellStyle name="Note 3 4 3" xfId="44911" xr:uid="{00000000-0005-0000-0000-000007B00000}"/>
    <cellStyle name="Note 3 4 4" xfId="44912" xr:uid="{00000000-0005-0000-0000-000008B00000}"/>
    <cellStyle name="Note 3 5" xfId="44913" xr:uid="{00000000-0005-0000-0000-000009B00000}"/>
    <cellStyle name="Note 3 5 2" xfId="44914" xr:uid="{00000000-0005-0000-0000-00000AB00000}"/>
    <cellStyle name="Note 3 5 2 2" xfId="44915" xr:uid="{00000000-0005-0000-0000-00000BB00000}"/>
    <cellStyle name="Note 3 5 2 2 2" xfId="44916" xr:uid="{00000000-0005-0000-0000-00000CB00000}"/>
    <cellStyle name="Note 3 5 2 2 2 2" xfId="44917" xr:uid="{00000000-0005-0000-0000-00000DB00000}"/>
    <cellStyle name="Note 3 5 2 2 2 3" xfId="44918" xr:uid="{00000000-0005-0000-0000-00000EB00000}"/>
    <cellStyle name="Note 3 5 2 2 2 4" xfId="44919" xr:uid="{00000000-0005-0000-0000-00000FB00000}"/>
    <cellStyle name="Note 3 5 2 2 3" xfId="44920" xr:uid="{00000000-0005-0000-0000-000010B00000}"/>
    <cellStyle name="Note 3 5 2 2 3 2" xfId="44921" xr:uid="{00000000-0005-0000-0000-000011B00000}"/>
    <cellStyle name="Note 3 5 2 2 3 3" xfId="44922" xr:uid="{00000000-0005-0000-0000-000012B00000}"/>
    <cellStyle name="Note 3 5 2 2 3 4" xfId="44923" xr:uid="{00000000-0005-0000-0000-000013B00000}"/>
    <cellStyle name="Note 3 5 2 2 4" xfId="44924" xr:uid="{00000000-0005-0000-0000-000014B00000}"/>
    <cellStyle name="Note 3 5 2 2 5" xfId="44925" xr:uid="{00000000-0005-0000-0000-000015B00000}"/>
    <cellStyle name="Note 3 5 2 2 6" xfId="44926" xr:uid="{00000000-0005-0000-0000-000016B00000}"/>
    <cellStyle name="Note 3 5 2 3" xfId="44927" xr:uid="{00000000-0005-0000-0000-000017B00000}"/>
    <cellStyle name="Note 3 5 2 3 2" xfId="44928" xr:uid="{00000000-0005-0000-0000-000018B00000}"/>
    <cellStyle name="Note 3 5 2 3 2 2" xfId="44929" xr:uid="{00000000-0005-0000-0000-000019B00000}"/>
    <cellStyle name="Note 3 5 2 3 2 3" xfId="44930" xr:uid="{00000000-0005-0000-0000-00001AB00000}"/>
    <cellStyle name="Note 3 5 2 3 2 4" xfId="44931" xr:uid="{00000000-0005-0000-0000-00001BB00000}"/>
    <cellStyle name="Note 3 5 2 3 3" xfId="44932" xr:uid="{00000000-0005-0000-0000-00001CB00000}"/>
    <cellStyle name="Note 3 5 2 3 3 2" xfId="44933" xr:uid="{00000000-0005-0000-0000-00001DB00000}"/>
    <cellStyle name="Note 3 5 2 3 3 3" xfId="44934" xr:uid="{00000000-0005-0000-0000-00001EB00000}"/>
    <cellStyle name="Note 3 5 2 3 3 4" xfId="44935" xr:uid="{00000000-0005-0000-0000-00001FB00000}"/>
    <cellStyle name="Note 3 5 2 3 4" xfId="44936" xr:uid="{00000000-0005-0000-0000-000020B00000}"/>
    <cellStyle name="Note 3 5 2 3 5" xfId="44937" xr:uid="{00000000-0005-0000-0000-000021B00000}"/>
    <cellStyle name="Note 3 5 2 3 6" xfId="44938" xr:uid="{00000000-0005-0000-0000-000022B00000}"/>
    <cellStyle name="Note 3 5 2 4" xfId="44939" xr:uid="{00000000-0005-0000-0000-000023B00000}"/>
    <cellStyle name="Note 3 5 2 5" xfId="44940" xr:uid="{00000000-0005-0000-0000-000024B00000}"/>
    <cellStyle name="Note 3 5 2 6" xfId="44941" xr:uid="{00000000-0005-0000-0000-000025B00000}"/>
    <cellStyle name="Note 3 5 3" xfId="44942" xr:uid="{00000000-0005-0000-0000-000026B00000}"/>
    <cellStyle name="Note 3 5 4" xfId="44943" xr:uid="{00000000-0005-0000-0000-000027B00000}"/>
    <cellStyle name="Note 3 6" xfId="44944" xr:uid="{00000000-0005-0000-0000-000028B00000}"/>
    <cellStyle name="Note 3 6 2" xfId="44945" xr:uid="{00000000-0005-0000-0000-000029B00000}"/>
    <cellStyle name="Note 3 6 2 2" xfId="44946" xr:uid="{00000000-0005-0000-0000-00002AB00000}"/>
    <cellStyle name="Note 3 6 2 2 2" xfId="44947" xr:uid="{00000000-0005-0000-0000-00002BB00000}"/>
    <cellStyle name="Note 3 6 2 2 3" xfId="44948" xr:uid="{00000000-0005-0000-0000-00002CB00000}"/>
    <cellStyle name="Note 3 6 2 2 4" xfId="44949" xr:uid="{00000000-0005-0000-0000-00002DB00000}"/>
    <cellStyle name="Note 3 6 2 3" xfId="44950" xr:uid="{00000000-0005-0000-0000-00002EB00000}"/>
    <cellStyle name="Note 3 6 2 3 2" xfId="44951" xr:uid="{00000000-0005-0000-0000-00002FB00000}"/>
    <cellStyle name="Note 3 6 2 3 3" xfId="44952" xr:uid="{00000000-0005-0000-0000-000030B00000}"/>
    <cellStyle name="Note 3 6 2 3 4" xfId="44953" xr:uid="{00000000-0005-0000-0000-000031B00000}"/>
    <cellStyle name="Note 3 6 2 4" xfId="44954" xr:uid="{00000000-0005-0000-0000-000032B00000}"/>
    <cellStyle name="Note 3 6 2 5" xfId="44955" xr:uid="{00000000-0005-0000-0000-000033B00000}"/>
    <cellStyle name="Note 3 6 2 6" xfId="44956" xr:uid="{00000000-0005-0000-0000-000034B00000}"/>
    <cellStyle name="Note 3 6 3" xfId="44957" xr:uid="{00000000-0005-0000-0000-000035B00000}"/>
    <cellStyle name="Note 3 6 3 2" xfId="44958" xr:uid="{00000000-0005-0000-0000-000036B00000}"/>
    <cellStyle name="Note 3 6 3 2 2" xfId="44959" xr:uid="{00000000-0005-0000-0000-000037B00000}"/>
    <cellStyle name="Note 3 6 3 2 3" xfId="44960" xr:uid="{00000000-0005-0000-0000-000038B00000}"/>
    <cellStyle name="Note 3 6 3 2 4" xfId="44961" xr:uid="{00000000-0005-0000-0000-000039B00000}"/>
    <cellStyle name="Note 3 6 3 3" xfId="44962" xr:uid="{00000000-0005-0000-0000-00003AB00000}"/>
    <cellStyle name="Note 3 6 3 3 2" xfId="44963" xr:uid="{00000000-0005-0000-0000-00003BB00000}"/>
    <cellStyle name="Note 3 6 3 3 3" xfId="44964" xr:uid="{00000000-0005-0000-0000-00003CB00000}"/>
    <cellStyle name="Note 3 6 3 3 4" xfId="44965" xr:uid="{00000000-0005-0000-0000-00003DB00000}"/>
    <cellStyle name="Note 3 6 3 4" xfId="44966" xr:uid="{00000000-0005-0000-0000-00003EB00000}"/>
    <cellStyle name="Note 3 6 3 5" xfId="44967" xr:uid="{00000000-0005-0000-0000-00003FB00000}"/>
    <cellStyle name="Note 3 6 3 6" xfId="44968" xr:uid="{00000000-0005-0000-0000-000040B00000}"/>
    <cellStyle name="Note 3 6 4" xfId="44969" xr:uid="{00000000-0005-0000-0000-000041B00000}"/>
    <cellStyle name="Note 3 6 4 2" xfId="44970" xr:uid="{00000000-0005-0000-0000-000042B00000}"/>
    <cellStyle name="Note 3 6 4 3" xfId="44971" xr:uid="{00000000-0005-0000-0000-000043B00000}"/>
    <cellStyle name="Note 3 6 4 4" xfId="44972" xr:uid="{00000000-0005-0000-0000-000044B00000}"/>
    <cellStyle name="Note 3 6 5" xfId="44973" xr:uid="{00000000-0005-0000-0000-000045B00000}"/>
    <cellStyle name="Note 3 6 6" xfId="44974" xr:uid="{00000000-0005-0000-0000-000046B00000}"/>
    <cellStyle name="Note 3 7" xfId="44975" xr:uid="{00000000-0005-0000-0000-000047B00000}"/>
    <cellStyle name="Note 3 7 2" xfId="44976" xr:uid="{00000000-0005-0000-0000-000048B00000}"/>
    <cellStyle name="Note 3 7 2 2" xfId="44977" xr:uid="{00000000-0005-0000-0000-000049B00000}"/>
    <cellStyle name="Note 3 7 2 2 2" xfId="44978" xr:uid="{00000000-0005-0000-0000-00004AB00000}"/>
    <cellStyle name="Note 3 7 2 2 3" xfId="44979" xr:uid="{00000000-0005-0000-0000-00004BB00000}"/>
    <cellStyle name="Note 3 7 2 2 4" xfId="44980" xr:uid="{00000000-0005-0000-0000-00004CB00000}"/>
    <cellStyle name="Note 3 7 2 3" xfId="44981" xr:uid="{00000000-0005-0000-0000-00004DB00000}"/>
    <cellStyle name="Note 3 7 2 3 2" xfId="44982" xr:uid="{00000000-0005-0000-0000-00004EB00000}"/>
    <cellStyle name="Note 3 7 2 3 3" xfId="44983" xr:uid="{00000000-0005-0000-0000-00004FB00000}"/>
    <cellStyle name="Note 3 7 2 3 4" xfId="44984" xr:uid="{00000000-0005-0000-0000-000050B00000}"/>
    <cellStyle name="Note 3 7 2 4" xfId="44985" xr:uid="{00000000-0005-0000-0000-000051B00000}"/>
    <cellStyle name="Note 3 7 2 5" xfId="44986" xr:uid="{00000000-0005-0000-0000-000052B00000}"/>
    <cellStyle name="Note 3 7 2 6" xfId="44987" xr:uid="{00000000-0005-0000-0000-000053B00000}"/>
    <cellStyle name="Note 3 7 3" xfId="44988" xr:uid="{00000000-0005-0000-0000-000054B00000}"/>
    <cellStyle name="Note 3 7 3 2" xfId="44989" xr:uid="{00000000-0005-0000-0000-000055B00000}"/>
    <cellStyle name="Note 3 7 3 2 2" xfId="44990" xr:uid="{00000000-0005-0000-0000-000056B00000}"/>
    <cellStyle name="Note 3 7 3 2 3" xfId="44991" xr:uid="{00000000-0005-0000-0000-000057B00000}"/>
    <cellStyle name="Note 3 7 3 2 4" xfId="44992" xr:uid="{00000000-0005-0000-0000-000058B00000}"/>
    <cellStyle name="Note 3 7 3 3" xfId="44993" xr:uid="{00000000-0005-0000-0000-000059B00000}"/>
    <cellStyle name="Note 3 7 3 3 2" xfId="44994" xr:uid="{00000000-0005-0000-0000-00005AB00000}"/>
    <cellStyle name="Note 3 7 3 3 3" xfId="44995" xr:uid="{00000000-0005-0000-0000-00005BB00000}"/>
    <cellStyle name="Note 3 7 3 3 4" xfId="44996" xr:uid="{00000000-0005-0000-0000-00005CB00000}"/>
    <cellStyle name="Note 3 7 3 4" xfId="44997" xr:uid="{00000000-0005-0000-0000-00005DB00000}"/>
    <cellStyle name="Note 3 7 3 5" xfId="44998" xr:uid="{00000000-0005-0000-0000-00005EB00000}"/>
    <cellStyle name="Note 3 7 3 6" xfId="44999" xr:uid="{00000000-0005-0000-0000-00005FB00000}"/>
    <cellStyle name="Note 3 7 4" xfId="45000" xr:uid="{00000000-0005-0000-0000-000060B00000}"/>
    <cellStyle name="Note 3 7 4 2" xfId="45001" xr:uid="{00000000-0005-0000-0000-000061B00000}"/>
    <cellStyle name="Note 3 7 4 3" xfId="45002" xr:uid="{00000000-0005-0000-0000-000062B00000}"/>
    <cellStyle name="Note 3 7 4 4" xfId="45003" xr:uid="{00000000-0005-0000-0000-000063B00000}"/>
    <cellStyle name="Note 3 7 5" xfId="45004" xr:uid="{00000000-0005-0000-0000-000064B00000}"/>
    <cellStyle name="Note 3 7 6" xfId="45005" xr:uid="{00000000-0005-0000-0000-000065B00000}"/>
    <cellStyle name="Note 3 8" xfId="45006" xr:uid="{00000000-0005-0000-0000-000066B00000}"/>
    <cellStyle name="Note 3 8 2" xfId="45007" xr:uid="{00000000-0005-0000-0000-000067B00000}"/>
    <cellStyle name="Note 3 8 2 2" xfId="45008" xr:uid="{00000000-0005-0000-0000-000068B00000}"/>
    <cellStyle name="Note 3 8 2 2 2" xfId="45009" xr:uid="{00000000-0005-0000-0000-000069B00000}"/>
    <cellStyle name="Note 3 8 2 2 3" xfId="45010" xr:uid="{00000000-0005-0000-0000-00006AB00000}"/>
    <cellStyle name="Note 3 8 2 2 4" xfId="45011" xr:uid="{00000000-0005-0000-0000-00006BB00000}"/>
    <cellStyle name="Note 3 8 2 3" xfId="45012" xr:uid="{00000000-0005-0000-0000-00006CB00000}"/>
    <cellStyle name="Note 3 8 2 3 2" xfId="45013" xr:uid="{00000000-0005-0000-0000-00006DB00000}"/>
    <cellStyle name="Note 3 8 2 3 3" xfId="45014" xr:uid="{00000000-0005-0000-0000-00006EB00000}"/>
    <cellStyle name="Note 3 8 2 3 4" xfId="45015" xr:uid="{00000000-0005-0000-0000-00006FB00000}"/>
    <cellStyle name="Note 3 8 2 4" xfId="45016" xr:uid="{00000000-0005-0000-0000-000070B00000}"/>
    <cellStyle name="Note 3 8 2 5" xfId="45017" xr:uid="{00000000-0005-0000-0000-000071B00000}"/>
    <cellStyle name="Note 3 8 2 6" xfId="45018" xr:uid="{00000000-0005-0000-0000-000072B00000}"/>
    <cellStyle name="Note 3 8 3" xfId="45019" xr:uid="{00000000-0005-0000-0000-000073B00000}"/>
    <cellStyle name="Note 3 8 3 2" xfId="45020" xr:uid="{00000000-0005-0000-0000-000074B00000}"/>
    <cellStyle name="Note 3 8 3 2 2" xfId="45021" xr:uid="{00000000-0005-0000-0000-000075B00000}"/>
    <cellStyle name="Note 3 8 3 2 3" xfId="45022" xr:uid="{00000000-0005-0000-0000-000076B00000}"/>
    <cellStyle name="Note 3 8 3 2 4" xfId="45023" xr:uid="{00000000-0005-0000-0000-000077B00000}"/>
    <cellStyle name="Note 3 8 3 3" xfId="45024" xr:uid="{00000000-0005-0000-0000-000078B00000}"/>
    <cellStyle name="Note 3 8 3 3 2" xfId="45025" xr:uid="{00000000-0005-0000-0000-000079B00000}"/>
    <cellStyle name="Note 3 8 3 3 3" xfId="45026" xr:uid="{00000000-0005-0000-0000-00007AB00000}"/>
    <cellStyle name="Note 3 8 3 3 4" xfId="45027" xr:uid="{00000000-0005-0000-0000-00007BB00000}"/>
    <cellStyle name="Note 3 8 3 4" xfId="45028" xr:uid="{00000000-0005-0000-0000-00007CB00000}"/>
    <cellStyle name="Note 3 8 3 5" xfId="45029" xr:uid="{00000000-0005-0000-0000-00007DB00000}"/>
    <cellStyle name="Note 3 8 3 6" xfId="45030" xr:uid="{00000000-0005-0000-0000-00007EB00000}"/>
    <cellStyle name="Note 3 8 4" xfId="45031" xr:uid="{00000000-0005-0000-0000-00007FB00000}"/>
    <cellStyle name="Note 3 8 4 2" xfId="45032" xr:uid="{00000000-0005-0000-0000-000080B00000}"/>
    <cellStyle name="Note 3 8 4 3" xfId="45033" xr:uid="{00000000-0005-0000-0000-000081B00000}"/>
    <cellStyle name="Note 3 8 4 4" xfId="45034" xr:uid="{00000000-0005-0000-0000-000082B00000}"/>
    <cellStyle name="Note 3 8 5" xfId="45035" xr:uid="{00000000-0005-0000-0000-000083B00000}"/>
    <cellStyle name="Note 3 8 6" xfId="45036" xr:uid="{00000000-0005-0000-0000-000084B00000}"/>
    <cellStyle name="Note 3 9" xfId="45037" xr:uid="{00000000-0005-0000-0000-000085B00000}"/>
    <cellStyle name="Note 3 9 2" xfId="45038" xr:uid="{00000000-0005-0000-0000-000086B00000}"/>
    <cellStyle name="Note 3 9 2 2" xfId="45039" xr:uid="{00000000-0005-0000-0000-000087B00000}"/>
    <cellStyle name="Note 3 9 2 2 2" xfId="45040" xr:uid="{00000000-0005-0000-0000-000088B00000}"/>
    <cellStyle name="Note 3 9 2 2 3" xfId="45041" xr:uid="{00000000-0005-0000-0000-000089B00000}"/>
    <cellStyle name="Note 3 9 2 2 4" xfId="45042" xr:uid="{00000000-0005-0000-0000-00008AB00000}"/>
    <cellStyle name="Note 3 9 2 3" xfId="45043" xr:uid="{00000000-0005-0000-0000-00008BB00000}"/>
    <cellStyle name="Note 3 9 2 3 2" xfId="45044" xr:uid="{00000000-0005-0000-0000-00008CB00000}"/>
    <cellStyle name="Note 3 9 2 3 3" xfId="45045" xr:uid="{00000000-0005-0000-0000-00008DB00000}"/>
    <cellStyle name="Note 3 9 2 3 4" xfId="45046" xr:uid="{00000000-0005-0000-0000-00008EB00000}"/>
    <cellStyle name="Note 3 9 2 4" xfId="45047" xr:uid="{00000000-0005-0000-0000-00008FB00000}"/>
    <cellStyle name="Note 3 9 2 5" xfId="45048" xr:uid="{00000000-0005-0000-0000-000090B00000}"/>
    <cellStyle name="Note 3 9 2 6" xfId="45049" xr:uid="{00000000-0005-0000-0000-000091B00000}"/>
    <cellStyle name="Note 3 9 3" xfId="45050" xr:uid="{00000000-0005-0000-0000-000092B00000}"/>
    <cellStyle name="Note 3 9 3 2" xfId="45051" xr:uid="{00000000-0005-0000-0000-000093B00000}"/>
    <cellStyle name="Note 3 9 3 2 2" xfId="45052" xr:uid="{00000000-0005-0000-0000-000094B00000}"/>
    <cellStyle name="Note 3 9 3 2 3" xfId="45053" xr:uid="{00000000-0005-0000-0000-000095B00000}"/>
    <cellStyle name="Note 3 9 3 2 4" xfId="45054" xr:uid="{00000000-0005-0000-0000-000096B00000}"/>
    <cellStyle name="Note 3 9 3 3" xfId="45055" xr:uid="{00000000-0005-0000-0000-000097B00000}"/>
    <cellStyle name="Note 3 9 3 3 2" xfId="45056" xr:uid="{00000000-0005-0000-0000-000098B00000}"/>
    <cellStyle name="Note 3 9 3 3 3" xfId="45057" xr:uid="{00000000-0005-0000-0000-000099B00000}"/>
    <cellStyle name="Note 3 9 3 3 4" xfId="45058" xr:uid="{00000000-0005-0000-0000-00009AB00000}"/>
    <cellStyle name="Note 3 9 3 4" xfId="45059" xr:uid="{00000000-0005-0000-0000-00009BB00000}"/>
    <cellStyle name="Note 3 9 3 5" xfId="45060" xr:uid="{00000000-0005-0000-0000-00009CB00000}"/>
    <cellStyle name="Note 3 9 3 6" xfId="45061" xr:uid="{00000000-0005-0000-0000-00009DB00000}"/>
    <cellStyle name="Note 3 9 4" xfId="45062" xr:uid="{00000000-0005-0000-0000-00009EB00000}"/>
    <cellStyle name="Note 3 9 4 2" xfId="45063" xr:uid="{00000000-0005-0000-0000-00009FB00000}"/>
    <cellStyle name="Note 3 9 4 3" xfId="45064" xr:uid="{00000000-0005-0000-0000-0000A0B00000}"/>
    <cellStyle name="Note 3 9 4 4" xfId="45065" xr:uid="{00000000-0005-0000-0000-0000A1B00000}"/>
    <cellStyle name="Note 3 9 5" xfId="45066" xr:uid="{00000000-0005-0000-0000-0000A2B00000}"/>
    <cellStyle name="Note 3 9 6" xfId="45067" xr:uid="{00000000-0005-0000-0000-0000A3B00000}"/>
    <cellStyle name="Note 4" xfId="45068" xr:uid="{00000000-0005-0000-0000-0000A4B00000}"/>
    <cellStyle name="Note 4 10" xfId="45069" xr:uid="{00000000-0005-0000-0000-0000A5B00000}"/>
    <cellStyle name="Note 4 10 2" xfId="45070" xr:uid="{00000000-0005-0000-0000-0000A6B00000}"/>
    <cellStyle name="Note 4 10 2 2" xfId="45071" xr:uid="{00000000-0005-0000-0000-0000A7B00000}"/>
    <cellStyle name="Note 4 10 2 2 2" xfId="45072" xr:uid="{00000000-0005-0000-0000-0000A8B00000}"/>
    <cellStyle name="Note 4 10 2 2 3" xfId="45073" xr:uid="{00000000-0005-0000-0000-0000A9B00000}"/>
    <cellStyle name="Note 4 10 2 2 4" xfId="45074" xr:uid="{00000000-0005-0000-0000-0000AAB00000}"/>
    <cellStyle name="Note 4 10 2 3" xfId="45075" xr:uid="{00000000-0005-0000-0000-0000ABB00000}"/>
    <cellStyle name="Note 4 10 2 3 2" xfId="45076" xr:uid="{00000000-0005-0000-0000-0000ACB00000}"/>
    <cellStyle name="Note 4 10 2 3 3" xfId="45077" xr:uid="{00000000-0005-0000-0000-0000ADB00000}"/>
    <cellStyle name="Note 4 10 2 3 4" xfId="45078" xr:uid="{00000000-0005-0000-0000-0000AEB00000}"/>
    <cellStyle name="Note 4 10 2 4" xfId="45079" xr:uid="{00000000-0005-0000-0000-0000AFB00000}"/>
    <cellStyle name="Note 4 10 2 5" xfId="45080" xr:uid="{00000000-0005-0000-0000-0000B0B00000}"/>
    <cellStyle name="Note 4 10 2 6" xfId="45081" xr:uid="{00000000-0005-0000-0000-0000B1B00000}"/>
    <cellStyle name="Note 4 10 3" xfId="45082" xr:uid="{00000000-0005-0000-0000-0000B2B00000}"/>
    <cellStyle name="Note 4 10 3 2" xfId="45083" xr:uid="{00000000-0005-0000-0000-0000B3B00000}"/>
    <cellStyle name="Note 4 10 3 2 2" xfId="45084" xr:uid="{00000000-0005-0000-0000-0000B4B00000}"/>
    <cellStyle name="Note 4 10 3 2 3" xfId="45085" xr:uid="{00000000-0005-0000-0000-0000B5B00000}"/>
    <cellStyle name="Note 4 10 3 2 4" xfId="45086" xr:uid="{00000000-0005-0000-0000-0000B6B00000}"/>
    <cellStyle name="Note 4 10 3 3" xfId="45087" xr:uid="{00000000-0005-0000-0000-0000B7B00000}"/>
    <cellStyle name="Note 4 10 3 3 2" xfId="45088" xr:uid="{00000000-0005-0000-0000-0000B8B00000}"/>
    <cellStyle name="Note 4 10 3 3 3" xfId="45089" xr:uid="{00000000-0005-0000-0000-0000B9B00000}"/>
    <cellStyle name="Note 4 10 3 3 4" xfId="45090" xr:uid="{00000000-0005-0000-0000-0000BAB00000}"/>
    <cellStyle name="Note 4 10 3 4" xfId="45091" xr:uid="{00000000-0005-0000-0000-0000BBB00000}"/>
    <cellStyle name="Note 4 10 3 5" xfId="45092" xr:uid="{00000000-0005-0000-0000-0000BCB00000}"/>
    <cellStyle name="Note 4 10 3 6" xfId="45093" xr:uid="{00000000-0005-0000-0000-0000BDB00000}"/>
    <cellStyle name="Note 4 10 4" xfId="45094" xr:uid="{00000000-0005-0000-0000-0000BEB00000}"/>
    <cellStyle name="Note 4 10 5" xfId="45095" xr:uid="{00000000-0005-0000-0000-0000BFB00000}"/>
    <cellStyle name="Note 4 10 6" xfId="45096" xr:uid="{00000000-0005-0000-0000-0000C0B00000}"/>
    <cellStyle name="Note 4 11" xfId="45097" xr:uid="{00000000-0005-0000-0000-0000C1B00000}"/>
    <cellStyle name="Note 4 12" xfId="45098" xr:uid="{00000000-0005-0000-0000-0000C2B00000}"/>
    <cellStyle name="Note 4 2" xfId="45099" xr:uid="{00000000-0005-0000-0000-0000C3B00000}"/>
    <cellStyle name="Note 4 2 2" xfId="45100" xr:uid="{00000000-0005-0000-0000-0000C4B00000}"/>
    <cellStyle name="Note 4 2 2 2" xfId="45101" xr:uid="{00000000-0005-0000-0000-0000C5B00000}"/>
    <cellStyle name="Note 4 2 2 2 2" xfId="45102" xr:uid="{00000000-0005-0000-0000-0000C6B00000}"/>
    <cellStyle name="Note 4 2 2 2 2 2" xfId="45103" xr:uid="{00000000-0005-0000-0000-0000C7B00000}"/>
    <cellStyle name="Note 4 2 2 2 2 3" xfId="45104" xr:uid="{00000000-0005-0000-0000-0000C8B00000}"/>
    <cellStyle name="Note 4 2 2 2 2 4" xfId="45105" xr:uid="{00000000-0005-0000-0000-0000C9B00000}"/>
    <cellStyle name="Note 4 2 2 2 3" xfId="45106" xr:uid="{00000000-0005-0000-0000-0000CAB00000}"/>
    <cellStyle name="Note 4 2 2 2 3 2" xfId="45107" xr:uid="{00000000-0005-0000-0000-0000CBB00000}"/>
    <cellStyle name="Note 4 2 2 2 3 3" xfId="45108" xr:uid="{00000000-0005-0000-0000-0000CCB00000}"/>
    <cellStyle name="Note 4 2 2 2 3 4" xfId="45109" xr:uid="{00000000-0005-0000-0000-0000CDB00000}"/>
    <cellStyle name="Note 4 2 2 2 4" xfId="45110" xr:uid="{00000000-0005-0000-0000-0000CEB00000}"/>
    <cellStyle name="Note 4 2 2 2 5" xfId="45111" xr:uid="{00000000-0005-0000-0000-0000CFB00000}"/>
    <cellStyle name="Note 4 2 2 2 6" xfId="45112" xr:uid="{00000000-0005-0000-0000-0000D0B00000}"/>
    <cellStyle name="Note 4 2 2 3" xfId="45113" xr:uid="{00000000-0005-0000-0000-0000D1B00000}"/>
    <cellStyle name="Note 4 2 2 3 2" xfId="45114" xr:uid="{00000000-0005-0000-0000-0000D2B00000}"/>
    <cellStyle name="Note 4 2 2 3 2 2" xfId="45115" xr:uid="{00000000-0005-0000-0000-0000D3B00000}"/>
    <cellStyle name="Note 4 2 2 3 2 3" xfId="45116" xr:uid="{00000000-0005-0000-0000-0000D4B00000}"/>
    <cellStyle name="Note 4 2 2 3 2 4" xfId="45117" xr:uid="{00000000-0005-0000-0000-0000D5B00000}"/>
    <cellStyle name="Note 4 2 2 3 3" xfId="45118" xr:uid="{00000000-0005-0000-0000-0000D6B00000}"/>
    <cellStyle name="Note 4 2 2 3 3 2" xfId="45119" xr:uid="{00000000-0005-0000-0000-0000D7B00000}"/>
    <cellStyle name="Note 4 2 2 3 3 3" xfId="45120" xr:uid="{00000000-0005-0000-0000-0000D8B00000}"/>
    <cellStyle name="Note 4 2 2 3 3 4" xfId="45121" xr:uid="{00000000-0005-0000-0000-0000D9B00000}"/>
    <cellStyle name="Note 4 2 2 3 4" xfId="45122" xr:uid="{00000000-0005-0000-0000-0000DAB00000}"/>
    <cellStyle name="Note 4 2 2 3 5" xfId="45123" xr:uid="{00000000-0005-0000-0000-0000DBB00000}"/>
    <cellStyle name="Note 4 2 2 3 6" xfId="45124" xr:uid="{00000000-0005-0000-0000-0000DCB00000}"/>
    <cellStyle name="Note 4 2 2 4" xfId="45125" xr:uid="{00000000-0005-0000-0000-0000DDB00000}"/>
    <cellStyle name="Note 4 2 2 5" xfId="45126" xr:uid="{00000000-0005-0000-0000-0000DEB00000}"/>
    <cellStyle name="Note 4 2 2 6" xfId="45127" xr:uid="{00000000-0005-0000-0000-0000DFB00000}"/>
    <cellStyle name="Note 4 2 3" xfId="45128" xr:uid="{00000000-0005-0000-0000-0000E0B00000}"/>
    <cellStyle name="Note 4 2 4" xfId="45129" xr:uid="{00000000-0005-0000-0000-0000E1B00000}"/>
    <cellStyle name="Note 4 3" xfId="45130" xr:uid="{00000000-0005-0000-0000-0000E2B00000}"/>
    <cellStyle name="Note 4 3 2" xfId="45131" xr:uid="{00000000-0005-0000-0000-0000E3B00000}"/>
    <cellStyle name="Note 4 3 2 2" xfId="45132" xr:uid="{00000000-0005-0000-0000-0000E4B00000}"/>
    <cellStyle name="Note 4 3 2 2 2" xfId="45133" xr:uid="{00000000-0005-0000-0000-0000E5B00000}"/>
    <cellStyle name="Note 4 3 2 2 2 2" xfId="45134" xr:uid="{00000000-0005-0000-0000-0000E6B00000}"/>
    <cellStyle name="Note 4 3 2 2 2 3" xfId="45135" xr:uid="{00000000-0005-0000-0000-0000E7B00000}"/>
    <cellStyle name="Note 4 3 2 2 2 4" xfId="45136" xr:uid="{00000000-0005-0000-0000-0000E8B00000}"/>
    <cellStyle name="Note 4 3 2 2 3" xfId="45137" xr:uid="{00000000-0005-0000-0000-0000E9B00000}"/>
    <cellStyle name="Note 4 3 2 2 3 2" xfId="45138" xr:uid="{00000000-0005-0000-0000-0000EAB00000}"/>
    <cellStyle name="Note 4 3 2 2 3 3" xfId="45139" xr:uid="{00000000-0005-0000-0000-0000EBB00000}"/>
    <cellStyle name="Note 4 3 2 2 3 4" xfId="45140" xr:uid="{00000000-0005-0000-0000-0000ECB00000}"/>
    <cellStyle name="Note 4 3 2 2 4" xfId="45141" xr:uid="{00000000-0005-0000-0000-0000EDB00000}"/>
    <cellStyle name="Note 4 3 2 2 5" xfId="45142" xr:uid="{00000000-0005-0000-0000-0000EEB00000}"/>
    <cellStyle name="Note 4 3 2 2 6" xfId="45143" xr:uid="{00000000-0005-0000-0000-0000EFB00000}"/>
    <cellStyle name="Note 4 3 2 3" xfId="45144" xr:uid="{00000000-0005-0000-0000-0000F0B00000}"/>
    <cellStyle name="Note 4 3 2 3 2" xfId="45145" xr:uid="{00000000-0005-0000-0000-0000F1B00000}"/>
    <cellStyle name="Note 4 3 2 3 2 2" xfId="45146" xr:uid="{00000000-0005-0000-0000-0000F2B00000}"/>
    <cellStyle name="Note 4 3 2 3 2 3" xfId="45147" xr:uid="{00000000-0005-0000-0000-0000F3B00000}"/>
    <cellStyle name="Note 4 3 2 3 2 4" xfId="45148" xr:uid="{00000000-0005-0000-0000-0000F4B00000}"/>
    <cellStyle name="Note 4 3 2 3 3" xfId="45149" xr:uid="{00000000-0005-0000-0000-0000F5B00000}"/>
    <cellStyle name="Note 4 3 2 3 3 2" xfId="45150" xr:uid="{00000000-0005-0000-0000-0000F6B00000}"/>
    <cellStyle name="Note 4 3 2 3 3 3" xfId="45151" xr:uid="{00000000-0005-0000-0000-0000F7B00000}"/>
    <cellStyle name="Note 4 3 2 3 3 4" xfId="45152" xr:uid="{00000000-0005-0000-0000-0000F8B00000}"/>
    <cellStyle name="Note 4 3 2 3 4" xfId="45153" xr:uid="{00000000-0005-0000-0000-0000F9B00000}"/>
    <cellStyle name="Note 4 3 2 3 5" xfId="45154" xr:uid="{00000000-0005-0000-0000-0000FAB00000}"/>
    <cellStyle name="Note 4 3 2 3 6" xfId="45155" xr:uid="{00000000-0005-0000-0000-0000FBB00000}"/>
    <cellStyle name="Note 4 3 2 4" xfId="45156" xr:uid="{00000000-0005-0000-0000-0000FCB00000}"/>
    <cellStyle name="Note 4 3 2 5" xfId="45157" xr:uid="{00000000-0005-0000-0000-0000FDB00000}"/>
    <cellStyle name="Note 4 3 2 6" xfId="45158" xr:uid="{00000000-0005-0000-0000-0000FEB00000}"/>
    <cellStyle name="Note 4 3 3" xfId="45159" xr:uid="{00000000-0005-0000-0000-0000FFB00000}"/>
    <cellStyle name="Note 4 3 4" xfId="45160" xr:uid="{00000000-0005-0000-0000-000000B10000}"/>
    <cellStyle name="Note 4 4" xfId="45161" xr:uid="{00000000-0005-0000-0000-000001B10000}"/>
    <cellStyle name="Note 4 4 2" xfId="45162" xr:uid="{00000000-0005-0000-0000-000002B10000}"/>
    <cellStyle name="Note 4 4 2 2" xfId="45163" xr:uid="{00000000-0005-0000-0000-000003B10000}"/>
    <cellStyle name="Note 4 4 2 2 2" xfId="45164" xr:uid="{00000000-0005-0000-0000-000004B10000}"/>
    <cellStyle name="Note 4 4 2 2 2 2" xfId="45165" xr:uid="{00000000-0005-0000-0000-000005B10000}"/>
    <cellStyle name="Note 4 4 2 2 2 3" xfId="45166" xr:uid="{00000000-0005-0000-0000-000006B10000}"/>
    <cellStyle name="Note 4 4 2 2 2 4" xfId="45167" xr:uid="{00000000-0005-0000-0000-000007B10000}"/>
    <cellStyle name="Note 4 4 2 2 3" xfId="45168" xr:uid="{00000000-0005-0000-0000-000008B10000}"/>
    <cellStyle name="Note 4 4 2 2 3 2" xfId="45169" xr:uid="{00000000-0005-0000-0000-000009B10000}"/>
    <cellStyle name="Note 4 4 2 2 3 3" xfId="45170" xr:uid="{00000000-0005-0000-0000-00000AB10000}"/>
    <cellStyle name="Note 4 4 2 2 3 4" xfId="45171" xr:uid="{00000000-0005-0000-0000-00000BB10000}"/>
    <cellStyle name="Note 4 4 2 2 4" xfId="45172" xr:uid="{00000000-0005-0000-0000-00000CB10000}"/>
    <cellStyle name="Note 4 4 2 2 5" xfId="45173" xr:uid="{00000000-0005-0000-0000-00000DB10000}"/>
    <cellStyle name="Note 4 4 2 2 6" xfId="45174" xr:uid="{00000000-0005-0000-0000-00000EB10000}"/>
    <cellStyle name="Note 4 4 2 3" xfId="45175" xr:uid="{00000000-0005-0000-0000-00000FB10000}"/>
    <cellStyle name="Note 4 4 2 3 2" xfId="45176" xr:uid="{00000000-0005-0000-0000-000010B10000}"/>
    <cellStyle name="Note 4 4 2 3 2 2" xfId="45177" xr:uid="{00000000-0005-0000-0000-000011B10000}"/>
    <cellStyle name="Note 4 4 2 3 2 3" xfId="45178" xr:uid="{00000000-0005-0000-0000-000012B10000}"/>
    <cellStyle name="Note 4 4 2 3 2 4" xfId="45179" xr:uid="{00000000-0005-0000-0000-000013B10000}"/>
    <cellStyle name="Note 4 4 2 3 3" xfId="45180" xr:uid="{00000000-0005-0000-0000-000014B10000}"/>
    <cellStyle name="Note 4 4 2 3 3 2" xfId="45181" xr:uid="{00000000-0005-0000-0000-000015B10000}"/>
    <cellStyle name="Note 4 4 2 3 3 3" xfId="45182" xr:uid="{00000000-0005-0000-0000-000016B10000}"/>
    <cellStyle name="Note 4 4 2 3 3 4" xfId="45183" xr:uid="{00000000-0005-0000-0000-000017B10000}"/>
    <cellStyle name="Note 4 4 2 3 4" xfId="45184" xr:uid="{00000000-0005-0000-0000-000018B10000}"/>
    <cellStyle name="Note 4 4 2 3 5" xfId="45185" xr:uid="{00000000-0005-0000-0000-000019B10000}"/>
    <cellStyle name="Note 4 4 2 3 6" xfId="45186" xr:uid="{00000000-0005-0000-0000-00001AB10000}"/>
    <cellStyle name="Note 4 4 2 4" xfId="45187" xr:uid="{00000000-0005-0000-0000-00001BB10000}"/>
    <cellStyle name="Note 4 4 2 5" xfId="45188" xr:uid="{00000000-0005-0000-0000-00001CB10000}"/>
    <cellStyle name="Note 4 4 2 6" xfId="45189" xr:uid="{00000000-0005-0000-0000-00001DB10000}"/>
    <cellStyle name="Note 4 4 3" xfId="45190" xr:uid="{00000000-0005-0000-0000-00001EB10000}"/>
    <cellStyle name="Note 4 4 4" xfId="45191" xr:uid="{00000000-0005-0000-0000-00001FB10000}"/>
    <cellStyle name="Note 4 5" xfId="45192" xr:uid="{00000000-0005-0000-0000-000020B10000}"/>
    <cellStyle name="Note 4 5 2" xfId="45193" xr:uid="{00000000-0005-0000-0000-000021B10000}"/>
    <cellStyle name="Note 4 5 2 2" xfId="45194" xr:uid="{00000000-0005-0000-0000-000022B10000}"/>
    <cellStyle name="Note 4 5 2 2 2" xfId="45195" xr:uid="{00000000-0005-0000-0000-000023B10000}"/>
    <cellStyle name="Note 4 5 2 2 2 2" xfId="45196" xr:uid="{00000000-0005-0000-0000-000024B10000}"/>
    <cellStyle name="Note 4 5 2 2 2 3" xfId="45197" xr:uid="{00000000-0005-0000-0000-000025B10000}"/>
    <cellStyle name="Note 4 5 2 2 2 4" xfId="45198" xr:uid="{00000000-0005-0000-0000-000026B10000}"/>
    <cellStyle name="Note 4 5 2 2 3" xfId="45199" xr:uid="{00000000-0005-0000-0000-000027B10000}"/>
    <cellStyle name="Note 4 5 2 2 3 2" xfId="45200" xr:uid="{00000000-0005-0000-0000-000028B10000}"/>
    <cellStyle name="Note 4 5 2 2 3 3" xfId="45201" xr:uid="{00000000-0005-0000-0000-000029B10000}"/>
    <cellStyle name="Note 4 5 2 2 3 4" xfId="45202" xr:uid="{00000000-0005-0000-0000-00002AB10000}"/>
    <cellStyle name="Note 4 5 2 2 4" xfId="45203" xr:uid="{00000000-0005-0000-0000-00002BB10000}"/>
    <cellStyle name="Note 4 5 2 2 5" xfId="45204" xr:uid="{00000000-0005-0000-0000-00002CB10000}"/>
    <cellStyle name="Note 4 5 2 2 6" xfId="45205" xr:uid="{00000000-0005-0000-0000-00002DB10000}"/>
    <cellStyle name="Note 4 5 2 3" xfId="45206" xr:uid="{00000000-0005-0000-0000-00002EB10000}"/>
    <cellStyle name="Note 4 5 2 3 2" xfId="45207" xr:uid="{00000000-0005-0000-0000-00002FB10000}"/>
    <cellStyle name="Note 4 5 2 3 2 2" xfId="45208" xr:uid="{00000000-0005-0000-0000-000030B10000}"/>
    <cellStyle name="Note 4 5 2 3 2 3" xfId="45209" xr:uid="{00000000-0005-0000-0000-000031B10000}"/>
    <cellStyle name="Note 4 5 2 3 2 4" xfId="45210" xr:uid="{00000000-0005-0000-0000-000032B10000}"/>
    <cellStyle name="Note 4 5 2 3 3" xfId="45211" xr:uid="{00000000-0005-0000-0000-000033B10000}"/>
    <cellStyle name="Note 4 5 2 3 3 2" xfId="45212" xr:uid="{00000000-0005-0000-0000-000034B10000}"/>
    <cellStyle name="Note 4 5 2 3 3 3" xfId="45213" xr:uid="{00000000-0005-0000-0000-000035B10000}"/>
    <cellStyle name="Note 4 5 2 3 3 4" xfId="45214" xr:uid="{00000000-0005-0000-0000-000036B10000}"/>
    <cellStyle name="Note 4 5 2 3 4" xfId="45215" xr:uid="{00000000-0005-0000-0000-000037B10000}"/>
    <cellStyle name="Note 4 5 2 3 5" xfId="45216" xr:uid="{00000000-0005-0000-0000-000038B10000}"/>
    <cellStyle name="Note 4 5 2 3 6" xfId="45217" xr:uid="{00000000-0005-0000-0000-000039B10000}"/>
    <cellStyle name="Note 4 5 2 4" xfId="45218" xr:uid="{00000000-0005-0000-0000-00003AB10000}"/>
    <cellStyle name="Note 4 5 2 5" xfId="45219" xr:uid="{00000000-0005-0000-0000-00003BB10000}"/>
    <cellStyle name="Note 4 5 2 6" xfId="45220" xr:uid="{00000000-0005-0000-0000-00003CB10000}"/>
    <cellStyle name="Note 4 5 3" xfId="45221" xr:uid="{00000000-0005-0000-0000-00003DB10000}"/>
    <cellStyle name="Note 4 5 4" xfId="45222" xr:uid="{00000000-0005-0000-0000-00003EB10000}"/>
    <cellStyle name="Note 4 6" xfId="45223" xr:uid="{00000000-0005-0000-0000-00003FB10000}"/>
    <cellStyle name="Note 4 6 2" xfId="45224" xr:uid="{00000000-0005-0000-0000-000040B10000}"/>
    <cellStyle name="Note 4 6 2 2" xfId="45225" xr:uid="{00000000-0005-0000-0000-000041B10000}"/>
    <cellStyle name="Note 4 6 2 2 2" xfId="45226" xr:uid="{00000000-0005-0000-0000-000042B10000}"/>
    <cellStyle name="Note 4 6 2 2 3" xfId="45227" xr:uid="{00000000-0005-0000-0000-000043B10000}"/>
    <cellStyle name="Note 4 6 2 2 4" xfId="45228" xr:uid="{00000000-0005-0000-0000-000044B10000}"/>
    <cellStyle name="Note 4 6 2 3" xfId="45229" xr:uid="{00000000-0005-0000-0000-000045B10000}"/>
    <cellStyle name="Note 4 6 2 3 2" xfId="45230" xr:uid="{00000000-0005-0000-0000-000046B10000}"/>
    <cellStyle name="Note 4 6 2 3 3" xfId="45231" xr:uid="{00000000-0005-0000-0000-000047B10000}"/>
    <cellStyle name="Note 4 6 2 3 4" xfId="45232" xr:uid="{00000000-0005-0000-0000-000048B10000}"/>
    <cellStyle name="Note 4 6 2 4" xfId="45233" xr:uid="{00000000-0005-0000-0000-000049B10000}"/>
    <cellStyle name="Note 4 6 2 5" xfId="45234" xr:uid="{00000000-0005-0000-0000-00004AB10000}"/>
    <cellStyle name="Note 4 6 2 6" xfId="45235" xr:uid="{00000000-0005-0000-0000-00004BB10000}"/>
    <cellStyle name="Note 4 6 3" xfId="45236" xr:uid="{00000000-0005-0000-0000-00004CB10000}"/>
    <cellStyle name="Note 4 6 3 2" xfId="45237" xr:uid="{00000000-0005-0000-0000-00004DB10000}"/>
    <cellStyle name="Note 4 6 3 2 2" xfId="45238" xr:uid="{00000000-0005-0000-0000-00004EB10000}"/>
    <cellStyle name="Note 4 6 3 2 3" xfId="45239" xr:uid="{00000000-0005-0000-0000-00004FB10000}"/>
    <cellStyle name="Note 4 6 3 2 4" xfId="45240" xr:uid="{00000000-0005-0000-0000-000050B10000}"/>
    <cellStyle name="Note 4 6 3 3" xfId="45241" xr:uid="{00000000-0005-0000-0000-000051B10000}"/>
    <cellStyle name="Note 4 6 3 3 2" xfId="45242" xr:uid="{00000000-0005-0000-0000-000052B10000}"/>
    <cellStyle name="Note 4 6 3 3 3" xfId="45243" xr:uid="{00000000-0005-0000-0000-000053B10000}"/>
    <cellStyle name="Note 4 6 3 3 4" xfId="45244" xr:uid="{00000000-0005-0000-0000-000054B10000}"/>
    <cellStyle name="Note 4 6 3 4" xfId="45245" xr:uid="{00000000-0005-0000-0000-000055B10000}"/>
    <cellStyle name="Note 4 6 3 5" xfId="45246" xr:uid="{00000000-0005-0000-0000-000056B10000}"/>
    <cellStyle name="Note 4 6 3 6" xfId="45247" xr:uid="{00000000-0005-0000-0000-000057B10000}"/>
    <cellStyle name="Note 4 6 4" xfId="45248" xr:uid="{00000000-0005-0000-0000-000058B10000}"/>
    <cellStyle name="Note 4 6 4 2" xfId="45249" xr:uid="{00000000-0005-0000-0000-000059B10000}"/>
    <cellStyle name="Note 4 6 4 3" xfId="45250" xr:uid="{00000000-0005-0000-0000-00005AB10000}"/>
    <cellStyle name="Note 4 6 4 4" xfId="45251" xr:uid="{00000000-0005-0000-0000-00005BB10000}"/>
    <cellStyle name="Note 4 6 5" xfId="45252" xr:uid="{00000000-0005-0000-0000-00005CB10000}"/>
    <cellStyle name="Note 4 6 6" xfId="45253" xr:uid="{00000000-0005-0000-0000-00005DB10000}"/>
    <cellStyle name="Note 4 7" xfId="45254" xr:uid="{00000000-0005-0000-0000-00005EB10000}"/>
    <cellStyle name="Note 4 7 2" xfId="45255" xr:uid="{00000000-0005-0000-0000-00005FB10000}"/>
    <cellStyle name="Note 4 7 2 2" xfId="45256" xr:uid="{00000000-0005-0000-0000-000060B10000}"/>
    <cellStyle name="Note 4 7 2 2 2" xfId="45257" xr:uid="{00000000-0005-0000-0000-000061B10000}"/>
    <cellStyle name="Note 4 7 2 2 3" xfId="45258" xr:uid="{00000000-0005-0000-0000-000062B10000}"/>
    <cellStyle name="Note 4 7 2 2 4" xfId="45259" xr:uid="{00000000-0005-0000-0000-000063B10000}"/>
    <cellStyle name="Note 4 7 2 3" xfId="45260" xr:uid="{00000000-0005-0000-0000-000064B10000}"/>
    <cellStyle name="Note 4 7 2 3 2" xfId="45261" xr:uid="{00000000-0005-0000-0000-000065B10000}"/>
    <cellStyle name="Note 4 7 2 3 3" xfId="45262" xr:uid="{00000000-0005-0000-0000-000066B10000}"/>
    <cellStyle name="Note 4 7 2 3 4" xfId="45263" xr:uid="{00000000-0005-0000-0000-000067B10000}"/>
    <cellStyle name="Note 4 7 2 4" xfId="45264" xr:uid="{00000000-0005-0000-0000-000068B10000}"/>
    <cellStyle name="Note 4 7 2 5" xfId="45265" xr:uid="{00000000-0005-0000-0000-000069B10000}"/>
    <cellStyle name="Note 4 7 2 6" xfId="45266" xr:uid="{00000000-0005-0000-0000-00006AB10000}"/>
    <cellStyle name="Note 4 7 3" xfId="45267" xr:uid="{00000000-0005-0000-0000-00006BB10000}"/>
    <cellStyle name="Note 4 7 3 2" xfId="45268" xr:uid="{00000000-0005-0000-0000-00006CB10000}"/>
    <cellStyle name="Note 4 7 3 2 2" xfId="45269" xr:uid="{00000000-0005-0000-0000-00006DB10000}"/>
    <cellStyle name="Note 4 7 3 2 3" xfId="45270" xr:uid="{00000000-0005-0000-0000-00006EB10000}"/>
    <cellStyle name="Note 4 7 3 2 4" xfId="45271" xr:uid="{00000000-0005-0000-0000-00006FB10000}"/>
    <cellStyle name="Note 4 7 3 3" xfId="45272" xr:uid="{00000000-0005-0000-0000-000070B10000}"/>
    <cellStyle name="Note 4 7 3 3 2" xfId="45273" xr:uid="{00000000-0005-0000-0000-000071B10000}"/>
    <cellStyle name="Note 4 7 3 3 3" xfId="45274" xr:uid="{00000000-0005-0000-0000-000072B10000}"/>
    <cellStyle name="Note 4 7 3 3 4" xfId="45275" xr:uid="{00000000-0005-0000-0000-000073B10000}"/>
    <cellStyle name="Note 4 7 3 4" xfId="45276" xr:uid="{00000000-0005-0000-0000-000074B10000}"/>
    <cellStyle name="Note 4 7 3 5" xfId="45277" xr:uid="{00000000-0005-0000-0000-000075B10000}"/>
    <cellStyle name="Note 4 7 3 6" xfId="45278" xr:uid="{00000000-0005-0000-0000-000076B10000}"/>
    <cellStyle name="Note 4 7 4" xfId="45279" xr:uid="{00000000-0005-0000-0000-000077B10000}"/>
    <cellStyle name="Note 4 7 4 2" xfId="45280" xr:uid="{00000000-0005-0000-0000-000078B10000}"/>
    <cellStyle name="Note 4 7 4 3" xfId="45281" xr:uid="{00000000-0005-0000-0000-000079B10000}"/>
    <cellStyle name="Note 4 7 4 4" xfId="45282" xr:uid="{00000000-0005-0000-0000-00007AB10000}"/>
    <cellStyle name="Note 4 7 5" xfId="45283" xr:uid="{00000000-0005-0000-0000-00007BB10000}"/>
    <cellStyle name="Note 4 7 6" xfId="45284" xr:uid="{00000000-0005-0000-0000-00007CB10000}"/>
    <cellStyle name="Note 4 8" xfId="45285" xr:uid="{00000000-0005-0000-0000-00007DB10000}"/>
    <cellStyle name="Note 4 8 2" xfId="45286" xr:uid="{00000000-0005-0000-0000-00007EB10000}"/>
    <cellStyle name="Note 4 8 2 2" xfId="45287" xr:uid="{00000000-0005-0000-0000-00007FB10000}"/>
    <cellStyle name="Note 4 8 2 2 2" xfId="45288" xr:uid="{00000000-0005-0000-0000-000080B10000}"/>
    <cellStyle name="Note 4 8 2 2 3" xfId="45289" xr:uid="{00000000-0005-0000-0000-000081B10000}"/>
    <cellStyle name="Note 4 8 2 2 4" xfId="45290" xr:uid="{00000000-0005-0000-0000-000082B10000}"/>
    <cellStyle name="Note 4 8 2 3" xfId="45291" xr:uid="{00000000-0005-0000-0000-000083B10000}"/>
    <cellStyle name="Note 4 8 2 3 2" xfId="45292" xr:uid="{00000000-0005-0000-0000-000084B10000}"/>
    <cellStyle name="Note 4 8 2 3 3" xfId="45293" xr:uid="{00000000-0005-0000-0000-000085B10000}"/>
    <cellStyle name="Note 4 8 2 3 4" xfId="45294" xr:uid="{00000000-0005-0000-0000-000086B10000}"/>
    <cellStyle name="Note 4 8 2 4" xfId="45295" xr:uid="{00000000-0005-0000-0000-000087B10000}"/>
    <cellStyle name="Note 4 8 2 5" xfId="45296" xr:uid="{00000000-0005-0000-0000-000088B10000}"/>
    <cellStyle name="Note 4 8 2 6" xfId="45297" xr:uid="{00000000-0005-0000-0000-000089B10000}"/>
    <cellStyle name="Note 4 8 3" xfId="45298" xr:uid="{00000000-0005-0000-0000-00008AB10000}"/>
    <cellStyle name="Note 4 8 3 2" xfId="45299" xr:uid="{00000000-0005-0000-0000-00008BB10000}"/>
    <cellStyle name="Note 4 8 3 2 2" xfId="45300" xr:uid="{00000000-0005-0000-0000-00008CB10000}"/>
    <cellStyle name="Note 4 8 3 2 3" xfId="45301" xr:uid="{00000000-0005-0000-0000-00008DB10000}"/>
    <cellStyle name="Note 4 8 3 2 4" xfId="45302" xr:uid="{00000000-0005-0000-0000-00008EB10000}"/>
    <cellStyle name="Note 4 8 3 3" xfId="45303" xr:uid="{00000000-0005-0000-0000-00008FB10000}"/>
    <cellStyle name="Note 4 8 3 3 2" xfId="45304" xr:uid="{00000000-0005-0000-0000-000090B10000}"/>
    <cellStyle name="Note 4 8 3 3 3" xfId="45305" xr:uid="{00000000-0005-0000-0000-000091B10000}"/>
    <cellStyle name="Note 4 8 3 3 4" xfId="45306" xr:uid="{00000000-0005-0000-0000-000092B10000}"/>
    <cellStyle name="Note 4 8 3 4" xfId="45307" xr:uid="{00000000-0005-0000-0000-000093B10000}"/>
    <cellStyle name="Note 4 8 3 5" xfId="45308" xr:uid="{00000000-0005-0000-0000-000094B10000}"/>
    <cellStyle name="Note 4 8 3 6" xfId="45309" xr:uid="{00000000-0005-0000-0000-000095B10000}"/>
    <cellStyle name="Note 4 8 4" xfId="45310" xr:uid="{00000000-0005-0000-0000-000096B10000}"/>
    <cellStyle name="Note 4 8 4 2" xfId="45311" xr:uid="{00000000-0005-0000-0000-000097B10000}"/>
    <cellStyle name="Note 4 8 4 3" xfId="45312" xr:uid="{00000000-0005-0000-0000-000098B10000}"/>
    <cellStyle name="Note 4 8 4 4" xfId="45313" xr:uid="{00000000-0005-0000-0000-000099B10000}"/>
    <cellStyle name="Note 4 8 5" xfId="45314" xr:uid="{00000000-0005-0000-0000-00009AB10000}"/>
    <cellStyle name="Note 4 8 6" xfId="45315" xr:uid="{00000000-0005-0000-0000-00009BB10000}"/>
    <cellStyle name="Note 4 9" xfId="45316" xr:uid="{00000000-0005-0000-0000-00009CB10000}"/>
    <cellStyle name="Note 4 9 2" xfId="45317" xr:uid="{00000000-0005-0000-0000-00009DB10000}"/>
    <cellStyle name="Note 4 9 2 2" xfId="45318" xr:uid="{00000000-0005-0000-0000-00009EB10000}"/>
    <cellStyle name="Note 4 9 2 2 2" xfId="45319" xr:uid="{00000000-0005-0000-0000-00009FB10000}"/>
    <cellStyle name="Note 4 9 2 2 3" xfId="45320" xr:uid="{00000000-0005-0000-0000-0000A0B10000}"/>
    <cellStyle name="Note 4 9 2 2 4" xfId="45321" xr:uid="{00000000-0005-0000-0000-0000A1B10000}"/>
    <cellStyle name="Note 4 9 2 3" xfId="45322" xr:uid="{00000000-0005-0000-0000-0000A2B10000}"/>
    <cellStyle name="Note 4 9 2 3 2" xfId="45323" xr:uid="{00000000-0005-0000-0000-0000A3B10000}"/>
    <cellStyle name="Note 4 9 2 3 3" xfId="45324" xr:uid="{00000000-0005-0000-0000-0000A4B10000}"/>
    <cellStyle name="Note 4 9 2 3 4" xfId="45325" xr:uid="{00000000-0005-0000-0000-0000A5B10000}"/>
    <cellStyle name="Note 4 9 2 4" xfId="45326" xr:uid="{00000000-0005-0000-0000-0000A6B10000}"/>
    <cellStyle name="Note 4 9 2 5" xfId="45327" xr:uid="{00000000-0005-0000-0000-0000A7B10000}"/>
    <cellStyle name="Note 4 9 2 6" xfId="45328" xr:uid="{00000000-0005-0000-0000-0000A8B10000}"/>
    <cellStyle name="Note 4 9 3" xfId="45329" xr:uid="{00000000-0005-0000-0000-0000A9B10000}"/>
    <cellStyle name="Note 4 9 3 2" xfId="45330" xr:uid="{00000000-0005-0000-0000-0000AAB10000}"/>
    <cellStyle name="Note 4 9 3 2 2" xfId="45331" xr:uid="{00000000-0005-0000-0000-0000ABB10000}"/>
    <cellStyle name="Note 4 9 3 2 3" xfId="45332" xr:uid="{00000000-0005-0000-0000-0000ACB10000}"/>
    <cellStyle name="Note 4 9 3 2 4" xfId="45333" xr:uid="{00000000-0005-0000-0000-0000ADB10000}"/>
    <cellStyle name="Note 4 9 3 3" xfId="45334" xr:uid="{00000000-0005-0000-0000-0000AEB10000}"/>
    <cellStyle name="Note 4 9 3 3 2" xfId="45335" xr:uid="{00000000-0005-0000-0000-0000AFB10000}"/>
    <cellStyle name="Note 4 9 3 3 3" xfId="45336" xr:uid="{00000000-0005-0000-0000-0000B0B10000}"/>
    <cellStyle name="Note 4 9 3 3 4" xfId="45337" xr:uid="{00000000-0005-0000-0000-0000B1B10000}"/>
    <cellStyle name="Note 4 9 3 4" xfId="45338" xr:uid="{00000000-0005-0000-0000-0000B2B10000}"/>
    <cellStyle name="Note 4 9 3 5" xfId="45339" xr:uid="{00000000-0005-0000-0000-0000B3B10000}"/>
    <cellStyle name="Note 4 9 3 6" xfId="45340" xr:uid="{00000000-0005-0000-0000-0000B4B10000}"/>
    <cellStyle name="Note 4 9 4" xfId="45341" xr:uid="{00000000-0005-0000-0000-0000B5B10000}"/>
    <cellStyle name="Note 4 9 4 2" xfId="45342" xr:uid="{00000000-0005-0000-0000-0000B6B10000}"/>
    <cellStyle name="Note 4 9 4 3" xfId="45343" xr:uid="{00000000-0005-0000-0000-0000B7B10000}"/>
    <cellStyle name="Note 4 9 4 4" xfId="45344" xr:uid="{00000000-0005-0000-0000-0000B8B10000}"/>
    <cellStyle name="Note 4 9 5" xfId="45345" xr:uid="{00000000-0005-0000-0000-0000B9B10000}"/>
    <cellStyle name="Note 4 9 6" xfId="45346" xr:uid="{00000000-0005-0000-0000-0000BAB10000}"/>
    <cellStyle name="Note 5" xfId="45347" xr:uid="{00000000-0005-0000-0000-0000BBB10000}"/>
    <cellStyle name="Note 5 2" xfId="45348" xr:uid="{00000000-0005-0000-0000-0000BCB10000}"/>
    <cellStyle name="Note 5 2 2" xfId="45349" xr:uid="{00000000-0005-0000-0000-0000BDB10000}"/>
    <cellStyle name="Note 5 2 2 2" xfId="45350" xr:uid="{00000000-0005-0000-0000-0000BEB10000}"/>
    <cellStyle name="Note 5 2 2 2 2" xfId="45351" xr:uid="{00000000-0005-0000-0000-0000BFB10000}"/>
    <cellStyle name="Note 5 2 2 2 3" xfId="45352" xr:uid="{00000000-0005-0000-0000-0000C0B10000}"/>
    <cellStyle name="Note 5 2 2 2 4" xfId="45353" xr:uid="{00000000-0005-0000-0000-0000C1B10000}"/>
    <cellStyle name="Note 5 2 2 3" xfId="45354" xr:uid="{00000000-0005-0000-0000-0000C2B10000}"/>
    <cellStyle name="Note 5 2 2 3 2" xfId="45355" xr:uid="{00000000-0005-0000-0000-0000C3B10000}"/>
    <cellStyle name="Note 5 2 2 3 3" xfId="45356" xr:uid="{00000000-0005-0000-0000-0000C4B10000}"/>
    <cellStyle name="Note 5 2 2 3 4" xfId="45357" xr:uid="{00000000-0005-0000-0000-0000C5B10000}"/>
    <cellStyle name="Note 5 2 2 4" xfId="45358" xr:uid="{00000000-0005-0000-0000-0000C6B10000}"/>
    <cellStyle name="Note 5 2 2 5" xfId="45359" xr:uid="{00000000-0005-0000-0000-0000C7B10000}"/>
    <cellStyle name="Note 5 2 2 6" xfId="45360" xr:uid="{00000000-0005-0000-0000-0000C8B10000}"/>
    <cellStyle name="Note 5 2 3" xfId="45361" xr:uid="{00000000-0005-0000-0000-0000C9B10000}"/>
    <cellStyle name="Note 5 2 3 2" xfId="45362" xr:uid="{00000000-0005-0000-0000-0000CAB10000}"/>
    <cellStyle name="Note 5 2 3 2 2" xfId="45363" xr:uid="{00000000-0005-0000-0000-0000CBB10000}"/>
    <cellStyle name="Note 5 2 3 2 3" xfId="45364" xr:uid="{00000000-0005-0000-0000-0000CCB10000}"/>
    <cellStyle name="Note 5 2 3 2 4" xfId="45365" xr:uid="{00000000-0005-0000-0000-0000CDB10000}"/>
    <cellStyle name="Note 5 2 3 3" xfId="45366" xr:uid="{00000000-0005-0000-0000-0000CEB10000}"/>
    <cellStyle name="Note 5 2 3 3 2" xfId="45367" xr:uid="{00000000-0005-0000-0000-0000CFB10000}"/>
    <cellStyle name="Note 5 2 3 3 3" xfId="45368" xr:uid="{00000000-0005-0000-0000-0000D0B10000}"/>
    <cellStyle name="Note 5 2 3 3 4" xfId="45369" xr:uid="{00000000-0005-0000-0000-0000D1B10000}"/>
    <cellStyle name="Note 5 2 3 4" xfId="45370" xr:uid="{00000000-0005-0000-0000-0000D2B10000}"/>
    <cellStyle name="Note 5 2 3 5" xfId="45371" xr:uid="{00000000-0005-0000-0000-0000D3B10000}"/>
    <cellStyle name="Note 5 2 3 6" xfId="45372" xr:uid="{00000000-0005-0000-0000-0000D4B10000}"/>
    <cellStyle name="Note 5 2 4" xfId="45373" xr:uid="{00000000-0005-0000-0000-0000D5B10000}"/>
    <cellStyle name="Note 5 2 5" xfId="45374" xr:uid="{00000000-0005-0000-0000-0000D6B10000}"/>
    <cellStyle name="Note 5 2 6" xfId="45375" xr:uid="{00000000-0005-0000-0000-0000D7B10000}"/>
    <cellStyle name="Note 5 3" xfId="45376" xr:uid="{00000000-0005-0000-0000-0000D8B10000}"/>
    <cellStyle name="Note 5 4" xfId="45377" xr:uid="{00000000-0005-0000-0000-0000D9B10000}"/>
    <cellStyle name="Note 6" xfId="45378" xr:uid="{00000000-0005-0000-0000-0000DAB10000}"/>
    <cellStyle name="Note 6 2" xfId="45379" xr:uid="{00000000-0005-0000-0000-0000DBB10000}"/>
    <cellStyle name="Note 6 2 2" xfId="45380" xr:uid="{00000000-0005-0000-0000-0000DCB10000}"/>
    <cellStyle name="Note 6 2 2 2" xfId="45381" xr:uid="{00000000-0005-0000-0000-0000DDB10000}"/>
    <cellStyle name="Note 6 2 2 2 2" xfId="45382" xr:uid="{00000000-0005-0000-0000-0000DEB10000}"/>
    <cellStyle name="Note 6 2 2 2 3" xfId="45383" xr:uid="{00000000-0005-0000-0000-0000DFB10000}"/>
    <cellStyle name="Note 6 2 2 2 4" xfId="45384" xr:uid="{00000000-0005-0000-0000-0000E0B10000}"/>
    <cellStyle name="Note 6 2 2 3" xfId="45385" xr:uid="{00000000-0005-0000-0000-0000E1B10000}"/>
    <cellStyle name="Note 6 2 2 3 2" xfId="45386" xr:uid="{00000000-0005-0000-0000-0000E2B10000}"/>
    <cellStyle name="Note 6 2 2 3 3" xfId="45387" xr:uid="{00000000-0005-0000-0000-0000E3B10000}"/>
    <cellStyle name="Note 6 2 2 3 4" xfId="45388" xr:uid="{00000000-0005-0000-0000-0000E4B10000}"/>
    <cellStyle name="Note 6 2 2 4" xfId="45389" xr:uid="{00000000-0005-0000-0000-0000E5B10000}"/>
    <cellStyle name="Note 6 2 2 5" xfId="45390" xr:uid="{00000000-0005-0000-0000-0000E6B10000}"/>
    <cellStyle name="Note 6 2 2 6" xfId="45391" xr:uid="{00000000-0005-0000-0000-0000E7B10000}"/>
    <cellStyle name="Note 6 2 3" xfId="45392" xr:uid="{00000000-0005-0000-0000-0000E8B10000}"/>
    <cellStyle name="Note 6 2 3 2" xfId="45393" xr:uid="{00000000-0005-0000-0000-0000E9B10000}"/>
    <cellStyle name="Note 6 2 3 2 2" xfId="45394" xr:uid="{00000000-0005-0000-0000-0000EAB10000}"/>
    <cellStyle name="Note 6 2 3 2 3" xfId="45395" xr:uid="{00000000-0005-0000-0000-0000EBB10000}"/>
    <cellStyle name="Note 6 2 3 2 4" xfId="45396" xr:uid="{00000000-0005-0000-0000-0000ECB10000}"/>
    <cellStyle name="Note 6 2 3 3" xfId="45397" xr:uid="{00000000-0005-0000-0000-0000EDB10000}"/>
    <cellStyle name="Note 6 2 3 3 2" xfId="45398" xr:uid="{00000000-0005-0000-0000-0000EEB10000}"/>
    <cellStyle name="Note 6 2 3 3 3" xfId="45399" xr:uid="{00000000-0005-0000-0000-0000EFB10000}"/>
    <cellStyle name="Note 6 2 3 3 4" xfId="45400" xr:uid="{00000000-0005-0000-0000-0000F0B10000}"/>
    <cellStyle name="Note 6 2 3 4" xfId="45401" xr:uid="{00000000-0005-0000-0000-0000F1B10000}"/>
    <cellStyle name="Note 6 2 3 5" xfId="45402" xr:uid="{00000000-0005-0000-0000-0000F2B10000}"/>
    <cellStyle name="Note 6 2 3 6" xfId="45403" xr:uid="{00000000-0005-0000-0000-0000F3B10000}"/>
    <cellStyle name="Note 6 2 4" xfId="45404" xr:uid="{00000000-0005-0000-0000-0000F4B10000}"/>
    <cellStyle name="Note 6 2 5" xfId="45405" xr:uid="{00000000-0005-0000-0000-0000F5B10000}"/>
    <cellStyle name="Note 6 2 6" xfId="45406" xr:uid="{00000000-0005-0000-0000-0000F6B10000}"/>
    <cellStyle name="Note 6 3" xfId="45407" xr:uid="{00000000-0005-0000-0000-0000F7B10000}"/>
    <cellStyle name="Note 6 4" xfId="45408" xr:uid="{00000000-0005-0000-0000-0000F8B10000}"/>
    <cellStyle name="Note 7" xfId="45409" xr:uid="{00000000-0005-0000-0000-0000F9B10000}"/>
    <cellStyle name="Note 7 2" xfId="45410" xr:uid="{00000000-0005-0000-0000-0000FAB10000}"/>
    <cellStyle name="Note 7 2 2" xfId="45411" xr:uid="{00000000-0005-0000-0000-0000FBB10000}"/>
    <cellStyle name="Note 7 2 2 2" xfId="45412" xr:uid="{00000000-0005-0000-0000-0000FCB10000}"/>
    <cellStyle name="Note 7 2 2 2 2" xfId="45413" xr:uid="{00000000-0005-0000-0000-0000FDB10000}"/>
    <cellStyle name="Note 7 2 2 2 3" xfId="45414" xr:uid="{00000000-0005-0000-0000-0000FEB10000}"/>
    <cellStyle name="Note 7 2 2 2 4" xfId="45415" xr:uid="{00000000-0005-0000-0000-0000FFB10000}"/>
    <cellStyle name="Note 7 2 2 3" xfId="45416" xr:uid="{00000000-0005-0000-0000-000000B20000}"/>
    <cellStyle name="Note 7 2 2 3 2" xfId="45417" xr:uid="{00000000-0005-0000-0000-000001B20000}"/>
    <cellStyle name="Note 7 2 2 3 3" xfId="45418" xr:uid="{00000000-0005-0000-0000-000002B20000}"/>
    <cellStyle name="Note 7 2 2 3 4" xfId="45419" xr:uid="{00000000-0005-0000-0000-000003B20000}"/>
    <cellStyle name="Note 7 2 2 4" xfId="45420" xr:uid="{00000000-0005-0000-0000-000004B20000}"/>
    <cellStyle name="Note 7 2 2 5" xfId="45421" xr:uid="{00000000-0005-0000-0000-000005B20000}"/>
    <cellStyle name="Note 7 2 2 6" xfId="45422" xr:uid="{00000000-0005-0000-0000-000006B20000}"/>
    <cellStyle name="Note 7 2 3" xfId="45423" xr:uid="{00000000-0005-0000-0000-000007B20000}"/>
    <cellStyle name="Note 7 2 3 2" xfId="45424" xr:uid="{00000000-0005-0000-0000-000008B20000}"/>
    <cellStyle name="Note 7 2 3 2 2" xfId="45425" xr:uid="{00000000-0005-0000-0000-000009B20000}"/>
    <cellStyle name="Note 7 2 3 2 3" xfId="45426" xr:uid="{00000000-0005-0000-0000-00000AB20000}"/>
    <cellStyle name="Note 7 2 3 2 4" xfId="45427" xr:uid="{00000000-0005-0000-0000-00000BB20000}"/>
    <cellStyle name="Note 7 2 3 3" xfId="45428" xr:uid="{00000000-0005-0000-0000-00000CB20000}"/>
    <cellStyle name="Note 7 2 3 3 2" xfId="45429" xr:uid="{00000000-0005-0000-0000-00000DB20000}"/>
    <cellStyle name="Note 7 2 3 3 3" xfId="45430" xr:uid="{00000000-0005-0000-0000-00000EB20000}"/>
    <cellStyle name="Note 7 2 3 3 4" xfId="45431" xr:uid="{00000000-0005-0000-0000-00000FB20000}"/>
    <cellStyle name="Note 7 2 3 4" xfId="45432" xr:uid="{00000000-0005-0000-0000-000010B20000}"/>
    <cellStyle name="Note 7 2 3 5" xfId="45433" xr:uid="{00000000-0005-0000-0000-000011B20000}"/>
    <cellStyle name="Note 7 2 3 6" xfId="45434" xr:uid="{00000000-0005-0000-0000-000012B20000}"/>
    <cellStyle name="Note 7 2 4" xfId="45435" xr:uid="{00000000-0005-0000-0000-000013B20000}"/>
    <cellStyle name="Note 7 2 5" xfId="45436" xr:uid="{00000000-0005-0000-0000-000014B20000}"/>
    <cellStyle name="Note 7 2 6" xfId="45437" xr:uid="{00000000-0005-0000-0000-000015B20000}"/>
    <cellStyle name="Note 7 3" xfId="45438" xr:uid="{00000000-0005-0000-0000-000016B20000}"/>
    <cellStyle name="Note 7 4" xfId="45439" xr:uid="{00000000-0005-0000-0000-000017B20000}"/>
    <cellStyle name="Note 8" xfId="45440" xr:uid="{00000000-0005-0000-0000-000018B20000}"/>
    <cellStyle name="Note 8 2" xfId="45441" xr:uid="{00000000-0005-0000-0000-000019B20000}"/>
    <cellStyle name="Note 8 2 2" xfId="45442" xr:uid="{00000000-0005-0000-0000-00001AB20000}"/>
    <cellStyle name="Note 8 2 2 2" xfId="45443" xr:uid="{00000000-0005-0000-0000-00001BB20000}"/>
    <cellStyle name="Note 8 2 2 2 2" xfId="45444" xr:uid="{00000000-0005-0000-0000-00001CB20000}"/>
    <cellStyle name="Note 8 2 2 2 3" xfId="45445" xr:uid="{00000000-0005-0000-0000-00001DB20000}"/>
    <cellStyle name="Note 8 2 2 2 4" xfId="45446" xr:uid="{00000000-0005-0000-0000-00001EB20000}"/>
    <cellStyle name="Note 8 2 2 3" xfId="45447" xr:uid="{00000000-0005-0000-0000-00001FB20000}"/>
    <cellStyle name="Note 8 2 2 3 2" xfId="45448" xr:uid="{00000000-0005-0000-0000-000020B20000}"/>
    <cellStyle name="Note 8 2 2 3 3" xfId="45449" xr:uid="{00000000-0005-0000-0000-000021B20000}"/>
    <cellStyle name="Note 8 2 2 3 4" xfId="45450" xr:uid="{00000000-0005-0000-0000-000022B20000}"/>
    <cellStyle name="Note 8 2 2 4" xfId="45451" xr:uid="{00000000-0005-0000-0000-000023B20000}"/>
    <cellStyle name="Note 8 2 2 5" xfId="45452" xr:uid="{00000000-0005-0000-0000-000024B20000}"/>
    <cellStyle name="Note 8 2 2 6" xfId="45453" xr:uid="{00000000-0005-0000-0000-000025B20000}"/>
    <cellStyle name="Note 8 2 3" xfId="45454" xr:uid="{00000000-0005-0000-0000-000026B20000}"/>
    <cellStyle name="Note 8 2 3 2" xfId="45455" xr:uid="{00000000-0005-0000-0000-000027B20000}"/>
    <cellStyle name="Note 8 2 3 2 2" xfId="45456" xr:uid="{00000000-0005-0000-0000-000028B20000}"/>
    <cellStyle name="Note 8 2 3 2 3" xfId="45457" xr:uid="{00000000-0005-0000-0000-000029B20000}"/>
    <cellStyle name="Note 8 2 3 2 4" xfId="45458" xr:uid="{00000000-0005-0000-0000-00002AB20000}"/>
    <cellStyle name="Note 8 2 3 3" xfId="45459" xr:uid="{00000000-0005-0000-0000-00002BB20000}"/>
    <cellStyle name="Note 8 2 3 3 2" xfId="45460" xr:uid="{00000000-0005-0000-0000-00002CB20000}"/>
    <cellStyle name="Note 8 2 3 3 3" xfId="45461" xr:uid="{00000000-0005-0000-0000-00002DB20000}"/>
    <cellStyle name="Note 8 2 3 3 4" xfId="45462" xr:uid="{00000000-0005-0000-0000-00002EB20000}"/>
    <cellStyle name="Note 8 2 3 4" xfId="45463" xr:uid="{00000000-0005-0000-0000-00002FB20000}"/>
    <cellStyle name="Note 8 2 3 5" xfId="45464" xr:uid="{00000000-0005-0000-0000-000030B20000}"/>
    <cellStyle name="Note 8 2 3 6" xfId="45465" xr:uid="{00000000-0005-0000-0000-000031B20000}"/>
    <cellStyle name="Note 8 2 4" xfId="45466" xr:uid="{00000000-0005-0000-0000-000032B20000}"/>
    <cellStyle name="Note 8 2 5" xfId="45467" xr:uid="{00000000-0005-0000-0000-000033B20000}"/>
    <cellStyle name="Note 8 2 6" xfId="45468" xr:uid="{00000000-0005-0000-0000-000034B20000}"/>
    <cellStyle name="Note 8 3" xfId="45469" xr:uid="{00000000-0005-0000-0000-000035B20000}"/>
    <cellStyle name="Note 8 4" xfId="45470" xr:uid="{00000000-0005-0000-0000-000036B20000}"/>
    <cellStyle name="Note 9" xfId="45471" xr:uid="{00000000-0005-0000-0000-000037B20000}"/>
    <cellStyle name="Note 9 2" xfId="45472" xr:uid="{00000000-0005-0000-0000-000038B20000}"/>
    <cellStyle name="Note 9 2 2" xfId="45473" xr:uid="{00000000-0005-0000-0000-000039B20000}"/>
    <cellStyle name="Note 9 2 2 2" xfId="45474" xr:uid="{00000000-0005-0000-0000-00003AB20000}"/>
    <cellStyle name="Note 9 2 2 3" xfId="45475" xr:uid="{00000000-0005-0000-0000-00003BB20000}"/>
    <cellStyle name="Note 9 2 2 4" xfId="45476" xr:uid="{00000000-0005-0000-0000-00003CB20000}"/>
    <cellStyle name="Note 9 2 3" xfId="45477" xr:uid="{00000000-0005-0000-0000-00003DB20000}"/>
    <cellStyle name="Note 9 2 3 2" xfId="45478" xr:uid="{00000000-0005-0000-0000-00003EB20000}"/>
    <cellStyle name="Note 9 2 3 3" xfId="45479" xr:uid="{00000000-0005-0000-0000-00003FB20000}"/>
    <cellStyle name="Note 9 2 3 4" xfId="45480" xr:uid="{00000000-0005-0000-0000-000040B20000}"/>
    <cellStyle name="Note 9 2 4" xfId="45481" xr:uid="{00000000-0005-0000-0000-000041B20000}"/>
    <cellStyle name="Note 9 2 5" xfId="45482" xr:uid="{00000000-0005-0000-0000-000042B20000}"/>
    <cellStyle name="Note 9 2 6" xfId="45483" xr:uid="{00000000-0005-0000-0000-000043B20000}"/>
    <cellStyle name="Note 9 3" xfId="45484" xr:uid="{00000000-0005-0000-0000-000044B20000}"/>
    <cellStyle name="Note 9 3 2" xfId="45485" xr:uid="{00000000-0005-0000-0000-000045B20000}"/>
    <cellStyle name="Note 9 3 2 2" xfId="45486" xr:uid="{00000000-0005-0000-0000-000046B20000}"/>
    <cellStyle name="Note 9 3 2 3" xfId="45487" xr:uid="{00000000-0005-0000-0000-000047B20000}"/>
    <cellStyle name="Note 9 3 2 4" xfId="45488" xr:uid="{00000000-0005-0000-0000-000048B20000}"/>
    <cellStyle name="Note 9 3 3" xfId="45489" xr:uid="{00000000-0005-0000-0000-000049B20000}"/>
    <cellStyle name="Note 9 3 3 2" xfId="45490" xr:uid="{00000000-0005-0000-0000-00004AB20000}"/>
    <cellStyle name="Note 9 3 3 3" xfId="45491" xr:uid="{00000000-0005-0000-0000-00004BB20000}"/>
    <cellStyle name="Note 9 3 3 4" xfId="45492" xr:uid="{00000000-0005-0000-0000-00004CB20000}"/>
    <cellStyle name="Note 9 3 4" xfId="45493" xr:uid="{00000000-0005-0000-0000-00004DB20000}"/>
    <cellStyle name="Note 9 3 5" xfId="45494" xr:uid="{00000000-0005-0000-0000-00004EB20000}"/>
    <cellStyle name="Note 9 3 6" xfId="45495" xr:uid="{00000000-0005-0000-0000-00004FB20000}"/>
    <cellStyle name="Note 9 4" xfId="45496" xr:uid="{00000000-0005-0000-0000-000050B20000}"/>
    <cellStyle name="Note 9 4 2" xfId="45497" xr:uid="{00000000-0005-0000-0000-000051B20000}"/>
    <cellStyle name="Note 9 4 3" xfId="45498" xr:uid="{00000000-0005-0000-0000-000052B20000}"/>
    <cellStyle name="Note 9 4 4" xfId="45499" xr:uid="{00000000-0005-0000-0000-000053B20000}"/>
    <cellStyle name="Note 9 5" xfId="45500" xr:uid="{00000000-0005-0000-0000-000054B20000}"/>
    <cellStyle name="Note 9 6" xfId="45501" xr:uid="{00000000-0005-0000-0000-000055B20000}"/>
    <cellStyle name="Œ…‹æØ‚è [0.00]_!!!GO" xfId="45502" xr:uid="{00000000-0005-0000-0000-000056B20000}"/>
    <cellStyle name="Œ…‹æØ‚è_!!!GO" xfId="45503" xr:uid="{00000000-0005-0000-0000-000057B20000}"/>
    <cellStyle name="Original" xfId="45504" xr:uid="{00000000-0005-0000-0000-000058B20000}"/>
    <cellStyle name="Output" xfId="32" xr:uid="{00000000-0005-0000-0000-000059B20000}"/>
    <cellStyle name="Output 10" xfId="45505" xr:uid="{00000000-0005-0000-0000-00005AB20000}"/>
    <cellStyle name="Output 2" xfId="45506" xr:uid="{00000000-0005-0000-0000-00005BB20000}"/>
    <cellStyle name="Output 2 2" xfId="45507" xr:uid="{00000000-0005-0000-0000-00005CB20000}"/>
    <cellStyle name="Output 2 2 10" xfId="45508" xr:uid="{00000000-0005-0000-0000-00005DB20000}"/>
    <cellStyle name="Output 2 2 10 2" xfId="45509" xr:uid="{00000000-0005-0000-0000-00005EB20000}"/>
    <cellStyle name="Output 2 2 10 2 2" xfId="45510" xr:uid="{00000000-0005-0000-0000-00005FB20000}"/>
    <cellStyle name="Output 2 2 10 2 3" xfId="45511" xr:uid="{00000000-0005-0000-0000-000060B20000}"/>
    <cellStyle name="Output 2 2 10 2 4" xfId="45512" xr:uid="{00000000-0005-0000-0000-000061B20000}"/>
    <cellStyle name="Output 2 2 10 3" xfId="45513" xr:uid="{00000000-0005-0000-0000-000062B20000}"/>
    <cellStyle name="Output 2 2 10 3 2" xfId="45514" xr:uid="{00000000-0005-0000-0000-000063B20000}"/>
    <cellStyle name="Output 2 2 10 3 2 2" xfId="45515" xr:uid="{00000000-0005-0000-0000-000064B20000}"/>
    <cellStyle name="Output 2 2 10 3 2 3" xfId="45516" xr:uid="{00000000-0005-0000-0000-000065B20000}"/>
    <cellStyle name="Output 2 2 10 3 2 4" xfId="45517" xr:uid="{00000000-0005-0000-0000-000066B20000}"/>
    <cellStyle name="Output 2 2 10 3 3" xfId="45518" xr:uid="{00000000-0005-0000-0000-000067B20000}"/>
    <cellStyle name="Output 2 2 10 3 3 2" xfId="45519" xr:uid="{00000000-0005-0000-0000-000068B20000}"/>
    <cellStyle name="Output 2 2 10 3 3 3" xfId="45520" xr:uid="{00000000-0005-0000-0000-000069B20000}"/>
    <cellStyle name="Output 2 2 10 3 3 4" xfId="45521" xr:uid="{00000000-0005-0000-0000-00006AB20000}"/>
    <cellStyle name="Output 2 2 10 3 4" xfId="45522" xr:uid="{00000000-0005-0000-0000-00006BB20000}"/>
    <cellStyle name="Output 2 2 10 3 5" xfId="45523" xr:uid="{00000000-0005-0000-0000-00006CB20000}"/>
    <cellStyle name="Output 2 2 10 3 6" xfId="45524" xr:uid="{00000000-0005-0000-0000-00006DB20000}"/>
    <cellStyle name="Output 2 2 10 4" xfId="45525" xr:uid="{00000000-0005-0000-0000-00006EB20000}"/>
    <cellStyle name="Output 2 2 10 5" xfId="45526" xr:uid="{00000000-0005-0000-0000-00006FB20000}"/>
    <cellStyle name="Output 2 2 11" xfId="45527" xr:uid="{00000000-0005-0000-0000-000070B20000}"/>
    <cellStyle name="Output 2 2 11 2" xfId="45528" xr:uid="{00000000-0005-0000-0000-000071B20000}"/>
    <cellStyle name="Output 2 2 11 2 2" xfId="45529" xr:uid="{00000000-0005-0000-0000-000072B20000}"/>
    <cellStyle name="Output 2 2 11 2 3" xfId="45530" xr:uid="{00000000-0005-0000-0000-000073B20000}"/>
    <cellStyle name="Output 2 2 11 2 4" xfId="45531" xr:uid="{00000000-0005-0000-0000-000074B20000}"/>
    <cellStyle name="Output 2 2 11 3" xfId="45532" xr:uid="{00000000-0005-0000-0000-000075B20000}"/>
    <cellStyle name="Output 2 2 11 3 2" xfId="45533" xr:uid="{00000000-0005-0000-0000-000076B20000}"/>
    <cellStyle name="Output 2 2 11 3 2 2" xfId="45534" xr:uid="{00000000-0005-0000-0000-000077B20000}"/>
    <cellStyle name="Output 2 2 11 3 2 3" xfId="45535" xr:uid="{00000000-0005-0000-0000-000078B20000}"/>
    <cellStyle name="Output 2 2 11 3 2 4" xfId="45536" xr:uid="{00000000-0005-0000-0000-000079B20000}"/>
    <cellStyle name="Output 2 2 11 3 3" xfId="45537" xr:uid="{00000000-0005-0000-0000-00007AB20000}"/>
    <cellStyle name="Output 2 2 11 3 3 2" xfId="45538" xr:uid="{00000000-0005-0000-0000-00007BB20000}"/>
    <cellStyle name="Output 2 2 11 3 3 3" xfId="45539" xr:uid="{00000000-0005-0000-0000-00007CB20000}"/>
    <cellStyle name="Output 2 2 11 3 3 4" xfId="45540" xr:uid="{00000000-0005-0000-0000-00007DB20000}"/>
    <cellStyle name="Output 2 2 11 3 4" xfId="45541" xr:uid="{00000000-0005-0000-0000-00007EB20000}"/>
    <cellStyle name="Output 2 2 11 3 5" xfId="45542" xr:uid="{00000000-0005-0000-0000-00007FB20000}"/>
    <cellStyle name="Output 2 2 11 3 6" xfId="45543" xr:uid="{00000000-0005-0000-0000-000080B20000}"/>
    <cellStyle name="Output 2 2 11 4" xfId="45544" xr:uid="{00000000-0005-0000-0000-000081B20000}"/>
    <cellStyle name="Output 2 2 11 5" xfId="45545" xr:uid="{00000000-0005-0000-0000-000082B20000}"/>
    <cellStyle name="Output 2 2 12" xfId="45546" xr:uid="{00000000-0005-0000-0000-000083B20000}"/>
    <cellStyle name="Output 2 2 12 2" xfId="45547" xr:uid="{00000000-0005-0000-0000-000084B20000}"/>
    <cellStyle name="Output 2 2 12 2 2" xfId="45548" xr:uid="{00000000-0005-0000-0000-000085B20000}"/>
    <cellStyle name="Output 2 2 12 2 2 2" xfId="45549" xr:uid="{00000000-0005-0000-0000-000086B20000}"/>
    <cellStyle name="Output 2 2 12 2 2 3" xfId="45550" xr:uid="{00000000-0005-0000-0000-000087B20000}"/>
    <cellStyle name="Output 2 2 12 2 2 4" xfId="45551" xr:uid="{00000000-0005-0000-0000-000088B20000}"/>
    <cellStyle name="Output 2 2 12 2 3" xfId="45552" xr:uid="{00000000-0005-0000-0000-000089B20000}"/>
    <cellStyle name="Output 2 2 12 2 3 2" xfId="45553" xr:uid="{00000000-0005-0000-0000-00008AB20000}"/>
    <cellStyle name="Output 2 2 12 2 3 3" xfId="45554" xr:uid="{00000000-0005-0000-0000-00008BB20000}"/>
    <cellStyle name="Output 2 2 12 2 3 4" xfId="45555" xr:uid="{00000000-0005-0000-0000-00008CB20000}"/>
    <cellStyle name="Output 2 2 12 2 4" xfId="45556" xr:uid="{00000000-0005-0000-0000-00008DB20000}"/>
    <cellStyle name="Output 2 2 12 2 5" xfId="45557" xr:uid="{00000000-0005-0000-0000-00008EB20000}"/>
    <cellStyle name="Output 2 2 12 2 6" xfId="45558" xr:uid="{00000000-0005-0000-0000-00008FB20000}"/>
    <cellStyle name="Output 2 2 12 3" xfId="45559" xr:uid="{00000000-0005-0000-0000-000090B20000}"/>
    <cellStyle name="Output 2 2 12 3 2" xfId="45560" xr:uid="{00000000-0005-0000-0000-000091B20000}"/>
    <cellStyle name="Output 2 2 12 3 2 2" xfId="45561" xr:uid="{00000000-0005-0000-0000-000092B20000}"/>
    <cellStyle name="Output 2 2 12 3 2 3" xfId="45562" xr:uid="{00000000-0005-0000-0000-000093B20000}"/>
    <cellStyle name="Output 2 2 12 3 2 4" xfId="45563" xr:uid="{00000000-0005-0000-0000-000094B20000}"/>
    <cellStyle name="Output 2 2 12 3 3" xfId="45564" xr:uid="{00000000-0005-0000-0000-000095B20000}"/>
    <cellStyle name="Output 2 2 12 3 3 2" xfId="45565" xr:uid="{00000000-0005-0000-0000-000096B20000}"/>
    <cellStyle name="Output 2 2 12 3 3 3" xfId="45566" xr:uid="{00000000-0005-0000-0000-000097B20000}"/>
    <cellStyle name="Output 2 2 12 3 3 4" xfId="45567" xr:uid="{00000000-0005-0000-0000-000098B20000}"/>
    <cellStyle name="Output 2 2 12 3 4" xfId="45568" xr:uid="{00000000-0005-0000-0000-000099B20000}"/>
    <cellStyle name="Output 2 2 12 3 5" xfId="45569" xr:uid="{00000000-0005-0000-0000-00009AB20000}"/>
    <cellStyle name="Output 2 2 12 3 6" xfId="45570" xr:uid="{00000000-0005-0000-0000-00009BB20000}"/>
    <cellStyle name="Output 2 2 12 4" xfId="45571" xr:uid="{00000000-0005-0000-0000-00009CB20000}"/>
    <cellStyle name="Output 2 2 12 5" xfId="45572" xr:uid="{00000000-0005-0000-0000-00009DB20000}"/>
    <cellStyle name="Output 2 2 12 6" xfId="45573" xr:uid="{00000000-0005-0000-0000-00009EB20000}"/>
    <cellStyle name="Output 2 2 13" xfId="45574" xr:uid="{00000000-0005-0000-0000-00009FB20000}"/>
    <cellStyle name="Output 2 2 14" xfId="45575" xr:uid="{00000000-0005-0000-0000-0000A0B20000}"/>
    <cellStyle name="Output 2 2 15" xfId="58782" xr:uid="{00000000-0005-0000-0000-0000A1B20000}"/>
    <cellStyle name="Output 2 2 2" xfId="45576" xr:uid="{00000000-0005-0000-0000-0000A2B20000}"/>
    <cellStyle name="Output 2 2 2 2" xfId="45577" xr:uid="{00000000-0005-0000-0000-0000A3B20000}"/>
    <cellStyle name="Output 2 2 2 2 2" xfId="45578" xr:uid="{00000000-0005-0000-0000-0000A4B20000}"/>
    <cellStyle name="Output 2 2 2 2 2 2" xfId="45579" xr:uid="{00000000-0005-0000-0000-0000A5B20000}"/>
    <cellStyle name="Output 2 2 2 2 2 2 2" xfId="45580" xr:uid="{00000000-0005-0000-0000-0000A6B20000}"/>
    <cellStyle name="Output 2 2 2 2 2 2 3" xfId="45581" xr:uid="{00000000-0005-0000-0000-0000A7B20000}"/>
    <cellStyle name="Output 2 2 2 2 2 2 4" xfId="45582" xr:uid="{00000000-0005-0000-0000-0000A8B20000}"/>
    <cellStyle name="Output 2 2 2 2 2 3" xfId="45583" xr:uid="{00000000-0005-0000-0000-0000A9B20000}"/>
    <cellStyle name="Output 2 2 2 2 2 3 2" xfId="45584" xr:uid="{00000000-0005-0000-0000-0000AAB20000}"/>
    <cellStyle name="Output 2 2 2 2 2 3 3" xfId="45585" xr:uid="{00000000-0005-0000-0000-0000ABB20000}"/>
    <cellStyle name="Output 2 2 2 2 2 3 4" xfId="45586" xr:uid="{00000000-0005-0000-0000-0000ACB20000}"/>
    <cellStyle name="Output 2 2 2 2 2 4" xfId="45587" xr:uid="{00000000-0005-0000-0000-0000ADB20000}"/>
    <cellStyle name="Output 2 2 2 2 2 5" xfId="45588" xr:uid="{00000000-0005-0000-0000-0000AEB20000}"/>
    <cellStyle name="Output 2 2 2 2 2 6" xfId="45589" xr:uid="{00000000-0005-0000-0000-0000AFB20000}"/>
    <cellStyle name="Output 2 2 2 2 3" xfId="45590" xr:uid="{00000000-0005-0000-0000-0000B0B20000}"/>
    <cellStyle name="Output 2 2 2 2 3 2" xfId="45591" xr:uid="{00000000-0005-0000-0000-0000B1B20000}"/>
    <cellStyle name="Output 2 2 2 2 3 2 2" xfId="45592" xr:uid="{00000000-0005-0000-0000-0000B2B20000}"/>
    <cellStyle name="Output 2 2 2 2 3 2 3" xfId="45593" xr:uid="{00000000-0005-0000-0000-0000B3B20000}"/>
    <cellStyle name="Output 2 2 2 2 3 2 4" xfId="45594" xr:uid="{00000000-0005-0000-0000-0000B4B20000}"/>
    <cellStyle name="Output 2 2 2 2 3 3" xfId="45595" xr:uid="{00000000-0005-0000-0000-0000B5B20000}"/>
    <cellStyle name="Output 2 2 2 2 3 3 2" xfId="45596" xr:uid="{00000000-0005-0000-0000-0000B6B20000}"/>
    <cellStyle name="Output 2 2 2 2 3 3 3" xfId="45597" xr:uid="{00000000-0005-0000-0000-0000B7B20000}"/>
    <cellStyle name="Output 2 2 2 2 3 3 4" xfId="45598" xr:uid="{00000000-0005-0000-0000-0000B8B20000}"/>
    <cellStyle name="Output 2 2 2 2 3 4" xfId="45599" xr:uid="{00000000-0005-0000-0000-0000B9B20000}"/>
    <cellStyle name="Output 2 2 2 2 3 5" xfId="45600" xr:uid="{00000000-0005-0000-0000-0000BAB20000}"/>
    <cellStyle name="Output 2 2 2 2 3 6" xfId="45601" xr:uid="{00000000-0005-0000-0000-0000BBB20000}"/>
    <cellStyle name="Output 2 2 2 2 4" xfId="45602" xr:uid="{00000000-0005-0000-0000-0000BCB20000}"/>
    <cellStyle name="Output 2 2 2 2 5" xfId="45603" xr:uid="{00000000-0005-0000-0000-0000BDB20000}"/>
    <cellStyle name="Output 2 2 2 2 6" xfId="45604" xr:uid="{00000000-0005-0000-0000-0000BEB20000}"/>
    <cellStyle name="Output 2 2 2 3" xfId="45605" xr:uid="{00000000-0005-0000-0000-0000BFB20000}"/>
    <cellStyle name="Output 2 2 2 4" xfId="45606" xr:uid="{00000000-0005-0000-0000-0000C0B20000}"/>
    <cellStyle name="Output 2 2 3" xfId="45607" xr:uid="{00000000-0005-0000-0000-0000C1B20000}"/>
    <cellStyle name="Output 2 2 3 2" xfId="45608" xr:uid="{00000000-0005-0000-0000-0000C2B20000}"/>
    <cellStyle name="Output 2 2 3 2 2" xfId="45609" xr:uid="{00000000-0005-0000-0000-0000C3B20000}"/>
    <cellStyle name="Output 2 2 3 2 2 2" xfId="45610" xr:uid="{00000000-0005-0000-0000-0000C4B20000}"/>
    <cellStyle name="Output 2 2 3 2 2 2 2" xfId="45611" xr:uid="{00000000-0005-0000-0000-0000C5B20000}"/>
    <cellStyle name="Output 2 2 3 2 2 2 3" xfId="45612" xr:uid="{00000000-0005-0000-0000-0000C6B20000}"/>
    <cellStyle name="Output 2 2 3 2 2 2 4" xfId="45613" xr:uid="{00000000-0005-0000-0000-0000C7B20000}"/>
    <cellStyle name="Output 2 2 3 2 2 3" xfId="45614" xr:uid="{00000000-0005-0000-0000-0000C8B20000}"/>
    <cellStyle name="Output 2 2 3 2 2 3 2" xfId="45615" xr:uid="{00000000-0005-0000-0000-0000C9B20000}"/>
    <cellStyle name="Output 2 2 3 2 2 3 3" xfId="45616" xr:uid="{00000000-0005-0000-0000-0000CAB20000}"/>
    <cellStyle name="Output 2 2 3 2 2 3 4" xfId="45617" xr:uid="{00000000-0005-0000-0000-0000CBB20000}"/>
    <cellStyle name="Output 2 2 3 2 2 4" xfId="45618" xr:uid="{00000000-0005-0000-0000-0000CCB20000}"/>
    <cellStyle name="Output 2 2 3 2 2 5" xfId="45619" xr:uid="{00000000-0005-0000-0000-0000CDB20000}"/>
    <cellStyle name="Output 2 2 3 2 2 6" xfId="45620" xr:uid="{00000000-0005-0000-0000-0000CEB20000}"/>
    <cellStyle name="Output 2 2 3 2 3" xfId="45621" xr:uid="{00000000-0005-0000-0000-0000CFB20000}"/>
    <cellStyle name="Output 2 2 3 2 3 2" xfId="45622" xr:uid="{00000000-0005-0000-0000-0000D0B20000}"/>
    <cellStyle name="Output 2 2 3 2 3 2 2" xfId="45623" xr:uid="{00000000-0005-0000-0000-0000D1B20000}"/>
    <cellStyle name="Output 2 2 3 2 3 2 3" xfId="45624" xr:uid="{00000000-0005-0000-0000-0000D2B20000}"/>
    <cellStyle name="Output 2 2 3 2 3 2 4" xfId="45625" xr:uid="{00000000-0005-0000-0000-0000D3B20000}"/>
    <cellStyle name="Output 2 2 3 2 3 3" xfId="45626" xr:uid="{00000000-0005-0000-0000-0000D4B20000}"/>
    <cellStyle name="Output 2 2 3 2 3 3 2" xfId="45627" xr:uid="{00000000-0005-0000-0000-0000D5B20000}"/>
    <cellStyle name="Output 2 2 3 2 3 3 3" xfId="45628" xr:uid="{00000000-0005-0000-0000-0000D6B20000}"/>
    <cellStyle name="Output 2 2 3 2 3 3 4" xfId="45629" xr:uid="{00000000-0005-0000-0000-0000D7B20000}"/>
    <cellStyle name="Output 2 2 3 2 3 4" xfId="45630" xr:uid="{00000000-0005-0000-0000-0000D8B20000}"/>
    <cellStyle name="Output 2 2 3 2 3 5" xfId="45631" xr:uid="{00000000-0005-0000-0000-0000D9B20000}"/>
    <cellStyle name="Output 2 2 3 2 3 6" xfId="45632" xr:uid="{00000000-0005-0000-0000-0000DAB20000}"/>
    <cellStyle name="Output 2 2 3 2 4" xfId="45633" xr:uid="{00000000-0005-0000-0000-0000DBB20000}"/>
    <cellStyle name="Output 2 2 3 2 5" xfId="45634" xr:uid="{00000000-0005-0000-0000-0000DCB20000}"/>
    <cellStyle name="Output 2 2 3 2 6" xfId="45635" xr:uid="{00000000-0005-0000-0000-0000DDB20000}"/>
    <cellStyle name="Output 2 2 3 3" xfId="45636" xr:uid="{00000000-0005-0000-0000-0000DEB20000}"/>
    <cellStyle name="Output 2 2 3 4" xfId="45637" xr:uid="{00000000-0005-0000-0000-0000DFB20000}"/>
    <cellStyle name="Output 2 2 4" xfId="45638" xr:uid="{00000000-0005-0000-0000-0000E0B20000}"/>
    <cellStyle name="Output 2 2 4 2" xfId="45639" xr:uid="{00000000-0005-0000-0000-0000E1B20000}"/>
    <cellStyle name="Output 2 2 4 2 2" xfId="45640" xr:uid="{00000000-0005-0000-0000-0000E2B20000}"/>
    <cellStyle name="Output 2 2 4 2 2 2" xfId="45641" xr:uid="{00000000-0005-0000-0000-0000E3B20000}"/>
    <cellStyle name="Output 2 2 4 2 2 2 2" xfId="45642" xr:uid="{00000000-0005-0000-0000-0000E4B20000}"/>
    <cellStyle name="Output 2 2 4 2 2 2 3" xfId="45643" xr:uid="{00000000-0005-0000-0000-0000E5B20000}"/>
    <cellStyle name="Output 2 2 4 2 2 2 4" xfId="45644" xr:uid="{00000000-0005-0000-0000-0000E6B20000}"/>
    <cellStyle name="Output 2 2 4 2 2 3" xfId="45645" xr:uid="{00000000-0005-0000-0000-0000E7B20000}"/>
    <cellStyle name="Output 2 2 4 2 2 3 2" xfId="45646" xr:uid="{00000000-0005-0000-0000-0000E8B20000}"/>
    <cellStyle name="Output 2 2 4 2 2 3 3" xfId="45647" xr:uid="{00000000-0005-0000-0000-0000E9B20000}"/>
    <cellStyle name="Output 2 2 4 2 2 3 4" xfId="45648" xr:uid="{00000000-0005-0000-0000-0000EAB20000}"/>
    <cellStyle name="Output 2 2 4 2 2 4" xfId="45649" xr:uid="{00000000-0005-0000-0000-0000EBB20000}"/>
    <cellStyle name="Output 2 2 4 2 2 5" xfId="45650" xr:uid="{00000000-0005-0000-0000-0000ECB20000}"/>
    <cellStyle name="Output 2 2 4 2 2 6" xfId="45651" xr:uid="{00000000-0005-0000-0000-0000EDB20000}"/>
    <cellStyle name="Output 2 2 4 2 3" xfId="45652" xr:uid="{00000000-0005-0000-0000-0000EEB20000}"/>
    <cellStyle name="Output 2 2 4 2 3 2" xfId="45653" xr:uid="{00000000-0005-0000-0000-0000EFB20000}"/>
    <cellStyle name="Output 2 2 4 2 3 2 2" xfId="45654" xr:uid="{00000000-0005-0000-0000-0000F0B20000}"/>
    <cellStyle name="Output 2 2 4 2 3 2 3" xfId="45655" xr:uid="{00000000-0005-0000-0000-0000F1B20000}"/>
    <cellStyle name="Output 2 2 4 2 3 2 4" xfId="45656" xr:uid="{00000000-0005-0000-0000-0000F2B20000}"/>
    <cellStyle name="Output 2 2 4 2 3 3" xfId="45657" xr:uid="{00000000-0005-0000-0000-0000F3B20000}"/>
    <cellStyle name="Output 2 2 4 2 3 3 2" xfId="45658" xr:uid="{00000000-0005-0000-0000-0000F4B20000}"/>
    <cellStyle name="Output 2 2 4 2 3 3 3" xfId="45659" xr:uid="{00000000-0005-0000-0000-0000F5B20000}"/>
    <cellStyle name="Output 2 2 4 2 3 3 4" xfId="45660" xr:uid="{00000000-0005-0000-0000-0000F6B20000}"/>
    <cellStyle name="Output 2 2 4 2 3 4" xfId="45661" xr:uid="{00000000-0005-0000-0000-0000F7B20000}"/>
    <cellStyle name="Output 2 2 4 2 3 5" xfId="45662" xr:uid="{00000000-0005-0000-0000-0000F8B20000}"/>
    <cellStyle name="Output 2 2 4 2 3 6" xfId="45663" xr:uid="{00000000-0005-0000-0000-0000F9B20000}"/>
    <cellStyle name="Output 2 2 4 2 4" xfId="45664" xr:uid="{00000000-0005-0000-0000-0000FAB20000}"/>
    <cellStyle name="Output 2 2 4 2 5" xfId="45665" xr:uid="{00000000-0005-0000-0000-0000FBB20000}"/>
    <cellStyle name="Output 2 2 4 2 6" xfId="45666" xr:uid="{00000000-0005-0000-0000-0000FCB20000}"/>
    <cellStyle name="Output 2 2 4 3" xfId="45667" xr:uid="{00000000-0005-0000-0000-0000FDB20000}"/>
    <cellStyle name="Output 2 2 4 4" xfId="45668" xr:uid="{00000000-0005-0000-0000-0000FEB20000}"/>
    <cellStyle name="Output 2 2 5" xfId="45669" xr:uid="{00000000-0005-0000-0000-0000FFB20000}"/>
    <cellStyle name="Output 2 2 5 2" xfId="45670" xr:uid="{00000000-0005-0000-0000-000000B30000}"/>
    <cellStyle name="Output 2 2 5 2 2" xfId="45671" xr:uid="{00000000-0005-0000-0000-000001B30000}"/>
    <cellStyle name="Output 2 2 5 2 3" xfId="45672" xr:uid="{00000000-0005-0000-0000-000002B30000}"/>
    <cellStyle name="Output 2 2 5 2 4" xfId="45673" xr:uid="{00000000-0005-0000-0000-000003B30000}"/>
    <cellStyle name="Output 2 2 5 3" xfId="45674" xr:uid="{00000000-0005-0000-0000-000004B30000}"/>
    <cellStyle name="Output 2 2 5 3 2" xfId="45675" xr:uid="{00000000-0005-0000-0000-000005B30000}"/>
    <cellStyle name="Output 2 2 5 3 2 2" xfId="45676" xr:uid="{00000000-0005-0000-0000-000006B30000}"/>
    <cellStyle name="Output 2 2 5 3 2 3" xfId="45677" xr:uid="{00000000-0005-0000-0000-000007B30000}"/>
    <cellStyle name="Output 2 2 5 3 2 4" xfId="45678" xr:uid="{00000000-0005-0000-0000-000008B30000}"/>
    <cellStyle name="Output 2 2 5 3 3" xfId="45679" xr:uid="{00000000-0005-0000-0000-000009B30000}"/>
    <cellStyle name="Output 2 2 5 3 3 2" xfId="45680" xr:uid="{00000000-0005-0000-0000-00000AB30000}"/>
    <cellStyle name="Output 2 2 5 3 3 3" xfId="45681" xr:uid="{00000000-0005-0000-0000-00000BB30000}"/>
    <cellStyle name="Output 2 2 5 3 3 4" xfId="45682" xr:uid="{00000000-0005-0000-0000-00000CB30000}"/>
    <cellStyle name="Output 2 2 5 3 4" xfId="45683" xr:uid="{00000000-0005-0000-0000-00000DB30000}"/>
    <cellStyle name="Output 2 2 5 3 5" xfId="45684" xr:uid="{00000000-0005-0000-0000-00000EB30000}"/>
    <cellStyle name="Output 2 2 5 3 6" xfId="45685" xr:uid="{00000000-0005-0000-0000-00000FB30000}"/>
    <cellStyle name="Output 2 2 5 4" xfId="45686" xr:uid="{00000000-0005-0000-0000-000010B30000}"/>
    <cellStyle name="Output 2 2 5 5" xfId="45687" xr:uid="{00000000-0005-0000-0000-000011B30000}"/>
    <cellStyle name="Output 2 2 6" xfId="45688" xr:uid="{00000000-0005-0000-0000-000012B30000}"/>
    <cellStyle name="Output 2 2 6 2" xfId="45689" xr:uid="{00000000-0005-0000-0000-000013B30000}"/>
    <cellStyle name="Output 2 2 6 2 2" xfId="45690" xr:uid="{00000000-0005-0000-0000-000014B30000}"/>
    <cellStyle name="Output 2 2 6 2 3" xfId="45691" xr:uid="{00000000-0005-0000-0000-000015B30000}"/>
    <cellStyle name="Output 2 2 6 2 4" xfId="45692" xr:uid="{00000000-0005-0000-0000-000016B30000}"/>
    <cellStyle name="Output 2 2 6 3" xfId="45693" xr:uid="{00000000-0005-0000-0000-000017B30000}"/>
    <cellStyle name="Output 2 2 6 3 2" xfId="45694" xr:uid="{00000000-0005-0000-0000-000018B30000}"/>
    <cellStyle name="Output 2 2 6 3 2 2" xfId="45695" xr:uid="{00000000-0005-0000-0000-000019B30000}"/>
    <cellStyle name="Output 2 2 6 3 2 3" xfId="45696" xr:uid="{00000000-0005-0000-0000-00001AB30000}"/>
    <cellStyle name="Output 2 2 6 3 2 4" xfId="45697" xr:uid="{00000000-0005-0000-0000-00001BB30000}"/>
    <cellStyle name="Output 2 2 6 3 3" xfId="45698" xr:uid="{00000000-0005-0000-0000-00001CB30000}"/>
    <cellStyle name="Output 2 2 6 3 3 2" xfId="45699" xr:uid="{00000000-0005-0000-0000-00001DB30000}"/>
    <cellStyle name="Output 2 2 6 3 3 3" xfId="45700" xr:uid="{00000000-0005-0000-0000-00001EB30000}"/>
    <cellStyle name="Output 2 2 6 3 3 4" xfId="45701" xr:uid="{00000000-0005-0000-0000-00001FB30000}"/>
    <cellStyle name="Output 2 2 6 3 4" xfId="45702" xr:uid="{00000000-0005-0000-0000-000020B30000}"/>
    <cellStyle name="Output 2 2 6 3 5" xfId="45703" xr:uid="{00000000-0005-0000-0000-000021B30000}"/>
    <cellStyle name="Output 2 2 6 3 6" xfId="45704" xr:uid="{00000000-0005-0000-0000-000022B30000}"/>
    <cellStyle name="Output 2 2 6 4" xfId="45705" xr:uid="{00000000-0005-0000-0000-000023B30000}"/>
    <cellStyle name="Output 2 2 6 5" xfId="45706" xr:uid="{00000000-0005-0000-0000-000024B30000}"/>
    <cellStyle name="Output 2 2 7" xfId="45707" xr:uid="{00000000-0005-0000-0000-000025B30000}"/>
    <cellStyle name="Output 2 2 7 2" xfId="45708" xr:uid="{00000000-0005-0000-0000-000026B30000}"/>
    <cellStyle name="Output 2 2 7 2 2" xfId="45709" xr:uid="{00000000-0005-0000-0000-000027B30000}"/>
    <cellStyle name="Output 2 2 7 2 3" xfId="45710" xr:uid="{00000000-0005-0000-0000-000028B30000}"/>
    <cellStyle name="Output 2 2 7 2 4" xfId="45711" xr:uid="{00000000-0005-0000-0000-000029B30000}"/>
    <cellStyle name="Output 2 2 7 3" xfId="45712" xr:uid="{00000000-0005-0000-0000-00002AB30000}"/>
    <cellStyle name="Output 2 2 7 3 2" xfId="45713" xr:uid="{00000000-0005-0000-0000-00002BB30000}"/>
    <cellStyle name="Output 2 2 7 3 2 2" xfId="45714" xr:uid="{00000000-0005-0000-0000-00002CB30000}"/>
    <cellStyle name="Output 2 2 7 3 2 3" xfId="45715" xr:uid="{00000000-0005-0000-0000-00002DB30000}"/>
    <cellStyle name="Output 2 2 7 3 2 4" xfId="45716" xr:uid="{00000000-0005-0000-0000-00002EB30000}"/>
    <cellStyle name="Output 2 2 7 3 3" xfId="45717" xr:uid="{00000000-0005-0000-0000-00002FB30000}"/>
    <cellStyle name="Output 2 2 7 3 3 2" xfId="45718" xr:uid="{00000000-0005-0000-0000-000030B30000}"/>
    <cellStyle name="Output 2 2 7 3 3 3" xfId="45719" xr:uid="{00000000-0005-0000-0000-000031B30000}"/>
    <cellStyle name="Output 2 2 7 3 3 4" xfId="45720" xr:uid="{00000000-0005-0000-0000-000032B30000}"/>
    <cellStyle name="Output 2 2 7 3 4" xfId="45721" xr:uid="{00000000-0005-0000-0000-000033B30000}"/>
    <cellStyle name="Output 2 2 7 3 5" xfId="45722" xr:uid="{00000000-0005-0000-0000-000034B30000}"/>
    <cellStyle name="Output 2 2 7 3 6" xfId="45723" xr:uid="{00000000-0005-0000-0000-000035B30000}"/>
    <cellStyle name="Output 2 2 7 4" xfId="45724" xr:uid="{00000000-0005-0000-0000-000036B30000}"/>
    <cellStyle name="Output 2 2 7 5" xfId="45725" xr:uid="{00000000-0005-0000-0000-000037B30000}"/>
    <cellStyle name="Output 2 2 8" xfId="45726" xr:uid="{00000000-0005-0000-0000-000038B30000}"/>
    <cellStyle name="Output 2 2 8 2" xfId="45727" xr:uid="{00000000-0005-0000-0000-000039B30000}"/>
    <cellStyle name="Output 2 2 8 2 2" xfId="45728" xr:uid="{00000000-0005-0000-0000-00003AB30000}"/>
    <cellStyle name="Output 2 2 8 2 3" xfId="45729" xr:uid="{00000000-0005-0000-0000-00003BB30000}"/>
    <cellStyle name="Output 2 2 8 2 4" xfId="45730" xr:uid="{00000000-0005-0000-0000-00003CB30000}"/>
    <cellStyle name="Output 2 2 8 3" xfId="45731" xr:uid="{00000000-0005-0000-0000-00003DB30000}"/>
    <cellStyle name="Output 2 2 8 3 2" xfId="45732" xr:uid="{00000000-0005-0000-0000-00003EB30000}"/>
    <cellStyle name="Output 2 2 8 3 2 2" xfId="45733" xr:uid="{00000000-0005-0000-0000-00003FB30000}"/>
    <cellStyle name="Output 2 2 8 3 2 3" xfId="45734" xr:uid="{00000000-0005-0000-0000-000040B30000}"/>
    <cellStyle name="Output 2 2 8 3 2 4" xfId="45735" xr:uid="{00000000-0005-0000-0000-000041B30000}"/>
    <cellStyle name="Output 2 2 8 3 3" xfId="45736" xr:uid="{00000000-0005-0000-0000-000042B30000}"/>
    <cellStyle name="Output 2 2 8 3 3 2" xfId="45737" xr:uid="{00000000-0005-0000-0000-000043B30000}"/>
    <cellStyle name="Output 2 2 8 3 3 3" xfId="45738" xr:uid="{00000000-0005-0000-0000-000044B30000}"/>
    <cellStyle name="Output 2 2 8 3 3 4" xfId="45739" xr:uid="{00000000-0005-0000-0000-000045B30000}"/>
    <cellStyle name="Output 2 2 8 3 4" xfId="45740" xr:uid="{00000000-0005-0000-0000-000046B30000}"/>
    <cellStyle name="Output 2 2 8 3 5" xfId="45741" xr:uid="{00000000-0005-0000-0000-000047B30000}"/>
    <cellStyle name="Output 2 2 8 3 6" xfId="45742" xr:uid="{00000000-0005-0000-0000-000048B30000}"/>
    <cellStyle name="Output 2 2 8 4" xfId="45743" xr:uid="{00000000-0005-0000-0000-000049B30000}"/>
    <cellStyle name="Output 2 2 8 5" xfId="45744" xr:uid="{00000000-0005-0000-0000-00004AB30000}"/>
    <cellStyle name="Output 2 2 9" xfId="45745" xr:uid="{00000000-0005-0000-0000-00004BB30000}"/>
    <cellStyle name="Output 2 2 9 2" xfId="45746" xr:uid="{00000000-0005-0000-0000-00004CB30000}"/>
    <cellStyle name="Output 2 2 9 2 2" xfId="45747" xr:uid="{00000000-0005-0000-0000-00004DB30000}"/>
    <cellStyle name="Output 2 2 9 2 3" xfId="45748" xr:uid="{00000000-0005-0000-0000-00004EB30000}"/>
    <cellStyle name="Output 2 2 9 2 4" xfId="45749" xr:uid="{00000000-0005-0000-0000-00004FB30000}"/>
    <cellStyle name="Output 2 2 9 3" xfId="45750" xr:uid="{00000000-0005-0000-0000-000050B30000}"/>
    <cellStyle name="Output 2 2 9 3 2" xfId="45751" xr:uid="{00000000-0005-0000-0000-000051B30000}"/>
    <cellStyle name="Output 2 2 9 3 2 2" xfId="45752" xr:uid="{00000000-0005-0000-0000-000052B30000}"/>
    <cellStyle name="Output 2 2 9 3 2 3" xfId="45753" xr:uid="{00000000-0005-0000-0000-000053B30000}"/>
    <cellStyle name="Output 2 2 9 3 2 4" xfId="45754" xr:uid="{00000000-0005-0000-0000-000054B30000}"/>
    <cellStyle name="Output 2 2 9 3 3" xfId="45755" xr:uid="{00000000-0005-0000-0000-000055B30000}"/>
    <cellStyle name="Output 2 2 9 3 3 2" xfId="45756" xr:uid="{00000000-0005-0000-0000-000056B30000}"/>
    <cellStyle name="Output 2 2 9 3 3 3" xfId="45757" xr:uid="{00000000-0005-0000-0000-000057B30000}"/>
    <cellStyle name="Output 2 2 9 3 3 4" xfId="45758" xr:uid="{00000000-0005-0000-0000-000058B30000}"/>
    <cellStyle name="Output 2 2 9 3 4" xfId="45759" xr:uid="{00000000-0005-0000-0000-000059B30000}"/>
    <cellStyle name="Output 2 2 9 3 5" xfId="45760" xr:uid="{00000000-0005-0000-0000-00005AB30000}"/>
    <cellStyle name="Output 2 2 9 3 6" xfId="45761" xr:uid="{00000000-0005-0000-0000-00005BB30000}"/>
    <cellStyle name="Output 2 2 9 4" xfId="45762" xr:uid="{00000000-0005-0000-0000-00005CB30000}"/>
    <cellStyle name="Output 2 2 9 5" xfId="45763" xr:uid="{00000000-0005-0000-0000-00005DB30000}"/>
    <cellStyle name="Output 2 3" xfId="45764" xr:uid="{00000000-0005-0000-0000-00005EB30000}"/>
    <cellStyle name="Output 2 3 2" xfId="45765" xr:uid="{00000000-0005-0000-0000-00005FB30000}"/>
    <cellStyle name="Output 2 3 2 2" xfId="45766" xr:uid="{00000000-0005-0000-0000-000060B30000}"/>
    <cellStyle name="Output 2 3 2 3" xfId="45767" xr:uid="{00000000-0005-0000-0000-000061B30000}"/>
    <cellStyle name="Output 2 3 2 4" xfId="45768" xr:uid="{00000000-0005-0000-0000-000062B30000}"/>
    <cellStyle name="Output 2 3 3" xfId="45769" xr:uid="{00000000-0005-0000-0000-000063B30000}"/>
    <cellStyle name="Output 2 3 3 2" xfId="45770" xr:uid="{00000000-0005-0000-0000-000064B30000}"/>
    <cellStyle name="Output 2 3 3 2 2" xfId="45771" xr:uid="{00000000-0005-0000-0000-000065B30000}"/>
    <cellStyle name="Output 2 3 3 2 3" xfId="45772" xr:uid="{00000000-0005-0000-0000-000066B30000}"/>
    <cellStyle name="Output 2 3 3 2 4" xfId="45773" xr:uid="{00000000-0005-0000-0000-000067B30000}"/>
    <cellStyle name="Output 2 3 3 3" xfId="45774" xr:uid="{00000000-0005-0000-0000-000068B30000}"/>
    <cellStyle name="Output 2 3 3 3 2" xfId="45775" xr:uid="{00000000-0005-0000-0000-000069B30000}"/>
    <cellStyle name="Output 2 3 3 3 3" xfId="45776" xr:uid="{00000000-0005-0000-0000-00006AB30000}"/>
    <cellStyle name="Output 2 3 3 3 4" xfId="45777" xr:uid="{00000000-0005-0000-0000-00006BB30000}"/>
    <cellStyle name="Output 2 3 3 4" xfId="45778" xr:uid="{00000000-0005-0000-0000-00006CB30000}"/>
    <cellStyle name="Output 2 3 3 5" xfId="45779" xr:uid="{00000000-0005-0000-0000-00006DB30000}"/>
    <cellStyle name="Output 2 3 3 6" xfId="45780" xr:uid="{00000000-0005-0000-0000-00006EB30000}"/>
    <cellStyle name="Output 2 3 4" xfId="45781" xr:uid="{00000000-0005-0000-0000-00006FB30000}"/>
    <cellStyle name="Output 2 3 5" xfId="45782" xr:uid="{00000000-0005-0000-0000-000070B30000}"/>
    <cellStyle name="Output 2 4" xfId="45783" xr:uid="{00000000-0005-0000-0000-000071B30000}"/>
    <cellStyle name="Output 2 4 2" xfId="45784" xr:uid="{00000000-0005-0000-0000-000072B30000}"/>
    <cellStyle name="Output 2 4 2 2" xfId="45785" xr:uid="{00000000-0005-0000-0000-000073B30000}"/>
    <cellStyle name="Output 2 4 2 2 2" xfId="45786" xr:uid="{00000000-0005-0000-0000-000074B30000}"/>
    <cellStyle name="Output 2 4 2 2 3" xfId="45787" xr:uid="{00000000-0005-0000-0000-000075B30000}"/>
    <cellStyle name="Output 2 4 2 2 4" xfId="45788" xr:uid="{00000000-0005-0000-0000-000076B30000}"/>
    <cellStyle name="Output 2 4 2 3" xfId="45789" xr:uid="{00000000-0005-0000-0000-000077B30000}"/>
    <cellStyle name="Output 2 4 2 3 2" xfId="45790" xr:uid="{00000000-0005-0000-0000-000078B30000}"/>
    <cellStyle name="Output 2 4 2 3 3" xfId="45791" xr:uid="{00000000-0005-0000-0000-000079B30000}"/>
    <cellStyle name="Output 2 4 2 3 4" xfId="45792" xr:uid="{00000000-0005-0000-0000-00007AB30000}"/>
    <cellStyle name="Output 2 4 2 4" xfId="45793" xr:uid="{00000000-0005-0000-0000-00007BB30000}"/>
    <cellStyle name="Output 2 4 2 5" xfId="45794" xr:uid="{00000000-0005-0000-0000-00007CB30000}"/>
    <cellStyle name="Output 2 4 2 6" xfId="45795" xr:uid="{00000000-0005-0000-0000-00007DB30000}"/>
    <cellStyle name="Output 2 4 3" xfId="45796" xr:uid="{00000000-0005-0000-0000-00007EB30000}"/>
    <cellStyle name="Output 2 4 3 2" xfId="45797" xr:uid="{00000000-0005-0000-0000-00007FB30000}"/>
    <cellStyle name="Output 2 4 3 2 2" xfId="45798" xr:uid="{00000000-0005-0000-0000-000080B30000}"/>
    <cellStyle name="Output 2 4 3 2 3" xfId="45799" xr:uid="{00000000-0005-0000-0000-000081B30000}"/>
    <cellStyle name="Output 2 4 3 2 4" xfId="45800" xr:uid="{00000000-0005-0000-0000-000082B30000}"/>
    <cellStyle name="Output 2 4 3 3" xfId="45801" xr:uid="{00000000-0005-0000-0000-000083B30000}"/>
    <cellStyle name="Output 2 4 3 3 2" xfId="45802" xr:uid="{00000000-0005-0000-0000-000084B30000}"/>
    <cellStyle name="Output 2 4 3 3 3" xfId="45803" xr:uid="{00000000-0005-0000-0000-000085B30000}"/>
    <cellStyle name="Output 2 4 3 3 4" xfId="45804" xr:uid="{00000000-0005-0000-0000-000086B30000}"/>
    <cellStyle name="Output 2 4 3 4" xfId="45805" xr:uid="{00000000-0005-0000-0000-000087B30000}"/>
    <cellStyle name="Output 2 4 3 5" xfId="45806" xr:uid="{00000000-0005-0000-0000-000088B30000}"/>
    <cellStyle name="Output 2 4 3 6" xfId="45807" xr:uid="{00000000-0005-0000-0000-000089B30000}"/>
    <cellStyle name="Output 2 4 4" xfId="45808" xr:uid="{00000000-0005-0000-0000-00008AB30000}"/>
    <cellStyle name="Output 2 4 5" xfId="45809" xr:uid="{00000000-0005-0000-0000-00008BB30000}"/>
    <cellStyle name="Output 2 4 6" xfId="45810" xr:uid="{00000000-0005-0000-0000-00008CB30000}"/>
    <cellStyle name="Output 2 5" xfId="45811" xr:uid="{00000000-0005-0000-0000-00008DB30000}"/>
    <cellStyle name="Output 2 6" xfId="45812" xr:uid="{00000000-0005-0000-0000-00008EB30000}"/>
    <cellStyle name="Output 3" xfId="45813" xr:uid="{00000000-0005-0000-0000-00008FB30000}"/>
    <cellStyle name="Output 3 10" xfId="45814" xr:uid="{00000000-0005-0000-0000-000090B30000}"/>
    <cellStyle name="Output 3 10 2" xfId="45815" xr:uid="{00000000-0005-0000-0000-000091B30000}"/>
    <cellStyle name="Output 3 10 2 2" xfId="45816" xr:uid="{00000000-0005-0000-0000-000092B30000}"/>
    <cellStyle name="Output 3 10 2 3" xfId="45817" xr:uid="{00000000-0005-0000-0000-000093B30000}"/>
    <cellStyle name="Output 3 10 2 4" xfId="45818" xr:uid="{00000000-0005-0000-0000-000094B30000}"/>
    <cellStyle name="Output 3 10 3" xfId="45819" xr:uid="{00000000-0005-0000-0000-000095B30000}"/>
    <cellStyle name="Output 3 10 3 2" xfId="45820" xr:uid="{00000000-0005-0000-0000-000096B30000}"/>
    <cellStyle name="Output 3 10 3 2 2" xfId="45821" xr:uid="{00000000-0005-0000-0000-000097B30000}"/>
    <cellStyle name="Output 3 10 3 2 3" xfId="45822" xr:uid="{00000000-0005-0000-0000-000098B30000}"/>
    <cellStyle name="Output 3 10 3 2 4" xfId="45823" xr:uid="{00000000-0005-0000-0000-000099B30000}"/>
    <cellStyle name="Output 3 10 3 3" xfId="45824" xr:uid="{00000000-0005-0000-0000-00009AB30000}"/>
    <cellStyle name="Output 3 10 3 3 2" xfId="45825" xr:uid="{00000000-0005-0000-0000-00009BB30000}"/>
    <cellStyle name="Output 3 10 3 3 3" xfId="45826" xr:uid="{00000000-0005-0000-0000-00009CB30000}"/>
    <cellStyle name="Output 3 10 3 3 4" xfId="45827" xr:uid="{00000000-0005-0000-0000-00009DB30000}"/>
    <cellStyle name="Output 3 10 3 4" xfId="45828" xr:uid="{00000000-0005-0000-0000-00009EB30000}"/>
    <cellStyle name="Output 3 10 3 5" xfId="45829" xr:uid="{00000000-0005-0000-0000-00009FB30000}"/>
    <cellStyle name="Output 3 10 3 6" xfId="45830" xr:uid="{00000000-0005-0000-0000-0000A0B30000}"/>
    <cellStyle name="Output 3 10 4" xfId="45831" xr:uid="{00000000-0005-0000-0000-0000A1B30000}"/>
    <cellStyle name="Output 3 10 5" xfId="45832" xr:uid="{00000000-0005-0000-0000-0000A2B30000}"/>
    <cellStyle name="Output 3 11" xfId="45833" xr:uid="{00000000-0005-0000-0000-0000A3B30000}"/>
    <cellStyle name="Output 3 11 2" xfId="45834" xr:uid="{00000000-0005-0000-0000-0000A4B30000}"/>
    <cellStyle name="Output 3 11 2 2" xfId="45835" xr:uid="{00000000-0005-0000-0000-0000A5B30000}"/>
    <cellStyle name="Output 3 11 2 3" xfId="45836" xr:uid="{00000000-0005-0000-0000-0000A6B30000}"/>
    <cellStyle name="Output 3 11 2 4" xfId="45837" xr:uid="{00000000-0005-0000-0000-0000A7B30000}"/>
    <cellStyle name="Output 3 11 3" xfId="45838" xr:uid="{00000000-0005-0000-0000-0000A8B30000}"/>
    <cellStyle name="Output 3 11 3 2" xfId="45839" xr:uid="{00000000-0005-0000-0000-0000A9B30000}"/>
    <cellStyle name="Output 3 11 3 2 2" xfId="45840" xr:uid="{00000000-0005-0000-0000-0000AAB30000}"/>
    <cellStyle name="Output 3 11 3 2 3" xfId="45841" xr:uid="{00000000-0005-0000-0000-0000ABB30000}"/>
    <cellStyle name="Output 3 11 3 2 4" xfId="45842" xr:uid="{00000000-0005-0000-0000-0000ACB30000}"/>
    <cellStyle name="Output 3 11 3 3" xfId="45843" xr:uid="{00000000-0005-0000-0000-0000ADB30000}"/>
    <cellStyle name="Output 3 11 3 3 2" xfId="45844" xr:uid="{00000000-0005-0000-0000-0000AEB30000}"/>
    <cellStyle name="Output 3 11 3 3 3" xfId="45845" xr:uid="{00000000-0005-0000-0000-0000AFB30000}"/>
    <cellStyle name="Output 3 11 3 3 4" xfId="45846" xr:uid="{00000000-0005-0000-0000-0000B0B30000}"/>
    <cellStyle name="Output 3 11 3 4" xfId="45847" xr:uid="{00000000-0005-0000-0000-0000B1B30000}"/>
    <cellStyle name="Output 3 11 3 5" xfId="45848" xr:uid="{00000000-0005-0000-0000-0000B2B30000}"/>
    <cellStyle name="Output 3 11 3 6" xfId="45849" xr:uid="{00000000-0005-0000-0000-0000B3B30000}"/>
    <cellStyle name="Output 3 11 4" xfId="45850" xr:uid="{00000000-0005-0000-0000-0000B4B30000}"/>
    <cellStyle name="Output 3 11 5" xfId="45851" xr:uid="{00000000-0005-0000-0000-0000B5B30000}"/>
    <cellStyle name="Output 3 12" xfId="45852" xr:uid="{00000000-0005-0000-0000-0000B6B30000}"/>
    <cellStyle name="Output 3 12 2" xfId="45853" xr:uid="{00000000-0005-0000-0000-0000B7B30000}"/>
    <cellStyle name="Output 3 12 2 2" xfId="45854" xr:uid="{00000000-0005-0000-0000-0000B8B30000}"/>
    <cellStyle name="Output 3 12 2 2 2" xfId="45855" xr:uid="{00000000-0005-0000-0000-0000B9B30000}"/>
    <cellStyle name="Output 3 12 2 2 3" xfId="45856" xr:uid="{00000000-0005-0000-0000-0000BAB30000}"/>
    <cellStyle name="Output 3 12 2 2 4" xfId="45857" xr:uid="{00000000-0005-0000-0000-0000BBB30000}"/>
    <cellStyle name="Output 3 12 2 3" xfId="45858" xr:uid="{00000000-0005-0000-0000-0000BCB30000}"/>
    <cellStyle name="Output 3 12 2 3 2" xfId="45859" xr:uid="{00000000-0005-0000-0000-0000BDB30000}"/>
    <cellStyle name="Output 3 12 2 3 3" xfId="45860" xr:uid="{00000000-0005-0000-0000-0000BEB30000}"/>
    <cellStyle name="Output 3 12 2 3 4" xfId="45861" xr:uid="{00000000-0005-0000-0000-0000BFB30000}"/>
    <cellStyle name="Output 3 12 2 4" xfId="45862" xr:uid="{00000000-0005-0000-0000-0000C0B30000}"/>
    <cellStyle name="Output 3 12 2 5" xfId="45863" xr:uid="{00000000-0005-0000-0000-0000C1B30000}"/>
    <cellStyle name="Output 3 12 2 6" xfId="45864" xr:uid="{00000000-0005-0000-0000-0000C2B30000}"/>
    <cellStyle name="Output 3 12 3" xfId="45865" xr:uid="{00000000-0005-0000-0000-0000C3B30000}"/>
    <cellStyle name="Output 3 12 3 2" xfId="45866" xr:uid="{00000000-0005-0000-0000-0000C4B30000}"/>
    <cellStyle name="Output 3 12 3 2 2" xfId="45867" xr:uid="{00000000-0005-0000-0000-0000C5B30000}"/>
    <cellStyle name="Output 3 12 3 2 3" xfId="45868" xr:uid="{00000000-0005-0000-0000-0000C6B30000}"/>
    <cellStyle name="Output 3 12 3 2 4" xfId="45869" xr:uid="{00000000-0005-0000-0000-0000C7B30000}"/>
    <cellStyle name="Output 3 12 3 3" xfId="45870" xr:uid="{00000000-0005-0000-0000-0000C8B30000}"/>
    <cellStyle name="Output 3 12 3 3 2" xfId="45871" xr:uid="{00000000-0005-0000-0000-0000C9B30000}"/>
    <cellStyle name="Output 3 12 3 3 3" xfId="45872" xr:uid="{00000000-0005-0000-0000-0000CAB30000}"/>
    <cellStyle name="Output 3 12 3 3 4" xfId="45873" xr:uid="{00000000-0005-0000-0000-0000CBB30000}"/>
    <cellStyle name="Output 3 12 3 4" xfId="45874" xr:uid="{00000000-0005-0000-0000-0000CCB30000}"/>
    <cellStyle name="Output 3 12 3 5" xfId="45875" xr:uid="{00000000-0005-0000-0000-0000CDB30000}"/>
    <cellStyle name="Output 3 12 3 6" xfId="45876" xr:uid="{00000000-0005-0000-0000-0000CEB30000}"/>
    <cellStyle name="Output 3 12 4" xfId="45877" xr:uid="{00000000-0005-0000-0000-0000CFB30000}"/>
    <cellStyle name="Output 3 12 5" xfId="45878" xr:uid="{00000000-0005-0000-0000-0000D0B30000}"/>
    <cellStyle name="Output 3 12 6" xfId="45879" xr:uid="{00000000-0005-0000-0000-0000D1B30000}"/>
    <cellStyle name="Output 3 13" xfId="45880" xr:uid="{00000000-0005-0000-0000-0000D2B30000}"/>
    <cellStyle name="Output 3 14" xfId="45881" xr:uid="{00000000-0005-0000-0000-0000D3B30000}"/>
    <cellStyle name="Output 3 15" xfId="58783" xr:uid="{00000000-0005-0000-0000-0000D4B30000}"/>
    <cellStyle name="Output 3 2" xfId="45882" xr:uid="{00000000-0005-0000-0000-0000D5B30000}"/>
    <cellStyle name="Output 3 2 2" xfId="45883" xr:uid="{00000000-0005-0000-0000-0000D6B30000}"/>
    <cellStyle name="Output 3 2 2 2" xfId="45884" xr:uid="{00000000-0005-0000-0000-0000D7B30000}"/>
    <cellStyle name="Output 3 2 2 2 2" xfId="45885" xr:uid="{00000000-0005-0000-0000-0000D8B30000}"/>
    <cellStyle name="Output 3 2 2 2 2 2" xfId="45886" xr:uid="{00000000-0005-0000-0000-0000D9B30000}"/>
    <cellStyle name="Output 3 2 2 2 2 3" xfId="45887" xr:uid="{00000000-0005-0000-0000-0000DAB30000}"/>
    <cellStyle name="Output 3 2 2 2 2 4" xfId="45888" xr:uid="{00000000-0005-0000-0000-0000DBB30000}"/>
    <cellStyle name="Output 3 2 2 2 3" xfId="45889" xr:uid="{00000000-0005-0000-0000-0000DCB30000}"/>
    <cellStyle name="Output 3 2 2 2 3 2" xfId="45890" xr:uid="{00000000-0005-0000-0000-0000DDB30000}"/>
    <cellStyle name="Output 3 2 2 2 3 3" xfId="45891" xr:uid="{00000000-0005-0000-0000-0000DEB30000}"/>
    <cellStyle name="Output 3 2 2 2 3 4" xfId="45892" xr:uid="{00000000-0005-0000-0000-0000DFB30000}"/>
    <cellStyle name="Output 3 2 2 2 4" xfId="45893" xr:uid="{00000000-0005-0000-0000-0000E0B30000}"/>
    <cellStyle name="Output 3 2 2 2 5" xfId="45894" xr:uid="{00000000-0005-0000-0000-0000E1B30000}"/>
    <cellStyle name="Output 3 2 2 2 6" xfId="45895" xr:uid="{00000000-0005-0000-0000-0000E2B30000}"/>
    <cellStyle name="Output 3 2 2 3" xfId="45896" xr:uid="{00000000-0005-0000-0000-0000E3B30000}"/>
    <cellStyle name="Output 3 2 2 3 2" xfId="45897" xr:uid="{00000000-0005-0000-0000-0000E4B30000}"/>
    <cellStyle name="Output 3 2 2 3 2 2" xfId="45898" xr:uid="{00000000-0005-0000-0000-0000E5B30000}"/>
    <cellStyle name="Output 3 2 2 3 2 3" xfId="45899" xr:uid="{00000000-0005-0000-0000-0000E6B30000}"/>
    <cellStyle name="Output 3 2 2 3 2 4" xfId="45900" xr:uid="{00000000-0005-0000-0000-0000E7B30000}"/>
    <cellStyle name="Output 3 2 2 3 3" xfId="45901" xr:uid="{00000000-0005-0000-0000-0000E8B30000}"/>
    <cellStyle name="Output 3 2 2 3 3 2" xfId="45902" xr:uid="{00000000-0005-0000-0000-0000E9B30000}"/>
    <cellStyle name="Output 3 2 2 3 3 3" xfId="45903" xr:uid="{00000000-0005-0000-0000-0000EAB30000}"/>
    <cellStyle name="Output 3 2 2 3 3 4" xfId="45904" xr:uid="{00000000-0005-0000-0000-0000EBB30000}"/>
    <cellStyle name="Output 3 2 2 3 4" xfId="45905" xr:uid="{00000000-0005-0000-0000-0000ECB30000}"/>
    <cellStyle name="Output 3 2 2 3 5" xfId="45906" xr:uid="{00000000-0005-0000-0000-0000EDB30000}"/>
    <cellStyle name="Output 3 2 2 3 6" xfId="45907" xr:uid="{00000000-0005-0000-0000-0000EEB30000}"/>
    <cellStyle name="Output 3 2 2 4" xfId="45908" xr:uid="{00000000-0005-0000-0000-0000EFB30000}"/>
    <cellStyle name="Output 3 2 2 5" xfId="45909" xr:uid="{00000000-0005-0000-0000-0000F0B30000}"/>
    <cellStyle name="Output 3 2 2 6" xfId="45910" xr:uid="{00000000-0005-0000-0000-0000F1B30000}"/>
    <cellStyle name="Output 3 2 3" xfId="45911" xr:uid="{00000000-0005-0000-0000-0000F2B30000}"/>
    <cellStyle name="Output 3 2 4" xfId="45912" xr:uid="{00000000-0005-0000-0000-0000F3B30000}"/>
    <cellStyle name="Output 3 3" xfId="45913" xr:uid="{00000000-0005-0000-0000-0000F4B30000}"/>
    <cellStyle name="Output 3 3 2" xfId="45914" xr:uid="{00000000-0005-0000-0000-0000F5B30000}"/>
    <cellStyle name="Output 3 3 2 2" xfId="45915" xr:uid="{00000000-0005-0000-0000-0000F6B30000}"/>
    <cellStyle name="Output 3 3 2 2 2" xfId="45916" xr:uid="{00000000-0005-0000-0000-0000F7B30000}"/>
    <cellStyle name="Output 3 3 2 2 2 2" xfId="45917" xr:uid="{00000000-0005-0000-0000-0000F8B30000}"/>
    <cellStyle name="Output 3 3 2 2 2 3" xfId="45918" xr:uid="{00000000-0005-0000-0000-0000F9B30000}"/>
    <cellStyle name="Output 3 3 2 2 2 4" xfId="45919" xr:uid="{00000000-0005-0000-0000-0000FAB30000}"/>
    <cellStyle name="Output 3 3 2 2 3" xfId="45920" xr:uid="{00000000-0005-0000-0000-0000FBB30000}"/>
    <cellStyle name="Output 3 3 2 2 3 2" xfId="45921" xr:uid="{00000000-0005-0000-0000-0000FCB30000}"/>
    <cellStyle name="Output 3 3 2 2 3 3" xfId="45922" xr:uid="{00000000-0005-0000-0000-0000FDB30000}"/>
    <cellStyle name="Output 3 3 2 2 3 4" xfId="45923" xr:uid="{00000000-0005-0000-0000-0000FEB30000}"/>
    <cellStyle name="Output 3 3 2 2 4" xfId="45924" xr:uid="{00000000-0005-0000-0000-0000FFB30000}"/>
    <cellStyle name="Output 3 3 2 2 5" xfId="45925" xr:uid="{00000000-0005-0000-0000-000000B40000}"/>
    <cellStyle name="Output 3 3 2 2 6" xfId="45926" xr:uid="{00000000-0005-0000-0000-000001B40000}"/>
    <cellStyle name="Output 3 3 2 3" xfId="45927" xr:uid="{00000000-0005-0000-0000-000002B40000}"/>
    <cellStyle name="Output 3 3 2 3 2" xfId="45928" xr:uid="{00000000-0005-0000-0000-000003B40000}"/>
    <cellStyle name="Output 3 3 2 3 2 2" xfId="45929" xr:uid="{00000000-0005-0000-0000-000004B40000}"/>
    <cellStyle name="Output 3 3 2 3 2 3" xfId="45930" xr:uid="{00000000-0005-0000-0000-000005B40000}"/>
    <cellStyle name="Output 3 3 2 3 2 4" xfId="45931" xr:uid="{00000000-0005-0000-0000-000006B40000}"/>
    <cellStyle name="Output 3 3 2 3 3" xfId="45932" xr:uid="{00000000-0005-0000-0000-000007B40000}"/>
    <cellStyle name="Output 3 3 2 3 3 2" xfId="45933" xr:uid="{00000000-0005-0000-0000-000008B40000}"/>
    <cellStyle name="Output 3 3 2 3 3 3" xfId="45934" xr:uid="{00000000-0005-0000-0000-000009B40000}"/>
    <cellStyle name="Output 3 3 2 3 3 4" xfId="45935" xr:uid="{00000000-0005-0000-0000-00000AB40000}"/>
    <cellStyle name="Output 3 3 2 3 4" xfId="45936" xr:uid="{00000000-0005-0000-0000-00000BB40000}"/>
    <cellStyle name="Output 3 3 2 3 5" xfId="45937" xr:uid="{00000000-0005-0000-0000-00000CB40000}"/>
    <cellStyle name="Output 3 3 2 3 6" xfId="45938" xr:uid="{00000000-0005-0000-0000-00000DB40000}"/>
    <cellStyle name="Output 3 3 2 4" xfId="45939" xr:uid="{00000000-0005-0000-0000-00000EB40000}"/>
    <cellStyle name="Output 3 3 2 5" xfId="45940" xr:uid="{00000000-0005-0000-0000-00000FB40000}"/>
    <cellStyle name="Output 3 3 2 6" xfId="45941" xr:uid="{00000000-0005-0000-0000-000010B40000}"/>
    <cellStyle name="Output 3 3 3" xfId="45942" xr:uid="{00000000-0005-0000-0000-000011B40000}"/>
    <cellStyle name="Output 3 3 4" xfId="45943" xr:uid="{00000000-0005-0000-0000-000012B40000}"/>
    <cellStyle name="Output 3 4" xfId="45944" xr:uid="{00000000-0005-0000-0000-000013B40000}"/>
    <cellStyle name="Output 3 4 2" xfId="45945" xr:uid="{00000000-0005-0000-0000-000014B40000}"/>
    <cellStyle name="Output 3 4 2 2" xfId="45946" xr:uid="{00000000-0005-0000-0000-000015B40000}"/>
    <cellStyle name="Output 3 4 2 2 2" xfId="45947" xr:uid="{00000000-0005-0000-0000-000016B40000}"/>
    <cellStyle name="Output 3 4 2 2 2 2" xfId="45948" xr:uid="{00000000-0005-0000-0000-000017B40000}"/>
    <cellStyle name="Output 3 4 2 2 2 3" xfId="45949" xr:uid="{00000000-0005-0000-0000-000018B40000}"/>
    <cellStyle name="Output 3 4 2 2 2 4" xfId="45950" xr:uid="{00000000-0005-0000-0000-000019B40000}"/>
    <cellStyle name="Output 3 4 2 2 3" xfId="45951" xr:uid="{00000000-0005-0000-0000-00001AB40000}"/>
    <cellStyle name="Output 3 4 2 2 3 2" xfId="45952" xr:uid="{00000000-0005-0000-0000-00001BB40000}"/>
    <cellStyle name="Output 3 4 2 2 3 3" xfId="45953" xr:uid="{00000000-0005-0000-0000-00001CB40000}"/>
    <cellStyle name="Output 3 4 2 2 3 4" xfId="45954" xr:uid="{00000000-0005-0000-0000-00001DB40000}"/>
    <cellStyle name="Output 3 4 2 2 4" xfId="45955" xr:uid="{00000000-0005-0000-0000-00001EB40000}"/>
    <cellStyle name="Output 3 4 2 2 5" xfId="45956" xr:uid="{00000000-0005-0000-0000-00001FB40000}"/>
    <cellStyle name="Output 3 4 2 2 6" xfId="45957" xr:uid="{00000000-0005-0000-0000-000020B40000}"/>
    <cellStyle name="Output 3 4 2 3" xfId="45958" xr:uid="{00000000-0005-0000-0000-000021B40000}"/>
    <cellStyle name="Output 3 4 2 3 2" xfId="45959" xr:uid="{00000000-0005-0000-0000-000022B40000}"/>
    <cellStyle name="Output 3 4 2 3 2 2" xfId="45960" xr:uid="{00000000-0005-0000-0000-000023B40000}"/>
    <cellStyle name="Output 3 4 2 3 2 3" xfId="45961" xr:uid="{00000000-0005-0000-0000-000024B40000}"/>
    <cellStyle name="Output 3 4 2 3 2 4" xfId="45962" xr:uid="{00000000-0005-0000-0000-000025B40000}"/>
    <cellStyle name="Output 3 4 2 3 3" xfId="45963" xr:uid="{00000000-0005-0000-0000-000026B40000}"/>
    <cellStyle name="Output 3 4 2 3 3 2" xfId="45964" xr:uid="{00000000-0005-0000-0000-000027B40000}"/>
    <cellStyle name="Output 3 4 2 3 3 3" xfId="45965" xr:uid="{00000000-0005-0000-0000-000028B40000}"/>
    <cellStyle name="Output 3 4 2 3 3 4" xfId="45966" xr:uid="{00000000-0005-0000-0000-000029B40000}"/>
    <cellStyle name="Output 3 4 2 3 4" xfId="45967" xr:uid="{00000000-0005-0000-0000-00002AB40000}"/>
    <cellStyle name="Output 3 4 2 3 5" xfId="45968" xr:uid="{00000000-0005-0000-0000-00002BB40000}"/>
    <cellStyle name="Output 3 4 2 3 6" xfId="45969" xr:uid="{00000000-0005-0000-0000-00002CB40000}"/>
    <cellStyle name="Output 3 4 2 4" xfId="45970" xr:uid="{00000000-0005-0000-0000-00002DB40000}"/>
    <cellStyle name="Output 3 4 2 5" xfId="45971" xr:uid="{00000000-0005-0000-0000-00002EB40000}"/>
    <cellStyle name="Output 3 4 2 6" xfId="45972" xr:uid="{00000000-0005-0000-0000-00002FB40000}"/>
    <cellStyle name="Output 3 4 3" xfId="45973" xr:uid="{00000000-0005-0000-0000-000030B40000}"/>
    <cellStyle name="Output 3 4 4" xfId="45974" xr:uid="{00000000-0005-0000-0000-000031B40000}"/>
    <cellStyle name="Output 3 5" xfId="45975" xr:uid="{00000000-0005-0000-0000-000032B40000}"/>
    <cellStyle name="Output 3 5 2" xfId="45976" xr:uid="{00000000-0005-0000-0000-000033B40000}"/>
    <cellStyle name="Output 3 5 2 2" xfId="45977" xr:uid="{00000000-0005-0000-0000-000034B40000}"/>
    <cellStyle name="Output 3 5 2 3" xfId="45978" xr:uid="{00000000-0005-0000-0000-000035B40000}"/>
    <cellStyle name="Output 3 5 2 4" xfId="45979" xr:uid="{00000000-0005-0000-0000-000036B40000}"/>
    <cellStyle name="Output 3 5 3" xfId="45980" xr:uid="{00000000-0005-0000-0000-000037B40000}"/>
    <cellStyle name="Output 3 5 3 2" xfId="45981" xr:uid="{00000000-0005-0000-0000-000038B40000}"/>
    <cellStyle name="Output 3 5 3 2 2" xfId="45982" xr:uid="{00000000-0005-0000-0000-000039B40000}"/>
    <cellStyle name="Output 3 5 3 2 3" xfId="45983" xr:uid="{00000000-0005-0000-0000-00003AB40000}"/>
    <cellStyle name="Output 3 5 3 2 4" xfId="45984" xr:uid="{00000000-0005-0000-0000-00003BB40000}"/>
    <cellStyle name="Output 3 5 3 3" xfId="45985" xr:uid="{00000000-0005-0000-0000-00003CB40000}"/>
    <cellStyle name="Output 3 5 3 3 2" xfId="45986" xr:uid="{00000000-0005-0000-0000-00003DB40000}"/>
    <cellStyle name="Output 3 5 3 3 3" xfId="45987" xr:uid="{00000000-0005-0000-0000-00003EB40000}"/>
    <cellStyle name="Output 3 5 3 3 4" xfId="45988" xr:uid="{00000000-0005-0000-0000-00003FB40000}"/>
    <cellStyle name="Output 3 5 3 4" xfId="45989" xr:uid="{00000000-0005-0000-0000-000040B40000}"/>
    <cellStyle name="Output 3 5 3 5" xfId="45990" xr:uid="{00000000-0005-0000-0000-000041B40000}"/>
    <cellStyle name="Output 3 5 3 6" xfId="45991" xr:uid="{00000000-0005-0000-0000-000042B40000}"/>
    <cellStyle name="Output 3 5 4" xfId="45992" xr:uid="{00000000-0005-0000-0000-000043B40000}"/>
    <cellStyle name="Output 3 5 5" xfId="45993" xr:uid="{00000000-0005-0000-0000-000044B40000}"/>
    <cellStyle name="Output 3 6" xfId="45994" xr:uid="{00000000-0005-0000-0000-000045B40000}"/>
    <cellStyle name="Output 3 6 2" xfId="45995" xr:uid="{00000000-0005-0000-0000-000046B40000}"/>
    <cellStyle name="Output 3 6 2 2" xfId="45996" xr:uid="{00000000-0005-0000-0000-000047B40000}"/>
    <cellStyle name="Output 3 6 2 3" xfId="45997" xr:uid="{00000000-0005-0000-0000-000048B40000}"/>
    <cellStyle name="Output 3 6 2 4" xfId="45998" xr:uid="{00000000-0005-0000-0000-000049B40000}"/>
    <cellStyle name="Output 3 6 3" xfId="45999" xr:uid="{00000000-0005-0000-0000-00004AB40000}"/>
    <cellStyle name="Output 3 6 3 2" xfId="46000" xr:uid="{00000000-0005-0000-0000-00004BB40000}"/>
    <cellStyle name="Output 3 6 3 2 2" xfId="46001" xr:uid="{00000000-0005-0000-0000-00004CB40000}"/>
    <cellStyle name="Output 3 6 3 2 3" xfId="46002" xr:uid="{00000000-0005-0000-0000-00004DB40000}"/>
    <cellStyle name="Output 3 6 3 2 4" xfId="46003" xr:uid="{00000000-0005-0000-0000-00004EB40000}"/>
    <cellStyle name="Output 3 6 3 3" xfId="46004" xr:uid="{00000000-0005-0000-0000-00004FB40000}"/>
    <cellStyle name="Output 3 6 3 3 2" xfId="46005" xr:uid="{00000000-0005-0000-0000-000050B40000}"/>
    <cellStyle name="Output 3 6 3 3 3" xfId="46006" xr:uid="{00000000-0005-0000-0000-000051B40000}"/>
    <cellStyle name="Output 3 6 3 3 4" xfId="46007" xr:uid="{00000000-0005-0000-0000-000052B40000}"/>
    <cellStyle name="Output 3 6 3 4" xfId="46008" xr:uid="{00000000-0005-0000-0000-000053B40000}"/>
    <cellStyle name="Output 3 6 3 5" xfId="46009" xr:uid="{00000000-0005-0000-0000-000054B40000}"/>
    <cellStyle name="Output 3 6 3 6" xfId="46010" xr:uid="{00000000-0005-0000-0000-000055B40000}"/>
    <cellStyle name="Output 3 6 4" xfId="46011" xr:uid="{00000000-0005-0000-0000-000056B40000}"/>
    <cellStyle name="Output 3 6 5" xfId="46012" xr:uid="{00000000-0005-0000-0000-000057B40000}"/>
    <cellStyle name="Output 3 7" xfId="46013" xr:uid="{00000000-0005-0000-0000-000058B40000}"/>
    <cellStyle name="Output 3 7 2" xfId="46014" xr:uid="{00000000-0005-0000-0000-000059B40000}"/>
    <cellStyle name="Output 3 7 2 2" xfId="46015" xr:uid="{00000000-0005-0000-0000-00005AB40000}"/>
    <cellStyle name="Output 3 7 2 3" xfId="46016" xr:uid="{00000000-0005-0000-0000-00005BB40000}"/>
    <cellStyle name="Output 3 7 2 4" xfId="46017" xr:uid="{00000000-0005-0000-0000-00005CB40000}"/>
    <cellStyle name="Output 3 7 3" xfId="46018" xr:uid="{00000000-0005-0000-0000-00005DB40000}"/>
    <cellStyle name="Output 3 7 3 2" xfId="46019" xr:uid="{00000000-0005-0000-0000-00005EB40000}"/>
    <cellStyle name="Output 3 7 3 2 2" xfId="46020" xr:uid="{00000000-0005-0000-0000-00005FB40000}"/>
    <cellStyle name="Output 3 7 3 2 3" xfId="46021" xr:uid="{00000000-0005-0000-0000-000060B40000}"/>
    <cellStyle name="Output 3 7 3 2 4" xfId="46022" xr:uid="{00000000-0005-0000-0000-000061B40000}"/>
    <cellStyle name="Output 3 7 3 3" xfId="46023" xr:uid="{00000000-0005-0000-0000-000062B40000}"/>
    <cellStyle name="Output 3 7 3 3 2" xfId="46024" xr:uid="{00000000-0005-0000-0000-000063B40000}"/>
    <cellStyle name="Output 3 7 3 3 3" xfId="46025" xr:uid="{00000000-0005-0000-0000-000064B40000}"/>
    <cellStyle name="Output 3 7 3 3 4" xfId="46026" xr:uid="{00000000-0005-0000-0000-000065B40000}"/>
    <cellStyle name="Output 3 7 3 4" xfId="46027" xr:uid="{00000000-0005-0000-0000-000066B40000}"/>
    <cellStyle name="Output 3 7 3 5" xfId="46028" xr:uid="{00000000-0005-0000-0000-000067B40000}"/>
    <cellStyle name="Output 3 7 3 6" xfId="46029" xr:uid="{00000000-0005-0000-0000-000068B40000}"/>
    <cellStyle name="Output 3 7 4" xfId="46030" xr:uid="{00000000-0005-0000-0000-000069B40000}"/>
    <cellStyle name="Output 3 7 5" xfId="46031" xr:uid="{00000000-0005-0000-0000-00006AB40000}"/>
    <cellStyle name="Output 3 8" xfId="46032" xr:uid="{00000000-0005-0000-0000-00006BB40000}"/>
    <cellStyle name="Output 3 8 2" xfId="46033" xr:uid="{00000000-0005-0000-0000-00006CB40000}"/>
    <cellStyle name="Output 3 8 2 2" xfId="46034" xr:uid="{00000000-0005-0000-0000-00006DB40000}"/>
    <cellStyle name="Output 3 8 2 3" xfId="46035" xr:uid="{00000000-0005-0000-0000-00006EB40000}"/>
    <cellStyle name="Output 3 8 2 4" xfId="46036" xr:uid="{00000000-0005-0000-0000-00006FB40000}"/>
    <cellStyle name="Output 3 8 3" xfId="46037" xr:uid="{00000000-0005-0000-0000-000070B40000}"/>
    <cellStyle name="Output 3 8 3 2" xfId="46038" xr:uid="{00000000-0005-0000-0000-000071B40000}"/>
    <cellStyle name="Output 3 8 3 2 2" xfId="46039" xr:uid="{00000000-0005-0000-0000-000072B40000}"/>
    <cellStyle name="Output 3 8 3 2 3" xfId="46040" xr:uid="{00000000-0005-0000-0000-000073B40000}"/>
    <cellStyle name="Output 3 8 3 2 4" xfId="46041" xr:uid="{00000000-0005-0000-0000-000074B40000}"/>
    <cellStyle name="Output 3 8 3 3" xfId="46042" xr:uid="{00000000-0005-0000-0000-000075B40000}"/>
    <cellStyle name="Output 3 8 3 3 2" xfId="46043" xr:uid="{00000000-0005-0000-0000-000076B40000}"/>
    <cellStyle name="Output 3 8 3 3 3" xfId="46044" xr:uid="{00000000-0005-0000-0000-000077B40000}"/>
    <cellStyle name="Output 3 8 3 3 4" xfId="46045" xr:uid="{00000000-0005-0000-0000-000078B40000}"/>
    <cellStyle name="Output 3 8 3 4" xfId="46046" xr:uid="{00000000-0005-0000-0000-000079B40000}"/>
    <cellStyle name="Output 3 8 3 5" xfId="46047" xr:uid="{00000000-0005-0000-0000-00007AB40000}"/>
    <cellStyle name="Output 3 8 3 6" xfId="46048" xr:uid="{00000000-0005-0000-0000-00007BB40000}"/>
    <cellStyle name="Output 3 8 4" xfId="46049" xr:uid="{00000000-0005-0000-0000-00007CB40000}"/>
    <cellStyle name="Output 3 8 5" xfId="46050" xr:uid="{00000000-0005-0000-0000-00007DB40000}"/>
    <cellStyle name="Output 3 9" xfId="46051" xr:uid="{00000000-0005-0000-0000-00007EB40000}"/>
    <cellStyle name="Output 3 9 2" xfId="46052" xr:uid="{00000000-0005-0000-0000-00007FB40000}"/>
    <cellStyle name="Output 3 9 2 2" xfId="46053" xr:uid="{00000000-0005-0000-0000-000080B40000}"/>
    <cellStyle name="Output 3 9 2 3" xfId="46054" xr:uid="{00000000-0005-0000-0000-000081B40000}"/>
    <cellStyle name="Output 3 9 2 4" xfId="46055" xr:uid="{00000000-0005-0000-0000-000082B40000}"/>
    <cellStyle name="Output 3 9 3" xfId="46056" xr:uid="{00000000-0005-0000-0000-000083B40000}"/>
    <cellStyle name="Output 3 9 3 2" xfId="46057" xr:uid="{00000000-0005-0000-0000-000084B40000}"/>
    <cellStyle name="Output 3 9 3 2 2" xfId="46058" xr:uid="{00000000-0005-0000-0000-000085B40000}"/>
    <cellStyle name="Output 3 9 3 2 3" xfId="46059" xr:uid="{00000000-0005-0000-0000-000086B40000}"/>
    <cellStyle name="Output 3 9 3 2 4" xfId="46060" xr:uid="{00000000-0005-0000-0000-000087B40000}"/>
    <cellStyle name="Output 3 9 3 3" xfId="46061" xr:uid="{00000000-0005-0000-0000-000088B40000}"/>
    <cellStyle name="Output 3 9 3 3 2" xfId="46062" xr:uid="{00000000-0005-0000-0000-000089B40000}"/>
    <cellStyle name="Output 3 9 3 3 3" xfId="46063" xr:uid="{00000000-0005-0000-0000-00008AB40000}"/>
    <cellStyle name="Output 3 9 3 3 4" xfId="46064" xr:uid="{00000000-0005-0000-0000-00008BB40000}"/>
    <cellStyle name="Output 3 9 3 4" xfId="46065" xr:uid="{00000000-0005-0000-0000-00008CB40000}"/>
    <cellStyle name="Output 3 9 3 5" xfId="46066" xr:uid="{00000000-0005-0000-0000-00008DB40000}"/>
    <cellStyle name="Output 3 9 3 6" xfId="46067" xr:uid="{00000000-0005-0000-0000-00008EB40000}"/>
    <cellStyle name="Output 3 9 4" xfId="46068" xr:uid="{00000000-0005-0000-0000-00008FB40000}"/>
    <cellStyle name="Output 3 9 5" xfId="46069" xr:uid="{00000000-0005-0000-0000-000090B40000}"/>
    <cellStyle name="Output 4" xfId="46070" xr:uid="{00000000-0005-0000-0000-000091B40000}"/>
    <cellStyle name="Output 4 10" xfId="46071" xr:uid="{00000000-0005-0000-0000-000092B40000}"/>
    <cellStyle name="Output 4 10 2" xfId="46072" xr:uid="{00000000-0005-0000-0000-000093B40000}"/>
    <cellStyle name="Output 4 10 2 2" xfId="46073" xr:uid="{00000000-0005-0000-0000-000094B40000}"/>
    <cellStyle name="Output 4 10 2 3" xfId="46074" xr:uid="{00000000-0005-0000-0000-000095B40000}"/>
    <cellStyle name="Output 4 10 2 4" xfId="46075" xr:uid="{00000000-0005-0000-0000-000096B40000}"/>
    <cellStyle name="Output 4 10 3" xfId="46076" xr:uid="{00000000-0005-0000-0000-000097B40000}"/>
    <cellStyle name="Output 4 10 3 2" xfId="46077" xr:uid="{00000000-0005-0000-0000-000098B40000}"/>
    <cellStyle name="Output 4 10 3 2 2" xfId="46078" xr:uid="{00000000-0005-0000-0000-000099B40000}"/>
    <cellStyle name="Output 4 10 3 2 3" xfId="46079" xr:uid="{00000000-0005-0000-0000-00009AB40000}"/>
    <cellStyle name="Output 4 10 3 2 4" xfId="46080" xr:uid="{00000000-0005-0000-0000-00009BB40000}"/>
    <cellStyle name="Output 4 10 3 3" xfId="46081" xr:uid="{00000000-0005-0000-0000-00009CB40000}"/>
    <cellStyle name="Output 4 10 3 3 2" xfId="46082" xr:uid="{00000000-0005-0000-0000-00009DB40000}"/>
    <cellStyle name="Output 4 10 3 3 3" xfId="46083" xr:uid="{00000000-0005-0000-0000-00009EB40000}"/>
    <cellStyle name="Output 4 10 3 3 4" xfId="46084" xr:uid="{00000000-0005-0000-0000-00009FB40000}"/>
    <cellStyle name="Output 4 10 3 4" xfId="46085" xr:uid="{00000000-0005-0000-0000-0000A0B40000}"/>
    <cellStyle name="Output 4 10 3 5" xfId="46086" xr:uid="{00000000-0005-0000-0000-0000A1B40000}"/>
    <cellStyle name="Output 4 10 3 6" xfId="46087" xr:uid="{00000000-0005-0000-0000-0000A2B40000}"/>
    <cellStyle name="Output 4 10 4" xfId="46088" xr:uid="{00000000-0005-0000-0000-0000A3B40000}"/>
    <cellStyle name="Output 4 10 5" xfId="46089" xr:uid="{00000000-0005-0000-0000-0000A4B40000}"/>
    <cellStyle name="Output 4 11" xfId="46090" xr:uid="{00000000-0005-0000-0000-0000A5B40000}"/>
    <cellStyle name="Output 4 11 2" xfId="46091" xr:uid="{00000000-0005-0000-0000-0000A6B40000}"/>
    <cellStyle name="Output 4 11 2 2" xfId="46092" xr:uid="{00000000-0005-0000-0000-0000A7B40000}"/>
    <cellStyle name="Output 4 11 2 3" xfId="46093" xr:uid="{00000000-0005-0000-0000-0000A8B40000}"/>
    <cellStyle name="Output 4 11 2 4" xfId="46094" xr:uid="{00000000-0005-0000-0000-0000A9B40000}"/>
    <cellStyle name="Output 4 11 3" xfId="46095" xr:uid="{00000000-0005-0000-0000-0000AAB40000}"/>
    <cellStyle name="Output 4 11 3 2" xfId="46096" xr:uid="{00000000-0005-0000-0000-0000ABB40000}"/>
    <cellStyle name="Output 4 11 3 2 2" xfId="46097" xr:uid="{00000000-0005-0000-0000-0000ACB40000}"/>
    <cellStyle name="Output 4 11 3 2 3" xfId="46098" xr:uid="{00000000-0005-0000-0000-0000ADB40000}"/>
    <cellStyle name="Output 4 11 3 2 4" xfId="46099" xr:uid="{00000000-0005-0000-0000-0000AEB40000}"/>
    <cellStyle name="Output 4 11 3 3" xfId="46100" xr:uid="{00000000-0005-0000-0000-0000AFB40000}"/>
    <cellStyle name="Output 4 11 3 3 2" xfId="46101" xr:uid="{00000000-0005-0000-0000-0000B0B40000}"/>
    <cellStyle name="Output 4 11 3 3 3" xfId="46102" xr:uid="{00000000-0005-0000-0000-0000B1B40000}"/>
    <cellStyle name="Output 4 11 3 3 4" xfId="46103" xr:uid="{00000000-0005-0000-0000-0000B2B40000}"/>
    <cellStyle name="Output 4 11 3 4" xfId="46104" xr:uid="{00000000-0005-0000-0000-0000B3B40000}"/>
    <cellStyle name="Output 4 11 3 5" xfId="46105" xr:uid="{00000000-0005-0000-0000-0000B4B40000}"/>
    <cellStyle name="Output 4 11 3 6" xfId="46106" xr:uid="{00000000-0005-0000-0000-0000B5B40000}"/>
    <cellStyle name="Output 4 11 4" xfId="46107" xr:uid="{00000000-0005-0000-0000-0000B6B40000}"/>
    <cellStyle name="Output 4 11 5" xfId="46108" xr:uid="{00000000-0005-0000-0000-0000B7B40000}"/>
    <cellStyle name="Output 4 12" xfId="46109" xr:uid="{00000000-0005-0000-0000-0000B8B40000}"/>
    <cellStyle name="Output 4 12 2" xfId="46110" xr:uid="{00000000-0005-0000-0000-0000B9B40000}"/>
    <cellStyle name="Output 4 12 2 2" xfId="46111" xr:uid="{00000000-0005-0000-0000-0000BAB40000}"/>
    <cellStyle name="Output 4 12 2 2 2" xfId="46112" xr:uid="{00000000-0005-0000-0000-0000BBB40000}"/>
    <cellStyle name="Output 4 12 2 2 3" xfId="46113" xr:uid="{00000000-0005-0000-0000-0000BCB40000}"/>
    <cellStyle name="Output 4 12 2 2 4" xfId="46114" xr:uid="{00000000-0005-0000-0000-0000BDB40000}"/>
    <cellStyle name="Output 4 12 2 3" xfId="46115" xr:uid="{00000000-0005-0000-0000-0000BEB40000}"/>
    <cellStyle name="Output 4 12 2 3 2" xfId="46116" xr:uid="{00000000-0005-0000-0000-0000BFB40000}"/>
    <cellStyle name="Output 4 12 2 3 3" xfId="46117" xr:uid="{00000000-0005-0000-0000-0000C0B40000}"/>
    <cellStyle name="Output 4 12 2 3 4" xfId="46118" xr:uid="{00000000-0005-0000-0000-0000C1B40000}"/>
    <cellStyle name="Output 4 12 2 4" xfId="46119" xr:uid="{00000000-0005-0000-0000-0000C2B40000}"/>
    <cellStyle name="Output 4 12 2 5" xfId="46120" xr:uid="{00000000-0005-0000-0000-0000C3B40000}"/>
    <cellStyle name="Output 4 12 2 6" xfId="46121" xr:uid="{00000000-0005-0000-0000-0000C4B40000}"/>
    <cellStyle name="Output 4 12 3" xfId="46122" xr:uid="{00000000-0005-0000-0000-0000C5B40000}"/>
    <cellStyle name="Output 4 12 3 2" xfId="46123" xr:uid="{00000000-0005-0000-0000-0000C6B40000}"/>
    <cellStyle name="Output 4 12 3 2 2" xfId="46124" xr:uid="{00000000-0005-0000-0000-0000C7B40000}"/>
    <cellStyle name="Output 4 12 3 2 3" xfId="46125" xr:uid="{00000000-0005-0000-0000-0000C8B40000}"/>
    <cellStyle name="Output 4 12 3 2 4" xfId="46126" xr:uid="{00000000-0005-0000-0000-0000C9B40000}"/>
    <cellStyle name="Output 4 12 3 3" xfId="46127" xr:uid="{00000000-0005-0000-0000-0000CAB40000}"/>
    <cellStyle name="Output 4 12 3 3 2" xfId="46128" xr:uid="{00000000-0005-0000-0000-0000CBB40000}"/>
    <cellStyle name="Output 4 12 3 3 3" xfId="46129" xr:uid="{00000000-0005-0000-0000-0000CCB40000}"/>
    <cellStyle name="Output 4 12 3 3 4" xfId="46130" xr:uid="{00000000-0005-0000-0000-0000CDB40000}"/>
    <cellStyle name="Output 4 12 3 4" xfId="46131" xr:uid="{00000000-0005-0000-0000-0000CEB40000}"/>
    <cellStyle name="Output 4 12 3 5" xfId="46132" xr:uid="{00000000-0005-0000-0000-0000CFB40000}"/>
    <cellStyle name="Output 4 12 3 6" xfId="46133" xr:uid="{00000000-0005-0000-0000-0000D0B40000}"/>
    <cellStyle name="Output 4 12 4" xfId="46134" xr:uid="{00000000-0005-0000-0000-0000D1B40000}"/>
    <cellStyle name="Output 4 12 5" xfId="46135" xr:uid="{00000000-0005-0000-0000-0000D2B40000}"/>
    <cellStyle name="Output 4 12 6" xfId="46136" xr:uid="{00000000-0005-0000-0000-0000D3B40000}"/>
    <cellStyle name="Output 4 13" xfId="46137" xr:uid="{00000000-0005-0000-0000-0000D4B40000}"/>
    <cellStyle name="Output 4 14" xfId="46138" xr:uid="{00000000-0005-0000-0000-0000D5B40000}"/>
    <cellStyle name="Output 4 15" xfId="58784" xr:uid="{00000000-0005-0000-0000-0000D6B40000}"/>
    <cellStyle name="Output 4 2" xfId="46139" xr:uid="{00000000-0005-0000-0000-0000D7B40000}"/>
    <cellStyle name="Output 4 2 2" xfId="46140" xr:uid="{00000000-0005-0000-0000-0000D8B40000}"/>
    <cellStyle name="Output 4 2 2 2" xfId="46141" xr:uid="{00000000-0005-0000-0000-0000D9B40000}"/>
    <cellStyle name="Output 4 2 2 2 2" xfId="46142" xr:uid="{00000000-0005-0000-0000-0000DAB40000}"/>
    <cellStyle name="Output 4 2 2 2 2 2" xfId="46143" xr:uid="{00000000-0005-0000-0000-0000DBB40000}"/>
    <cellStyle name="Output 4 2 2 2 2 3" xfId="46144" xr:uid="{00000000-0005-0000-0000-0000DCB40000}"/>
    <cellStyle name="Output 4 2 2 2 2 4" xfId="46145" xr:uid="{00000000-0005-0000-0000-0000DDB40000}"/>
    <cellStyle name="Output 4 2 2 2 3" xfId="46146" xr:uid="{00000000-0005-0000-0000-0000DEB40000}"/>
    <cellStyle name="Output 4 2 2 2 3 2" xfId="46147" xr:uid="{00000000-0005-0000-0000-0000DFB40000}"/>
    <cellStyle name="Output 4 2 2 2 3 3" xfId="46148" xr:uid="{00000000-0005-0000-0000-0000E0B40000}"/>
    <cellStyle name="Output 4 2 2 2 3 4" xfId="46149" xr:uid="{00000000-0005-0000-0000-0000E1B40000}"/>
    <cellStyle name="Output 4 2 2 2 4" xfId="46150" xr:uid="{00000000-0005-0000-0000-0000E2B40000}"/>
    <cellStyle name="Output 4 2 2 2 5" xfId="46151" xr:uid="{00000000-0005-0000-0000-0000E3B40000}"/>
    <cellStyle name="Output 4 2 2 2 6" xfId="46152" xr:uid="{00000000-0005-0000-0000-0000E4B40000}"/>
    <cellStyle name="Output 4 2 2 3" xfId="46153" xr:uid="{00000000-0005-0000-0000-0000E5B40000}"/>
    <cellStyle name="Output 4 2 2 3 2" xfId="46154" xr:uid="{00000000-0005-0000-0000-0000E6B40000}"/>
    <cellStyle name="Output 4 2 2 3 2 2" xfId="46155" xr:uid="{00000000-0005-0000-0000-0000E7B40000}"/>
    <cellStyle name="Output 4 2 2 3 2 3" xfId="46156" xr:uid="{00000000-0005-0000-0000-0000E8B40000}"/>
    <cellStyle name="Output 4 2 2 3 2 4" xfId="46157" xr:uid="{00000000-0005-0000-0000-0000E9B40000}"/>
    <cellStyle name="Output 4 2 2 3 3" xfId="46158" xr:uid="{00000000-0005-0000-0000-0000EAB40000}"/>
    <cellStyle name="Output 4 2 2 3 3 2" xfId="46159" xr:uid="{00000000-0005-0000-0000-0000EBB40000}"/>
    <cellStyle name="Output 4 2 2 3 3 3" xfId="46160" xr:uid="{00000000-0005-0000-0000-0000ECB40000}"/>
    <cellStyle name="Output 4 2 2 3 3 4" xfId="46161" xr:uid="{00000000-0005-0000-0000-0000EDB40000}"/>
    <cellStyle name="Output 4 2 2 3 4" xfId="46162" xr:uid="{00000000-0005-0000-0000-0000EEB40000}"/>
    <cellStyle name="Output 4 2 2 3 5" xfId="46163" xr:uid="{00000000-0005-0000-0000-0000EFB40000}"/>
    <cellStyle name="Output 4 2 2 3 6" xfId="46164" xr:uid="{00000000-0005-0000-0000-0000F0B40000}"/>
    <cellStyle name="Output 4 2 2 4" xfId="46165" xr:uid="{00000000-0005-0000-0000-0000F1B40000}"/>
    <cellStyle name="Output 4 2 2 5" xfId="46166" xr:uid="{00000000-0005-0000-0000-0000F2B40000}"/>
    <cellStyle name="Output 4 2 2 6" xfId="46167" xr:uid="{00000000-0005-0000-0000-0000F3B40000}"/>
    <cellStyle name="Output 4 2 3" xfId="46168" xr:uid="{00000000-0005-0000-0000-0000F4B40000}"/>
    <cellStyle name="Output 4 2 4" xfId="46169" xr:uid="{00000000-0005-0000-0000-0000F5B40000}"/>
    <cellStyle name="Output 4 3" xfId="46170" xr:uid="{00000000-0005-0000-0000-0000F6B40000}"/>
    <cellStyle name="Output 4 3 2" xfId="46171" xr:uid="{00000000-0005-0000-0000-0000F7B40000}"/>
    <cellStyle name="Output 4 3 2 2" xfId="46172" xr:uid="{00000000-0005-0000-0000-0000F8B40000}"/>
    <cellStyle name="Output 4 3 2 2 2" xfId="46173" xr:uid="{00000000-0005-0000-0000-0000F9B40000}"/>
    <cellStyle name="Output 4 3 2 2 2 2" xfId="46174" xr:uid="{00000000-0005-0000-0000-0000FAB40000}"/>
    <cellStyle name="Output 4 3 2 2 2 3" xfId="46175" xr:uid="{00000000-0005-0000-0000-0000FBB40000}"/>
    <cellStyle name="Output 4 3 2 2 2 4" xfId="46176" xr:uid="{00000000-0005-0000-0000-0000FCB40000}"/>
    <cellStyle name="Output 4 3 2 2 3" xfId="46177" xr:uid="{00000000-0005-0000-0000-0000FDB40000}"/>
    <cellStyle name="Output 4 3 2 2 3 2" xfId="46178" xr:uid="{00000000-0005-0000-0000-0000FEB40000}"/>
    <cellStyle name="Output 4 3 2 2 3 3" xfId="46179" xr:uid="{00000000-0005-0000-0000-0000FFB40000}"/>
    <cellStyle name="Output 4 3 2 2 3 4" xfId="46180" xr:uid="{00000000-0005-0000-0000-000000B50000}"/>
    <cellStyle name="Output 4 3 2 2 4" xfId="46181" xr:uid="{00000000-0005-0000-0000-000001B50000}"/>
    <cellStyle name="Output 4 3 2 2 5" xfId="46182" xr:uid="{00000000-0005-0000-0000-000002B50000}"/>
    <cellStyle name="Output 4 3 2 2 6" xfId="46183" xr:uid="{00000000-0005-0000-0000-000003B50000}"/>
    <cellStyle name="Output 4 3 2 3" xfId="46184" xr:uid="{00000000-0005-0000-0000-000004B50000}"/>
    <cellStyle name="Output 4 3 2 3 2" xfId="46185" xr:uid="{00000000-0005-0000-0000-000005B50000}"/>
    <cellStyle name="Output 4 3 2 3 2 2" xfId="46186" xr:uid="{00000000-0005-0000-0000-000006B50000}"/>
    <cellStyle name="Output 4 3 2 3 2 3" xfId="46187" xr:uid="{00000000-0005-0000-0000-000007B50000}"/>
    <cellStyle name="Output 4 3 2 3 2 4" xfId="46188" xr:uid="{00000000-0005-0000-0000-000008B50000}"/>
    <cellStyle name="Output 4 3 2 3 3" xfId="46189" xr:uid="{00000000-0005-0000-0000-000009B50000}"/>
    <cellStyle name="Output 4 3 2 3 3 2" xfId="46190" xr:uid="{00000000-0005-0000-0000-00000AB50000}"/>
    <cellStyle name="Output 4 3 2 3 3 3" xfId="46191" xr:uid="{00000000-0005-0000-0000-00000BB50000}"/>
    <cellStyle name="Output 4 3 2 3 3 4" xfId="46192" xr:uid="{00000000-0005-0000-0000-00000CB50000}"/>
    <cellStyle name="Output 4 3 2 3 4" xfId="46193" xr:uid="{00000000-0005-0000-0000-00000DB50000}"/>
    <cellStyle name="Output 4 3 2 3 5" xfId="46194" xr:uid="{00000000-0005-0000-0000-00000EB50000}"/>
    <cellStyle name="Output 4 3 2 3 6" xfId="46195" xr:uid="{00000000-0005-0000-0000-00000FB50000}"/>
    <cellStyle name="Output 4 3 2 4" xfId="46196" xr:uid="{00000000-0005-0000-0000-000010B50000}"/>
    <cellStyle name="Output 4 3 2 5" xfId="46197" xr:uid="{00000000-0005-0000-0000-000011B50000}"/>
    <cellStyle name="Output 4 3 2 6" xfId="46198" xr:uid="{00000000-0005-0000-0000-000012B50000}"/>
    <cellStyle name="Output 4 3 3" xfId="46199" xr:uid="{00000000-0005-0000-0000-000013B50000}"/>
    <cellStyle name="Output 4 3 4" xfId="46200" xr:uid="{00000000-0005-0000-0000-000014B50000}"/>
    <cellStyle name="Output 4 4" xfId="46201" xr:uid="{00000000-0005-0000-0000-000015B50000}"/>
    <cellStyle name="Output 4 4 2" xfId="46202" xr:uid="{00000000-0005-0000-0000-000016B50000}"/>
    <cellStyle name="Output 4 4 2 2" xfId="46203" xr:uid="{00000000-0005-0000-0000-000017B50000}"/>
    <cellStyle name="Output 4 4 2 2 2" xfId="46204" xr:uid="{00000000-0005-0000-0000-000018B50000}"/>
    <cellStyle name="Output 4 4 2 2 2 2" xfId="46205" xr:uid="{00000000-0005-0000-0000-000019B50000}"/>
    <cellStyle name="Output 4 4 2 2 2 3" xfId="46206" xr:uid="{00000000-0005-0000-0000-00001AB50000}"/>
    <cellStyle name="Output 4 4 2 2 2 4" xfId="46207" xr:uid="{00000000-0005-0000-0000-00001BB50000}"/>
    <cellStyle name="Output 4 4 2 2 3" xfId="46208" xr:uid="{00000000-0005-0000-0000-00001CB50000}"/>
    <cellStyle name="Output 4 4 2 2 3 2" xfId="46209" xr:uid="{00000000-0005-0000-0000-00001DB50000}"/>
    <cellStyle name="Output 4 4 2 2 3 3" xfId="46210" xr:uid="{00000000-0005-0000-0000-00001EB50000}"/>
    <cellStyle name="Output 4 4 2 2 3 4" xfId="46211" xr:uid="{00000000-0005-0000-0000-00001FB50000}"/>
    <cellStyle name="Output 4 4 2 2 4" xfId="46212" xr:uid="{00000000-0005-0000-0000-000020B50000}"/>
    <cellStyle name="Output 4 4 2 2 5" xfId="46213" xr:uid="{00000000-0005-0000-0000-000021B50000}"/>
    <cellStyle name="Output 4 4 2 2 6" xfId="46214" xr:uid="{00000000-0005-0000-0000-000022B50000}"/>
    <cellStyle name="Output 4 4 2 3" xfId="46215" xr:uid="{00000000-0005-0000-0000-000023B50000}"/>
    <cellStyle name="Output 4 4 2 3 2" xfId="46216" xr:uid="{00000000-0005-0000-0000-000024B50000}"/>
    <cellStyle name="Output 4 4 2 3 2 2" xfId="46217" xr:uid="{00000000-0005-0000-0000-000025B50000}"/>
    <cellStyle name="Output 4 4 2 3 2 3" xfId="46218" xr:uid="{00000000-0005-0000-0000-000026B50000}"/>
    <cellStyle name="Output 4 4 2 3 2 4" xfId="46219" xr:uid="{00000000-0005-0000-0000-000027B50000}"/>
    <cellStyle name="Output 4 4 2 3 3" xfId="46220" xr:uid="{00000000-0005-0000-0000-000028B50000}"/>
    <cellStyle name="Output 4 4 2 3 3 2" xfId="46221" xr:uid="{00000000-0005-0000-0000-000029B50000}"/>
    <cellStyle name="Output 4 4 2 3 3 3" xfId="46222" xr:uid="{00000000-0005-0000-0000-00002AB50000}"/>
    <cellStyle name="Output 4 4 2 3 3 4" xfId="46223" xr:uid="{00000000-0005-0000-0000-00002BB50000}"/>
    <cellStyle name="Output 4 4 2 3 4" xfId="46224" xr:uid="{00000000-0005-0000-0000-00002CB50000}"/>
    <cellStyle name="Output 4 4 2 3 5" xfId="46225" xr:uid="{00000000-0005-0000-0000-00002DB50000}"/>
    <cellStyle name="Output 4 4 2 3 6" xfId="46226" xr:uid="{00000000-0005-0000-0000-00002EB50000}"/>
    <cellStyle name="Output 4 4 2 4" xfId="46227" xr:uid="{00000000-0005-0000-0000-00002FB50000}"/>
    <cellStyle name="Output 4 4 2 5" xfId="46228" xr:uid="{00000000-0005-0000-0000-000030B50000}"/>
    <cellStyle name="Output 4 4 2 6" xfId="46229" xr:uid="{00000000-0005-0000-0000-000031B50000}"/>
    <cellStyle name="Output 4 4 3" xfId="46230" xr:uid="{00000000-0005-0000-0000-000032B50000}"/>
    <cellStyle name="Output 4 4 4" xfId="46231" xr:uid="{00000000-0005-0000-0000-000033B50000}"/>
    <cellStyle name="Output 4 5" xfId="46232" xr:uid="{00000000-0005-0000-0000-000034B50000}"/>
    <cellStyle name="Output 4 5 2" xfId="46233" xr:uid="{00000000-0005-0000-0000-000035B50000}"/>
    <cellStyle name="Output 4 5 2 2" xfId="46234" xr:uid="{00000000-0005-0000-0000-000036B50000}"/>
    <cellStyle name="Output 4 5 2 3" xfId="46235" xr:uid="{00000000-0005-0000-0000-000037B50000}"/>
    <cellStyle name="Output 4 5 2 4" xfId="46236" xr:uid="{00000000-0005-0000-0000-000038B50000}"/>
    <cellStyle name="Output 4 5 3" xfId="46237" xr:uid="{00000000-0005-0000-0000-000039B50000}"/>
    <cellStyle name="Output 4 5 3 2" xfId="46238" xr:uid="{00000000-0005-0000-0000-00003AB50000}"/>
    <cellStyle name="Output 4 5 3 2 2" xfId="46239" xr:uid="{00000000-0005-0000-0000-00003BB50000}"/>
    <cellStyle name="Output 4 5 3 2 3" xfId="46240" xr:uid="{00000000-0005-0000-0000-00003CB50000}"/>
    <cellStyle name="Output 4 5 3 2 4" xfId="46241" xr:uid="{00000000-0005-0000-0000-00003DB50000}"/>
    <cellStyle name="Output 4 5 3 3" xfId="46242" xr:uid="{00000000-0005-0000-0000-00003EB50000}"/>
    <cellStyle name="Output 4 5 3 3 2" xfId="46243" xr:uid="{00000000-0005-0000-0000-00003FB50000}"/>
    <cellStyle name="Output 4 5 3 3 3" xfId="46244" xr:uid="{00000000-0005-0000-0000-000040B50000}"/>
    <cellStyle name="Output 4 5 3 3 4" xfId="46245" xr:uid="{00000000-0005-0000-0000-000041B50000}"/>
    <cellStyle name="Output 4 5 3 4" xfId="46246" xr:uid="{00000000-0005-0000-0000-000042B50000}"/>
    <cellStyle name="Output 4 5 3 5" xfId="46247" xr:uid="{00000000-0005-0000-0000-000043B50000}"/>
    <cellStyle name="Output 4 5 3 6" xfId="46248" xr:uid="{00000000-0005-0000-0000-000044B50000}"/>
    <cellStyle name="Output 4 5 4" xfId="46249" xr:uid="{00000000-0005-0000-0000-000045B50000}"/>
    <cellStyle name="Output 4 5 5" xfId="46250" xr:uid="{00000000-0005-0000-0000-000046B50000}"/>
    <cellStyle name="Output 4 6" xfId="46251" xr:uid="{00000000-0005-0000-0000-000047B50000}"/>
    <cellStyle name="Output 4 6 2" xfId="46252" xr:uid="{00000000-0005-0000-0000-000048B50000}"/>
    <cellStyle name="Output 4 6 2 2" xfId="46253" xr:uid="{00000000-0005-0000-0000-000049B50000}"/>
    <cellStyle name="Output 4 6 2 3" xfId="46254" xr:uid="{00000000-0005-0000-0000-00004AB50000}"/>
    <cellStyle name="Output 4 6 2 4" xfId="46255" xr:uid="{00000000-0005-0000-0000-00004BB50000}"/>
    <cellStyle name="Output 4 6 3" xfId="46256" xr:uid="{00000000-0005-0000-0000-00004CB50000}"/>
    <cellStyle name="Output 4 6 3 2" xfId="46257" xr:uid="{00000000-0005-0000-0000-00004DB50000}"/>
    <cellStyle name="Output 4 6 3 2 2" xfId="46258" xr:uid="{00000000-0005-0000-0000-00004EB50000}"/>
    <cellStyle name="Output 4 6 3 2 3" xfId="46259" xr:uid="{00000000-0005-0000-0000-00004FB50000}"/>
    <cellStyle name="Output 4 6 3 2 4" xfId="46260" xr:uid="{00000000-0005-0000-0000-000050B50000}"/>
    <cellStyle name="Output 4 6 3 3" xfId="46261" xr:uid="{00000000-0005-0000-0000-000051B50000}"/>
    <cellStyle name="Output 4 6 3 3 2" xfId="46262" xr:uid="{00000000-0005-0000-0000-000052B50000}"/>
    <cellStyle name="Output 4 6 3 3 3" xfId="46263" xr:uid="{00000000-0005-0000-0000-000053B50000}"/>
    <cellStyle name="Output 4 6 3 3 4" xfId="46264" xr:uid="{00000000-0005-0000-0000-000054B50000}"/>
    <cellStyle name="Output 4 6 3 4" xfId="46265" xr:uid="{00000000-0005-0000-0000-000055B50000}"/>
    <cellStyle name="Output 4 6 3 5" xfId="46266" xr:uid="{00000000-0005-0000-0000-000056B50000}"/>
    <cellStyle name="Output 4 6 3 6" xfId="46267" xr:uid="{00000000-0005-0000-0000-000057B50000}"/>
    <cellStyle name="Output 4 6 4" xfId="46268" xr:uid="{00000000-0005-0000-0000-000058B50000}"/>
    <cellStyle name="Output 4 6 5" xfId="46269" xr:uid="{00000000-0005-0000-0000-000059B50000}"/>
    <cellStyle name="Output 4 7" xfId="46270" xr:uid="{00000000-0005-0000-0000-00005AB50000}"/>
    <cellStyle name="Output 4 7 2" xfId="46271" xr:uid="{00000000-0005-0000-0000-00005BB50000}"/>
    <cellStyle name="Output 4 7 2 2" xfId="46272" xr:uid="{00000000-0005-0000-0000-00005CB50000}"/>
    <cellStyle name="Output 4 7 2 3" xfId="46273" xr:uid="{00000000-0005-0000-0000-00005DB50000}"/>
    <cellStyle name="Output 4 7 2 4" xfId="46274" xr:uid="{00000000-0005-0000-0000-00005EB50000}"/>
    <cellStyle name="Output 4 7 3" xfId="46275" xr:uid="{00000000-0005-0000-0000-00005FB50000}"/>
    <cellStyle name="Output 4 7 3 2" xfId="46276" xr:uid="{00000000-0005-0000-0000-000060B50000}"/>
    <cellStyle name="Output 4 7 3 2 2" xfId="46277" xr:uid="{00000000-0005-0000-0000-000061B50000}"/>
    <cellStyle name="Output 4 7 3 2 3" xfId="46278" xr:uid="{00000000-0005-0000-0000-000062B50000}"/>
    <cellStyle name="Output 4 7 3 2 4" xfId="46279" xr:uid="{00000000-0005-0000-0000-000063B50000}"/>
    <cellStyle name="Output 4 7 3 3" xfId="46280" xr:uid="{00000000-0005-0000-0000-000064B50000}"/>
    <cellStyle name="Output 4 7 3 3 2" xfId="46281" xr:uid="{00000000-0005-0000-0000-000065B50000}"/>
    <cellStyle name="Output 4 7 3 3 3" xfId="46282" xr:uid="{00000000-0005-0000-0000-000066B50000}"/>
    <cellStyle name="Output 4 7 3 3 4" xfId="46283" xr:uid="{00000000-0005-0000-0000-000067B50000}"/>
    <cellStyle name="Output 4 7 3 4" xfId="46284" xr:uid="{00000000-0005-0000-0000-000068B50000}"/>
    <cellStyle name="Output 4 7 3 5" xfId="46285" xr:uid="{00000000-0005-0000-0000-000069B50000}"/>
    <cellStyle name="Output 4 7 3 6" xfId="46286" xr:uid="{00000000-0005-0000-0000-00006AB50000}"/>
    <cellStyle name="Output 4 7 4" xfId="46287" xr:uid="{00000000-0005-0000-0000-00006BB50000}"/>
    <cellStyle name="Output 4 7 5" xfId="46288" xr:uid="{00000000-0005-0000-0000-00006CB50000}"/>
    <cellStyle name="Output 4 8" xfId="46289" xr:uid="{00000000-0005-0000-0000-00006DB50000}"/>
    <cellStyle name="Output 4 8 2" xfId="46290" xr:uid="{00000000-0005-0000-0000-00006EB50000}"/>
    <cellStyle name="Output 4 8 2 2" xfId="46291" xr:uid="{00000000-0005-0000-0000-00006FB50000}"/>
    <cellStyle name="Output 4 8 2 3" xfId="46292" xr:uid="{00000000-0005-0000-0000-000070B50000}"/>
    <cellStyle name="Output 4 8 2 4" xfId="46293" xr:uid="{00000000-0005-0000-0000-000071B50000}"/>
    <cellStyle name="Output 4 8 3" xfId="46294" xr:uid="{00000000-0005-0000-0000-000072B50000}"/>
    <cellStyle name="Output 4 8 3 2" xfId="46295" xr:uid="{00000000-0005-0000-0000-000073B50000}"/>
    <cellStyle name="Output 4 8 3 2 2" xfId="46296" xr:uid="{00000000-0005-0000-0000-000074B50000}"/>
    <cellStyle name="Output 4 8 3 2 3" xfId="46297" xr:uid="{00000000-0005-0000-0000-000075B50000}"/>
    <cellStyle name="Output 4 8 3 2 4" xfId="46298" xr:uid="{00000000-0005-0000-0000-000076B50000}"/>
    <cellStyle name="Output 4 8 3 3" xfId="46299" xr:uid="{00000000-0005-0000-0000-000077B50000}"/>
    <cellStyle name="Output 4 8 3 3 2" xfId="46300" xr:uid="{00000000-0005-0000-0000-000078B50000}"/>
    <cellStyle name="Output 4 8 3 3 3" xfId="46301" xr:uid="{00000000-0005-0000-0000-000079B50000}"/>
    <cellStyle name="Output 4 8 3 3 4" xfId="46302" xr:uid="{00000000-0005-0000-0000-00007AB50000}"/>
    <cellStyle name="Output 4 8 3 4" xfId="46303" xr:uid="{00000000-0005-0000-0000-00007BB50000}"/>
    <cellStyle name="Output 4 8 3 5" xfId="46304" xr:uid="{00000000-0005-0000-0000-00007CB50000}"/>
    <cellStyle name="Output 4 8 3 6" xfId="46305" xr:uid="{00000000-0005-0000-0000-00007DB50000}"/>
    <cellStyle name="Output 4 8 4" xfId="46306" xr:uid="{00000000-0005-0000-0000-00007EB50000}"/>
    <cellStyle name="Output 4 8 5" xfId="46307" xr:uid="{00000000-0005-0000-0000-00007FB50000}"/>
    <cellStyle name="Output 4 9" xfId="46308" xr:uid="{00000000-0005-0000-0000-000080B50000}"/>
    <cellStyle name="Output 4 9 2" xfId="46309" xr:uid="{00000000-0005-0000-0000-000081B50000}"/>
    <cellStyle name="Output 4 9 2 2" xfId="46310" xr:uid="{00000000-0005-0000-0000-000082B50000}"/>
    <cellStyle name="Output 4 9 2 3" xfId="46311" xr:uid="{00000000-0005-0000-0000-000083B50000}"/>
    <cellStyle name="Output 4 9 2 4" xfId="46312" xr:uid="{00000000-0005-0000-0000-000084B50000}"/>
    <cellStyle name="Output 4 9 3" xfId="46313" xr:uid="{00000000-0005-0000-0000-000085B50000}"/>
    <cellStyle name="Output 4 9 3 2" xfId="46314" xr:uid="{00000000-0005-0000-0000-000086B50000}"/>
    <cellStyle name="Output 4 9 3 2 2" xfId="46315" xr:uid="{00000000-0005-0000-0000-000087B50000}"/>
    <cellStyle name="Output 4 9 3 2 3" xfId="46316" xr:uid="{00000000-0005-0000-0000-000088B50000}"/>
    <cellStyle name="Output 4 9 3 2 4" xfId="46317" xr:uid="{00000000-0005-0000-0000-000089B50000}"/>
    <cellStyle name="Output 4 9 3 3" xfId="46318" xr:uid="{00000000-0005-0000-0000-00008AB50000}"/>
    <cellStyle name="Output 4 9 3 3 2" xfId="46319" xr:uid="{00000000-0005-0000-0000-00008BB50000}"/>
    <cellStyle name="Output 4 9 3 3 3" xfId="46320" xr:uid="{00000000-0005-0000-0000-00008CB50000}"/>
    <cellStyle name="Output 4 9 3 3 4" xfId="46321" xr:uid="{00000000-0005-0000-0000-00008DB50000}"/>
    <cellStyle name="Output 4 9 3 4" xfId="46322" xr:uid="{00000000-0005-0000-0000-00008EB50000}"/>
    <cellStyle name="Output 4 9 3 5" xfId="46323" xr:uid="{00000000-0005-0000-0000-00008FB50000}"/>
    <cellStyle name="Output 4 9 3 6" xfId="46324" xr:uid="{00000000-0005-0000-0000-000090B50000}"/>
    <cellStyle name="Output 4 9 4" xfId="46325" xr:uid="{00000000-0005-0000-0000-000091B50000}"/>
    <cellStyle name="Output 4 9 5" xfId="46326" xr:uid="{00000000-0005-0000-0000-000092B50000}"/>
    <cellStyle name="Output 5" xfId="46327" xr:uid="{00000000-0005-0000-0000-000093B50000}"/>
    <cellStyle name="Output 5 2" xfId="46328" xr:uid="{00000000-0005-0000-0000-000094B50000}"/>
    <cellStyle name="Output 5 2 2" xfId="46329" xr:uid="{00000000-0005-0000-0000-000095B50000}"/>
    <cellStyle name="Output 5 2 3" xfId="46330" xr:uid="{00000000-0005-0000-0000-000096B50000}"/>
    <cellStyle name="Output 5 2 4" xfId="46331" xr:uid="{00000000-0005-0000-0000-000097B50000}"/>
    <cellStyle name="Output 5 3" xfId="46332" xr:uid="{00000000-0005-0000-0000-000098B50000}"/>
    <cellStyle name="Output 5 3 2" xfId="46333" xr:uid="{00000000-0005-0000-0000-000099B50000}"/>
    <cellStyle name="Output 5 3 2 2" xfId="46334" xr:uid="{00000000-0005-0000-0000-00009AB50000}"/>
    <cellStyle name="Output 5 3 2 3" xfId="46335" xr:uid="{00000000-0005-0000-0000-00009BB50000}"/>
    <cellStyle name="Output 5 3 2 4" xfId="46336" xr:uid="{00000000-0005-0000-0000-00009CB50000}"/>
    <cellStyle name="Output 5 3 3" xfId="46337" xr:uid="{00000000-0005-0000-0000-00009DB50000}"/>
    <cellStyle name="Output 5 3 3 2" xfId="46338" xr:uid="{00000000-0005-0000-0000-00009EB50000}"/>
    <cellStyle name="Output 5 3 3 3" xfId="46339" xr:uid="{00000000-0005-0000-0000-00009FB50000}"/>
    <cellStyle name="Output 5 3 3 4" xfId="46340" xr:uid="{00000000-0005-0000-0000-0000A0B50000}"/>
    <cellStyle name="Output 5 3 4" xfId="46341" xr:uid="{00000000-0005-0000-0000-0000A1B50000}"/>
    <cellStyle name="Output 5 3 5" xfId="46342" xr:uid="{00000000-0005-0000-0000-0000A2B50000}"/>
    <cellStyle name="Output 5 3 6" xfId="46343" xr:uid="{00000000-0005-0000-0000-0000A3B50000}"/>
    <cellStyle name="Output 5 4" xfId="46344" xr:uid="{00000000-0005-0000-0000-0000A4B50000}"/>
    <cellStyle name="Output 5 5" xfId="46345" xr:uid="{00000000-0005-0000-0000-0000A5B50000}"/>
    <cellStyle name="Output 6" xfId="46346" xr:uid="{00000000-0005-0000-0000-0000A6B50000}"/>
    <cellStyle name="Output 6 2" xfId="46347" xr:uid="{00000000-0005-0000-0000-0000A7B50000}"/>
    <cellStyle name="Output 6 2 2" xfId="46348" xr:uid="{00000000-0005-0000-0000-0000A8B50000}"/>
    <cellStyle name="Output 6 2 3" xfId="46349" xr:uid="{00000000-0005-0000-0000-0000A9B50000}"/>
    <cellStyle name="Output 6 2 4" xfId="46350" xr:uid="{00000000-0005-0000-0000-0000AAB50000}"/>
    <cellStyle name="Output 6 3" xfId="46351" xr:uid="{00000000-0005-0000-0000-0000ABB50000}"/>
    <cellStyle name="Output 6 3 2" xfId="46352" xr:uid="{00000000-0005-0000-0000-0000ACB50000}"/>
    <cellStyle name="Output 6 3 2 2" xfId="46353" xr:uid="{00000000-0005-0000-0000-0000ADB50000}"/>
    <cellStyle name="Output 6 3 2 3" xfId="46354" xr:uid="{00000000-0005-0000-0000-0000AEB50000}"/>
    <cellStyle name="Output 6 3 2 4" xfId="46355" xr:uid="{00000000-0005-0000-0000-0000AFB50000}"/>
    <cellStyle name="Output 6 3 3" xfId="46356" xr:uid="{00000000-0005-0000-0000-0000B0B50000}"/>
    <cellStyle name="Output 6 3 3 2" xfId="46357" xr:uid="{00000000-0005-0000-0000-0000B1B50000}"/>
    <cellStyle name="Output 6 3 3 3" xfId="46358" xr:uid="{00000000-0005-0000-0000-0000B2B50000}"/>
    <cellStyle name="Output 6 3 3 4" xfId="46359" xr:uid="{00000000-0005-0000-0000-0000B3B50000}"/>
    <cellStyle name="Output 6 3 4" xfId="46360" xr:uid="{00000000-0005-0000-0000-0000B4B50000}"/>
    <cellStyle name="Output 6 3 5" xfId="46361" xr:uid="{00000000-0005-0000-0000-0000B5B50000}"/>
    <cellStyle name="Output 6 3 6" xfId="46362" xr:uid="{00000000-0005-0000-0000-0000B6B50000}"/>
    <cellStyle name="Output 6 4" xfId="46363" xr:uid="{00000000-0005-0000-0000-0000B7B50000}"/>
    <cellStyle name="Output 6 5" xfId="46364" xr:uid="{00000000-0005-0000-0000-0000B8B50000}"/>
    <cellStyle name="Output 7" xfId="46365" xr:uid="{00000000-0005-0000-0000-0000B9B50000}"/>
    <cellStyle name="Output 7 2" xfId="46366" xr:uid="{00000000-0005-0000-0000-0000BAB50000}"/>
    <cellStyle name="Output 7 2 2" xfId="46367" xr:uid="{00000000-0005-0000-0000-0000BBB50000}"/>
    <cellStyle name="Output 7 2 2 2" xfId="46368" xr:uid="{00000000-0005-0000-0000-0000BCB50000}"/>
    <cellStyle name="Output 7 2 2 3" xfId="46369" xr:uid="{00000000-0005-0000-0000-0000BDB50000}"/>
    <cellStyle name="Output 7 2 2 4" xfId="46370" xr:uid="{00000000-0005-0000-0000-0000BEB50000}"/>
    <cellStyle name="Output 7 2 3" xfId="46371" xr:uid="{00000000-0005-0000-0000-0000BFB50000}"/>
    <cellStyle name="Output 7 2 3 2" xfId="46372" xr:uid="{00000000-0005-0000-0000-0000C0B50000}"/>
    <cellStyle name="Output 7 2 3 3" xfId="46373" xr:uid="{00000000-0005-0000-0000-0000C1B50000}"/>
    <cellStyle name="Output 7 2 3 4" xfId="46374" xr:uid="{00000000-0005-0000-0000-0000C2B50000}"/>
    <cellStyle name="Output 7 2 4" xfId="46375" xr:uid="{00000000-0005-0000-0000-0000C3B50000}"/>
    <cellStyle name="Output 7 2 5" xfId="46376" xr:uid="{00000000-0005-0000-0000-0000C4B50000}"/>
    <cellStyle name="Output 7 2 6" xfId="46377" xr:uid="{00000000-0005-0000-0000-0000C5B50000}"/>
    <cellStyle name="Output 7 3" xfId="46378" xr:uid="{00000000-0005-0000-0000-0000C6B50000}"/>
    <cellStyle name="Output 7 3 2" xfId="46379" xr:uid="{00000000-0005-0000-0000-0000C7B50000}"/>
    <cellStyle name="Output 7 3 2 2" xfId="46380" xr:uid="{00000000-0005-0000-0000-0000C8B50000}"/>
    <cellStyle name="Output 7 3 2 3" xfId="46381" xr:uid="{00000000-0005-0000-0000-0000C9B50000}"/>
    <cellStyle name="Output 7 3 2 4" xfId="46382" xr:uid="{00000000-0005-0000-0000-0000CAB50000}"/>
    <cellStyle name="Output 7 3 3" xfId="46383" xr:uid="{00000000-0005-0000-0000-0000CBB50000}"/>
    <cellStyle name="Output 7 3 3 2" xfId="46384" xr:uid="{00000000-0005-0000-0000-0000CCB50000}"/>
    <cellStyle name="Output 7 3 3 3" xfId="46385" xr:uid="{00000000-0005-0000-0000-0000CDB50000}"/>
    <cellStyle name="Output 7 3 3 4" xfId="46386" xr:uid="{00000000-0005-0000-0000-0000CEB50000}"/>
    <cellStyle name="Output 7 3 4" xfId="46387" xr:uid="{00000000-0005-0000-0000-0000CFB50000}"/>
    <cellStyle name="Output 7 3 5" xfId="46388" xr:uid="{00000000-0005-0000-0000-0000D0B50000}"/>
    <cellStyle name="Output 7 3 6" xfId="46389" xr:uid="{00000000-0005-0000-0000-0000D1B50000}"/>
    <cellStyle name="Output 7 4" xfId="46390" xr:uid="{00000000-0005-0000-0000-0000D2B50000}"/>
    <cellStyle name="Output 7 5" xfId="46391" xr:uid="{00000000-0005-0000-0000-0000D3B50000}"/>
    <cellStyle name="Output 7 6" xfId="46392" xr:uid="{00000000-0005-0000-0000-0000D4B50000}"/>
    <cellStyle name="Output 8" xfId="46393" xr:uid="{00000000-0005-0000-0000-0000D5B50000}"/>
    <cellStyle name="Output 8 2" xfId="46394" xr:uid="{00000000-0005-0000-0000-0000D6B50000}"/>
    <cellStyle name="Output 8 2 2" xfId="46395" xr:uid="{00000000-0005-0000-0000-0000D7B50000}"/>
    <cellStyle name="Output 8 2 2 2" xfId="46396" xr:uid="{00000000-0005-0000-0000-0000D8B50000}"/>
    <cellStyle name="Output 8 2 2 3" xfId="46397" xr:uid="{00000000-0005-0000-0000-0000D9B50000}"/>
    <cellStyle name="Output 8 2 2 4" xfId="46398" xr:uid="{00000000-0005-0000-0000-0000DAB50000}"/>
    <cellStyle name="Output 8 2 3" xfId="46399" xr:uid="{00000000-0005-0000-0000-0000DBB50000}"/>
    <cellStyle name="Output 8 2 3 2" xfId="46400" xr:uid="{00000000-0005-0000-0000-0000DCB50000}"/>
    <cellStyle name="Output 8 2 3 3" xfId="46401" xr:uid="{00000000-0005-0000-0000-0000DDB50000}"/>
    <cellStyle name="Output 8 2 3 4" xfId="46402" xr:uid="{00000000-0005-0000-0000-0000DEB50000}"/>
    <cellStyle name="Output 8 2 4" xfId="46403" xr:uid="{00000000-0005-0000-0000-0000DFB50000}"/>
    <cellStyle name="Output 8 2 5" xfId="46404" xr:uid="{00000000-0005-0000-0000-0000E0B50000}"/>
    <cellStyle name="Output 8 2 6" xfId="46405" xr:uid="{00000000-0005-0000-0000-0000E1B50000}"/>
    <cellStyle name="Output 8 3" xfId="46406" xr:uid="{00000000-0005-0000-0000-0000E2B50000}"/>
    <cellStyle name="Output 8 3 2" xfId="46407" xr:uid="{00000000-0005-0000-0000-0000E3B50000}"/>
    <cellStyle name="Output 8 3 2 2" xfId="46408" xr:uid="{00000000-0005-0000-0000-0000E4B50000}"/>
    <cellStyle name="Output 8 3 2 3" xfId="46409" xr:uid="{00000000-0005-0000-0000-0000E5B50000}"/>
    <cellStyle name="Output 8 3 2 4" xfId="46410" xr:uid="{00000000-0005-0000-0000-0000E6B50000}"/>
    <cellStyle name="Output 8 3 3" xfId="46411" xr:uid="{00000000-0005-0000-0000-0000E7B50000}"/>
    <cellStyle name="Output 8 3 3 2" xfId="46412" xr:uid="{00000000-0005-0000-0000-0000E8B50000}"/>
    <cellStyle name="Output 8 3 3 3" xfId="46413" xr:uid="{00000000-0005-0000-0000-0000E9B50000}"/>
    <cellStyle name="Output 8 3 3 4" xfId="46414" xr:uid="{00000000-0005-0000-0000-0000EAB50000}"/>
    <cellStyle name="Output 8 3 4" xfId="46415" xr:uid="{00000000-0005-0000-0000-0000EBB50000}"/>
    <cellStyle name="Output 8 3 5" xfId="46416" xr:uid="{00000000-0005-0000-0000-0000ECB50000}"/>
    <cellStyle name="Output 8 3 6" xfId="46417" xr:uid="{00000000-0005-0000-0000-0000EDB50000}"/>
    <cellStyle name="Output 8 4" xfId="46418" xr:uid="{00000000-0005-0000-0000-0000EEB50000}"/>
    <cellStyle name="Output 8 5" xfId="46419" xr:uid="{00000000-0005-0000-0000-0000EFB50000}"/>
    <cellStyle name="Output 8 6" xfId="46420" xr:uid="{00000000-0005-0000-0000-0000F0B50000}"/>
    <cellStyle name="Output 9" xfId="46421" xr:uid="{00000000-0005-0000-0000-0000F1B50000}"/>
    <cellStyle name="OutputData" xfId="46422" xr:uid="{00000000-0005-0000-0000-0000F2B50000}"/>
    <cellStyle name="Partida" xfId="58847" xr:uid="{00000000-0005-0000-0000-0000F3B50000}"/>
    <cellStyle name="Pattern" xfId="46423" xr:uid="{00000000-0005-0000-0000-0000F4B50000}"/>
    <cellStyle name="per.style" xfId="46424" xr:uid="{00000000-0005-0000-0000-0000F5B50000}"/>
    <cellStyle name="per.style 10" xfId="46425" xr:uid="{00000000-0005-0000-0000-0000F6B50000}"/>
    <cellStyle name="per.style 11" xfId="46426" xr:uid="{00000000-0005-0000-0000-0000F7B50000}"/>
    <cellStyle name="per.style 12" xfId="46427" xr:uid="{00000000-0005-0000-0000-0000F8B50000}"/>
    <cellStyle name="per.style 13" xfId="46428" xr:uid="{00000000-0005-0000-0000-0000F9B50000}"/>
    <cellStyle name="per.style 14" xfId="46429" xr:uid="{00000000-0005-0000-0000-0000FAB50000}"/>
    <cellStyle name="per.style 15" xfId="46430" xr:uid="{00000000-0005-0000-0000-0000FBB50000}"/>
    <cellStyle name="per.style 16" xfId="46431" xr:uid="{00000000-0005-0000-0000-0000FCB50000}"/>
    <cellStyle name="per.style 17" xfId="46432" xr:uid="{00000000-0005-0000-0000-0000FDB50000}"/>
    <cellStyle name="per.style 18" xfId="46433" xr:uid="{00000000-0005-0000-0000-0000FEB50000}"/>
    <cellStyle name="per.style 19" xfId="46434" xr:uid="{00000000-0005-0000-0000-0000FFB50000}"/>
    <cellStyle name="per.style 2" xfId="46435" xr:uid="{00000000-0005-0000-0000-000000B60000}"/>
    <cellStyle name="per.style 20" xfId="46436" xr:uid="{00000000-0005-0000-0000-000001B60000}"/>
    <cellStyle name="per.style 21" xfId="46437" xr:uid="{00000000-0005-0000-0000-000002B60000}"/>
    <cellStyle name="per.style 3" xfId="46438" xr:uid="{00000000-0005-0000-0000-000003B60000}"/>
    <cellStyle name="per.style 4" xfId="46439" xr:uid="{00000000-0005-0000-0000-000004B60000}"/>
    <cellStyle name="per.style 5" xfId="46440" xr:uid="{00000000-0005-0000-0000-000005B60000}"/>
    <cellStyle name="per.style 6" xfId="46441" xr:uid="{00000000-0005-0000-0000-000006B60000}"/>
    <cellStyle name="per.style 7" xfId="46442" xr:uid="{00000000-0005-0000-0000-000007B60000}"/>
    <cellStyle name="per.style 8" xfId="46443" xr:uid="{00000000-0005-0000-0000-000008B60000}"/>
    <cellStyle name="per.style 9" xfId="46444" xr:uid="{00000000-0005-0000-0000-000009B60000}"/>
    <cellStyle name="Percent [2]" xfId="46445" xr:uid="{00000000-0005-0000-0000-00000AB60000}"/>
    <cellStyle name="Percent [2] 10" xfId="46446" xr:uid="{00000000-0005-0000-0000-00000BB60000}"/>
    <cellStyle name="Percent [2] 10 10" xfId="46447" xr:uid="{00000000-0005-0000-0000-00000CB60000}"/>
    <cellStyle name="Percent [2] 10 2" xfId="46448" xr:uid="{00000000-0005-0000-0000-00000DB60000}"/>
    <cellStyle name="Percent [2] 10 2 2" xfId="46449" xr:uid="{00000000-0005-0000-0000-00000EB60000}"/>
    <cellStyle name="Percent [2] 10 3" xfId="46450" xr:uid="{00000000-0005-0000-0000-00000FB60000}"/>
    <cellStyle name="Percent [2] 10 3 2" xfId="46451" xr:uid="{00000000-0005-0000-0000-000010B60000}"/>
    <cellStyle name="Percent [2] 10 4" xfId="46452" xr:uid="{00000000-0005-0000-0000-000011B60000}"/>
    <cellStyle name="Percent [2] 10 4 2" xfId="46453" xr:uid="{00000000-0005-0000-0000-000012B60000}"/>
    <cellStyle name="Percent [2] 10 5" xfId="46454" xr:uid="{00000000-0005-0000-0000-000013B60000}"/>
    <cellStyle name="Percent [2] 10 5 2" xfId="46455" xr:uid="{00000000-0005-0000-0000-000014B60000}"/>
    <cellStyle name="Percent [2] 10 6" xfId="46456" xr:uid="{00000000-0005-0000-0000-000015B60000}"/>
    <cellStyle name="Percent [2] 10 6 2" xfId="46457" xr:uid="{00000000-0005-0000-0000-000016B60000}"/>
    <cellStyle name="Percent [2] 10 7" xfId="46458" xr:uid="{00000000-0005-0000-0000-000017B60000}"/>
    <cellStyle name="Percent [2] 10 7 2" xfId="46459" xr:uid="{00000000-0005-0000-0000-000018B60000}"/>
    <cellStyle name="Percent [2] 10 8" xfId="46460" xr:uid="{00000000-0005-0000-0000-000019B60000}"/>
    <cellStyle name="Percent [2] 10 8 2" xfId="46461" xr:uid="{00000000-0005-0000-0000-00001AB60000}"/>
    <cellStyle name="Percent [2] 10 9" xfId="46462" xr:uid="{00000000-0005-0000-0000-00001BB60000}"/>
    <cellStyle name="Percent [2] 10 9 2" xfId="46463" xr:uid="{00000000-0005-0000-0000-00001CB60000}"/>
    <cellStyle name="Percent [2] 11" xfId="46464" xr:uid="{00000000-0005-0000-0000-00001DB60000}"/>
    <cellStyle name="Percent [2] 11 10" xfId="46465" xr:uid="{00000000-0005-0000-0000-00001EB60000}"/>
    <cellStyle name="Percent [2] 11 2" xfId="46466" xr:uid="{00000000-0005-0000-0000-00001FB60000}"/>
    <cellStyle name="Percent [2] 11 2 2" xfId="46467" xr:uid="{00000000-0005-0000-0000-000020B60000}"/>
    <cellStyle name="Percent [2] 11 3" xfId="46468" xr:uid="{00000000-0005-0000-0000-000021B60000}"/>
    <cellStyle name="Percent [2] 11 3 2" xfId="46469" xr:uid="{00000000-0005-0000-0000-000022B60000}"/>
    <cellStyle name="Percent [2] 11 4" xfId="46470" xr:uid="{00000000-0005-0000-0000-000023B60000}"/>
    <cellStyle name="Percent [2] 11 4 2" xfId="46471" xr:uid="{00000000-0005-0000-0000-000024B60000}"/>
    <cellStyle name="Percent [2] 11 5" xfId="46472" xr:uid="{00000000-0005-0000-0000-000025B60000}"/>
    <cellStyle name="Percent [2] 11 5 2" xfId="46473" xr:uid="{00000000-0005-0000-0000-000026B60000}"/>
    <cellStyle name="Percent [2] 11 6" xfId="46474" xr:uid="{00000000-0005-0000-0000-000027B60000}"/>
    <cellStyle name="Percent [2] 11 6 2" xfId="46475" xr:uid="{00000000-0005-0000-0000-000028B60000}"/>
    <cellStyle name="Percent [2] 11 7" xfId="46476" xr:uid="{00000000-0005-0000-0000-000029B60000}"/>
    <cellStyle name="Percent [2] 11 7 2" xfId="46477" xr:uid="{00000000-0005-0000-0000-00002AB60000}"/>
    <cellStyle name="Percent [2] 11 8" xfId="46478" xr:uid="{00000000-0005-0000-0000-00002BB60000}"/>
    <cellStyle name="Percent [2] 11 8 2" xfId="46479" xr:uid="{00000000-0005-0000-0000-00002CB60000}"/>
    <cellStyle name="Percent [2] 11 9" xfId="46480" xr:uid="{00000000-0005-0000-0000-00002DB60000}"/>
    <cellStyle name="Percent [2] 11 9 2" xfId="46481" xr:uid="{00000000-0005-0000-0000-00002EB60000}"/>
    <cellStyle name="Percent [2] 12" xfId="46482" xr:uid="{00000000-0005-0000-0000-00002FB60000}"/>
    <cellStyle name="Percent [2] 12 10" xfId="46483" xr:uid="{00000000-0005-0000-0000-000030B60000}"/>
    <cellStyle name="Percent [2] 12 2" xfId="46484" xr:uid="{00000000-0005-0000-0000-000031B60000}"/>
    <cellStyle name="Percent [2] 12 2 2" xfId="46485" xr:uid="{00000000-0005-0000-0000-000032B60000}"/>
    <cellStyle name="Percent [2] 12 3" xfId="46486" xr:uid="{00000000-0005-0000-0000-000033B60000}"/>
    <cellStyle name="Percent [2] 12 3 2" xfId="46487" xr:uid="{00000000-0005-0000-0000-000034B60000}"/>
    <cellStyle name="Percent [2] 12 4" xfId="46488" xr:uid="{00000000-0005-0000-0000-000035B60000}"/>
    <cellStyle name="Percent [2] 12 4 2" xfId="46489" xr:uid="{00000000-0005-0000-0000-000036B60000}"/>
    <cellStyle name="Percent [2] 12 5" xfId="46490" xr:uid="{00000000-0005-0000-0000-000037B60000}"/>
    <cellStyle name="Percent [2] 12 5 2" xfId="46491" xr:uid="{00000000-0005-0000-0000-000038B60000}"/>
    <cellStyle name="Percent [2] 12 6" xfId="46492" xr:uid="{00000000-0005-0000-0000-000039B60000}"/>
    <cellStyle name="Percent [2] 12 6 2" xfId="46493" xr:uid="{00000000-0005-0000-0000-00003AB60000}"/>
    <cellStyle name="Percent [2] 12 7" xfId="46494" xr:uid="{00000000-0005-0000-0000-00003BB60000}"/>
    <cellStyle name="Percent [2] 12 7 2" xfId="46495" xr:uid="{00000000-0005-0000-0000-00003CB60000}"/>
    <cellStyle name="Percent [2] 12 8" xfId="46496" xr:uid="{00000000-0005-0000-0000-00003DB60000}"/>
    <cellStyle name="Percent [2] 12 8 2" xfId="46497" xr:uid="{00000000-0005-0000-0000-00003EB60000}"/>
    <cellStyle name="Percent [2] 12 9" xfId="46498" xr:uid="{00000000-0005-0000-0000-00003FB60000}"/>
    <cellStyle name="Percent [2] 12 9 2" xfId="46499" xr:uid="{00000000-0005-0000-0000-000040B60000}"/>
    <cellStyle name="Percent [2] 13" xfId="46500" xr:uid="{00000000-0005-0000-0000-000041B60000}"/>
    <cellStyle name="Percent [2] 13 10" xfId="46501" xr:uid="{00000000-0005-0000-0000-000042B60000}"/>
    <cellStyle name="Percent [2] 13 2" xfId="46502" xr:uid="{00000000-0005-0000-0000-000043B60000}"/>
    <cellStyle name="Percent [2] 13 2 2" xfId="46503" xr:uid="{00000000-0005-0000-0000-000044B60000}"/>
    <cellStyle name="Percent [2] 13 3" xfId="46504" xr:uid="{00000000-0005-0000-0000-000045B60000}"/>
    <cellStyle name="Percent [2] 13 3 2" xfId="46505" xr:uid="{00000000-0005-0000-0000-000046B60000}"/>
    <cellStyle name="Percent [2] 13 4" xfId="46506" xr:uid="{00000000-0005-0000-0000-000047B60000}"/>
    <cellStyle name="Percent [2] 13 4 2" xfId="46507" xr:uid="{00000000-0005-0000-0000-000048B60000}"/>
    <cellStyle name="Percent [2] 13 5" xfId="46508" xr:uid="{00000000-0005-0000-0000-000049B60000}"/>
    <cellStyle name="Percent [2] 13 5 2" xfId="46509" xr:uid="{00000000-0005-0000-0000-00004AB60000}"/>
    <cellStyle name="Percent [2] 13 6" xfId="46510" xr:uid="{00000000-0005-0000-0000-00004BB60000}"/>
    <cellStyle name="Percent [2] 13 6 2" xfId="46511" xr:uid="{00000000-0005-0000-0000-00004CB60000}"/>
    <cellStyle name="Percent [2] 13 7" xfId="46512" xr:uid="{00000000-0005-0000-0000-00004DB60000}"/>
    <cellStyle name="Percent [2] 13 7 2" xfId="46513" xr:uid="{00000000-0005-0000-0000-00004EB60000}"/>
    <cellStyle name="Percent [2] 13 8" xfId="46514" xr:uid="{00000000-0005-0000-0000-00004FB60000}"/>
    <cellStyle name="Percent [2] 13 8 2" xfId="46515" xr:uid="{00000000-0005-0000-0000-000050B60000}"/>
    <cellStyle name="Percent [2] 13 9" xfId="46516" xr:uid="{00000000-0005-0000-0000-000051B60000}"/>
    <cellStyle name="Percent [2] 13 9 2" xfId="46517" xr:uid="{00000000-0005-0000-0000-000052B60000}"/>
    <cellStyle name="Percent [2] 14" xfId="46518" xr:uid="{00000000-0005-0000-0000-000053B60000}"/>
    <cellStyle name="Percent [2] 14 10" xfId="46519" xr:uid="{00000000-0005-0000-0000-000054B60000}"/>
    <cellStyle name="Percent [2] 14 2" xfId="46520" xr:uid="{00000000-0005-0000-0000-000055B60000}"/>
    <cellStyle name="Percent [2] 14 2 2" xfId="46521" xr:uid="{00000000-0005-0000-0000-000056B60000}"/>
    <cellStyle name="Percent [2] 14 3" xfId="46522" xr:uid="{00000000-0005-0000-0000-000057B60000}"/>
    <cellStyle name="Percent [2] 14 3 2" xfId="46523" xr:uid="{00000000-0005-0000-0000-000058B60000}"/>
    <cellStyle name="Percent [2] 14 4" xfId="46524" xr:uid="{00000000-0005-0000-0000-000059B60000}"/>
    <cellStyle name="Percent [2] 14 4 2" xfId="46525" xr:uid="{00000000-0005-0000-0000-00005AB60000}"/>
    <cellStyle name="Percent [2] 14 5" xfId="46526" xr:uid="{00000000-0005-0000-0000-00005BB60000}"/>
    <cellStyle name="Percent [2] 14 5 2" xfId="46527" xr:uid="{00000000-0005-0000-0000-00005CB60000}"/>
    <cellStyle name="Percent [2] 14 6" xfId="46528" xr:uid="{00000000-0005-0000-0000-00005DB60000}"/>
    <cellStyle name="Percent [2] 14 6 2" xfId="46529" xr:uid="{00000000-0005-0000-0000-00005EB60000}"/>
    <cellStyle name="Percent [2] 14 7" xfId="46530" xr:uid="{00000000-0005-0000-0000-00005FB60000}"/>
    <cellStyle name="Percent [2] 14 7 2" xfId="46531" xr:uid="{00000000-0005-0000-0000-000060B60000}"/>
    <cellStyle name="Percent [2] 14 8" xfId="46532" xr:uid="{00000000-0005-0000-0000-000061B60000}"/>
    <cellStyle name="Percent [2] 14 8 2" xfId="46533" xr:uid="{00000000-0005-0000-0000-000062B60000}"/>
    <cellStyle name="Percent [2] 14 9" xfId="46534" xr:uid="{00000000-0005-0000-0000-000063B60000}"/>
    <cellStyle name="Percent [2] 14 9 2" xfId="46535" xr:uid="{00000000-0005-0000-0000-000064B60000}"/>
    <cellStyle name="Percent [2] 15" xfId="46536" xr:uid="{00000000-0005-0000-0000-000065B60000}"/>
    <cellStyle name="Percent [2] 15 10" xfId="46537" xr:uid="{00000000-0005-0000-0000-000066B60000}"/>
    <cellStyle name="Percent [2] 15 2" xfId="46538" xr:uid="{00000000-0005-0000-0000-000067B60000}"/>
    <cellStyle name="Percent [2] 15 2 2" xfId="46539" xr:uid="{00000000-0005-0000-0000-000068B60000}"/>
    <cellStyle name="Percent [2] 15 3" xfId="46540" xr:uid="{00000000-0005-0000-0000-000069B60000}"/>
    <cellStyle name="Percent [2] 15 3 2" xfId="46541" xr:uid="{00000000-0005-0000-0000-00006AB60000}"/>
    <cellStyle name="Percent [2] 15 4" xfId="46542" xr:uid="{00000000-0005-0000-0000-00006BB60000}"/>
    <cellStyle name="Percent [2] 15 4 2" xfId="46543" xr:uid="{00000000-0005-0000-0000-00006CB60000}"/>
    <cellStyle name="Percent [2] 15 5" xfId="46544" xr:uid="{00000000-0005-0000-0000-00006DB60000}"/>
    <cellStyle name="Percent [2] 15 5 2" xfId="46545" xr:uid="{00000000-0005-0000-0000-00006EB60000}"/>
    <cellStyle name="Percent [2] 15 6" xfId="46546" xr:uid="{00000000-0005-0000-0000-00006FB60000}"/>
    <cellStyle name="Percent [2] 15 6 2" xfId="46547" xr:uid="{00000000-0005-0000-0000-000070B60000}"/>
    <cellStyle name="Percent [2] 15 7" xfId="46548" xr:uid="{00000000-0005-0000-0000-000071B60000}"/>
    <cellStyle name="Percent [2] 15 7 2" xfId="46549" xr:uid="{00000000-0005-0000-0000-000072B60000}"/>
    <cellStyle name="Percent [2] 15 8" xfId="46550" xr:uid="{00000000-0005-0000-0000-000073B60000}"/>
    <cellStyle name="Percent [2] 15 8 2" xfId="46551" xr:uid="{00000000-0005-0000-0000-000074B60000}"/>
    <cellStyle name="Percent [2] 15 9" xfId="46552" xr:uid="{00000000-0005-0000-0000-000075B60000}"/>
    <cellStyle name="Percent [2] 15 9 2" xfId="46553" xr:uid="{00000000-0005-0000-0000-000076B60000}"/>
    <cellStyle name="Percent [2] 16" xfId="46554" xr:uid="{00000000-0005-0000-0000-000077B60000}"/>
    <cellStyle name="Percent [2] 16 10" xfId="46555" xr:uid="{00000000-0005-0000-0000-000078B60000}"/>
    <cellStyle name="Percent [2] 16 2" xfId="46556" xr:uid="{00000000-0005-0000-0000-000079B60000}"/>
    <cellStyle name="Percent [2] 16 2 2" xfId="46557" xr:uid="{00000000-0005-0000-0000-00007AB60000}"/>
    <cellStyle name="Percent [2] 16 3" xfId="46558" xr:uid="{00000000-0005-0000-0000-00007BB60000}"/>
    <cellStyle name="Percent [2] 16 3 2" xfId="46559" xr:uid="{00000000-0005-0000-0000-00007CB60000}"/>
    <cellStyle name="Percent [2] 16 4" xfId="46560" xr:uid="{00000000-0005-0000-0000-00007DB60000}"/>
    <cellStyle name="Percent [2] 16 4 2" xfId="46561" xr:uid="{00000000-0005-0000-0000-00007EB60000}"/>
    <cellStyle name="Percent [2] 16 5" xfId="46562" xr:uid="{00000000-0005-0000-0000-00007FB60000}"/>
    <cellStyle name="Percent [2] 16 5 2" xfId="46563" xr:uid="{00000000-0005-0000-0000-000080B60000}"/>
    <cellStyle name="Percent [2] 16 6" xfId="46564" xr:uid="{00000000-0005-0000-0000-000081B60000}"/>
    <cellStyle name="Percent [2] 16 6 2" xfId="46565" xr:uid="{00000000-0005-0000-0000-000082B60000}"/>
    <cellStyle name="Percent [2] 16 7" xfId="46566" xr:uid="{00000000-0005-0000-0000-000083B60000}"/>
    <cellStyle name="Percent [2] 16 7 2" xfId="46567" xr:uid="{00000000-0005-0000-0000-000084B60000}"/>
    <cellStyle name="Percent [2] 16 8" xfId="46568" xr:uid="{00000000-0005-0000-0000-000085B60000}"/>
    <cellStyle name="Percent [2] 16 8 2" xfId="46569" xr:uid="{00000000-0005-0000-0000-000086B60000}"/>
    <cellStyle name="Percent [2] 16 9" xfId="46570" xr:uid="{00000000-0005-0000-0000-000087B60000}"/>
    <cellStyle name="Percent [2] 16 9 2" xfId="46571" xr:uid="{00000000-0005-0000-0000-000088B60000}"/>
    <cellStyle name="Percent [2] 17" xfId="46572" xr:uid="{00000000-0005-0000-0000-000089B60000}"/>
    <cellStyle name="Percent [2] 17 10" xfId="46573" xr:uid="{00000000-0005-0000-0000-00008AB60000}"/>
    <cellStyle name="Percent [2] 17 2" xfId="46574" xr:uid="{00000000-0005-0000-0000-00008BB60000}"/>
    <cellStyle name="Percent [2] 17 2 2" xfId="46575" xr:uid="{00000000-0005-0000-0000-00008CB60000}"/>
    <cellStyle name="Percent [2] 17 3" xfId="46576" xr:uid="{00000000-0005-0000-0000-00008DB60000}"/>
    <cellStyle name="Percent [2] 17 3 2" xfId="46577" xr:uid="{00000000-0005-0000-0000-00008EB60000}"/>
    <cellStyle name="Percent [2] 17 4" xfId="46578" xr:uid="{00000000-0005-0000-0000-00008FB60000}"/>
    <cellStyle name="Percent [2] 17 4 2" xfId="46579" xr:uid="{00000000-0005-0000-0000-000090B60000}"/>
    <cellStyle name="Percent [2] 17 5" xfId="46580" xr:uid="{00000000-0005-0000-0000-000091B60000}"/>
    <cellStyle name="Percent [2] 17 5 2" xfId="46581" xr:uid="{00000000-0005-0000-0000-000092B60000}"/>
    <cellStyle name="Percent [2] 17 6" xfId="46582" xr:uid="{00000000-0005-0000-0000-000093B60000}"/>
    <cellStyle name="Percent [2] 17 6 2" xfId="46583" xr:uid="{00000000-0005-0000-0000-000094B60000}"/>
    <cellStyle name="Percent [2] 17 7" xfId="46584" xr:uid="{00000000-0005-0000-0000-000095B60000}"/>
    <cellStyle name="Percent [2] 17 7 2" xfId="46585" xr:uid="{00000000-0005-0000-0000-000096B60000}"/>
    <cellStyle name="Percent [2] 17 8" xfId="46586" xr:uid="{00000000-0005-0000-0000-000097B60000}"/>
    <cellStyle name="Percent [2] 17 8 2" xfId="46587" xr:uid="{00000000-0005-0000-0000-000098B60000}"/>
    <cellStyle name="Percent [2] 17 9" xfId="46588" xr:uid="{00000000-0005-0000-0000-000099B60000}"/>
    <cellStyle name="Percent [2] 17 9 2" xfId="46589" xr:uid="{00000000-0005-0000-0000-00009AB60000}"/>
    <cellStyle name="Percent [2] 18" xfId="46590" xr:uid="{00000000-0005-0000-0000-00009BB60000}"/>
    <cellStyle name="Percent [2] 18 10" xfId="46591" xr:uid="{00000000-0005-0000-0000-00009CB60000}"/>
    <cellStyle name="Percent [2] 18 2" xfId="46592" xr:uid="{00000000-0005-0000-0000-00009DB60000}"/>
    <cellStyle name="Percent [2] 18 2 2" xfId="46593" xr:uid="{00000000-0005-0000-0000-00009EB60000}"/>
    <cellStyle name="Percent [2] 18 3" xfId="46594" xr:uid="{00000000-0005-0000-0000-00009FB60000}"/>
    <cellStyle name="Percent [2] 18 3 2" xfId="46595" xr:uid="{00000000-0005-0000-0000-0000A0B60000}"/>
    <cellStyle name="Percent [2] 18 4" xfId="46596" xr:uid="{00000000-0005-0000-0000-0000A1B60000}"/>
    <cellStyle name="Percent [2] 18 4 2" xfId="46597" xr:uid="{00000000-0005-0000-0000-0000A2B60000}"/>
    <cellStyle name="Percent [2] 18 5" xfId="46598" xr:uid="{00000000-0005-0000-0000-0000A3B60000}"/>
    <cellStyle name="Percent [2] 18 5 2" xfId="46599" xr:uid="{00000000-0005-0000-0000-0000A4B60000}"/>
    <cellStyle name="Percent [2] 18 6" xfId="46600" xr:uid="{00000000-0005-0000-0000-0000A5B60000}"/>
    <cellStyle name="Percent [2] 18 6 2" xfId="46601" xr:uid="{00000000-0005-0000-0000-0000A6B60000}"/>
    <cellStyle name="Percent [2] 18 7" xfId="46602" xr:uid="{00000000-0005-0000-0000-0000A7B60000}"/>
    <cellStyle name="Percent [2] 18 7 2" xfId="46603" xr:uid="{00000000-0005-0000-0000-0000A8B60000}"/>
    <cellStyle name="Percent [2] 18 8" xfId="46604" xr:uid="{00000000-0005-0000-0000-0000A9B60000}"/>
    <cellStyle name="Percent [2] 18 8 2" xfId="46605" xr:uid="{00000000-0005-0000-0000-0000AAB60000}"/>
    <cellStyle name="Percent [2] 18 9" xfId="46606" xr:uid="{00000000-0005-0000-0000-0000ABB60000}"/>
    <cellStyle name="Percent [2] 18 9 2" xfId="46607" xr:uid="{00000000-0005-0000-0000-0000ACB60000}"/>
    <cellStyle name="Percent [2] 19" xfId="46608" xr:uid="{00000000-0005-0000-0000-0000ADB60000}"/>
    <cellStyle name="Percent [2] 19 10" xfId="46609" xr:uid="{00000000-0005-0000-0000-0000AEB60000}"/>
    <cellStyle name="Percent [2] 19 2" xfId="46610" xr:uid="{00000000-0005-0000-0000-0000AFB60000}"/>
    <cellStyle name="Percent [2] 19 2 2" xfId="46611" xr:uid="{00000000-0005-0000-0000-0000B0B60000}"/>
    <cellStyle name="Percent [2] 19 3" xfId="46612" xr:uid="{00000000-0005-0000-0000-0000B1B60000}"/>
    <cellStyle name="Percent [2] 19 3 2" xfId="46613" xr:uid="{00000000-0005-0000-0000-0000B2B60000}"/>
    <cellStyle name="Percent [2] 19 4" xfId="46614" xr:uid="{00000000-0005-0000-0000-0000B3B60000}"/>
    <cellStyle name="Percent [2] 19 4 2" xfId="46615" xr:uid="{00000000-0005-0000-0000-0000B4B60000}"/>
    <cellStyle name="Percent [2] 19 5" xfId="46616" xr:uid="{00000000-0005-0000-0000-0000B5B60000}"/>
    <cellStyle name="Percent [2] 19 5 2" xfId="46617" xr:uid="{00000000-0005-0000-0000-0000B6B60000}"/>
    <cellStyle name="Percent [2] 19 6" xfId="46618" xr:uid="{00000000-0005-0000-0000-0000B7B60000}"/>
    <cellStyle name="Percent [2] 19 6 2" xfId="46619" xr:uid="{00000000-0005-0000-0000-0000B8B60000}"/>
    <cellStyle name="Percent [2] 19 7" xfId="46620" xr:uid="{00000000-0005-0000-0000-0000B9B60000}"/>
    <cellStyle name="Percent [2] 19 7 2" xfId="46621" xr:uid="{00000000-0005-0000-0000-0000BAB60000}"/>
    <cellStyle name="Percent [2] 19 8" xfId="46622" xr:uid="{00000000-0005-0000-0000-0000BBB60000}"/>
    <cellStyle name="Percent [2] 19 8 2" xfId="46623" xr:uid="{00000000-0005-0000-0000-0000BCB60000}"/>
    <cellStyle name="Percent [2] 19 9" xfId="46624" xr:uid="{00000000-0005-0000-0000-0000BDB60000}"/>
    <cellStyle name="Percent [2] 19 9 2" xfId="46625" xr:uid="{00000000-0005-0000-0000-0000BEB60000}"/>
    <cellStyle name="Percent [2] 2" xfId="46626" xr:uid="{00000000-0005-0000-0000-0000BFB60000}"/>
    <cellStyle name="Percent [2] 2 10" xfId="46627" xr:uid="{00000000-0005-0000-0000-0000C0B60000}"/>
    <cellStyle name="Percent [2] 2 2" xfId="46628" xr:uid="{00000000-0005-0000-0000-0000C1B60000}"/>
    <cellStyle name="Percent [2] 2 2 2" xfId="46629" xr:uid="{00000000-0005-0000-0000-0000C2B60000}"/>
    <cellStyle name="Percent [2] 2 3" xfId="46630" xr:uid="{00000000-0005-0000-0000-0000C3B60000}"/>
    <cellStyle name="Percent [2] 2 3 2" xfId="46631" xr:uid="{00000000-0005-0000-0000-0000C4B60000}"/>
    <cellStyle name="Percent [2] 2 4" xfId="46632" xr:uid="{00000000-0005-0000-0000-0000C5B60000}"/>
    <cellStyle name="Percent [2] 2 4 2" xfId="46633" xr:uid="{00000000-0005-0000-0000-0000C6B60000}"/>
    <cellStyle name="Percent [2] 2 5" xfId="46634" xr:uid="{00000000-0005-0000-0000-0000C7B60000}"/>
    <cellStyle name="Percent [2] 2 5 2" xfId="46635" xr:uid="{00000000-0005-0000-0000-0000C8B60000}"/>
    <cellStyle name="Percent [2] 2 6" xfId="46636" xr:uid="{00000000-0005-0000-0000-0000C9B60000}"/>
    <cellStyle name="Percent [2] 2 6 2" xfId="46637" xr:uid="{00000000-0005-0000-0000-0000CAB60000}"/>
    <cellStyle name="Percent [2] 2 7" xfId="46638" xr:uid="{00000000-0005-0000-0000-0000CBB60000}"/>
    <cellStyle name="Percent [2] 2 7 2" xfId="46639" xr:uid="{00000000-0005-0000-0000-0000CCB60000}"/>
    <cellStyle name="Percent [2] 2 8" xfId="46640" xr:uid="{00000000-0005-0000-0000-0000CDB60000}"/>
    <cellStyle name="Percent [2] 2 8 2" xfId="46641" xr:uid="{00000000-0005-0000-0000-0000CEB60000}"/>
    <cellStyle name="Percent [2] 2 9" xfId="46642" xr:uid="{00000000-0005-0000-0000-0000CFB60000}"/>
    <cellStyle name="Percent [2] 2 9 2" xfId="46643" xr:uid="{00000000-0005-0000-0000-0000D0B60000}"/>
    <cellStyle name="Percent [2] 20" xfId="46644" xr:uid="{00000000-0005-0000-0000-0000D1B60000}"/>
    <cellStyle name="Percent [2] 20 10" xfId="46645" xr:uid="{00000000-0005-0000-0000-0000D2B60000}"/>
    <cellStyle name="Percent [2] 20 2" xfId="46646" xr:uid="{00000000-0005-0000-0000-0000D3B60000}"/>
    <cellStyle name="Percent [2] 20 2 2" xfId="46647" xr:uid="{00000000-0005-0000-0000-0000D4B60000}"/>
    <cellStyle name="Percent [2] 20 3" xfId="46648" xr:uid="{00000000-0005-0000-0000-0000D5B60000}"/>
    <cellStyle name="Percent [2] 20 3 2" xfId="46649" xr:uid="{00000000-0005-0000-0000-0000D6B60000}"/>
    <cellStyle name="Percent [2] 20 4" xfId="46650" xr:uid="{00000000-0005-0000-0000-0000D7B60000}"/>
    <cellStyle name="Percent [2] 20 4 2" xfId="46651" xr:uid="{00000000-0005-0000-0000-0000D8B60000}"/>
    <cellStyle name="Percent [2] 20 5" xfId="46652" xr:uid="{00000000-0005-0000-0000-0000D9B60000}"/>
    <cellStyle name="Percent [2] 20 5 2" xfId="46653" xr:uid="{00000000-0005-0000-0000-0000DAB60000}"/>
    <cellStyle name="Percent [2] 20 6" xfId="46654" xr:uid="{00000000-0005-0000-0000-0000DBB60000}"/>
    <cellStyle name="Percent [2] 20 6 2" xfId="46655" xr:uid="{00000000-0005-0000-0000-0000DCB60000}"/>
    <cellStyle name="Percent [2] 20 7" xfId="46656" xr:uid="{00000000-0005-0000-0000-0000DDB60000}"/>
    <cellStyle name="Percent [2] 20 7 2" xfId="46657" xr:uid="{00000000-0005-0000-0000-0000DEB60000}"/>
    <cellStyle name="Percent [2] 20 8" xfId="46658" xr:uid="{00000000-0005-0000-0000-0000DFB60000}"/>
    <cellStyle name="Percent [2] 20 8 2" xfId="46659" xr:uid="{00000000-0005-0000-0000-0000E0B60000}"/>
    <cellStyle name="Percent [2] 20 9" xfId="46660" xr:uid="{00000000-0005-0000-0000-0000E1B60000}"/>
    <cellStyle name="Percent [2] 20 9 2" xfId="46661" xr:uid="{00000000-0005-0000-0000-0000E2B60000}"/>
    <cellStyle name="Percent [2] 21" xfId="46662" xr:uid="{00000000-0005-0000-0000-0000E3B60000}"/>
    <cellStyle name="Percent [2] 21 10" xfId="46663" xr:uid="{00000000-0005-0000-0000-0000E4B60000}"/>
    <cellStyle name="Percent [2] 21 2" xfId="46664" xr:uid="{00000000-0005-0000-0000-0000E5B60000}"/>
    <cellStyle name="Percent [2] 21 2 2" xfId="46665" xr:uid="{00000000-0005-0000-0000-0000E6B60000}"/>
    <cellStyle name="Percent [2] 21 3" xfId="46666" xr:uid="{00000000-0005-0000-0000-0000E7B60000}"/>
    <cellStyle name="Percent [2] 21 3 2" xfId="46667" xr:uid="{00000000-0005-0000-0000-0000E8B60000}"/>
    <cellStyle name="Percent [2] 21 4" xfId="46668" xr:uid="{00000000-0005-0000-0000-0000E9B60000}"/>
    <cellStyle name="Percent [2] 21 4 2" xfId="46669" xr:uid="{00000000-0005-0000-0000-0000EAB60000}"/>
    <cellStyle name="Percent [2] 21 5" xfId="46670" xr:uid="{00000000-0005-0000-0000-0000EBB60000}"/>
    <cellStyle name="Percent [2] 21 5 2" xfId="46671" xr:uid="{00000000-0005-0000-0000-0000ECB60000}"/>
    <cellStyle name="Percent [2] 21 6" xfId="46672" xr:uid="{00000000-0005-0000-0000-0000EDB60000}"/>
    <cellStyle name="Percent [2] 21 6 2" xfId="46673" xr:uid="{00000000-0005-0000-0000-0000EEB60000}"/>
    <cellStyle name="Percent [2] 21 7" xfId="46674" xr:uid="{00000000-0005-0000-0000-0000EFB60000}"/>
    <cellStyle name="Percent [2] 21 7 2" xfId="46675" xr:uid="{00000000-0005-0000-0000-0000F0B60000}"/>
    <cellStyle name="Percent [2] 21 8" xfId="46676" xr:uid="{00000000-0005-0000-0000-0000F1B60000}"/>
    <cellStyle name="Percent [2] 21 8 2" xfId="46677" xr:uid="{00000000-0005-0000-0000-0000F2B60000}"/>
    <cellStyle name="Percent [2] 21 9" xfId="46678" xr:uid="{00000000-0005-0000-0000-0000F3B60000}"/>
    <cellStyle name="Percent [2] 21 9 2" xfId="46679" xr:uid="{00000000-0005-0000-0000-0000F4B60000}"/>
    <cellStyle name="Percent [2] 22" xfId="46680" xr:uid="{00000000-0005-0000-0000-0000F5B60000}"/>
    <cellStyle name="Percent [2] 3" xfId="46681" xr:uid="{00000000-0005-0000-0000-0000F6B60000}"/>
    <cellStyle name="Percent [2] 3 10" xfId="46682" xr:uid="{00000000-0005-0000-0000-0000F7B60000}"/>
    <cellStyle name="Percent [2] 3 2" xfId="46683" xr:uid="{00000000-0005-0000-0000-0000F8B60000}"/>
    <cellStyle name="Percent [2] 3 2 2" xfId="46684" xr:uid="{00000000-0005-0000-0000-0000F9B60000}"/>
    <cellStyle name="Percent [2] 3 3" xfId="46685" xr:uid="{00000000-0005-0000-0000-0000FAB60000}"/>
    <cellStyle name="Percent [2] 3 3 2" xfId="46686" xr:uid="{00000000-0005-0000-0000-0000FBB60000}"/>
    <cellStyle name="Percent [2] 3 4" xfId="46687" xr:uid="{00000000-0005-0000-0000-0000FCB60000}"/>
    <cellStyle name="Percent [2] 3 4 2" xfId="46688" xr:uid="{00000000-0005-0000-0000-0000FDB60000}"/>
    <cellStyle name="Percent [2] 3 5" xfId="46689" xr:uid="{00000000-0005-0000-0000-0000FEB60000}"/>
    <cellStyle name="Percent [2] 3 5 2" xfId="46690" xr:uid="{00000000-0005-0000-0000-0000FFB60000}"/>
    <cellStyle name="Percent [2] 3 6" xfId="46691" xr:uid="{00000000-0005-0000-0000-000000B70000}"/>
    <cellStyle name="Percent [2] 3 6 2" xfId="46692" xr:uid="{00000000-0005-0000-0000-000001B70000}"/>
    <cellStyle name="Percent [2] 3 7" xfId="46693" xr:uid="{00000000-0005-0000-0000-000002B70000}"/>
    <cellStyle name="Percent [2] 3 7 2" xfId="46694" xr:uid="{00000000-0005-0000-0000-000003B70000}"/>
    <cellStyle name="Percent [2] 3 8" xfId="46695" xr:uid="{00000000-0005-0000-0000-000004B70000}"/>
    <cellStyle name="Percent [2] 3 8 2" xfId="46696" xr:uid="{00000000-0005-0000-0000-000005B70000}"/>
    <cellStyle name="Percent [2] 3 9" xfId="46697" xr:uid="{00000000-0005-0000-0000-000006B70000}"/>
    <cellStyle name="Percent [2] 3 9 2" xfId="46698" xr:uid="{00000000-0005-0000-0000-000007B70000}"/>
    <cellStyle name="Percent [2] 4" xfId="46699" xr:uid="{00000000-0005-0000-0000-000008B70000}"/>
    <cellStyle name="Percent [2] 4 10" xfId="46700" xr:uid="{00000000-0005-0000-0000-000009B70000}"/>
    <cellStyle name="Percent [2] 4 2" xfId="46701" xr:uid="{00000000-0005-0000-0000-00000AB70000}"/>
    <cellStyle name="Percent [2] 4 2 2" xfId="46702" xr:uid="{00000000-0005-0000-0000-00000BB70000}"/>
    <cellStyle name="Percent [2] 4 3" xfId="46703" xr:uid="{00000000-0005-0000-0000-00000CB70000}"/>
    <cellStyle name="Percent [2] 4 3 2" xfId="46704" xr:uid="{00000000-0005-0000-0000-00000DB70000}"/>
    <cellStyle name="Percent [2] 4 4" xfId="46705" xr:uid="{00000000-0005-0000-0000-00000EB70000}"/>
    <cellStyle name="Percent [2] 4 4 2" xfId="46706" xr:uid="{00000000-0005-0000-0000-00000FB70000}"/>
    <cellStyle name="Percent [2] 4 5" xfId="46707" xr:uid="{00000000-0005-0000-0000-000010B70000}"/>
    <cellStyle name="Percent [2] 4 5 2" xfId="46708" xr:uid="{00000000-0005-0000-0000-000011B70000}"/>
    <cellStyle name="Percent [2] 4 6" xfId="46709" xr:uid="{00000000-0005-0000-0000-000012B70000}"/>
    <cellStyle name="Percent [2] 4 6 2" xfId="46710" xr:uid="{00000000-0005-0000-0000-000013B70000}"/>
    <cellStyle name="Percent [2] 4 7" xfId="46711" xr:uid="{00000000-0005-0000-0000-000014B70000}"/>
    <cellStyle name="Percent [2] 4 7 2" xfId="46712" xr:uid="{00000000-0005-0000-0000-000015B70000}"/>
    <cellStyle name="Percent [2] 4 8" xfId="46713" xr:uid="{00000000-0005-0000-0000-000016B70000}"/>
    <cellStyle name="Percent [2] 4 8 2" xfId="46714" xr:uid="{00000000-0005-0000-0000-000017B70000}"/>
    <cellStyle name="Percent [2] 4 9" xfId="46715" xr:uid="{00000000-0005-0000-0000-000018B70000}"/>
    <cellStyle name="Percent [2] 4 9 2" xfId="46716" xr:uid="{00000000-0005-0000-0000-000019B70000}"/>
    <cellStyle name="Percent [2] 5" xfId="46717" xr:uid="{00000000-0005-0000-0000-00001AB70000}"/>
    <cellStyle name="Percent [2] 5 10" xfId="46718" xr:uid="{00000000-0005-0000-0000-00001BB70000}"/>
    <cellStyle name="Percent [2] 5 2" xfId="46719" xr:uid="{00000000-0005-0000-0000-00001CB70000}"/>
    <cellStyle name="Percent [2] 5 2 2" xfId="46720" xr:uid="{00000000-0005-0000-0000-00001DB70000}"/>
    <cellStyle name="Percent [2] 5 3" xfId="46721" xr:uid="{00000000-0005-0000-0000-00001EB70000}"/>
    <cellStyle name="Percent [2] 5 3 2" xfId="46722" xr:uid="{00000000-0005-0000-0000-00001FB70000}"/>
    <cellStyle name="Percent [2] 5 4" xfId="46723" xr:uid="{00000000-0005-0000-0000-000020B70000}"/>
    <cellStyle name="Percent [2] 5 4 2" xfId="46724" xr:uid="{00000000-0005-0000-0000-000021B70000}"/>
    <cellStyle name="Percent [2] 5 5" xfId="46725" xr:uid="{00000000-0005-0000-0000-000022B70000}"/>
    <cellStyle name="Percent [2] 5 5 2" xfId="46726" xr:uid="{00000000-0005-0000-0000-000023B70000}"/>
    <cellStyle name="Percent [2] 5 6" xfId="46727" xr:uid="{00000000-0005-0000-0000-000024B70000}"/>
    <cellStyle name="Percent [2] 5 6 2" xfId="46728" xr:uid="{00000000-0005-0000-0000-000025B70000}"/>
    <cellStyle name="Percent [2] 5 7" xfId="46729" xr:uid="{00000000-0005-0000-0000-000026B70000}"/>
    <cellStyle name="Percent [2] 5 7 2" xfId="46730" xr:uid="{00000000-0005-0000-0000-000027B70000}"/>
    <cellStyle name="Percent [2] 5 8" xfId="46731" xr:uid="{00000000-0005-0000-0000-000028B70000}"/>
    <cellStyle name="Percent [2] 5 8 2" xfId="46732" xr:uid="{00000000-0005-0000-0000-000029B70000}"/>
    <cellStyle name="Percent [2] 5 9" xfId="46733" xr:uid="{00000000-0005-0000-0000-00002AB70000}"/>
    <cellStyle name="Percent [2] 5 9 2" xfId="46734" xr:uid="{00000000-0005-0000-0000-00002BB70000}"/>
    <cellStyle name="Percent [2] 6" xfId="46735" xr:uid="{00000000-0005-0000-0000-00002CB70000}"/>
    <cellStyle name="Percent [2] 6 10" xfId="46736" xr:uid="{00000000-0005-0000-0000-00002DB70000}"/>
    <cellStyle name="Percent [2] 6 2" xfId="46737" xr:uid="{00000000-0005-0000-0000-00002EB70000}"/>
    <cellStyle name="Percent [2] 6 2 2" xfId="46738" xr:uid="{00000000-0005-0000-0000-00002FB70000}"/>
    <cellStyle name="Percent [2] 6 3" xfId="46739" xr:uid="{00000000-0005-0000-0000-000030B70000}"/>
    <cellStyle name="Percent [2] 6 3 2" xfId="46740" xr:uid="{00000000-0005-0000-0000-000031B70000}"/>
    <cellStyle name="Percent [2] 6 4" xfId="46741" xr:uid="{00000000-0005-0000-0000-000032B70000}"/>
    <cellStyle name="Percent [2] 6 4 2" xfId="46742" xr:uid="{00000000-0005-0000-0000-000033B70000}"/>
    <cellStyle name="Percent [2] 6 5" xfId="46743" xr:uid="{00000000-0005-0000-0000-000034B70000}"/>
    <cellStyle name="Percent [2] 6 5 2" xfId="46744" xr:uid="{00000000-0005-0000-0000-000035B70000}"/>
    <cellStyle name="Percent [2] 6 6" xfId="46745" xr:uid="{00000000-0005-0000-0000-000036B70000}"/>
    <cellStyle name="Percent [2] 6 6 2" xfId="46746" xr:uid="{00000000-0005-0000-0000-000037B70000}"/>
    <cellStyle name="Percent [2] 6 7" xfId="46747" xr:uid="{00000000-0005-0000-0000-000038B70000}"/>
    <cellStyle name="Percent [2] 6 7 2" xfId="46748" xr:uid="{00000000-0005-0000-0000-000039B70000}"/>
    <cellStyle name="Percent [2] 6 8" xfId="46749" xr:uid="{00000000-0005-0000-0000-00003AB70000}"/>
    <cellStyle name="Percent [2] 6 8 2" xfId="46750" xr:uid="{00000000-0005-0000-0000-00003BB70000}"/>
    <cellStyle name="Percent [2] 6 9" xfId="46751" xr:uid="{00000000-0005-0000-0000-00003CB70000}"/>
    <cellStyle name="Percent [2] 6 9 2" xfId="46752" xr:uid="{00000000-0005-0000-0000-00003DB70000}"/>
    <cellStyle name="Percent [2] 7" xfId="46753" xr:uid="{00000000-0005-0000-0000-00003EB70000}"/>
    <cellStyle name="Percent [2] 7 10" xfId="46754" xr:uid="{00000000-0005-0000-0000-00003FB70000}"/>
    <cellStyle name="Percent [2] 7 2" xfId="46755" xr:uid="{00000000-0005-0000-0000-000040B70000}"/>
    <cellStyle name="Percent [2] 7 2 2" xfId="46756" xr:uid="{00000000-0005-0000-0000-000041B70000}"/>
    <cellStyle name="Percent [2] 7 3" xfId="46757" xr:uid="{00000000-0005-0000-0000-000042B70000}"/>
    <cellStyle name="Percent [2] 7 3 2" xfId="46758" xr:uid="{00000000-0005-0000-0000-000043B70000}"/>
    <cellStyle name="Percent [2] 7 4" xfId="46759" xr:uid="{00000000-0005-0000-0000-000044B70000}"/>
    <cellStyle name="Percent [2] 7 4 2" xfId="46760" xr:uid="{00000000-0005-0000-0000-000045B70000}"/>
    <cellStyle name="Percent [2] 7 5" xfId="46761" xr:uid="{00000000-0005-0000-0000-000046B70000}"/>
    <cellStyle name="Percent [2] 7 5 2" xfId="46762" xr:uid="{00000000-0005-0000-0000-000047B70000}"/>
    <cellStyle name="Percent [2] 7 6" xfId="46763" xr:uid="{00000000-0005-0000-0000-000048B70000}"/>
    <cellStyle name="Percent [2] 7 6 2" xfId="46764" xr:uid="{00000000-0005-0000-0000-000049B70000}"/>
    <cellStyle name="Percent [2] 7 7" xfId="46765" xr:uid="{00000000-0005-0000-0000-00004AB70000}"/>
    <cellStyle name="Percent [2] 7 7 2" xfId="46766" xr:uid="{00000000-0005-0000-0000-00004BB70000}"/>
    <cellStyle name="Percent [2] 7 8" xfId="46767" xr:uid="{00000000-0005-0000-0000-00004CB70000}"/>
    <cellStyle name="Percent [2] 7 8 2" xfId="46768" xr:uid="{00000000-0005-0000-0000-00004DB70000}"/>
    <cellStyle name="Percent [2] 7 9" xfId="46769" xr:uid="{00000000-0005-0000-0000-00004EB70000}"/>
    <cellStyle name="Percent [2] 7 9 2" xfId="46770" xr:uid="{00000000-0005-0000-0000-00004FB70000}"/>
    <cellStyle name="Percent [2] 8" xfId="46771" xr:uid="{00000000-0005-0000-0000-000050B70000}"/>
    <cellStyle name="Percent [2] 8 10" xfId="46772" xr:uid="{00000000-0005-0000-0000-000051B70000}"/>
    <cellStyle name="Percent [2] 8 2" xfId="46773" xr:uid="{00000000-0005-0000-0000-000052B70000}"/>
    <cellStyle name="Percent [2] 8 2 2" xfId="46774" xr:uid="{00000000-0005-0000-0000-000053B70000}"/>
    <cellStyle name="Percent [2] 8 3" xfId="46775" xr:uid="{00000000-0005-0000-0000-000054B70000}"/>
    <cellStyle name="Percent [2] 8 3 2" xfId="46776" xr:uid="{00000000-0005-0000-0000-000055B70000}"/>
    <cellStyle name="Percent [2] 8 4" xfId="46777" xr:uid="{00000000-0005-0000-0000-000056B70000}"/>
    <cellStyle name="Percent [2] 8 4 2" xfId="46778" xr:uid="{00000000-0005-0000-0000-000057B70000}"/>
    <cellStyle name="Percent [2] 8 5" xfId="46779" xr:uid="{00000000-0005-0000-0000-000058B70000}"/>
    <cellStyle name="Percent [2] 8 5 2" xfId="46780" xr:uid="{00000000-0005-0000-0000-000059B70000}"/>
    <cellStyle name="Percent [2] 8 6" xfId="46781" xr:uid="{00000000-0005-0000-0000-00005AB70000}"/>
    <cellStyle name="Percent [2] 8 6 2" xfId="46782" xr:uid="{00000000-0005-0000-0000-00005BB70000}"/>
    <cellStyle name="Percent [2] 8 7" xfId="46783" xr:uid="{00000000-0005-0000-0000-00005CB70000}"/>
    <cellStyle name="Percent [2] 8 7 2" xfId="46784" xr:uid="{00000000-0005-0000-0000-00005DB70000}"/>
    <cellStyle name="Percent [2] 8 8" xfId="46785" xr:uid="{00000000-0005-0000-0000-00005EB70000}"/>
    <cellStyle name="Percent [2] 8 8 2" xfId="46786" xr:uid="{00000000-0005-0000-0000-00005FB70000}"/>
    <cellStyle name="Percent [2] 8 9" xfId="46787" xr:uid="{00000000-0005-0000-0000-000060B70000}"/>
    <cellStyle name="Percent [2] 8 9 2" xfId="46788" xr:uid="{00000000-0005-0000-0000-000061B70000}"/>
    <cellStyle name="Percent [2] 9" xfId="46789" xr:uid="{00000000-0005-0000-0000-000062B70000}"/>
    <cellStyle name="Percent [2] 9 10" xfId="46790" xr:uid="{00000000-0005-0000-0000-000063B70000}"/>
    <cellStyle name="Percent [2] 9 2" xfId="46791" xr:uid="{00000000-0005-0000-0000-000064B70000}"/>
    <cellStyle name="Percent [2] 9 2 2" xfId="46792" xr:uid="{00000000-0005-0000-0000-000065B70000}"/>
    <cellStyle name="Percent [2] 9 3" xfId="46793" xr:uid="{00000000-0005-0000-0000-000066B70000}"/>
    <cellStyle name="Percent [2] 9 3 2" xfId="46794" xr:uid="{00000000-0005-0000-0000-000067B70000}"/>
    <cellStyle name="Percent [2] 9 4" xfId="46795" xr:uid="{00000000-0005-0000-0000-000068B70000}"/>
    <cellStyle name="Percent [2] 9 4 2" xfId="46796" xr:uid="{00000000-0005-0000-0000-000069B70000}"/>
    <cellStyle name="Percent [2] 9 5" xfId="46797" xr:uid="{00000000-0005-0000-0000-00006AB70000}"/>
    <cellStyle name="Percent [2] 9 5 2" xfId="46798" xr:uid="{00000000-0005-0000-0000-00006BB70000}"/>
    <cellStyle name="Percent [2] 9 6" xfId="46799" xr:uid="{00000000-0005-0000-0000-00006CB70000}"/>
    <cellStyle name="Percent [2] 9 6 2" xfId="46800" xr:uid="{00000000-0005-0000-0000-00006DB70000}"/>
    <cellStyle name="Percent [2] 9 7" xfId="46801" xr:uid="{00000000-0005-0000-0000-00006EB70000}"/>
    <cellStyle name="Percent [2] 9 7 2" xfId="46802" xr:uid="{00000000-0005-0000-0000-00006FB70000}"/>
    <cellStyle name="Percent [2] 9 8" xfId="46803" xr:uid="{00000000-0005-0000-0000-000070B70000}"/>
    <cellStyle name="Percent [2] 9 8 2" xfId="46804" xr:uid="{00000000-0005-0000-0000-000071B70000}"/>
    <cellStyle name="Percent [2] 9 9" xfId="46805" xr:uid="{00000000-0005-0000-0000-000072B70000}"/>
    <cellStyle name="Percent [2] 9 9 2" xfId="46806" xr:uid="{00000000-0005-0000-0000-000073B70000}"/>
    <cellStyle name="Percentual" xfId="46807" xr:uid="{00000000-0005-0000-0000-000074B70000}"/>
    <cellStyle name="Ponto" xfId="46808" xr:uid="{00000000-0005-0000-0000-000075B70000}"/>
    <cellStyle name="Porcentagem 2" xfId="46809" xr:uid="{00000000-0005-0000-0000-000076B70000}"/>
    <cellStyle name="Porcentaje" xfId="8" builtinId="5"/>
    <cellStyle name="Porcentaje 2" xfId="17" xr:uid="{00000000-0005-0000-0000-000078B70000}"/>
    <cellStyle name="Porcentaje 2 2" xfId="12" xr:uid="{00000000-0005-0000-0000-000079B70000}"/>
    <cellStyle name="Porcentaje 2 2 2" xfId="46810" xr:uid="{00000000-0005-0000-0000-00007AB70000}"/>
    <cellStyle name="Porcentaje 2 3" xfId="20" xr:uid="{00000000-0005-0000-0000-00007BB70000}"/>
    <cellStyle name="Porcentaje 2 3 2" xfId="46811" xr:uid="{00000000-0005-0000-0000-00007CB70000}"/>
    <cellStyle name="Porcentaje 2 4" xfId="58913" xr:uid="{00000000-0005-0000-0000-00007DB70000}"/>
    <cellStyle name="Porcentaje 3" xfId="46812" xr:uid="{00000000-0005-0000-0000-00007EB70000}"/>
    <cellStyle name="Porcentaje 3 2" xfId="46813" xr:uid="{00000000-0005-0000-0000-00007FB70000}"/>
    <cellStyle name="Porcentaje 3 3" xfId="58848" xr:uid="{00000000-0005-0000-0000-000080B70000}"/>
    <cellStyle name="Porcentaje 4" xfId="46814" xr:uid="{00000000-0005-0000-0000-000081B70000}"/>
    <cellStyle name="Porcentaje 4 2" xfId="46815" xr:uid="{00000000-0005-0000-0000-000082B70000}"/>
    <cellStyle name="Porcentaje 5" xfId="58711" xr:uid="{00000000-0005-0000-0000-000083B70000}"/>
    <cellStyle name="Porcentaje 6" xfId="58885" xr:uid="{00000000-0005-0000-0000-000084B70000}"/>
    <cellStyle name="Porcentaje 7" xfId="58897" xr:uid="{00000000-0005-0000-0000-000085B70000}"/>
    <cellStyle name="Porcentaje 8" xfId="58708" xr:uid="{00000000-0005-0000-0000-000086B70000}"/>
    <cellStyle name="Porcentual 2" xfId="46816" xr:uid="{00000000-0005-0000-0000-000087B70000}"/>
    <cellStyle name="Porcentual 2 2" xfId="46817" xr:uid="{00000000-0005-0000-0000-000088B70000}"/>
    <cellStyle name="Porcentual 2 3" xfId="46818" xr:uid="{00000000-0005-0000-0000-000089B70000}"/>
    <cellStyle name="Porcentual 2 4" xfId="46819" xr:uid="{00000000-0005-0000-0000-00008AB70000}"/>
    <cellStyle name="Porcentual 2 5" xfId="46820" xr:uid="{00000000-0005-0000-0000-00008BB70000}"/>
    <cellStyle name="Porcentual 3" xfId="46821" xr:uid="{00000000-0005-0000-0000-00008CB70000}"/>
    <cellStyle name="Porcentual 3 2" xfId="46822" xr:uid="{00000000-0005-0000-0000-00008DB70000}"/>
    <cellStyle name="Porcentual 4" xfId="46823" xr:uid="{00000000-0005-0000-0000-00008EB70000}"/>
    <cellStyle name="Porcentual 42" xfId="46824" xr:uid="{00000000-0005-0000-0000-00008FB70000}"/>
    <cellStyle name="Porcentual 42 2" xfId="46825" xr:uid="{00000000-0005-0000-0000-000090B70000}"/>
    <cellStyle name="Porcentual 42 3" xfId="46826" xr:uid="{00000000-0005-0000-0000-000091B70000}"/>
    <cellStyle name="Porcentual 5" xfId="46827" xr:uid="{00000000-0005-0000-0000-000092B70000}"/>
    <cellStyle name="Porcentual 6" xfId="46828" xr:uid="{00000000-0005-0000-0000-000093B70000}"/>
    <cellStyle name="pricing" xfId="46829" xr:uid="{00000000-0005-0000-0000-000094B70000}"/>
    <cellStyle name="pricing 10" xfId="46830" xr:uid="{00000000-0005-0000-0000-000095B70000}"/>
    <cellStyle name="pricing 11" xfId="46831" xr:uid="{00000000-0005-0000-0000-000096B70000}"/>
    <cellStyle name="pricing 12" xfId="46832" xr:uid="{00000000-0005-0000-0000-000097B70000}"/>
    <cellStyle name="pricing 13" xfId="46833" xr:uid="{00000000-0005-0000-0000-000098B70000}"/>
    <cellStyle name="pricing 14" xfId="46834" xr:uid="{00000000-0005-0000-0000-000099B70000}"/>
    <cellStyle name="pricing 15" xfId="46835" xr:uid="{00000000-0005-0000-0000-00009AB70000}"/>
    <cellStyle name="pricing 16" xfId="46836" xr:uid="{00000000-0005-0000-0000-00009BB70000}"/>
    <cellStyle name="pricing 17" xfId="46837" xr:uid="{00000000-0005-0000-0000-00009CB70000}"/>
    <cellStyle name="pricing 18" xfId="46838" xr:uid="{00000000-0005-0000-0000-00009DB70000}"/>
    <cellStyle name="pricing 19" xfId="46839" xr:uid="{00000000-0005-0000-0000-00009EB70000}"/>
    <cellStyle name="pricing 2" xfId="46840" xr:uid="{00000000-0005-0000-0000-00009FB70000}"/>
    <cellStyle name="pricing 20" xfId="46841" xr:uid="{00000000-0005-0000-0000-0000A0B70000}"/>
    <cellStyle name="pricing 21" xfId="46842" xr:uid="{00000000-0005-0000-0000-0000A1B70000}"/>
    <cellStyle name="pricing 3" xfId="46843" xr:uid="{00000000-0005-0000-0000-0000A2B70000}"/>
    <cellStyle name="pricing 4" xfId="46844" xr:uid="{00000000-0005-0000-0000-0000A3B70000}"/>
    <cellStyle name="pricing 5" xfId="46845" xr:uid="{00000000-0005-0000-0000-0000A4B70000}"/>
    <cellStyle name="pricing 6" xfId="46846" xr:uid="{00000000-0005-0000-0000-0000A5B70000}"/>
    <cellStyle name="pricing 7" xfId="46847" xr:uid="{00000000-0005-0000-0000-0000A6B70000}"/>
    <cellStyle name="pricing 8" xfId="46848" xr:uid="{00000000-0005-0000-0000-0000A7B70000}"/>
    <cellStyle name="pricing 9" xfId="46849" xr:uid="{00000000-0005-0000-0000-0000A8B70000}"/>
    <cellStyle name="PS" xfId="58849" xr:uid="{00000000-0005-0000-0000-0000A9B70000}"/>
    <cellStyle name="PSChar" xfId="46850" xr:uid="{00000000-0005-0000-0000-0000AAB70000}"/>
    <cellStyle name="PSChar 10" xfId="46851" xr:uid="{00000000-0005-0000-0000-0000ABB70000}"/>
    <cellStyle name="PSChar 11" xfId="46852" xr:uid="{00000000-0005-0000-0000-0000ACB70000}"/>
    <cellStyle name="PSChar 12" xfId="46853" xr:uid="{00000000-0005-0000-0000-0000ADB70000}"/>
    <cellStyle name="PSChar 13" xfId="46854" xr:uid="{00000000-0005-0000-0000-0000AEB70000}"/>
    <cellStyle name="PSChar 14" xfId="46855" xr:uid="{00000000-0005-0000-0000-0000AFB70000}"/>
    <cellStyle name="PSChar 15" xfId="46856" xr:uid="{00000000-0005-0000-0000-0000B0B70000}"/>
    <cellStyle name="PSChar 16" xfId="46857" xr:uid="{00000000-0005-0000-0000-0000B1B70000}"/>
    <cellStyle name="PSChar 17" xfId="46858" xr:uid="{00000000-0005-0000-0000-0000B2B70000}"/>
    <cellStyle name="PSChar 18" xfId="46859" xr:uid="{00000000-0005-0000-0000-0000B3B70000}"/>
    <cellStyle name="PSChar 19" xfId="46860" xr:uid="{00000000-0005-0000-0000-0000B4B70000}"/>
    <cellStyle name="PSChar 2" xfId="46861" xr:uid="{00000000-0005-0000-0000-0000B5B70000}"/>
    <cellStyle name="PSChar 20" xfId="46862" xr:uid="{00000000-0005-0000-0000-0000B6B70000}"/>
    <cellStyle name="PSChar 21" xfId="46863" xr:uid="{00000000-0005-0000-0000-0000B7B70000}"/>
    <cellStyle name="PSChar 3" xfId="46864" xr:uid="{00000000-0005-0000-0000-0000B8B70000}"/>
    <cellStyle name="PSChar 4" xfId="46865" xr:uid="{00000000-0005-0000-0000-0000B9B70000}"/>
    <cellStyle name="PSChar 5" xfId="46866" xr:uid="{00000000-0005-0000-0000-0000BAB70000}"/>
    <cellStyle name="PSChar 6" xfId="46867" xr:uid="{00000000-0005-0000-0000-0000BBB70000}"/>
    <cellStyle name="PSChar 7" xfId="46868" xr:uid="{00000000-0005-0000-0000-0000BCB70000}"/>
    <cellStyle name="PSChar 8" xfId="46869" xr:uid="{00000000-0005-0000-0000-0000BDB70000}"/>
    <cellStyle name="PSChar 9" xfId="46870" xr:uid="{00000000-0005-0000-0000-0000BEB70000}"/>
    <cellStyle name="Reference" xfId="46871" xr:uid="{00000000-0005-0000-0000-0000BFB70000}"/>
    <cellStyle name="Relación" xfId="58850" xr:uid="{00000000-0005-0000-0000-0000C0B70000}"/>
    <cellStyle name="RevList" xfId="46872" xr:uid="{00000000-0005-0000-0000-0000C1B70000}"/>
    <cellStyle name="RevList 10" xfId="46873" xr:uid="{00000000-0005-0000-0000-0000C2B70000}"/>
    <cellStyle name="RevList 10 10" xfId="46874" xr:uid="{00000000-0005-0000-0000-0000C3B70000}"/>
    <cellStyle name="RevList 10 10 2" xfId="46875" xr:uid="{00000000-0005-0000-0000-0000C4B70000}"/>
    <cellStyle name="RevList 10 11" xfId="46876" xr:uid="{00000000-0005-0000-0000-0000C5B70000}"/>
    <cellStyle name="RevList 10 2" xfId="46877" xr:uid="{00000000-0005-0000-0000-0000C6B70000}"/>
    <cellStyle name="RevList 10 2 2" xfId="46878" xr:uid="{00000000-0005-0000-0000-0000C7B70000}"/>
    <cellStyle name="RevList 10 2 2 2" xfId="46879" xr:uid="{00000000-0005-0000-0000-0000C8B70000}"/>
    <cellStyle name="RevList 10 2 3" xfId="46880" xr:uid="{00000000-0005-0000-0000-0000C9B70000}"/>
    <cellStyle name="RevList 10 3" xfId="46881" xr:uid="{00000000-0005-0000-0000-0000CAB70000}"/>
    <cellStyle name="RevList 10 3 2" xfId="46882" xr:uid="{00000000-0005-0000-0000-0000CBB70000}"/>
    <cellStyle name="RevList 10 3 2 2" xfId="46883" xr:uid="{00000000-0005-0000-0000-0000CCB70000}"/>
    <cellStyle name="RevList 10 3 3" xfId="46884" xr:uid="{00000000-0005-0000-0000-0000CDB70000}"/>
    <cellStyle name="RevList 10 4" xfId="46885" xr:uid="{00000000-0005-0000-0000-0000CEB70000}"/>
    <cellStyle name="RevList 10 4 2" xfId="46886" xr:uid="{00000000-0005-0000-0000-0000CFB70000}"/>
    <cellStyle name="RevList 10 4 2 2" xfId="46887" xr:uid="{00000000-0005-0000-0000-0000D0B70000}"/>
    <cellStyle name="RevList 10 4 3" xfId="46888" xr:uid="{00000000-0005-0000-0000-0000D1B70000}"/>
    <cellStyle name="RevList 10 5" xfId="46889" xr:uid="{00000000-0005-0000-0000-0000D2B70000}"/>
    <cellStyle name="RevList 10 5 2" xfId="46890" xr:uid="{00000000-0005-0000-0000-0000D3B70000}"/>
    <cellStyle name="RevList 10 5 2 2" xfId="46891" xr:uid="{00000000-0005-0000-0000-0000D4B70000}"/>
    <cellStyle name="RevList 10 5 3" xfId="46892" xr:uid="{00000000-0005-0000-0000-0000D5B70000}"/>
    <cellStyle name="RevList 10 6" xfId="46893" xr:uid="{00000000-0005-0000-0000-0000D6B70000}"/>
    <cellStyle name="RevList 10 6 2" xfId="46894" xr:uid="{00000000-0005-0000-0000-0000D7B70000}"/>
    <cellStyle name="RevList 10 6 2 2" xfId="46895" xr:uid="{00000000-0005-0000-0000-0000D8B70000}"/>
    <cellStyle name="RevList 10 6 3" xfId="46896" xr:uid="{00000000-0005-0000-0000-0000D9B70000}"/>
    <cellStyle name="RevList 10 7" xfId="46897" xr:uid="{00000000-0005-0000-0000-0000DAB70000}"/>
    <cellStyle name="RevList 10 7 2" xfId="46898" xr:uid="{00000000-0005-0000-0000-0000DBB70000}"/>
    <cellStyle name="RevList 10 7 2 2" xfId="46899" xr:uid="{00000000-0005-0000-0000-0000DCB70000}"/>
    <cellStyle name="RevList 10 7 3" xfId="46900" xr:uid="{00000000-0005-0000-0000-0000DDB70000}"/>
    <cellStyle name="RevList 10 8" xfId="46901" xr:uid="{00000000-0005-0000-0000-0000DEB70000}"/>
    <cellStyle name="RevList 10 8 2" xfId="46902" xr:uid="{00000000-0005-0000-0000-0000DFB70000}"/>
    <cellStyle name="RevList 10 8 2 2" xfId="46903" xr:uid="{00000000-0005-0000-0000-0000E0B70000}"/>
    <cellStyle name="RevList 10 8 3" xfId="46904" xr:uid="{00000000-0005-0000-0000-0000E1B70000}"/>
    <cellStyle name="RevList 10 9" xfId="46905" xr:uid="{00000000-0005-0000-0000-0000E2B70000}"/>
    <cellStyle name="RevList 10 9 2" xfId="46906" xr:uid="{00000000-0005-0000-0000-0000E3B70000}"/>
    <cellStyle name="RevList 10 9 2 2" xfId="46907" xr:uid="{00000000-0005-0000-0000-0000E4B70000}"/>
    <cellStyle name="RevList 10 9 3" xfId="46908" xr:uid="{00000000-0005-0000-0000-0000E5B70000}"/>
    <cellStyle name="RevList 11" xfId="46909" xr:uid="{00000000-0005-0000-0000-0000E6B70000}"/>
    <cellStyle name="RevList 11 10" xfId="46910" xr:uid="{00000000-0005-0000-0000-0000E7B70000}"/>
    <cellStyle name="RevList 11 10 2" xfId="46911" xr:uid="{00000000-0005-0000-0000-0000E8B70000}"/>
    <cellStyle name="RevList 11 11" xfId="46912" xr:uid="{00000000-0005-0000-0000-0000E9B70000}"/>
    <cellStyle name="RevList 11 2" xfId="46913" xr:uid="{00000000-0005-0000-0000-0000EAB70000}"/>
    <cellStyle name="RevList 11 2 2" xfId="46914" xr:uid="{00000000-0005-0000-0000-0000EBB70000}"/>
    <cellStyle name="RevList 11 2 2 2" xfId="46915" xr:uid="{00000000-0005-0000-0000-0000ECB70000}"/>
    <cellStyle name="RevList 11 2 3" xfId="46916" xr:uid="{00000000-0005-0000-0000-0000EDB70000}"/>
    <cellStyle name="RevList 11 3" xfId="46917" xr:uid="{00000000-0005-0000-0000-0000EEB70000}"/>
    <cellStyle name="RevList 11 3 2" xfId="46918" xr:uid="{00000000-0005-0000-0000-0000EFB70000}"/>
    <cellStyle name="RevList 11 3 2 2" xfId="46919" xr:uid="{00000000-0005-0000-0000-0000F0B70000}"/>
    <cellStyle name="RevList 11 3 3" xfId="46920" xr:uid="{00000000-0005-0000-0000-0000F1B70000}"/>
    <cellStyle name="RevList 11 4" xfId="46921" xr:uid="{00000000-0005-0000-0000-0000F2B70000}"/>
    <cellStyle name="RevList 11 4 2" xfId="46922" xr:uid="{00000000-0005-0000-0000-0000F3B70000}"/>
    <cellStyle name="RevList 11 4 2 2" xfId="46923" xr:uid="{00000000-0005-0000-0000-0000F4B70000}"/>
    <cellStyle name="RevList 11 4 3" xfId="46924" xr:uid="{00000000-0005-0000-0000-0000F5B70000}"/>
    <cellStyle name="RevList 11 5" xfId="46925" xr:uid="{00000000-0005-0000-0000-0000F6B70000}"/>
    <cellStyle name="RevList 11 5 2" xfId="46926" xr:uid="{00000000-0005-0000-0000-0000F7B70000}"/>
    <cellStyle name="RevList 11 5 2 2" xfId="46927" xr:uid="{00000000-0005-0000-0000-0000F8B70000}"/>
    <cellStyle name="RevList 11 5 3" xfId="46928" xr:uid="{00000000-0005-0000-0000-0000F9B70000}"/>
    <cellStyle name="RevList 11 6" xfId="46929" xr:uid="{00000000-0005-0000-0000-0000FAB70000}"/>
    <cellStyle name="RevList 11 6 2" xfId="46930" xr:uid="{00000000-0005-0000-0000-0000FBB70000}"/>
    <cellStyle name="RevList 11 6 2 2" xfId="46931" xr:uid="{00000000-0005-0000-0000-0000FCB70000}"/>
    <cellStyle name="RevList 11 6 3" xfId="46932" xr:uid="{00000000-0005-0000-0000-0000FDB70000}"/>
    <cellStyle name="RevList 11 7" xfId="46933" xr:uid="{00000000-0005-0000-0000-0000FEB70000}"/>
    <cellStyle name="RevList 11 7 2" xfId="46934" xr:uid="{00000000-0005-0000-0000-0000FFB70000}"/>
    <cellStyle name="RevList 11 7 2 2" xfId="46935" xr:uid="{00000000-0005-0000-0000-000000B80000}"/>
    <cellStyle name="RevList 11 7 3" xfId="46936" xr:uid="{00000000-0005-0000-0000-000001B80000}"/>
    <cellStyle name="RevList 11 8" xfId="46937" xr:uid="{00000000-0005-0000-0000-000002B80000}"/>
    <cellStyle name="RevList 11 8 2" xfId="46938" xr:uid="{00000000-0005-0000-0000-000003B80000}"/>
    <cellStyle name="RevList 11 8 2 2" xfId="46939" xr:uid="{00000000-0005-0000-0000-000004B80000}"/>
    <cellStyle name="RevList 11 8 3" xfId="46940" xr:uid="{00000000-0005-0000-0000-000005B80000}"/>
    <cellStyle name="RevList 11 9" xfId="46941" xr:uid="{00000000-0005-0000-0000-000006B80000}"/>
    <cellStyle name="RevList 11 9 2" xfId="46942" xr:uid="{00000000-0005-0000-0000-000007B80000}"/>
    <cellStyle name="RevList 11 9 2 2" xfId="46943" xr:uid="{00000000-0005-0000-0000-000008B80000}"/>
    <cellStyle name="RevList 11 9 3" xfId="46944" xr:uid="{00000000-0005-0000-0000-000009B80000}"/>
    <cellStyle name="RevList 12" xfId="46945" xr:uid="{00000000-0005-0000-0000-00000AB80000}"/>
    <cellStyle name="RevList 12 10" xfId="46946" xr:uid="{00000000-0005-0000-0000-00000BB80000}"/>
    <cellStyle name="RevList 12 10 2" xfId="46947" xr:uid="{00000000-0005-0000-0000-00000CB80000}"/>
    <cellStyle name="RevList 12 11" xfId="46948" xr:uid="{00000000-0005-0000-0000-00000DB80000}"/>
    <cellStyle name="RevList 12 2" xfId="46949" xr:uid="{00000000-0005-0000-0000-00000EB80000}"/>
    <cellStyle name="RevList 12 2 2" xfId="46950" xr:uid="{00000000-0005-0000-0000-00000FB80000}"/>
    <cellStyle name="RevList 12 2 2 2" xfId="46951" xr:uid="{00000000-0005-0000-0000-000010B80000}"/>
    <cellStyle name="RevList 12 2 3" xfId="46952" xr:uid="{00000000-0005-0000-0000-000011B80000}"/>
    <cellStyle name="RevList 12 3" xfId="46953" xr:uid="{00000000-0005-0000-0000-000012B80000}"/>
    <cellStyle name="RevList 12 3 2" xfId="46954" xr:uid="{00000000-0005-0000-0000-000013B80000}"/>
    <cellStyle name="RevList 12 3 2 2" xfId="46955" xr:uid="{00000000-0005-0000-0000-000014B80000}"/>
    <cellStyle name="RevList 12 3 3" xfId="46956" xr:uid="{00000000-0005-0000-0000-000015B80000}"/>
    <cellStyle name="RevList 12 4" xfId="46957" xr:uid="{00000000-0005-0000-0000-000016B80000}"/>
    <cellStyle name="RevList 12 4 2" xfId="46958" xr:uid="{00000000-0005-0000-0000-000017B80000}"/>
    <cellStyle name="RevList 12 4 2 2" xfId="46959" xr:uid="{00000000-0005-0000-0000-000018B80000}"/>
    <cellStyle name="RevList 12 4 3" xfId="46960" xr:uid="{00000000-0005-0000-0000-000019B80000}"/>
    <cellStyle name="RevList 12 5" xfId="46961" xr:uid="{00000000-0005-0000-0000-00001AB80000}"/>
    <cellStyle name="RevList 12 5 2" xfId="46962" xr:uid="{00000000-0005-0000-0000-00001BB80000}"/>
    <cellStyle name="RevList 12 5 2 2" xfId="46963" xr:uid="{00000000-0005-0000-0000-00001CB80000}"/>
    <cellStyle name="RevList 12 5 3" xfId="46964" xr:uid="{00000000-0005-0000-0000-00001DB80000}"/>
    <cellStyle name="RevList 12 6" xfId="46965" xr:uid="{00000000-0005-0000-0000-00001EB80000}"/>
    <cellStyle name="RevList 12 6 2" xfId="46966" xr:uid="{00000000-0005-0000-0000-00001FB80000}"/>
    <cellStyle name="RevList 12 6 2 2" xfId="46967" xr:uid="{00000000-0005-0000-0000-000020B80000}"/>
    <cellStyle name="RevList 12 6 3" xfId="46968" xr:uid="{00000000-0005-0000-0000-000021B80000}"/>
    <cellStyle name="RevList 12 7" xfId="46969" xr:uid="{00000000-0005-0000-0000-000022B80000}"/>
    <cellStyle name="RevList 12 7 2" xfId="46970" xr:uid="{00000000-0005-0000-0000-000023B80000}"/>
    <cellStyle name="RevList 12 7 2 2" xfId="46971" xr:uid="{00000000-0005-0000-0000-000024B80000}"/>
    <cellStyle name="RevList 12 7 3" xfId="46972" xr:uid="{00000000-0005-0000-0000-000025B80000}"/>
    <cellStyle name="RevList 12 8" xfId="46973" xr:uid="{00000000-0005-0000-0000-000026B80000}"/>
    <cellStyle name="RevList 12 8 2" xfId="46974" xr:uid="{00000000-0005-0000-0000-000027B80000}"/>
    <cellStyle name="RevList 12 8 2 2" xfId="46975" xr:uid="{00000000-0005-0000-0000-000028B80000}"/>
    <cellStyle name="RevList 12 8 3" xfId="46976" xr:uid="{00000000-0005-0000-0000-000029B80000}"/>
    <cellStyle name="RevList 12 9" xfId="46977" xr:uid="{00000000-0005-0000-0000-00002AB80000}"/>
    <cellStyle name="RevList 12 9 2" xfId="46978" xr:uid="{00000000-0005-0000-0000-00002BB80000}"/>
    <cellStyle name="RevList 12 9 2 2" xfId="46979" xr:uid="{00000000-0005-0000-0000-00002CB80000}"/>
    <cellStyle name="RevList 12 9 3" xfId="46980" xr:uid="{00000000-0005-0000-0000-00002DB80000}"/>
    <cellStyle name="RevList 13" xfId="46981" xr:uid="{00000000-0005-0000-0000-00002EB80000}"/>
    <cellStyle name="RevList 13 10" xfId="46982" xr:uid="{00000000-0005-0000-0000-00002FB80000}"/>
    <cellStyle name="RevList 13 10 2" xfId="46983" xr:uid="{00000000-0005-0000-0000-000030B80000}"/>
    <cellStyle name="RevList 13 11" xfId="46984" xr:uid="{00000000-0005-0000-0000-000031B80000}"/>
    <cellStyle name="RevList 13 2" xfId="46985" xr:uid="{00000000-0005-0000-0000-000032B80000}"/>
    <cellStyle name="RevList 13 2 2" xfId="46986" xr:uid="{00000000-0005-0000-0000-000033B80000}"/>
    <cellStyle name="RevList 13 2 2 2" xfId="46987" xr:uid="{00000000-0005-0000-0000-000034B80000}"/>
    <cellStyle name="RevList 13 2 3" xfId="46988" xr:uid="{00000000-0005-0000-0000-000035B80000}"/>
    <cellStyle name="RevList 13 3" xfId="46989" xr:uid="{00000000-0005-0000-0000-000036B80000}"/>
    <cellStyle name="RevList 13 3 2" xfId="46990" xr:uid="{00000000-0005-0000-0000-000037B80000}"/>
    <cellStyle name="RevList 13 3 2 2" xfId="46991" xr:uid="{00000000-0005-0000-0000-000038B80000}"/>
    <cellStyle name="RevList 13 3 3" xfId="46992" xr:uid="{00000000-0005-0000-0000-000039B80000}"/>
    <cellStyle name="RevList 13 4" xfId="46993" xr:uid="{00000000-0005-0000-0000-00003AB80000}"/>
    <cellStyle name="RevList 13 4 2" xfId="46994" xr:uid="{00000000-0005-0000-0000-00003BB80000}"/>
    <cellStyle name="RevList 13 4 2 2" xfId="46995" xr:uid="{00000000-0005-0000-0000-00003CB80000}"/>
    <cellStyle name="RevList 13 4 3" xfId="46996" xr:uid="{00000000-0005-0000-0000-00003DB80000}"/>
    <cellStyle name="RevList 13 5" xfId="46997" xr:uid="{00000000-0005-0000-0000-00003EB80000}"/>
    <cellStyle name="RevList 13 5 2" xfId="46998" xr:uid="{00000000-0005-0000-0000-00003FB80000}"/>
    <cellStyle name="RevList 13 5 2 2" xfId="46999" xr:uid="{00000000-0005-0000-0000-000040B80000}"/>
    <cellStyle name="RevList 13 5 3" xfId="47000" xr:uid="{00000000-0005-0000-0000-000041B80000}"/>
    <cellStyle name="RevList 13 6" xfId="47001" xr:uid="{00000000-0005-0000-0000-000042B80000}"/>
    <cellStyle name="RevList 13 6 2" xfId="47002" xr:uid="{00000000-0005-0000-0000-000043B80000}"/>
    <cellStyle name="RevList 13 6 2 2" xfId="47003" xr:uid="{00000000-0005-0000-0000-000044B80000}"/>
    <cellStyle name="RevList 13 6 3" xfId="47004" xr:uid="{00000000-0005-0000-0000-000045B80000}"/>
    <cellStyle name="RevList 13 7" xfId="47005" xr:uid="{00000000-0005-0000-0000-000046B80000}"/>
    <cellStyle name="RevList 13 7 2" xfId="47006" xr:uid="{00000000-0005-0000-0000-000047B80000}"/>
    <cellStyle name="RevList 13 7 2 2" xfId="47007" xr:uid="{00000000-0005-0000-0000-000048B80000}"/>
    <cellStyle name="RevList 13 7 3" xfId="47008" xr:uid="{00000000-0005-0000-0000-000049B80000}"/>
    <cellStyle name="RevList 13 8" xfId="47009" xr:uid="{00000000-0005-0000-0000-00004AB80000}"/>
    <cellStyle name="RevList 13 8 2" xfId="47010" xr:uid="{00000000-0005-0000-0000-00004BB80000}"/>
    <cellStyle name="RevList 13 8 2 2" xfId="47011" xr:uid="{00000000-0005-0000-0000-00004CB80000}"/>
    <cellStyle name="RevList 13 8 3" xfId="47012" xr:uid="{00000000-0005-0000-0000-00004DB80000}"/>
    <cellStyle name="RevList 13 9" xfId="47013" xr:uid="{00000000-0005-0000-0000-00004EB80000}"/>
    <cellStyle name="RevList 13 9 2" xfId="47014" xr:uid="{00000000-0005-0000-0000-00004FB80000}"/>
    <cellStyle name="RevList 13 9 2 2" xfId="47015" xr:uid="{00000000-0005-0000-0000-000050B80000}"/>
    <cellStyle name="RevList 13 9 3" xfId="47016" xr:uid="{00000000-0005-0000-0000-000051B80000}"/>
    <cellStyle name="RevList 14" xfId="47017" xr:uid="{00000000-0005-0000-0000-000052B80000}"/>
    <cellStyle name="RevList 14 10" xfId="47018" xr:uid="{00000000-0005-0000-0000-000053B80000}"/>
    <cellStyle name="RevList 14 10 2" xfId="47019" xr:uid="{00000000-0005-0000-0000-000054B80000}"/>
    <cellStyle name="RevList 14 11" xfId="47020" xr:uid="{00000000-0005-0000-0000-000055B80000}"/>
    <cellStyle name="RevList 14 2" xfId="47021" xr:uid="{00000000-0005-0000-0000-000056B80000}"/>
    <cellStyle name="RevList 14 2 2" xfId="47022" xr:uid="{00000000-0005-0000-0000-000057B80000}"/>
    <cellStyle name="RevList 14 2 2 2" xfId="47023" xr:uid="{00000000-0005-0000-0000-000058B80000}"/>
    <cellStyle name="RevList 14 2 3" xfId="47024" xr:uid="{00000000-0005-0000-0000-000059B80000}"/>
    <cellStyle name="RevList 14 3" xfId="47025" xr:uid="{00000000-0005-0000-0000-00005AB80000}"/>
    <cellStyle name="RevList 14 3 2" xfId="47026" xr:uid="{00000000-0005-0000-0000-00005BB80000}"/>
    <cellStyle name="RevList 14 3 2 2" xfId="47027" xr:uid="{00000000-0005-0000-0000-00005CB80000}"/>
    <cellStyle name="RevList 14 3 3" xfId="47028" xr:uid="{00000000-0005-0000-0000-00005DB80000}"/>
    <cellStyle name="RevList 14 4" xfId="47029" xr:uid="{00000000-0005-0000-0000-00005EB80000}"/>
    <cellStyle name="RevList 14 4 2" xfId="47030" xr:uid="{00000000-0005-0000-0000-00005FB80000}"/>
    <cellStyle name="RevList 14 4 2 2" xfId="47031" xr:uid="{00000000-0005-0000-0000-000060B80000}"/>
    <cellStyle name="RevList 14 4 3" xfId="47032" xr:uid="{00000000-0005-0000-0000-000061B80000}"/>
    <cellStyle name="RevList 14 5" xfId="47033" xr:uid="{00000000-0005-0000-0000-000062B80000}"/>
    <cellStyle name="RevList 14 5 2" xfId="47034" xr:uid="{00000000-0005-0000-0000-000063B80000}"/>
    <cellStyle name="RevList 14 5 2 2" xfId="47035" xr:uid="{00000000-0005-0000-0000-000064B80000}"/>
    <cellStyle name="RevList 14 5 3" xfId="47036" xr:uid="{00000000-0005-0000-0000-000065B80000}"/>
    <cellStyle name="RevList 14 6" xfId="47037" xr:uid="{00000000-0005-0000-0000-000066B80000}"/>
    <cellStyle name="RevList 14 6 2" xfId="47038" xr:uid="{00000000-0005-0000-0000-000067B80000}"/>
    <cellStyle name="RevList 14 6 2 2" xfId="47039" xr:uid="{00000000-0005-0000-0000-000068B80000}"/>
    <cellStyle name="RevList 14 6 3" xfId="47040" xr:uid="{00000000-0005-0000-0000-000069B80000}"/>
    <cellStyle name="RevList 14 7" xfId="47041" xr:uid="{00000000-0005-0000-0000-00006AB80000}"/>
    <cellStyle name="RevList 14 7 2" xfId="47042" xr:uid="{00000000-0005-0000-0000-00006BB80000}"/>
    <cellStyle name="RevList 14 7 2 2" xfId="47043" xr:uid="{00000000-0005-0000-0000-00006CB80000}"/>
    <cellStyle name="RevList 14 7 3" xfId="47044" xr:uid="{00000000-0005-0000-0000-00006DB80000}"/>
    <cellStyle name="RevList 14 8" xfId="47045" xr:uid="{00000000-0005-0000-0000-00006EB80000}"/>
    <cellStyle name="RevList 14 8 2" xfId="47046" xr:uid="{00000000-0005-0000-0000-00006FB80000}"/>
    <cellStyle name="RevList 14 8 2 2" xfId="47047" xr:uid="{00000000-0005-0000-0000-000070B80000}"/>
    <cellStyle name="RevList 14 8 3" xfId="47048" xr:uid="{00000000-0005-0000-0000-000071B80000}"/>
    <cellStyle name="RevList 14 9" xfId="47049" xr:uid="{00000000-0005-0000-0000-000072B80000}"/>
    <cellStyle name="RevList 14 9 2" xfId="47050" xr:uid="{00000000-0005-0000-0000-000073B80000}"/>
    <cellStyle name="RevList 14 9 2 2" xfId="47051" xr:uid="{00000000-0005-0000-0000-000074B80000}"/>
    <cellStyle name="RevList 14 9 3" xfId="47052" xr:uid="{00000000-0005-0000-0000-000075B80000}"/>
    <cellStyle name="RevList 15" xfId="47053" xr:uid="{00000000-0005-0000-0000-000076B80000}"/>
    <cellStyle name="RevList 15 10" xfId="47054" xr:uid="{00000000-0005-0000-0000-000077B80000}"/>
    <cellStyle name="RevList 15 10 2" xfId="47055" xr:uid="{00000000-0005-0000-0000-000078B80000}"/>
    <cellStyle name="RevList 15 11" xfId="47056" xr:uid="{00000000-0005-0000-0000-000079B80000}"/>
    <cellStyle name="RevList 15 2" xfId="47057" xr:uid="{00000000-0005-0000-0000-00007AB80000}"/>
    <cellStyle name="RevList 15 2 2" xfId="47058" xr:uid="{00000000-0005-0000-0000-00007BB80000}"/>
    <cellStyle name="RevList 15 2 2 2" xfId="47059" xr:uid="{00000000-0005-0000-0000-00007CB80000}"/>
    <cellStyle name="RevList 15 2 3" xfId="47060" xr:uid="{00000000-0005-0000-0000-00007DB80000}"/>
    <cellStyle name="RevList 15 3" xfId="47061" xr:uid="{00000000-0005-0000-0000-00007EB80000}"/>
    <cellStyle name="RevList 15 3 2" xfId="47062" xr:uid="{00000000-0005-0000-0000-00007FB80000}"/>
    <cellStyle name="RevList 15 3 2 2" xfId="47063" xr:uid="{00000000-0005-0000-0000-000080B80000}"/>
    <cellStyle name="RevList 15 3 3" xfId="47064" xr:uid="{00000000-0005-0000-0000-000081B80000}"/>
    <cellStyle name="RevList 15 4" xfId="47065" xr:uid="{00000000-0005-0000-0000-000082B80000}"/>
    <cellStyle name="RevList 15 4 2" xfId="47066" xr:uid="{00000000-0005-0000-0000-000083B80000}"/>
    <cellStyle name="RevList 15 4 2 2" xfId="47067" xr:uid="{00000000-0005-0000-0000-000084B80000}"/>
    <cellStyle name="RevList 15 4 3" xfId="47068" xr:uid="{00000000-0005-0000-0000-000085B80000}"/>
    <cellStyle name="RevList 15 5" xfId="47069" xr:uid="{00000000-0005-0000-0000-000086B80000}"/>
    <cellStyle name="RevList 15 5 2" xfId="47070" xr:uid="{00000000-0005-0000-0000-000087B80000}"/>
    <cellStyle name="RevList 15 5 2 2" xfId="47071" xr:uid="{00000000-0005-0000-0000-000088B80000}"/>
    <cellStyle name="RevList 15 5 3" xfId="47072" xr:uid="{00000000-0005-0000-0000-000089B80000}"/>
    <cellStyle name="RevList 15 6" xfId="47073" xr:uid="{00000000-0005-0000-0000-00008AB80000}"/>
    <cellStyle name="RevList 15 6 2" xfId="47074" xr:uid="{00000000-0005-0000-0000-00008BB80000}"/>
    <cellStyle name="RevList 15 6 2 2" xfId="47075" xr:uid="{00000000-0005-0000-0000-00008CB80000}"/>
    <cellStyle name="RevList 15 6 3" xfId="47076" xr:uid="{00000000-0005-0000-0000-00008DB80000}"/>
    <cellStyle name="RevList 15 7" xfId="47077" xr:uid="{00000000-0005-0000-0000-00008EB80000}"/>
    <cellStyle name="RevList 15 7 2" xfId="47078" xr:uid="{00000000-0005-0000-0000-00008FB80000}"/>
    <cellStyle name="RevList 15 7 2 2" xfId="47079" xr:uid="{00000000-0005-0000-0000-000090B80000}"/>
    <cellStyle name="RevList 15 7 3" xfId="47080" xr:uid="{00000000-0005-0000-0000-000091B80000}"/>
    <cellStyle name="RevList 15 8" xfId="47081" xr:uid="{00000000-0005-0000-0000-000092B80000}"/>
    <cellStyle name="RevList 15 8 2" xfId="47082" xr:uid="{00000000-0005-0000-0000-000093B80000}"/>
    <cellStyle name="RevList 15 8 2 2" xfId="47083" xr:uid="{00000000-0005-0000-0000-000094B80000}"/>
    <cellStyle name="RevList 15 8 3" xfId="47084" xr:uid="{00000000-0005-0000-0000-000095B80000}"/>
    <cellStyle name="RevList 15 9" xfId="47085" xr:uid="{00000000-0005-0000-0000-000096B80000}"/>
    <cellStyle name="RevList 15 9 2" xfId="47086" xr:uid="{00000000-0005-0000-0000-000097B80000}"/>
    <cellStyle name="RevList 15 9 2 2" xfId="47087" xr:uid="{00000000-0005-0000-0000-000098B80000}"/>
    <cellStyle name="RevList 15 9 3" xfId="47088" xr:uid="{00000000-0005-0000-0000-000099B80000}"/>
    <cellStyle name="RevList 16" xfId="47089" xr:uid="{00000000-0005-0000-0000-00009AB80000}"/>
    <cellStyle name="RevList 16 10" xfId="47090" xr:uid="{00000000-0005-0000-0000-00009BB80000}"/>
    <cellStyle name="RevList 16 10 2" xfId="47091" xr:uid="{00000000-0005-0000-0000-00009CB80000}"/>
    <cellStyle name="RevList 16 11" xfId="47092" xr:uid="{00000000-0005-0000-0000-00009DB80000}"/>
    <cellStyle name="RevList 16 2" xfId="47093" xr:uid="{00000000-0005-0000-0000-00009EB80000}"/>
    <cellStyle name="RevList 16 2 2" xfId="47094" xr:uid="{00000000-0005-0000-0000-00009FB80000}"/>
    <cellStyle name="RevList 16 2 2 2" xfId="47095" xr:uid="{00000000-0005-0000-0000-0000A0B80000}"/>
    <cellStyle name="RevList 16 2 3" xfId="47096" xr:uid="{00000000-0005-0000-0000-0000A1B80000}"/>
    <cellStyle name="RevList 16 3" xfId="47097" xr:uid="{00000000-0005-0000-0000-0000A2B80000}"/>
    <cellStyle name="RevList 16 3 2" xfId="47098" xr:uid="{00000000-0005-0000-0000-0000A3B80000}"/>
    <cellStyle name="RevList 16 3 2 2" xfId="47099" xr:uid="{00000000-0005-0000-0000-0000A4B80000}"/>
    <cellStyle name="RevList 16 3 3" xfId="47100" xr:uid="{00000000-0005-0000-0000-0000A5B80000}"/>
    <cellStyle name="RevList 16 4" xfId="47101" xr:uid="{00000000-0005-0000-0000-0000A6B80000}"/>
    <cellStyle name="RevList 16 4 2" xfId="47102" xr:uid="{00000000-0005-0000-0000-0000A7B80000}"/>
    <cellStyle name="RevList 16 4 2 2" xfId="47103" xr:uid="{00000000-0005-0000-0000-0000A8B80000}"/>
    <cellStyle name="RevList 16 4 3" xfId="47104" xr:uid="{00000000-0005-0000-0000-0000A9B80000}"/>
    <cellStyle name="RevList 16 5" xfId="47105" xr:uid="{00000000-0005-0000-0000-0000AAB80000}"/>
    <cellStyle name="RevList 16 5 2" xfId="47106" xr:uid="{00000000-0005-0000-0000-0000ABB80000}"/>
    <cellStyle name="RevList 16 5 2 2" xfId="47107" xr:uid="{00000000-0005-0000-0000-0000ACB80000}"/>
    <cellStyle name="RevList 16 5 3" xfId="47108" xr:uid="{00000000-0005-0000-0000-0000ADB80000}"/>
    <cellStyle name="RevList 16 6" xfId="47109" xr:uid="{00000000-0005-0000-0000-0000AEB80000}"/>
    <cellStyle name="RevList 16 6 2" xfId="47110" xr:uid="{00000000-0005-0000-0000-0000AFB80000}"/>
    <cellStyle name="RevList 16 6 2 2" xfId="47111" xr:uid="{00000000-0005-0000-0000-0000B0B80000}"/>
    <cellStyle name="RevList 16 6 3" xfId="47112" xr:uid="{00000000-0005-0000-0000-0000B1B80000}"/>
    <cellStyle name="RevList 16 7" xfId="47113" xr:uid="{00000000-0005-0000-0000-0000B2B80000}"/>
    <cellStyle name="RevList 16 7 2" xfId="47114" xr:uid="{00000000-0005-0000-0000-0000B3B80000}"/>
    <cellStyle name="RevList 16 7 2 2" xfId="47115" xr:uid="{00000000-0005-0000-0000-0000B4B80000}"/>
    <cellStyle name="RevList 16 7 3" xfId="47116" xr:uid="{00000000-0005-0000-0000-0000B5B80000}"/>
    <cellStyle name="RevList 16 8" xfId="47117" xr:uid="{00000000-0005-0000-0000-0000B6B80000}"/>
    <cellStyle name="RevList 16 8 2" xfId="47118" xr:uid="{00000000-0005-0000-0000-0000B7B80000}"/>
    <cellStyle name="RevList 16 8 2 2" xfId="47119" xr:uid="{00000000-0005-0000-0000-0000B8B80000}"/>
    <cellStyle name="RevList 16 8 3" xfId="47120" xr:uid="{00000000-0005-0000-0000-0000B9B80000}"/>
    <cellStyle name="RevList 16 9" xfId="47121" xr:uid="{00000000-0005-0000-0000-0000BAB80000}"/>
    <cellStyle name="RevList 16 9 2" xfId="47122" xr:uid="{00000000-0005-0000-0000-0000BBB80000}"/>
    <cellStyle name="RevList 16 9 2 2" xfId="47123" xr:uid="{00000000-0005-0000-0000-0000BCB80000}"/>
    <cellStyle name="RevList 16 9 3" xfId="47124" xr:uid="{00000000-0005-0000-0000-0000BDB80000}"/>
    <cellStyle name="RevList 17" xfId="47125" xr:uid="{00000000-0005-0000-0000-0000BEB80000}"/>
    <cellStyle name="RevList 17 10" xfId="47126" xr:uid="{00000000-0005-0000-0000-0000BFB80000}"/>
    <cellStyle name="RevList 17 10 2" xfId="47127" xr:uid="{00000000-0005-0000-0000-0000C0B80000}"/>
    <cellStyle name="RevList 17 11" xfId="47128" xr:uid="{00000000-0005-0000-0000-0000C1B80000}"/>
    <cellStyle name="RevList 17 2" xfId="47129" xr:uid="{00000000-0005-0000-0000-0000C2B80000}"/>
    <cellStyle name="RevList 17 2 2" xfId="47130" xr:uid="{00000000-0005-0000-0000-0000C3B80000}"/>
    <cellStyle name="RevList 17 2 2 2" xfId="47131" xr:uid="{00000000-0005-0000-0000-0000C4B80000}"/>
    <cellStyle name="RevList 17 2 3" xfId="47132" xr:uid="{00000000-0005-0000-0000-0000C5B80000}"/>
    <cellStyle name="RevList 17 3" xfId="47133" xr:uid="{00000000-0005-0000-0000-0000C6B80000}"/>
    <cellStyle name="RevList 17 3 2" xfId="47134" xr:uid="{00000000-0005-0000-0000-0000C7B80000}"/>
    <cellStyle name="RevList 17 3 2 2" xfId="47135" xr:uid="{00000000-0005-0000-0000-0000C8B80000}"/>
    <cellStyle name="RevList 17 3 3" xfId="47136" xr:uid="{00000000-0005-0000-0000-0000C9B80000}"/>
    <cellStyle name="RevList 17 4" xfId="47137" xr:uid="{00000000-0005-0000-0000-0000CAB80000}"/>
    <cellStyle name="RevList 17 4 2" xfId="47138" xr:uid="{00000000-0005-0000-0000-0000CBB80000}"/>
    <cellStyle name="RevList 17 4 2 2" xfId="47139" xr:uid="{00000000-0005-0000-0000-0000CCB80000}"/>
    <cellStyle name="RevList 17 4 3" xfId="47140" xr:uid="{00000000-0005-0000-0000-0000CDB80000}"/>
    <cellStyle name="RevList 17 5" xfId="47141" xr:uid="{00000000-0005-0000-0000-0000CEB80000}"/>
    <cellStyle name="RevList 17 5 2" xfId="47142" xr:uid="{00000000-0005-0000-0000-0000CFB80000}"/>
    <cellStyle name="RevList 17 5 2 2" xfId="47143" xr:uid="{00000000-0005-0000-0000-0000D0B80000}"/>
    <cellStyle name="RevList 17 5 3" xfId="47144" xr:uid="{00000000-0005-0000-0000-0000D1B80000}"/>
    <cellStyle name="RevList 17 6" xfId="47145" xr:uid="{00000000-0005-0000-0000-0000D2B80000}"/>
    <cellStyle name="RevList 17 6 2" xfId="47146" xr:uid="{00000000-0005-0000-0000-0000D3B80000}"/>
    <cellStyle name="RevList 17 6 2 2" xfId="47147" xr:uid="{00000000-0005-0000-0000-0000D4B80000}"/>
    <cellStyle name="RevList 17 6 3" xfId="47148" xr:uid="{00000000-0005-0000-0000-0000D5B80000}"/>
    <cellStyle name="RevList 17 7" xfId="47149" xr:uid="{00000000-0005-0000-0000-0000D6B80000}"/>
    <cellStyle name="RevList 17 7 2" xfId="47150" xr:uid="{00000000-0005-0000-0000-0000D7B80000}"/>
    <cellStyle name="RevList 17 7 2 2" xfId="47151" xr:uid="{00000000-0005-0000-0000-0000D8B80000}"/>
    <cellStyle name="RevList 17 7 3" xfId="47152" xr:uid="{00000000-0005-0000-0000-0000D9B80000}"/>
    <cellStyle name="RevList 17 8" xfId="47153" xr:uid="{00000000-0005-0000-0000-0000DAB80000}"/>
    <cellStyle name="RevList 17 8 2" xfId="47154" xr:uid="{00000000-0005-0000-0000-0000DBB80000}"/>
    <cellStyle name="RevList 17 8 2 2" xfId="47155" xr:uid="{00000000-0005-0000-0000-0000DCB80000}"/>
    <cellStyle name="RevList 17 8 3" xfId="47156" xr:uid="{00000000-0005-0000-0000-0000DDB80000}"/>
    <cellStyle name="RevList 17 9" xfId="47157" xr:uid="{00000000-0005-0000-0000-0000DEB80000}"/>
    <cellStyle name="RevList 17 9 2" xfId="47158" xr:uid="{00000000-0005-0000-0000-0000DFB80000}"/>
    <cellStyle name="RevList 17 9 2 2" xfId="47159" xr:uid="{00000000-0005-0000-0000-0000E0B80000}"/>
    <cellStyle name="RevList 17 9 3" xfId="47160" xr:uid="{00000000-0005-0000-0000-0000E1B80000}"/>
    <cellStyle name="RevList 18" xfId="47161" xr:uid="{00000000-0005-0000-0000-0000E2B80000}"/>
    <cellStyle name="RevList 18 10" xfId="47162" xr:uid="{00000000-0005-0000-0000-0000E3B80000}"/>
    <cellStyle name="RevList 18 10 2" xfId="47163" xr:uid="{00000000-0005-0000-0000-0000E4B80000}"/>
    <cellStyle name="RevList 18 11" xfId="47164" xr:uid="{00000000-0005-0000-0000-0000E5B80000}"/>
    <cellStyle name="RevList 18 2" xfId="47165" xr:uid="{00000000-0005-0000-0000-0000E6B80000}"/>
    <cellStyle name="RevList 18 2 2" xfId="47166" xr:uid="{00000000-0005-0000-0000-0000E7B80000}"/>
    <cellStyle name="RevList 18 2 2 2" xfId="47167" xr:uid="{00000000-0005-0000-0000-0000E8B80000}"/>
    <cellStyle name="RevList 18 2 3" xfId="47168" xr:uid="{00000000-0005-0000-0000-0000E9B80000}"/>
    <cellStyle name="RevList 18 3" xfId="47169" xr:uid="{00000000-0005-0000-0000-0000EAB80000}"/>
    <cellStyle name="RevList 18 3 2" xfId="47170" xr:uid="{00000000-0005-0000-0000-0000EBB80000}"/>
    <cellStyle name="RevList 18 3 2 2" xfId="47171" xr:uid="{00000000-0005-0000-0000-0000ECB80000}"/>
    <cellStyle name="RevList 18 3 3" xfId="47172" xr:uid="{00000000-0005-0000-0000-0000EDB80000}"/>
    <cellStyle name="RevList 18 4" xfId="47173" xr:uid="{00000000-0005-0000-0000-0000EEB80000}"/>
    <cellStyle name="RevList 18 4 2" xfId="47174" xr:uid="{00000000-0005-0000-0000-0000EFB80000}"/>
    <cellStyle name="RevList 18 4 2 2" xfId="47175" xr:uid="{00000000-0005-0000-0000-0000F0B80000}"/>
    <cellStyle name="RevList 18 4 3" xfId="47176" xr:uid="{00000000-0005-0000-0000-0000F1B80000}"/>
    <cellStyle name="RevList 18 5" xfId="47177" xr:uid="{00000000-0005-0000-0000-0000F2B80000}"/>
    <cellStyle name="RevList 18 5 2" xfId="47178" xr:uid="{00000000-0005-0000-0000-0000F3B80000}"/>
    <cellStyle name="RevList 18 5 2 2" xfId="47179" xr:uid="{00000000-0005-0000-0000-0000F4B80000}"/>
    <cellStyle name="RevList 18 5 3" xfId="47180" xr:uid="{00000000-0005-0000-0000-0000F5B80000}"/>
    <cellStyle name="RevList 18 6" xfId="47181" xr:uid="{00000000-0005-0000-0000-0000F6B80000}"/>
    <cellStyle name="RevList 18 6 2" xfId="47182" xr:uid="{00000000-0005-0000-0000-0000F7B80000}"/>
    <cellStyle name="RevList 18 6 2 2" xfId="47183" xr:uid="{00000000-0005-0000-0000-0000F8B80000}"/>
    <cellStyle name="RevList 18 6 3" xfId="47184" xr:uid="{00000000-0005-0000-0000-0000F9B80000}"/>
    <cellStyle name="RevList 18 7" xfId="47185" xr:uid="{00000000-0005-0000-0000-0000FAB80000}"/>
    <cellStyle name="RevList 18 7 2" xfId="47186" xr:uid="{00000000-0005-0000-0000-0000FBB80000}"/>
    <cellStyle name="RevList 18 7 2 2" xfId="47187" xr:uid="{00000000-0005-0000-0000-0000FCB80000}"/>
    <cellStyle name="RevList 18 7 3" xfId="47188" xr:uid="{00000000-0005-0000-0000-0000FDB80000}"/>
    <cellStyle name="RevList 18 8" xfId="47189" xr:uid="{00000000-0005-0000-0000-0000FEB80000}"/>
    <cellStyle name="RevList 18 8 2" xfId="47190" xr:uid="{00000000-0005-0000-0000-0000FFB80000}"/>
    <cellStyle name="RevList 18 8 2 2" xfId="47191" xr:uid="{00000000-0005-0000-0000-000000B90000}"/>
    <cellStyle name="RevList 18 8 3" xfId="47192" xr:uid="{00000000-0005-0000-0000-000001B90000}"/>
    <cellStyle name="RevList 18 9" xfId="47193" xr:uid="{00000000-0005-0000-0000-000002B90000}"/>
    <cellStyle name="RevList 18 9 2" xfId="47194" xr:uid="{00000000-0005-0000-0000-000003B90000}"/>
    <cellStyle name="RevList 18 9 2 2" xfId="47195" xr:uid="{00000000-0005-0000-0000-000004B90000}"/>
    <cellStyle name="RevList 18 9 3" xfId="47196" xr:uid="{00000000-0005-0000-0000-000005B90000}"/>
    <cellStyle name="RevList 19" xfId="47197" xr:uid="{00000000-0005-0000-0000-000006B90000}"/>
    <cellStyle name="RevList 19 10" xfId="47198" xr:uid="{00000000-0005-0000-0000-000007B90000}"/>
    <cellStyle name="RevList 19 10 2" xfId="47199" xr:uid="{00000000-0005-0000-0000-000008B90000}"/>
    <cellStyle name="RevList 19 11" xfId="47200" xr:uid="{00000000-0005-0000-0000-000009B90000}"/>
    <cellStyle name="RevList 19 2" xfId="47201" xr:uid="{00000000-0005-0000-0000-00000AB90000}"/>
    <cellStyle name="RevList 19 2 2" xfId="47202" xr:uid="{00000000-0005-0000-0000-00000BB90000}"/>
    <cellStyle name="RevList 19 2 2 2" xfId="47203" xr:uid="{00000000-0005-0000-0000-00000CB90000}"/>
    <cellStyle name="RevList 19 2 3" xfId="47204" xr:uid="{00000000-0005-0000-0000-00000DB90000}"/>
    <cellStyle name="RevList 19 3" xfId="47205" xr:uid="{00000000-0005-0000-0000-00000EB90000}"/>
    <cellStyle name="RevList 19 3 2" xfId="47206" xr:uid="{00000000-0005-0000-0000-00000FB90000}"/>
    <cellStyle name="RevList 19 3 2 2" xfId="47207" xr:uid="{00000000-0005-0000-0000-000010B90000}"/>
    <cellStyle name="RevList 19 3 3" xfId="47208" xr:uid="{00000000-0005-0000-0000-000011B90000}"/>
    <cellStyle name="RevList 19 4" xfId="47209" xr:uid="{00000000-0005-0000-0000-000012B90000}"/>
    <cellStyle name="RevList 19 4 2" xfId="47210" xr:uid="{00000000-0005-0000-0000-000013B90000}"/>
    <cellStyle name="RevList 19 4 2 2" xfId="47211" xr:uid="{00000000-0005-0000-0000-000014B90000}"/>
    <cellStyle name="RevList 19 4 3" xfId="47212" xr:uid="{00000000-0005-0000-0000-000015B90000}"/>
    <cellStyle name="RevList 19 5" xfId="47213" xr:uid="{00000000-0005-0000-0000-000016B90000}"/>
    <cellStyle name="RevList 19 5 2" xfId="47214" xr:uid="{00000000-0005-0000-0000-000017B90000}"/>
    <cellStyle name="RevList 19 5 2 2" xfId="47215" xr:uid="{00000000-0005-0000-0000-000018B90000}"/>
    <cellStyle name="RevList 19 5 3" xfId="47216" xr:uid="{00000000-0005-0000-0000-000019B90000}"/>
    <cellStyle name="RevList 19 6" xfId="47217" xr:uid="{00000000-0005-0000-0000-00001AB90000}"/>
    <cellStyle name="RevList 19 6 2" xfId="47218" xr:uid="{00000000-0005-0000-0000-00001BB90000}"/>
    <cellStyle name="RevList 19 6 2 2" xfId="47219" xr:uid="{00000000-0005-0000-0000-00001CB90000}"/>
    <cellStyle name="RevList 19 6 3" xfId="47220" xr:uid="{00000000-0005-0000-0000-00001DB90000}"/>
    <cellStyle name="RevList 19 7" xfId="47221" xr:uid="{00000000-0005-0000-0000-00001EB90000}"/>
    <cellStyle name="RevList 19 7 2" xfId="47222" xr:uid="{00000000-0005-0000-0000-00001FB90000}"/>
    <cellStyle name="RevList 19 7 2 2" xfId="47223" xr:uid="{00000000-0005-0000-0000-000020B90000}"/>
    <cellStyle name="RevList 19 7 3" xfId="47224" xr:uid="{00000000-0005-0000-0000-000021B90000}"/>
    <cellStyle name="RevList 19 8" xfId="47225" xr:uid="{00000000-0005-0000-0000-000022B90000}"/>
    <cellStyle name="RevList 19 8 2" xfId="47226" xr:uid="{00000000-0005-0000-0000-000023B90000}"/>
    <cellStyle name="RevList 19 8 2 2" xfId="47227" xr:uid="{00000000-0005-0000-0000-000024B90000}"/>
    <cellStyle name="RevList 19 8 3" xfId="47228" xr:uid="{00000000-0005-0000-0000-000025B90000}"/>
    <cellStyle name="RevList 19 9" xfId="47229" xr:uid="{00000000-0005-0000-0000-000026B90000}"/>
    <cellStyle name="RevList 19 9 2" xfId="47230" xr:uid="{00000000-0005-0000-0000-000027B90000}"/>
    <cellStyle name="RevList 19 9 2 2" xfId="47231" xr:uid="{00000000-0005-0000-0000-000028B90000}"/>
    <cellStyle name="RevList 19 9 3" xfId="47232" xr:uid="{00000000-0005-0000-0000-000029B90000}"/>
    <cellStyle name="RevList 2" xfId="47233" xr:uid="{00000000-0005-0000-0000-00002AB90000}"/>
    <cellStyle name="RevList 2 10" xfId="47234" xr:uid="{00000000-0005-0000-0000-00002BB90000}"/>
    <cellStyle name="RevList 2 10 2" xfId="47235" xr:uid="{00000000-0005-0000-0000-00002CB90000}"/>
    <cellStyle name="RevList 2 11" xfId="47236" xr:uid="{00000000-0005-0000-0000-00002DB90000}"/>
    <cellStyle name="RevList 2 2" xfId="47237" xr:uid="{00000000-0005-0000-0000-00002EB90000}"/>
    <cellStyle name="RevList 2 2 2" xfId="47238" xr:uid="{00000000-0005-0000-0000-00002FB90000}"/>
    <cellStyle name="RevList 2 2 2 2" xfId="47239" xr:uid="{00000000-0005-0000-0000-000030B90000}"/>
    <cellStyle name="RevList 2 2 3" xfId="47240" xr:uid="{00000000-0005-0000-0000-000031B90000}"/>
    <cellStyle name="RevList 2 3" xfId="47241" xr:uid="{00000000-0005-0000-0000-000032B90000}"/>
    <cellStyle name="RevList 2 3 2" xfId="47242" xr:uid="{00000000-0005-0000-0000-000033B90000}"/>
    <cellStyle name="RevList 2 3 2 2" xfId="47243" xr:uid="{00000000-0005-0000-0000-000034B90000}"/>
    <cellStyle name="RevList 2 3 3" xfId="47244" xr:uid="{00000000-0005-0000-0000-000035B90000}"/>
    <cellStyle name="RevList 2 4" xfId="47245" xr:uid="{00000000-0005-0000-0000-000036B90000}"/>
    <cellStyle name="RevList 2 4 2" xfId="47246" xr:uid="{00000000-0005-0000-0000-000037B90000}"/>
    <cellStyle name="RevList 2 4 2 2" xfId="47247" xr:uid="{00000000-0005-0000-0000-000038B90000}"/>
    <cellStyle name="RevList 2 4 3" xfId="47248" xr:uid="{00000000-0005-0000-0000-000039B90000}"/>
    <cellStyle name="RevList 2 5" xfId="47249" xr:uid="{00000000-0005-0000-0000-00003AB90000}"/>
    <cellStyle name="RevList 2 5 2" xfId="47250" xr:uid="{00000000-0005-0000-0000-00003BB90000}"/>
    <cellStyle name="RevList 2 5 2 2" xfId="47251" xr:uid="{00000000-0005-0000-0000-00003CB90000}"/>
    <cellStyle name="RevList 2 5 3" xfId="47252" xr:uid="{00000000-0005-0000-0000-00003DB90000}"/>
    <cellStyle name="RevList 2 6" xfId="47253" xr:uid="{00000000-0005-0000-0000-00003EB90000}"/>
    <cellStyle name="RevList 2 6 2" xfId="47254" xr:uid="{00000000-0005-0000-0000-00003FB90000}"/>
    <cellStyle name="RevList 2 6 2 2" xfId="47255" xr:uid="{00000000-0005-0000-0000-000040B90000}"/>
    <cellStyle name="RevList 2 6 3" xfId="47256" xr:uid="{00000000-0005-0000-0000-000041B90000}"/>
    <cellStyle name="RevList 2 7" xfId="47257" xr:uid="{00000000-0005-0000-0000-000042B90000}"/>
    <cellStyle name="RevList 2 7 2" xfId="47258" xr:uid="{00000000-0005-0000-0000-000043B90000}"/>
    <cellStyle name="RevList 2 7 2 2" xfId="47259" xr:uid="{00000000-0005-0000-0000-000044B90000}"/>
    <cellStyle name="RevList 2 7 3" xfId="47260" xr:uid="{00000000-0005-0000-0000-000045B90000}"/>
    <cellStyle name="RevList 2 8" xfId="47261" xr:uid="{00000000-0005-0000-0000-000046B90000}"/>
    <cellStyle name="RevList 2 8 2" xfId="47262" xr:uid="{00000000-0005-0000-0000-000047B90000}"/>
    <cellStyle name="RevList 2 8 2 2" xfId="47263" xr:uid="{00000000-0005-0000-0000-000048B90000}"/>
    <cellStyle name="RevList 2 8 3" xfId="47264" xr:uid="{00000000-0005-0000-0000-000049B90000}"/>
    <cellStyle name="RevList 2 9" xfId="47265" xr:uid="{00000000-0005-0000-0000-00004AB90000}"/>
    <cellStyle name="RevList 2 9 2" xfId="47266" xr:uid="{00000000-0005-0000-0000-00004BB90000}"/>
    <cellStyle name="RevList 2 9 2 2" xfId="47267" xr:uid="{00000000-0005-0000-0000-00004CB90000}"/>
    <cellStyle name="RevList 2 9 3" xfId="47268" xr:uid="{00000000-0005-0000-0000-00004DB90000}"/>
    <cellStyle name="RevList 20" xfId="47269" xr:uid="{00000000-0005-0000-0000-00004EB90000}"/>
    <cellStyle name="RevList 20 10" xfId="47270" xr:uid="{00000000-0005-0000-0000-00004FB90000}"/>
    <cellStyle name="RevList 20 10 2" xfId="47271" xr:uid="{00000000-0005-0000-0000-000050B90000}"/>
    <cellStyle name="RevList 20 11" xfId="47272" xr:uid="{00000000-0005-0000-0000-000051B90000}"/>
    <cellStyle name="RevList 20 2" xfId="47273" xr:uid="{00000000-0005-0000-0000-000052B90000}"/>
    <cellStyle name="RevList 20 2 2" xfId="47274" xr:uid="{00000000-0005-0000-0000-000053B90000}"/>
    <cellStyle name="RevList 20 2 2 2" xfId="47275" xr:uid="{00000000-0005-0000-0000-000054B90000}"/>
    <cellStyle name="RevList 20 2 3" xfId="47276" xr:uid="{00000000-0005-0000-0000-000055B90000}"/>
    <cellStyle name="RevList 20 3" xfId="47277" xr:uid="{00000000-0005-0000-0000-000056B90000}"/>
    <cellStyle name="RevList 20 3 2" xfId="47278" xr:uid="{00000000-0005-0000-0000-000057B90000}"/>
    <cellStyle name="RevList 20 3 2 2" xfId="47279" xr:uid="{00000000-0005-0000-0000-000058B90000}"/>
    <cellStyle name="RevList 20 3 3" xfId="47280" xr:uid="{00000000-0005-0000-0000-000059B90000}"/>
    <cellStyle name="RevList 20 4" xfId="47281" xr:uid="{00000000-0005-0000-0000-00005AB90000}"/>
    <cellStyle name="RevList 20 4 2" xfId="47282" xr:uid="{00000000-0005-0000-0000-00005BB90000}"/>
    <cellStyle name="RevList 20 4 2 2" xfId="47283" xr:uid="{00000000-0005-0000-0000-00005CB90000}"/>
    <cellStyle name="RevList 20 4 3" xfId="47284" xr:uid="{00000000-0005-0000-0000-00005DB90000}"/>
    <cellStyle name="RevList 20 5" xfId="47285" xr:uid="{00000000-0005-0000-0000-00005EB90000}"/>
    <cellStyle name="RevList 20 5 2" xfId="47286" xr:uid="{00000000-0005-0000-0000-00005FB90000}"/>
    <cellStyle name="RevList 20 5 2 2" xfId="47287" xr:uid="{00000000-0005-0000-0000-000060B90000}"/>
    <cellStyle name="RevList 20 5 3" xfId="47288" xr:uid="{00000000-0005-0000-0000-000061B90000}"/>
    <cellStyle name="RevList 20 6" xfId="47289" xr:uid="{00000000-0005-0000-0000-000062B90000}"/>
    <cellStyle name="RevList 20 6 2" xfId="47290" xr:uid="{00000000-0005-0000-0000-000063B90000}"/>
    <cellStyle name="RevList 20 6 2 2" xfId="47291" xr:uid="{00000000-0005-0000-0000-000064B90000}"/>
    <cellStyle name="RevList 20 6 3" xfId="47292" xr:uid="{00000000-0005-0000-0000-000065B90000}"/>
    <cellStyle name="RevList 20 7" xfId="47293" xr:uid="{00000000-0005-0000-0000-000066B90000}"/>
    <cellStyle name="RevList 20 7 2" xfId="47294" xr:uid="{00000000-0005-0000-0000-000067B90000}"/>
    <cellStyle name="RevList 20 7 2 2" xfId="47295" xr:uid="{00000000-0005-0000-0000-000068B90000}"/>
    <cellStyle name="RevList 20 7 3" xfId="47296" xr:uid="{00000000-0005-0000-0000-000069B90000}"/>
    <cellStyle name="RevList 20 8" xfId="47297" xr:uid="{00000000-0005-0000-0000-00006AB90000}"/>
    <cellStyle name="RevList 20 8 2" xfId="47298" xr:uid="{00000000-0005-0000-0000-00006BB90000}"/>
    <cellStyle name="RevList 20 8 2 2" xfId="47299" xr:uid="{00000000-0005-0000-0000-00006CB90000}"/>
    <cellStyle name="RevList 20 8 3" xfId="47300" xr:uid="{00000000-0005-0000-0000-00006DB90000}"/>
    <cellStyle name="RevList 20 9" xfId="47301" xr:uid="{00000000-0005-0000-0000-00006EB90000}"/>
    <cellStyle name="RevList 20 9 2" xfId="47302" xr:uid="{00000000-0005-0000-0000-00006FB90000}"/>
    <cellStyle name="RevList 20 9 2 2" xfId="47303" xr:uid="{00000000-0005-0000-0000-000070B90000}"/>
    <cellStyle name="RevList 20 9 3" xfId="47304" xr:uid="{00000000-0005-0000-0000-000071B90000}"/>
    <cellStyle name="RevList 21" xfId="47305" xr:uid="{00000000-0005-0000-0000-000072B90000}"/>
    <cellStyle name="RevList 21 10" xfId="47306" xr:uid="{00000000-0005-0000-0000-000073B90000}"/>
    <cellStyle name="RevList 21 10 2" xfId="47307" xr:uid="{00000000-0005-0000-0000-000074B90000}"/>
    <cellStyle name="RevList 21 11" xfId="47308" xr:uid="{00000000-0005-0000-0000-000075B90000}"/>
    <cellStyle name="RevList 21 2" xfId="47309" xr:uid="{00000000-0005-0000-0000-000076B90000}"/>
    <cellStyle name="RevList 21 2 2" xfId="47310" xr:uid="{00000000-0005-0000-0000-000077B90000}"/>
    <cellStyle name="RevList 21 2 2 2" xfId="47311" xr:uid="{00000000-0005-0000-0000-000078B90000}"/>
    <cellStyle name="RevList 21 2 3" xfId="47312" xr:uid="{00000000-0005-0000-0000-000079B90000}"/>
    <cellStyle name="RevList 21 3" xfId="47313" xr:uid="{00000000-0005-0000-0000-00007AB90000}"/>
    <cellStyle name="RevList 21 3 2" xfId="47314" xr:uid="{00000000-0005-0000-0000-00007BB90000}"/>
    <cellStyle name="RevList 21 3 2 2" xfId="47315" xr:uid="{00000000-0005-0000-0000-00007CB90000}"/>
    <cellStyle name="RevList 21 3 3" xfId="47316" xr:uid="{00000000-0005-0000-0000-00007DB90000}"/>
    <cellStyle name="RevList 21 4" xfId="47317" xr:uid="{00000000-0005-0000-0000-00007EB90000}"/>
    <cellStyle name="RevList 21 4 2" xfId="47318" xr:uid="{00000000-0005-0000-0000-00007FB90000}"/>
    <cellStyle name="RevList 21 4 2 2" xfId="47319" xr:uid="{00000000-0005-0000-0000-000080B90000}"/>
    <cellStyle name="RevList 21 4 3" xfId="47320" xr:uid="{00000000-0005-0000-0000-000081B90000}"/>
    <cellStyle name="RevList 21 5" xfId="47321" xr:uid="{00000000-0005-0000-0000-000082B90000}"/>
    <cellStyle name="RevList 21 5 2" xfId="47322" xr:uid="{00000000-0005-0000-0000-000083B90000}"/>
    <cellStyle name="RevList 21 5 2 2" xfId="47323" xr:uid="{00000000-0005-0000-0000-000084B90000}"/>
    <cellStyle name="RevList 21 5 3" xfId="47324" xr:uid="{00000000-0005-0000-0000-000085B90000}"/>
    <cellStyle name="RevList 21 6" xfId="47325" xr:uid="{00000000-0005-0000-0000-000086B90000}"/>
    <cellStyle name="RevList 21 6 2" xfId="47326" xr:uid="{00000000-0005-0000-0000-000087B90000}"/>
    <cellStyle name="RevList 21 6 2 2" xfId="47327" xr:uid="{00000000-0005-0000-0000-000088B90000}"/>
    <cellStyle name="RevList 21 6 3" xfId="47328" xr:uid="{00000000-0005-0000-0000-000089B90000}"/>
    <cellStyle name="RevList 21 7" xfId="47329" xr:uid="{00000000-0005-0000-0000-00008AB90000}"/>
    <cellStyle name="RevList 21 7 2" xfId="47330" xr:uid="{00000000-0005-0000-0000-00008BB90000}"/>
    <cellStyle name="RevList 21 7 2 2" xfId="47331" xr:uid="{00000000-0005-0000-0000-00008CB90000}"/>
    <cellStyle name="RevList 21 7 3" xfId="47332" xr:uid="{00000000-0005-0000-0000-00008DB90000}"/>
    <cellStyle name="RevList 21 8" xfId="47333" xr:uid="{00000000-0005-0000-0000-00008EB90000}"/>
    <cellStyle name="RevList 21 8 2" xfId="47334" xr:uid="{00000000-0005-0000-0000-00008FB90000}"/>
    <cellStyle name="RevList 21 8 2 2" xfId="47335" xr:uid="{00000000-0005-0000-0000-000090B90000}"/>
    <cellStyle name="RevList 21 8 3" xfId="47336" xr:uid="{00000000-0005-0000-0000-000091B90000}"/>
    <cellStyle name="RevList 21 9" xfId="47337" xr:uid="{00000000-0005-0000-0000-000092B90000}"/>
    <cellStyle name="RevList 21 9 2" xfId="47338" xr:uid="{00000000-0005-0000-0000-000093B90000}"/>
    <cellStyle name="RevList 21 9 2 2" xfId="47339" xr:uid="{00000000-0005-0000-0000-000094B90000}"/>
    <cellStyle name="RevList 21 9 3" xfId="47340" xr:uid="{00000000-0005-0000-0000-000095B90000}"/>
    <cellStyle name="RevList 3" xfId="47341" xr:uid="{00000000-0005-0000-0000-000096B90000}"/>
    <cellStyle name="RevList 3 10" xfId="47342" xr:uid="{00000000-0005-0000-0000-000097B90000}"/>
    <cellStyle name="RevList 3 10 2" xfId="47343" xr:uid="{00000000-0005-0000-0000-000098B90000}"/>
    <cellStyle name="RevList 3 11" xfId="47344" xr:uid="{00000000-0005-0000-0000-000099B90000}"/>
    <cellStyle name="RevList 3 2" xfId="47345" xr:uid="{00000000-0005-0000-0000-00009AB90000}"/>
    <cellStyle name="RevList 3 2 2" xfId="47346" xr:uid="{00000000-0005-0000-0000-00009BB90000}"/>
    <cellStyle name="RevList 3 2 2 2" xfId="47347" xr:uid="{00000000-0005-0000-0000-00009CB90000}"/>
    <cellStyle name="RevList 3 2 3" xfId="47348" xr:uid="{00000000-0005-0000-0000-00009DB90000}"/>
    <cellStyle name="RevList 3 3" xfId="47349" xr:uid="{00000000-0005-0000-0000-00009EB90000}"/>
    <cellStyle name="RevList 3 3 2" xfId="47350" xr:uid="{00000000-0005-0000-0000-00009FB90000}"/>
    <cellStyle name="RevList 3 3 2 2" xfId="47351" xr:uid="{00000000-0005-0000-0000-0000A0B90000}"/>
    <cellStyle name="RevList 3 3 3" xfId="47352" xr:uid="{00000000-0005-0000-0000-0000A1B90000}"/>
    <cellStyle name="RevList 3 4" xfId="47353" xr:uid="{00000000-0005-0000-0000-0000A2B90000}"/>
    <cellStyle name="RevList 3 4 2" xfId="47354" xr:uid="{00000000-0005-0000-0000-0000A3B90000}"/>
    <cellStyle name="RevList 3 4 2 2" xfId="47355" xr:uid="{00000000-0005-0000-0000-0000A4B90000}"/>
    <cellStyle name="RevList 3 4 3" xfId="47356" xr:uid="{00000000-0005-0000-0000-0000A5B90000}"/>
    <cellStyle name="RevList 3 5" xfId="47357" xr:uid="{00000000-0005-0000-0000-0000A6B90000}"/>
    <cellStyle name="RevList 3 5 2" xfId="47358" xr:uid="{00000000-0005-0000-0000-0000A7B90000}"/>
    <cellStyle name="RevList 3 5 2 2" xfId="47359" xr:uid="{00000000-0005-0000-0000-0000A8B90000}"/>
    <cellStyle name="RevList 3 5 3" xfId="47360" xr:uid="{00000000-0005-0000-0000-0000A9B90000}"/>
    <cellStyle name="RevList 3 6" xfId="47361" xr:uid="{00000000-0005-0000-0000-0000AAB90000}"/>
    <cellStyle name="RevList 3 6 2" xfId="47362" xr:uid="{00000000-0005-0000-0000-0000ABB90000}"/>
    <cellStyle name="RevList 3 6 2 2" xfId="47363" xr:uid="{00000000-0005-0000-0000-0000ACB90000}"/>
    <cellStyle name="RevList 3 6 3" xfId="47364" xr:uid="{00000000-0005-0000-0000-0000ADB90000}"/>
    <cellStyle name="RevList 3 7" xfId="47365" xr:uid="{00000000-0005-0000-0000-0000AEB90000}"/>
    <cellStyle name="RevList 3 7 2" xfId="47366" xr:uid="{00000000-0005-0000-0000-0000AFB90000}"/>
    <cellStyle name="RevList 3 7 2 2" xfId="47367" xr:uid="{00000000-0005-0000-0000-0000B0B90000}"/>
    <cellStyle name="RevList 3 7 3" xfId="47368" xr:uid="{00000000-0005-0000-0000-0000B1B90000}"/>
    <cellStyle name="RevList 3 8" xfId="47369" xr:uid="{00000000-0005-0000-0000-0000B2B90000}"/>
    <cellStyle name="RevList 3 8 2" xfId="47370" xr:uid="{00000000-0005-0000-0000-0000B3B90000}"/>
    <cellStyle name="RevList 3 8 2 2" xfId="47371" xr:uid="{00000000-0005-0000-0000-0000B4B90000}"/>
    <cellStyle name="RevList 3 8 3" xfId="47372" xr:uid="{00000000-0005-0000-0000-0000B5B90000}"/>
    <cellStyle name="RevList 3 9" xfId="47373" xr:uid="{00000000-0005-0000-0000-0000B6B90000}"/>
    <cellStyle name="RevList 3 9 2" xfId="47374" xr:uid="{00000000-0005-0000-0000-0000B7B90000}"/>
    <cellStyle name="RevList 3 9 2 2" xfId="47375" xr:uid="{00000000-0005-0000-0000-0000B8B90000}"/>
    <cellStyle name="RevList 3 9 3" xfId="47376" xr:uid="{00000000-0005-0000-0000-0000B9B90000}"/>
    <cellStyle name="RevList 4" xfId="47377" xr:uid="{00000000-0005-0000-0000-0000BAB90000}"/>
    <cellStyle name="RevList 4 10" xfId="47378" xr:uid="{00000000-0005-0000-0000-0000BBB90000}"/>
    <cellStyle name="RevList 4 10 2" xfId="47379" xr:uid="{00000000-0005-0000-0000-0000BCB90000}"/>
    <cellStyle name="RevList 4 11" xfId="47380" xr:uid="{00000000-0005-0000-0000-0000BDB90000}"/>
    <cellStyle name="RevList 4 2" xfId="47381" xr:uid="{00000000-0005-0000-0000-0000BEB90000}"/>
    <cellStyle name="RevList 4 2 2" xfId="47382" xr:uid="{00000000-0005-0000-0000-0000BFB90000}"/>
    <cellStyle name="RevList 4 2 2 2" xfId="47383" xr:uid="{00000000-0005-0000-0000-0000C0B90000}"/>
    <cellStyle name="RevList 4 2 3" xfId="47384" xr:uid="{00000000-0005-0000-0000-0000C1B90000}"/>
    <cellStyle name="RevList 4 3" xfId="47385" xr:uid="{00000000-0005-0000-0000-0000C2B90000}"/>
    <cellStyle name="RevList 4 3 2" xfId="47386" xr:uid="{00000000-0005-0000-0000-0000C3B90000}"/>
    <cellStyle name="RevList 4 3 2 2" xfId="47387" xr:uid="{00000000-0005-0000-0000-0000C4B90000}"/>
    <cellStyle name="RevList 4 3 3" xfId="47388" xr:uid="{00000000-0005-0000-0000-0000C5B90000}"/>
    <cellStyle name="RevList 4 4" xfId="47389" xr:uid="{00000000-0005-0000-0000-0000C6B90000}"/>
    <cellStyle name="RevList 4 4 2" xfId="47390" xr:uid="{00000000-0005-0000-0000-0000C7B90000}"/>
    <cellStyle name="RevList 4 4 2 2" xfId="47391" xr:uid="{00000000-0005-0000-0000-0000C8B90000}"/>
    <cellStyle name="RevList 4 4 3" xfId="47392" xr:uid="{00000000-0005-0000-0000-0000C9B90000}"/>
    <cellStyle name="RevList 4 5" xfId="47393" xr:uid="{00000000-0005-0000-0000-0000CAB90000}"/>
    <cellStyle name="RevList 4 5 2" xfId="47394" xr:uid="{00000000-0005-0000-0000-0000CBB90000}"/>
    <cellStyle name="RevList 4 5 2 2" xfId="47395" xr:uid="{00000000-0005-0000-0000-0000CCB90000}"/>
    <cellStyle name="RevList 4 5 3" xfId="47396" xr:uid="{00000000-0005-0000-0000-0000CDB90000}"/>
    <cellStyle name="RevList 4 6" xfId="47397" xr:uid="{00000000-0005-0000-0000-0000CEB90000}"/>
    <cellStyle name="RevList 4 6 2" xfId="47398" xr:uid="{00000000-0005-0000-0000-0000CFB90000}"/>
    <cellStyle name="RevList 4 6 2 2" xfId="47399" xr:uid="{00000000-0005-0000-0000-0000D0B90000}"/>
    <cellStyle name="RevList 4 6 3" xfId="47400" xr:uid="{00000000-0005-0000-0000-0000D1B90000}"/>
    <cellStyle name="RevList 4 7" xfId="47401" xr:uid="{00000000-0005-0000-0000-0000D2B90000}"/>
    <cellStyle name="RevList 4 7 2" xfId="47402" xr:uid="{00000000-0005-0000-0000-0000D3B90000}"/>
    <cellStyle name="RevList 4 7 2 2" xfId="47403" xr:uid="{00000000-0005-0000-0000-0000D4B90000}"/>
    <cellStyle name="RevList 4 7 3" xfId="47404" xr:uid="{00000000-0005-0000-0000-0000D5B90000}"/>
    <cellStyle name="RevList 4 8" xfId="47405" xr:uid="{00000000-0005-0000-0000-0000D6B90000}"/>
    <cellStyle name="RevList 4 8 2" xfId="47406" xr:uid="{00000000-0005-0000-0000-0000D7B90000}"/>
    <cellStyle name="RevList 4 8 2 2" xfId="47407" xr:uid="{00000000-0005-0000-0000-0000D8B90000}"/>
    <cellStyle name="RevList 4 8 3" xfId="47408" xr:uid="{00000000-0005-0000-0000-0000D9B90000}"/>
    <cellStyle name="RevList 4 9" xfId="47409" xr:uid="{00000000-0005-0000-0000-0000DAB90000}"/>
    <cellStyle name="RevList 4 9 2" xfId="47410" xr:uid="{00000000-0005-0000-0000-0000DBB90000}"/>
    <cellStyle name="RevList 4 9 2 2" xfId="47411" xr:uid="{00000000-0005-0000-0000-0000DCB90000}"/>
    <cellStyle name="RevList 4 9 3" xfId="47412" xr:uid="{00000000-0005-0000-0000-0000DDB90000}"/>
    <cellStyle name="RevList 5" xfId="47413" xr:uid="{00000000-0005-0000-0000-0000DEB90000}"/>
    <cellStyle name="RevList 5 10" xfId="47414" xr:uid="{00000000-0005-0000-0000-0000DFB90000}"/>
    <cellStyle name="RevList 5 10 2" xfId="47415" xr:uid="{00000000-0005-0000-0000-0000E0B90000}"/>
    <cellStyle name="RevList 5 11" xfId="47416" xr:uid="{00000000-0005-0000-0000-0000E1B90000}"/>
    <cellStyle name="RevList 5 2" xfId="47417" xr:uid="{00000000-0005-0000-0000-0000E2B90000}"/>
    <cellStyle name="RevList 5 2 2" xfId="47418" xr:uid="{00000000-0005-0000-0000-0000E3B90000}"/>
    <cellStyle name="RevList 5 2 2 2" xfId="47419" xr:uid="{00000000-0005-0000-0000-0000E4B90000}"/>
    <cellStyle name="RevList 5 2 3" xfId="47420" xr:uid="{00000000-0005-0000-0000-0000E5B90000}"/>
    <cellStyle name="RevList 5 3" xfId="47421" xr:uid="{00000000-0005-0000-0000-0000E6B90000}"/>
    <cellStyle name="RevList 5 3 2" xfId="47422" xr:uid="{00000000-0005-0000-0000-0000E7B90000}"/>
    <cellStyle name="RevList 5 3 2 2" xfId="47423" xr:uid="{00000000-0005-0000-0000-0000E8B90000}"/>
    <cellStyle name="RevList 5 3 3" xfId="47424" xr:uid="{00000000-0005-0000-0000-0000E9B90000}"/>
    <cellStyle name="RevList 5 4" xfId="47425" xr:uid="{00000000-0005-0000-0000-0000EAB90000}"/>
    <cellStyle name="RevList 5 4 2" xfId="47426" xr:uid="{00000000-0005-0000-0000-0000EBB90000}"/>
    <cellStyle name="RevList 5 4 2 2" xfId="47427" xr:uid="{00000000-0005-0000-0000-0000ECB90000}"/>
    <cellStyle name="RevList 5 4 3" xfId="47428" xr:uid="{00000000-0005-0000-0000-0000EDB90000}"/>
    <cellStyle name="RevList 5 5" xfId="47429" xr:uid="{00000000-0005-0000-0000-0000EEB90000}"/>
    <cellStyle name="RevList 5 5 2" xfId="47430" xr:uid="{00000000-0005-0000-0000-0000EFB90000}"/>
    <cellStyle name="RevList 5 5 2 2" xfId="47431" xr:uid="{00000000-0005-0000-0000-0000F0B90000}"/>
    <cellStyle name="RevList 5 5 3" xfId="47432" xr:uid="{00000000-0005-0000-0000-0000F1B90000}"/>
    <cellStyle name="RevList 5 6" xfId="47433" xr:uid="{00000000-0005-0000-0000-0000F2B90000}"/>
    <cellStyle name="RevList 5 6 2" xfId="47434" xr:uid="{00000000-0005-0000-0000-0000F3B90000}"/>
    <cellStyle name="RevList 5 6 2 2" xfId="47435" xr:uid="{00000000-0005-0000-0000-0000F4B90000}"/>
    <cellStyle name="RevList 5 6 3" xfId="47436" xr:uid="{00000000-0005-0000-0000-0000F5B90000}"/>
    <cellStyle name="RevList 5 7" xfId="47437" xr:uid="{00000000-0005-0000-0000-0000F6B90000}"/>
    <cellStyle name="RevList 5 7 2" xfId="47438" xr:uid="{00000000-0005-0000-0000-0000F7B90000}"/>
    <cellStyle name="RevList 5 7 2 2" xfId="47439" xr:uid="{00000000-0005-0000-0000-0000F8B90000}"/>
    <cellStyle name="RevList 5 7 3" xfId="47440" xr:uid="{00000000-0005-0000-0000-0000F9B90000}"/>
    <cellStyle name="RevList 5 8" xfId="47441" xr:uid="{00000000-0005-0000-0000-0000FAB90000}"/>
    <cellStyle name="RevList 5 8 2" xfId="47442" xr:uid="{00000000-0005-0000-0000-0000FBB90000}"/>
    <cellStyle name="RevList 5 8 2 2" xfId="47443" xr:uid="{00000000-0005-0000-0000-0000FCB90000}"/>
    <cellStyle name="RevList 5 8 3" xfId="47444" xr:uid="{00000000-0005-0000-0000-0000FDB90000}"/>
    <cellStyle name="RevList 5 9" xfId="47445" xr:uid="{00000000-0005-0000-0000-0000FEB90000}"/>
    <cellStyle name="RevList 5 9 2" xfId="47446" xr:uid="{00000000-0005-0000-0000-0000FFB90000}"/>
    <cellStyle name="RevList 5 9 2 2" xfId="47447" xr:uid="{00000000-0005-0000-0000-000000BA0000}"/>
    <cellStyle name="RevList 5 9 3" xfId="47448" xr:uid="{00000000-0005-0000-0000-000001BA0000}"/>
    <cellStyle name="RevList 6" xfId="47449" xr:uid="{00000000-0005-0000-0000-000002BA0000}"/>
    <cellStyle name="RevList 6 10" xfId="47450" xr:uid="{00000000-0005-0000-0000-000003BA0000}"/>
    <cellStyle name="RevList 6 10 2" xfId="47451" xr:uid="{00000000-0005-0000-0000-000004BA0000}"/>
    <cellStyle name="RevList 6 11" xfId="47452" xr:uid="{00000000-0005-0000-0000-000005BA0000}"/>
    <cellStyle name="RevList 6 2" xfId="47453" xr:uid="{00000000-0005-0000-0000-000006BA0000}"/>
    <cellStyle name="RevList 6 2 2" xfId="47454" xr:uid="{00000000-0005-0000-0000-000007BA0000}"/>
    <cellStyle name="RevList 6 2 2 2" xfId="47455" xr:uid="{00000000-0005-0000-0000-000008BA0000}"/>
    <cellStyle name="RevList 6 2 3" xfId="47456" xr:uid="{00000000-0005-0000-0000-000009BA0000}"/>
    <cellStyle name="RevList 6 3" xfId="47457" xr:uid="{00000000-0005-0000-0000-00000ABA0000}"/>
    <cellStyle name="RevList 6 3 2" xfId="47458" xr:uid="{00000000-0005-0000-0000-00000BBA0000}"/>
    <cellStyle name="RevList 6 3 2 2" xfId="47459" xr:uid="{00000000-0005-0000-0000-00000CBA0000}"/>
    <cellStyle name="RevList 6 3 3" xfId="47460" xr:uid="{00000000-0005-0000-0000-00000DBA0000}"/>
    <cellStyle name="RevList 6 4" xfId="47461" xr:uid="{00000000-0005-0000-0000-00000EBA0000}"/>
    <cellStyle name="RevList 6 4 2" xfId="47462" xr:uid="{00000000-0005-0000-0000-00000FBA0000}"/>
    <cellStyle name="RevList 6 4 2 2" xfId="47463" xr:uid="{00000000-0005-0000-0000-000010BA0000}"/>
    <cellStyle name="RevList 6 4 3" xfId="47464" xr:uid="{00000000-0005-0000-0000-000011BA0000}"/>
    <cellStyle name="RevList 6 5" xfId="47465" xr:uid="{00000000-0005-0000-0000-000012BA0000}"/>
    <cellStyle name="RevList 6 5 2" xfId="47466" xr:uid="{00000000-0005-0000-0000-000013BA0000}"/>
    <cellStyle name="RevList 6 5 2 2" xfId="47467" xr:uid="{00000000-0005-0000-0000-000014BA0000}"/>
    <cellStyle name="RevList 6 5 3" xfId="47468" xr:uid="{00000000-0005-0000-0000-000015BA0000}"/>
    <cellStyle name="RevList 6 6" xfId="47469" xr:uid="{00000000-0005-0000-0000-000016BA0000}"/>
    <cellStyle name="RevList 6 6 2" xfId="47470" xr:uid="{00000000-0005-0000-0000-000017BA0000}"/>
    <cellStyle name="RevList 6 6 2 2" xfId="47471" xr:uid="{00000000-0005-0000-0000-000018BA0000}"/>
    <cellStyle name="RevList 6 6 3" xfId="47472" xr:uid="{00000000-0005-0000-0000-000019BA0000}"/>
    <cellStyle name="RevList 6 7" xfId="47473" xr:uid="{00000000-0005-0000-0000-00001ABA0000}"/>
    <cellStyle name="RevList 6 7 2" xfId="47474" xr:uid="{00000000-0005-0000-0000-00001BBA0000}"/>
    <cellStyle name="RevList 6 7 2 2" xfId="47475" xr:uid="{00000000-0005-0000-0000-00001CBA0000}"/>
    <cellStyle name="RevList 6 7 3" xfId="47476" xr:uid="{00000000-0005-0000-0000-00001DBA0000}"/>
    <cellStyle name="RevList 6 8" xfId="47477" xr:uid="{00000000-0005-0000-0000-00001EBA0000}"/>
    <cellStyle name="RevList 6 8 2" xfId="47478" xr:uid="{00000000-0005-0000-0000-00001FBA0000}"/>
    <cellStyle name="RevList 6 8 2 2" xfId="47479" xr:uid="{00000000-0005-0000-0000-000020BA0000}"/>
    <cellStyle name="RevList 6 8 3" xfId="47480" xr:uid="{00000000-0005-0000-0000-000021BA0000}"/>
    <cellStyle name="RevList 6 9" xfId="47481" xr:uid="{00000000-0005-0000-0000-000022BA0000}"/>
    <cellStyle name="RevList 6 9 2" xfId="47482" xr:uid="{00000000-0005-0000-0000-000023BA0000}"/>
    <cellStyle name="RevList 6 9 2 2" xfId="47483" xr:uid="{00000000-0005-0000-0000-000024BA0000}"/>
    <cellStyle name="RevList 6 9 3" xfId="47484" xr:uid="{00000000-0005-0000-0000-000025BA0000}"/>
    <cellStyle name="RevList 7" xfId="47485" xr:uid="{00000000-0005-0000-0000-000026BA0000}"/>
    <cellStyle name="RevList 7 10" xfId="47486" xr:uid="{00000000-0005-0000-0000-000027BA0000}"/>
    <cellStyle name="RevList 7 10 2" xfId="47487" xr:uid="{00000000-0005-0000-0000-000028BA0000}"/>
    <cellStyle name="RevList 7 11" xfId="47488" xr:uid="{00000000-0005-0000-0000-000029BA0000}"/>
    <cellStyle name="RevList 7 2" xfId="47489" xr:uid="{00000000-0005-0000-0000-00002ABA0000}"/>
    <cellStyle name="RevList 7 2 2" xfId="47490" xr:uid="{00000000-0005-0000-0000-00002BBA0000}"/>
    <cellStyle name="RevList 7 2 2 2" xfId="47491" xr:uid="{00000000-0005-0000-0000-00002CBA0000}"/>
    <cellStyle name="RevList 7 2 3" xfId="47492" xr:uid="{00000000-0005-0000-0000-00002DBA0000}"/>
    <cellStyle name="RevList 7 3" xfId="47493" xr:uid="{00000000-0005-0000-0000-00002EBA0000}"/>
    <cellStyle name="RevList 7 3 2" xfId="47494" xr:uid="{00000000-0005-0000-0000-00002FBA0000}"/>
    <cellStyle name="RevList 7 3 2 2" xfId="47495" xr:uid="{00000000-0005-0000-0000-000030BA0000}"/>
    <cellStyle name="RevList 7 3 3" xfId="47496" xr:uid="{00000000-0005-0000-0000-000031BA0000}"/>
    <cellStyle name="RevList 7 4" xfId="47497" xr:uid="{00000000-0005-0000-0000-000032BA0000}"/>
    <cellStyle name="RevList 7 4 2" xfId="47498" xr:uid="{00000000-0005-0000-0000-000033BA0000}"/>
    <cellStyle name="RevList 7 4 2 2" xfId="47499" xr:uid="{00000000-0005-0000-0000-000034BA0000}"/>
    <cellStyle name="RevList 7 4 3" xfId="47500" xr:uid="{00000000-0005-0000-0000-000035BA0000}"/>
    <cellStyle name="RevList 7 5" xfId="47501" xr:uid="{00000000-0005-0000-0000-000036BA0000}"/>
    <cellStyle name="RevList 7 5 2" xfId="47502" xr:uid="{00000000-0005-0000-0000-000037BA0000}"/>
    <cellStyle name="RevList 7 5 2 2" xfId="47503" xr:uid="{00000000-0005-0000-0000-000038BA0000}"/>
    <cellStyle name="RevList 7 5 3" xfId="47504" xr:uid="{00000000-0005-0000-0000-000039BA0000}"/>
    <cellStyle name="RevList 7 6" xfId="47505" xr:uid="{00000000-0005-0000-0000-00003ABA0000}"/>
    <cellStyle name="RevList 7 6 2" xfId="47506" xr:uid="{00000000-0005-0000-0000-00003BBA0000}"/>
    <cellStyle name="RevList 7 6 2 2" xfId="47507" xr:uid="{00000000-0005-0000-0000-00003CBA0000}"/>
    <cellStyle name="RevList 7 6 3" xfId="47508" xr:uid="{00000000-0005-0000-0000-00003DBA0000}"/>
    <cellStyle name="RevList 7 7" xfId="47509" xr:uid="{00000000-0005-0000-0000-00003EBA0000}"/>
    <cellStyle name="RevList 7 7 2" xfId="47510" xr:uid="{00000000-0005-0000-0000-00003FBA0000}"/>
    <cellStyle name="RevList 7 7 2 2" xfId="47511" xr:uid="{00000000-0005-0000-0000-000040BA0000}"/>
    <cellStyle name="RevList 7 7 3" xfId="47512" xr:uid="{00000000-0005-0000-0000-000041BA0000}"/>
    <cellStyle name="RevList 7 8" xfId="47513" xr:uid="{00000000-0005-0000-0000-000042BA0000}"/>
    <cellStyle name="RevList 7 8 2" xfId="47514" xr:uid="{00000000-0005-0000-0000-000043BA0000}"/>
    <cellStyle name="RevList 7 8 2 2" xfId="47515" xr:uid="{00000000-0005-0000-0000-000044BA0000}"/>
    <cellStyle name="RevList 7 8 3" xfId="47516" xr:uid="{00000000-0005-0000-0000-000045BA0000}"/>
    <cellStyle name="RevList 7 9" xfId="47517" xr:uid="{00000000-0005-0000-0000-000046BA0000}"/>
    <cellStyle name="RevList 7 9 2" xfId="47518" xr:uid="{00000000-0005-0000-0000-000047BA0000}"/>
    <cellStyle name="RevList 7 9 2 2" xfId="47519" xr:uid="{00000000-0005-0000-0000-000048BA0000}"/>
    <cellStyle name="RevList 7 9 3" xfId="47520" xr:uid="{00000000-0005-0000-0000-000049BA0000}"/>
    <cellStyle name="RevList 8" xfId="47521" xr:uid="{00000000-0005-0000-0000-00004ABA0000}"/>
    <cellStyle name="RevList 8 10" xfId="47522" xr:uid="{00000000-0005-0000-0000-00004BBA0000}"/>
    <cellStyle name="RevList 8 10 2" xfId="47523" xr:uid="{00000000-0005-0000-0000-00004CBA0000}"/>
    <cellStyle name="RevList 8 11" xfId="47524" xr:uid="{00000000-0005-0000-0000-00004DBA0000}"/>
    <cellStyle name="RevList 8 2" xfId="47525" xr:uid="{00000000-0005-0000-0000-00004EBA0000}"/>
    <cellStyle name="RevList 8 2 2" xfId="47526" xr:uid="{00000000-0005-0000-0000-00004FBA0000}"/>
    <cellStyle name="RevList 8 2 2 2" xfId="47527" xr:uid="{00000000-0005-0000-0000-000050BA0000}"/>
    <cellStyle name="RevList 8 2 3" xfId="47528" xr:uid="{00000000-0005-0000-0000-000051BA0000}"/>
    <cellStyle name="RevList 8 3" xfId="47529" xr:uid="{00000000-0005-0000-0000-000052BA0000}"/>
    <cellStyle name="RevList 8 3 2" xfId="47530" xr:uid="{00000000-0005-0000-0000-000053BA0000}"/>
    <cellStyle name="RevList 8 3 2 2" xfId="47531" xr:uid="{00000000-0005-0000-0000-000054BA0000}"/>
    <cellStyle name="RevList 8 3 3" xfId="47532" xr:uid="{00000000-0005-0000-0000-000055BA0000}"/>
    <cellStyle name="RevList 8 4" xfId="47533" xr:uid="{00000000-0005-0000-0000-000056BA0000}"/>
    <cellStyle name="RevList 8 4 2" xfId="47534" xr:uid="{00000000-0005-0000-0000-000057BA0000}"/>
    <cellStyle name="RevList 8 4 2 2" xfId="47535" xr:uid="{00000000-0005-0000-0000-000058BA0000}"/>
    <cellStyle name="RevList 8 4 3" xfId="47536" xr:uid="{00000000-0005-0000-0000-000059BA0000}"/>
    <cellStyle name="RevList 8 5" xfId="47537" xr:uid="{00000000-0005-0000-0000-00005ABA0000}"/>
    <cellStyle name="RevList 8 5 2" xfId="47538" xr:uid="{00000000-0005-0000-0000-00005BBA0000}"/>
    <cellStyle name="RevList 8 5 2 2" xfId="47539" xr:uid="{00000000-0005-0000-0000-00005CBA0000}"/>
    <cellStyle name="RevList 8 5 3" xfId="47540" xr:uid="{00000000-0005-0000-0000-00005DBA0000}"/>
    <cellStyle name="RevList 8 6" xfId="47541" xr:uid="{00000000-0005-0000-0000-00005EBA0000}"/>
    <cellStyle name="RevList 8 6 2" xfId="47542" xr:uid="{00000000-0005-0000-0000-00005FBA0000}"/>
    <cellStyle name="RevList 8 6 2 2" xfId="47543" xr:uid="{00000000-0005-0000-0000-000060BA0000}"/>
    <cellStyle name="RevList 8 6 3" xfId="47544" xr:uid="{00000000-0005-0000-0000-000061BA0000}"/>
    <cellStyle name="RevList 8 7" xfId="47545" xr:uid="{00000000-0005-0000-0000-000062BA0000}"/>
    <cellStyle name="RevList 8 7 2" xfId="47546" xr:uid="{00000000-0005-0000-0000-000063BA0000}"/>
    <cellStyle name="RevList 8 7 2 2" xfId="47547" xr:uid="{00000000-0005-0000-0000-000064BA0000}"/>
    <cellStyle name="RevList 8 7 3" xfId="47548" xr:uid="{00000000-0005-0000-0000-000065BA0000}"/>
    <cellStyle name="RevList 8 8" xfId="47549" xr:uid="{00000000-0005-0000-0000-000066BA0000}"/>
    <cellStyle name="RevList 8 8 2" xfId="47550" xr:uid="{00000000-0005-0000-0000-000067BA0000}"/>
    <cellStyle name="RevList 8 8 2 2" xfId="47551" xr:uid="{00000000-0005-0000-0000-000068BA0000}"/>
    <cellStyle name="RevList 8 8 3" xfId="47552" xr:uid="{00000000-0005-0000-0000-000069BA0000}"/>
    <cellStyle name="RevList 8 9" xfId="47553" xr:uid="{00000000-0005-0000-0000-00006ABA0000}"/>
    <cellStyle name="RevList 8 9 2" xfId="47554" xr:uid="{00000000-0005-0000-0000-00006BBA0000}"/>
    <cellStyle name="RevList 8 9 2 2" xfId="47555" xr:uid="{00000000-0005-0000-0000-00006CBA0000}"/>
    <cellStyle name="RevList 8 9 3" xfId="47556" xr:uid="{00000000-0005-0000-0000-00006DBA0000}"/>
    <cellStyle name="RevList 9" xfId="47557" xr:uid="{00000000-0005-0000-0000-00006EBA0000}"/>
    <cellStyle name="RevList 9 10" xfId="47558" xr:uid="{00000000-0005-0000-0000-00006FBA0000}"/>
    <cellStyle name="RevList 9 10 2" xfId="47559" xr:uid="{00000000-0005-0000-0000-000070BA0000}"/>
    <cellStyle name="RevList 9 11" xfId="47560" xr:uid="{00000000-0005-0000-0000-000071BA0000}"/>
    <cellStyle name="RevList 9 2" xfId="47561" xr:uid="{00000000-0005-0000-0000-000072BA0000}"/>
    <cellStyle name="RevList 9 2 2" xfId="47562" xr:uid="{00000000-0005-0000-0000-000073BA0000}"/>
    <cellStyle name="RevList 9 2 2 2" xfId="47563" xr:uid="{00000000-0005-0000-0000-000074BA0000}"/>
    <cellStyle name="RevList 9 2 3" xfId="47564" xr:uid="{00000000-0005-0000-0000-000075BA0000}"/>
    <cellStyle name="RevList 9 3" xfId="47565" xr:uid="{00000000-0005-0000-0000-000076BA0000}"/>
    <cellStyle name="RevList 9 3 2" xfId="47566" xr:uid="{00000000-0005-0000-0000-000077BA0000}"/>
    <cellStyle name="RevList 9 3 2 2" xfId="47567" xr:uid="{00000000-0005-0000-0000-000078BA0000}"/>
    <cellStyle name="RevList 9 3 3" xfId="47568" xr:uid="{00000000-0005-0000-0000-000079BA0000}"/>
    <cellStyle name="RevList 9 4" xfId="47569" xr:uid="{00000000-0005-0000-0000-00007ABA0000}"/>
    <cellStyle name="RevList 9 4 2" xfId="47570" xr:uid="{00000000-0005-0000-0000-00007BBA0000}"/>
    <cellStyle name="RevList 9 4 2 2" xfId="47571" xr:uid="{00000000-0005-0000-0000-00007CBA0000}"/>
    <cellStyle name="RevList 9 4 3" xfId="47572" xr:uid="{00000000-0005-0000-0000-00007DBA0000}"/>
    <cellStyle name="RevList 9 5" xfId="47573" xr:uid="{00000000-0005-0000-0000-00007EBA0000}"/>
    <cellStyle name="RevList 9 5 2" xfId="47574" xr:uid="{00000000-0005-0000-0000-00007FBA0000}"/>
    <cellStyle name="RevList 9 5 2 2" xfId="47575" xr:uid="{00000000-0005-0000-0000-000080BA0000}"/>
    <cellStyle name="RevList 9 5 3" xfId="47576" xr:uid="{00000000-0005-0000-0000-000081BA0000}"/>
    <cellStyle name="RevList 9 6" xfId="47577" xr:uid="{00000000-0005-0000-0000-000082BA0000}"/>
    <cellStyle name="RevList 9 6 2" xfId="47578" xr:uid="{00000000-0005-0000-0000-000083BA0000}"/>
    <cellStyle name="RevList 9 6 2 2" xfId="47579" xr:uid="{00000000-0005-0000-0000-000084BA0000}"/>
    <cellStyle name="RevList 9 6 3" xfId="47580" xr:uid="{00000000-0005-0000-0000-000085BA0000}"/>
    <cellStyle name="RevList 9 7" xfId="47581" xr:uid="{00000000-0005-0000-0000-000086BA0000}"/>
    <cellStyle name="RevList 9 7 2" xfId="47582" xr:uid="{00000000-0005-0000-0000-000087BA0000}"/>
    <cellStyle name="RevList 9 7 2 2" xfId="47583" xr:uid="{00000000-0005-0000-0000-000088BA0000}"/>
    <cellStyle name="RevList 9 7 3" xfId="47584" xr:uid="{00000000-0005-0000-0000-000089BA0000}"/>
    <cellStyle name="RevList 9 8" xfId="47585" xr:uid="{00000000-0005-0000-0000-00008ABA0000}"/>
    <cellStyle name="RevList 9 8 2" xfId="47586" xr:uid="{00000000-0005-0000-0000-00008BBA0000}"/>
    <cellStyle name="RevList 9 8 2 2" xfId="47587" xr:uid="{00000000-0005-0000-0000-00008CBA0000}"/>
    <cellStyle name="RevList 9 8 3" xfId="47588" xr:uid="{00000000-0005-0000-0000-00008DBA0000}"/>
    <cellStyle name="RevList 9 9" xfId="47589" xr:uid="{00000000-0005-0000-0000-00008EBA0000}"/>
    <cellStyle name="RevList 9 9 2" xfId="47590" xr:uid="{00000000-0005-0000-0000-00008FBA0000}"/>
    <cellStyle name="RevList 9 9 2 2" xfId="47591" xr:uid="{00000000-0005-0000-0000-000090BA0000}"/>
    <cellStyle name="RevList 9 9 3" xfId="47592" xr:uid="{00000000-0005-0000-0000-000091BA0000}"/>
    <cellStyle name="RM" xfId="47593" xr:uid="{00000000-0005-0000-0000-000092BA0000}"/>
    <cellStyle name="RM 10" xfId="47594" xr:uid="{00000000-0005-0000-0000-000093BA0000}"/>
    <cellStyle name="RM 11" xfId="47595" xr:uid="{00000000-0005-0000-0000-000094BA0000}"/>
    <cellStyle name="RM 12" xfId="47596" xr:uid="{00000000-0005-0000-0000-000095BA0000}"/>
    <cellStyle name="RM 13" xfId="47597" xr:uid="{00000000-0005-0000-0000-000096BA0000}"/>
    <cellStyle name="RM 14" xfId="47598" xr:uid="{00000000-0005-0000-0000-000097BA0000}"/>
    <cellStyle name="RM 15" xfId="47599" xr:uid="{00000000-0005-0000-0000-000098BA0000}"/>
    <cellStyle name="RM 16" xfId="47600" xr:uid="{00000000-0005-0000-0000-000099BA0000}"/>
    <cellStyle name="RM 17" xfId="47601" xr:uid="{00000000-0005-0000-0000-00009ABA0000}"/>
    <cellStyle name="RM 18" xfId="47602" xr:uid="{00000000-0005-0000-0000-00009BBA0000}"/>
    <cellStyle name="RM 19" xfId="47603" xr:uid="{00000000-0005-0000-0000-00009CBA0000}"/>
    <cellStyle name="RM 2" xfId="47604" xr:uid="{00000000-0005-0000-0000-00009DBA0000}"/>
    <cellStyle name="RM 20" xfId="47605" xr:uid="{00000000-0005-0000-0000-00009EBA0000}"/>
    <cellStyle name="RM 21" xfId="47606" xr:uid="{00000000-0005-0000-0000-00009FBA0000}"/>
    <cellStyle name="RM 3" xfId="47607" xr:uid="{00000000-0005-0000-0000-0000A0BA0000}"/>
    <cellStyle name="RM 4" xfId="47608" xr:uid="{00000000-0005-0000-0000-0000A1BA0000}"/>
    <cellStyle name="RM 5" xfId="47609" xr:uid="{00000000-0005-0000-0000-0000A2BA0000}"/>
    <cellStyle name="RM 6" xfId="47610" xr:uid="{00000000-0005-0000-0000-0000A3BA0000}"/>
    <cellStyle name="RM 7" xfId="47611" xr:uid="{00000000-0005-0000-0000-0000A4BA0000}"/>
    <cellStyle name="RM 8" xfId="47612" xr:uid="{00000000-0005-0000-0000-0000A5BA0000}"/>
    <cellStyle name="RM 9" xfId="47613" xr:uid="{00000000-0005-0000-0000-0000A6BA0000}"/>
    <cellStyle name="Row heading" xfId="47614" xr:uid="{00000000-0005-0000-0000-0000A7BA0000}"/>
    <cellStyle name="rpm" xfId="58851" xr:uid="{00000000-0005-0000-0000-0000A8BA0000}"/>
    <cellStyle name="Salida 2" xfId="47615" xr:uid="{00000000-0005-0000-0000-0000A9BA0000}"/>
    <cellStyle name="Salida 2 2" xfId="47616" xr:uid="{00000000-0005-0000-0000-0000AABA0000}"/>
    <cellStyle name="Salida 2 2 2" xfId="47617" xr:uid="{00000000-0005-0000-0000-0000ABBA0000}"/>
    <cellStyle name="Salida 2 2 2 10" xfId="47618" xr:uid="{00000000-0005-0000-0000-0000ACBA0000}"/>
    <cellStyle name="Salida 2 2 2 10 2" xfId="47619" xr:uid="{00000000-0005-0000-0000-0000ADBA0000}"/>
    <cellStyle name="Salida 2 2 2 10 2 2" xfId="47620" xr:uid="{00000000-0005-0000-0000-0000AEBA0000}"/>
    <cellStyle name="Salida 2 2 2 10 2 3" xfId="47621" xr:uid="{00000000-0005-0000-0000-0000AFBA0000}"/>
    <cellStyle name="Salida 2 2 2 10 2 4" xfId="47622" xr:uid="{00000000-0005-0000-0000-0000B0BA0000}"/>
    <cellStyle name="Salida 2 2 2 10 3" xfId="47623" xr:uid="{00000000-0005-0000-0000-0000B1BA0000}"/>
    <cellStyle name="Salida 2 2 2 10 3 2" xfId="47624" xr:uid="{00000000-0005-0000-0000-0000B2BA0000}"/>
    <cellStyle name="Salida 2 2 2 10 3 2 2" xfId="47625" xr:uid="{00000000-0005-0000-0000-0000B3BA0000}"/>
    <cellStyle name="Salida 2 2 2 10 3 2 3" xfId="47626" xr:uid="{00000000-0005-0000-0000-0000B4BA0000}"/>
    <cellStyle name="Salida 2 2 2 10 3 2 4" xfId="47627" xr:uid="{00000000-0005-0000-0000-0000B5BA0000}"/>
    <cellStyle name="Salida 2 2 2 10 3 3" xfId="47628" xr:uid="{00000000-0005-0000-0000-0000B6BA0000}"/>
    <cellStyle name="Salida 2 2 2 10 3 3 2" xfId="47629" xr:uid="{00000000-0005-0000-0000-0000B7BA0000}"/>
    <cellStyle name="Salida 2 2 2 10 3 3 3" xfId="47630" xr:uid="{00000000-0005-0000-0000-0000B8BA0000}"/>
    <cellStyle name="Salida 2 2 2 10 3 3 4" xfId="47631" xr:uid="{00000000-0005-0000-0000-0000B9BA0000}"/>
    <cellStyle name="Salida 2 2 2 10 3 4" xfId="47632" xr:uid="{00000000-0005-0000-0000-0000BABA0000}"/>
    <cellStyle name="Salida 2 2 2 10 3 5" xfId="47633" xr:uid="{00000000-0005-0000-0000-0000BBBA0000}"/>
    <cellStyle name="Salida 2 2 2 10 3 6" xfId="47634" xr:uid="{00000000-0005-0000-0000-0000BCBA0000}"/>
    <cellStyle name="Salida 2 2 2 10 4" xfId="47635" xr:uid="{00000000-0005-0000-0000-0000BDBA0000}"/>
    <cellStyle name="Salida 2 2 2 10 5" xfId="47636" xr:uid="{00000000-0005-0000-0000-0000BEBA0000}"/>
    <cellStyle name="Salida 2 2 2 11" xfId="47637" xr:uid="{00000000-0005-0000-0000-0000BFBA0000}"/>
    <cellStyle name="Salida 2 2 2 11 2" xfId="47638" xr:uid="{00000000-0005-0000-0000-0000C0BA0000}"/>
    <cellStyle name="Salida 2 2 2 11 2 2" xfId="47639" xr:uid="{00000000-0005-0000-0000-0000C1BA0000}"/>
    <cellStyle name="Salida 2 2 2 11 2 3" xfId="47640" xr:uid="{00000000-0005-0000-0000-0000C2BA0000}"/>
    <cellStyle name="Salida 2 2 2 11 2 4" xfId="47641" xr:uid="{00000000-0005-0000-0000-0000C3BA0000}"/>
    <cellStyle name="Salida 2 2 2 11 3" xfId="47642" xr:uid="{00000000-0005-0000-0000-0000C4BA0000}"/>
    <cellStyle name="Salida 2 2 2 11 3 2" xfId="47643" xr:uid="{00000000-0005-0000-0000-0000C5BA0000}"/>
    <cellStyle name="Salida 2 2 2 11 3 2 2" xfId="47644" xr:uid="{00000000-0005-0000-0000-0000C6BA0000}"/>
    <cellStyle name="Salida 2 2 2 11 3 2 3" xfId="47645" xr:uid="{00000000-0005-0000-0000-0000C7BA0000}"/>
    <cellStyle name="Salida 2 2 2 11 3 2 4" xfId="47646" xr:uid="{00000000-0005-0000-0000-0000C8BA0000}"/>
    <cellStyle name="Salida 2 2 2 11 3 3" xfId="47647" xr:uid="{00000000-0005-0000-0000-0000C9BA0000}"/>
    <cellStyle name="Salida 2 2 2 11 3 3 2" xfId="47648" xr:uid="{00000000-0005-0000-0000-0000CABA0000}"/>
    <cellStyle name="Salida 2 2 2 11 3 3 3" xfId="47649" xr:uid="{00000000-0005-0000-0000-0000CBBA0000}"/>
    <cellStyle name="Salida 2 2 2 11 3 3 4" xfId="47650" xr:uid="{00000000-0005-0000-0000-0000CCBA0000}"/>
    <cellStyle name="Salida 2 2 2 11 3 4" xfId="47651" xr:uid="{00000000-0005-0000-0000-0000CDBA0000}"/>
    <cellStyle name="Salida 2 2 2 11 3 5" xfId="47652" xr:uid="{00000000-0005-0000-0000-0000CEBA0000}"/>
    <cellStyle name="Salida 2 2 2 11 3 6" xfId="47653" xr:uid="{00000000-0005-0000-0000-0000CFBA0000}"/>
    <cellStyle name="Salida 2 2 2 11 4" xfId="47654" xr:uid="{00000000-0005-0000-0000-0000D0BA0000}"/>
    <cellStyle name="Salida 2 2 2 11 5" xfId="47655" xr:uid="{00000000-0005-0000-0000-0000D1BA0000}"/>
    <cellStyle name="Salida 2 2 2 12" xfId="47656" xr:uid="{00000000-0005-0000-0000-0000D2BA0000}"/>
    <cellStyle name="Salida 2 2 2 12 2" xfId="47657" xr:uid="{00000000-0005-0000-0000-0000D3BA0000}"/>
    <cellStyle name="Salida 2 2 2 12 2 2" xfId="47658" xr:uid="{00000000-0005-0000-0000-0000D4BA0000}"/>
    <cellStyle name="Salida 2 2 2 12 2 2 2" xfId="47659" xr:uid="{00000000-0005-0000-0000-0000D5BA0000}"/>
    <cellStyle name="Salida 2 2 2 12 2 2 3" xfId="47660" xr:uid="{00000000-0005-0000-0000-0000D6BA0000}"/>
    <cellStyle name="Salida 2 2 2 12 2 2 4" xfId="47661" xr:uid="{00000000-0005-0000-0000-0000D7BA0000}"/>
    <cellStyle name="Salida 2 2 2 12 2 3" xfId="47662" xr:uid="{00000000-0005-0000-0000-0000D8BA0000}"/>
    <cellStyle name="Salida 2 2 2 12 2 3 2" xfId="47663" xr:uid="{00000000-0005-0000-0000-0000D9BA0000}"/>
    <cellStyle name="Salida 2 2 2 12 2 3 3" xfId="47664" xr:uid="{00000000-0005-0000-0000-0000DABA0000}"/>
    <cellStyle name="Salida 2 2 2 12 2 3 4" xfId="47665" xr:uid="{00000000-0005-0000-0000-0000DBBA0000}"/>
    <cellStyle name="Salida 2 2 2 12 2 4" xfId="47666" xr:uid="{00000000-0005-0000-0000-0000DCBA0000}"/>
    <cellStyle name="Salida 2 2 2 12 2 5" xfId="47667" xr:uid="{00000000-0005-0000-0000-0000DDBA0000}"/>
    <cellStyle name="Salida 2 2 2 12 2 6" xfId="47668" xr:uid="{00000000-0005-0000-0000-0000DEBA0000}"/>
    <cellStyle name="Salida 2 2 2 12 3" xfId="47669" xr:uid="{00000000-0005-0000-0000-0000DFBA0000}"/>
    <cellStyle name="Salida 2 2 2 12 3 2" xfId="47670" xr:uid="{00000000-0005-0000-0000-0000E0BA0000}"/>
    <cellStyle name="Salida 2 2 2 12 3 2 2" xfId="47671" xr:uid="{00000000-0005-0000-0000-0000E1BA0000}"/>
    <cellStyle name="Salida 2 2 2 12 3 2 3" xfId="47672" xr:uid="{00000000-0005-0000-0000-0000E2BA0000}"/>
    <cellStyle name="Salida 2 2 2 12 3 2 4" xfId="47673" xr:uid="{00000000-0005-0000-0000-0000E3BA0000}"/>
    <cellStyle name="Salida 2 2 2 12 3 3" xfId="47674" xr:uid="{00000000-0005-0000-0000-0000E4BA0000}"/>
    <cellStyle name="Salida 2 2 2 12 3 3 2" xfId="47675" xr:uid="{00000000-0005-0000-0000-0000E5BA0000}"/>
    <cellStyle name="Salida 2 2 2 12 3 3 3" xfId="47676" xr:uid="{00000000-0005-0000-0000-0000E6BA0000}"/>
    <cellStyle name="Salida 2 2 2 12 3 3 4" xfId="47677" xr:uid="{00000000-0005-0000-0000-0000E7BA0000}"/>
    <cellStyle name="Salida 2 2 2 12 3 4" xfId="47678" xr:uid="{00000000-0005-0000-0000-0000E8BA0000}"/>
    <cellStyle name="Salida 2 2 2 12 3 5" xfId="47679" xr:uid="{00000000-0005-0000-0000-0000E9BA0000}"/>
    <cellStyle name="Salida 2 2 2 12 3 6" xfId="47680" xr:uid="{00000000-0005-0000-0000-0000EABA0000}"/>
    <cellStyle name="Salida 2 2 2 12 4" xfId="47681" xr:uid="{00000000-0005-0000-0000-0000EBBA0000}"/>
    <cellStyle name="Salida 2 2 2 12 5" xfId="47682" xr:uid="{00000000-0005-0000-0000-0000ECBA0000}"/>
    <cellStyle name="Salida 2 2 2 12 6" xfId="47683" xr:uid="{00000000-0005-0000-0000-0000EDBA0000}"/>
    <cellStyle name="Salida 2 2 2 13" xfId="47684" xr:uid="{00000000-0005-0000-0000-0000EEBA0000}"/>
    <cellStyle name="Salida 2 2 2 14" xfId="47685" xr:uid="{00000000-0005-0000-0000-0000EFBA0000}"/>
    <cellStyle name="Salida 2 2 2 15" xfId="58785" xr:uid="{00000000-0005-0000-0000-0000F0BA0000}"/>
    <cellStyle name="Salida 2 2 2 2" xfId="47686" xr:uid="{00000000-0005-0000-0000-0000F1BA0000}"/>
    <cellStyle name="Salida 2 2 2 2 2" xfId="47687" xr:uid="{00000000-0005-0000-0000-0000F2BA0000}"/>
    <cellStyle name="Salida 2 2 2 2 2 2" xfId="47688" xr:uid="{00000000-0005-0000-0000-0000F3BA0000}"/>
    <cellStyle name="Salida 2 2 2 2 2 2 2" xfId="47689" xr:uid="{00000000-0005-0000-0000-0000F4BA0000}"/>
    <cellStyle name="Salida 2 2 2 2 2 2 2 2" xfId="47690" xr:uid="{00000000-0005-0000-0000-0000F5BA0000}"/>
    <cellStyle name="Salida 2 2 2 2 2 2 2 3" xfId="47691" xr:uid="{00000000-0005-0000-0000-0000F6BA0000}"/>
    <cellStyle name="Salida 2 2 2 2 2 2 2 4" xfId="47692" xr:uid="{00000000-0005-0000-0000-0000F7BA0000}"/>
    <cellStyle name="Salida 2 2 2 2 2 2 3" xfId="47693" xr:uid="{00000000-0005-0000-0000-0000F8BA0000}"/>
    <cellStyle name="Salida 2 2 2 2 2 2 3 2" xfId="47694" xr:uid="{00000000-0005-0000-0000-0000F9BA0000}"/>
    <cellStyle name="Salida 2 2 2 2 2 2 3 3" xfId="47695" xr:uid="{00000000-0005-0000-0000-0000FABA0000}"/>
    <cellStyle name="Salida 2 2 2 2 2 2 3 4" xfId="47696" xr:uid="{00000000-0005-0000-0000-0000FBBA0000}"/>
    <cellStyle name="Salida 2 2 2 2 2 2 4" xfId="47697" xr:uid="{00000000-0005-0000-0000-0000FCBA0000}"/>
    <cellStyle name="Salida 2 2 2 2 2 2 5" xfId="47698" xr:uid="{00000000-0005-0000-0000-0000FDBA0000}"/>
    <cellStyle name="Salida 2 2 2 2 2 2 6" xfId="47699" xr:uid="{00000000-0005-0000-0000-0000FEBA0000}"/>
    <cellStyle name="Salida 2 2 2 2 2 3" xfId="47700" xr:uid="{00000000-0005-0000-0000-0000FFBA0000}"/>
    <cellStyle name="Salida 2 2 2 2 2 3 2" xfId="47701" xr:uid="{00000000-0005-0000-0000-000000BB0000}"/>
    <cellStyle name="Salida 2 2 2 2 2 3 2 2" xfId="47702" xr:uid="{00000000-0005-0000-0000-000001BB0000}"/>
    <cellStyle name="Salida 2 2 2 2 2 3 2 3" xfId="47703" xr:uid="{00000000-0005-0000-0000-000002BB0000}"/>
    <cellStyle name="Salida 2 2 2 2 2 3 2 4" xfId="47704" xr:uid="{00000000-0005-0000-0000-000003BB0000}"/>
    <cellStyle name="Salida 2 2 2 2 2 3 3" xfId="47705" xr:uid="{00000000-0005-0000-0000-000004BB0000}"/>
    <cellStyle name="Salida 2 2 2 2 2 3 3 2" xfId="47706" xr:uid="{00000000-0005-0000-0000-000005BB0000}"/>
    <cellStyle name="Salida 2 2 2 2 2 3 3 3" xfId="47707" xr:uid="{00000000-0005-0000-0000-000006BB0000}"/>
    <cellStyle name="Salida 2 2 2 2 2 3 3 4" xfId="47708" xr:uid="{00000000-0005-0000-0000-000007BB0000}"/>
    <cellStyle name="Salida 2 2 2 2 2 3 4" xfId="47709" xr:uid="{00000000-0005-0000-0000-000008BB0000}"/>
    <cellStyle name="Salida 2 2 2 2 2 3 5" xfId="47710" xr:uid="{00000000-0005-0000-0000-000009BB0000}"/>
    <cellStyle name="Salida 2 2 2 2 2 3 6" xfId="47711" xr:uid="{00000000-0005-0000-0000-00000ABB0000}"/>
    <cellStyle name="Salida 2 2 2 2 2 4" xfId="47712" xr:uid="{00000000-0005-0000-0000-00000BBB0000}"/>
    <cellStyle name="Salida 2 2 2 2 2 5" xfId="47713" xr:uid="{00000000-0005-0000-0000-00000CBB0000}"/>
    <cellStyle name="Salida 2 2 2 2 2 6" xfId="47714" xr:uid="{00000000-0005-0000-0000-00000DBB0000}"/>
    <cellStyle name="Salida 2 2 2 2 3" xfId="47715" xr:uid="{00000000-0005-0000-0000-00000EBB0000}"/>
    <cellStyle name="Salida 2 2 2 2 4" xfId="47716" xr:uid="{00000000-0005-0000-0000-00000FBB0000}"/>
    <cellStyle name="Salida 2 2 2 3" xfId="47717" xr:uid="{00000000-0005-0000-0000-000010BB0000}"/>
    <cellStyle name="Salida 2 2 2 3 2" xfId="47718" xr:uid="{00000000-0005-0000-0000-000011BB0000}"/>
    <cellStyle name="Salida 2 2 2 3 2 2" xfId="47719" xr:uid="{00000000-0005-0000-0000-000012BB0000}"/>
    <cellStyle name="Salida 2 2 2 3 2 2 2" xfId="47720" xr:uid="{00000000-0005-0000-0000-000013BB0000}"/>
    <cellStyle name="Salida 2 2 2 3 2 2 2 2" xfId="47721" xr:uid="{00000000-0005-0000-0000-000014BB0000}"/>
    <cellStyle name="Salida 2 2 2 3 2 2 2 3" xfId="47722" xr:uid="{00000000-0005-0000-0000-000015BB0000}"/>
    <cellStyle name="Salida 2 2 2 3 2 2 2 4" xfId="47723" xr:uid="{00000000-0005-0000-0000-000016BB0000}"/>
    <cellStyle name="Salida 2 2 2 3 2 2 3" xfId="47724" xr:uid="{00000000-0005-0000-0000-000017BB0000}"/>
    <cellStyle name="Salida 2 2 2 3 2 2 3 2" xfId="47725" xr:uid="{00000000-0005-0000-0000-000018BB0000}"/>
    <cellStyle name="Salida 2 2 2 3 2 2 3 3" xfId="47726" xr:uid="{00000000-0005-0000-0000-000019BB0000}"/>
    <cellStyle name="Salida 2 2 2 3 2 2 3 4" xfId="47727" xr:uid="{00000000-0005-0000-0000-00001ABB0000}"/>
    <cellStyle name="Salida 2 2 2 3 2 2 4" xfId="47728" xr:uid="{00000000-0005-0000-0000-00001BBB0000}"/>
    <cellStyle name="Salida 2 2 2 3 2 2 5" xfId="47729" xr:uid="{00000000-0005-0000-0000-00001CBB0000}"/>
    <cellStyle name="Salida 2 2 2 3 2 2 6" xfId="47730" xr:uid="{00000000-0005-0000-0000-00001DBB0000}"/>
    <cellStyle name="Salida 2 2 2 3 2 3" xfId="47731" xr:uid="{00000000-0005-0000-0000-00001EBB0000}"/>
    <cellStyle name="Salida 2 2 2 3 2 3 2" xfId="47732" xr:uid="{00000000-0005-0000-0000-00001FBB0000}"/>
    <cellStyle name="Salida 2 2 2 3 2 3 2 2" xfId="47733" xr:uid="{00000000-0005-0000-0000-000020BB0000}"/>
    <cellStyle name="Salida 2 2 2 3 2 3 2 3" xfId="47734" xr:uid="{00000000-0005-0000-0000-000021BB0000}"/>
    <cellStyle name="Salida 2 2 2 3 2 3 2 4" xfId="47735" xr:uid="{00000000-0005-0000-0000-000022BB0000}"/>
    <cellStyle name="Salida 2 2 2 3 2 3 3" xfId="47736" xr:uid="{00000000-0005-0000-0000-000023BB0000}"/>
    <cellStyle name="Salida 2 2 2 3 2 3 3 2" xfId="47737" xr:uid="{00000000-0005-0000-0000-000024BB0000}"/>
    <cellStyle name="Salida 2 2 2 3 2 3 3 3" xfId="47738" xr:uid="{00000000-0005-0000-0000-000025BB0000}"/>
    <cellStyle name="Salida 2 2 2 3 2 3 3 4" xfId="47739" xr:uid="{00000000-0005-0000-0000-000026BB0000}"/>
    <cellStyle name="Salida 2 2 2 3 2 3 4" xfId="47740" xr:uid="{00000000-0005-0000-0000-000027BB0000}"/>
    <cellStyle name="Salida 2 2 2 3 2 3 5" xfId="47741" xr:uid="{00000000-0005-0000-0000-000028BB0000}"/>
    <cellStyle name="Salida 2 2 2 3 2 3 6" xfId="47742" xr:uid="{00000000-0005-0000-0000-000029BB0000}"/>
    <cellStyle name="Salida 2 2 2 3 2 4" xfId="47743" xr:uid="{00000000-0005-0000-0000-00002ABB0000}"/>
    <cellStyle name="Salida 2 2 2 3 2 5" xfId="47744" xr:uid="{00000000-0005-0000-0000-00002BBB0000}"/>
    <cellStyle name="Salida 2 2 2 3 2 6" xfId="47745" xr:uid="{00000000-0005-0000-0000-00002CBB0000}"/>
    <cellStyle name="Salida 2 2 2 3 3" xfId="47746" xr:uid="{00000000-0005-0000-0000-00002DBB0000}"/>
    <cellStyle name="Salida 2 2 2 3 4" xfId="47747" xr:uid="{00000000-0005-0000-0000-00002EBB0000}"/>
    <cellStyle name="Salida 2 2 2 4" xfId="47748" xr:uid="{00000000-0005-0000-0000-00002FBB0000}"/>
    <cellStyle name="Salida 2 2 2 4 2" xfId="47749" xr:uid="{00000000-0005-0000-0000-000030BB0000}"/>
    <cellStyle name="Salida 2 2 2 4 2 2" xfId="47750" xr:uid="{00000000-0005-0000-0000-000031BB0000}"/>
    <cellStyle name="Salida 2 2 2 4 2 2 2" xfId="47751" xr:uid="{00000000-0005-0000-0000-000032BB0000}"/>
    <cellStyle name="Salida 2 2 2 4 2 2 2 2" xfId="47752" xr:uid="{00000000-0005-0000-0000-000033BB0000}"/>
    <cellStyle name="Salida 2 2 2 4 2 2 2 3" xfId="47753" xr:uid="{00000000-0005-0000-0000-000034BB0000}"/>
    <cellStyle name="Salida 2 2 2 4 2 2 2 4" xfId="47754" xr:uid="{00000000-0005-0000-0000-000035BB0000}"/>
    <cellStyle name="Salida 2 2 2 4 2 2 3" xfId="47755" xr:uid="{00000000-0005-0000-0000-000036BB0000}"/>
    <cellStyle name="Salida 2 2 2 4 2 2 3 2" xfId="47756" xr:uid="{00000000-0005-0000-0000-000037BB0000}"/>
    <cellStyle name="Salida 2 2 2 4 2 2 3 3" xfId="47757" xr:uid="{00000000-0005-0000-0000-000038BB0000}"/>
    <cellStyle name="Salida 2 2 2 4 2 2 3 4" xfId="47758" xr:uid="{00000000-0005-0000-0000-000039BB0000}"/>
    <cellStyle name="Salida 2 2 2 4 2 2 4" xfId="47759" xr:uid="{00000000-0005-0000-0000-00003ABB0000}"/>
    <cellStyle name="Salida 2 2 2 4 2 2 5" xfId="47760" xr:uid="{00000000-0005-0000-0000-00003BBB0000}"/>
    <cellStyle name="Salida 2 2 2 4 2 2 6" xfId="47761" xr:uid="{00000000-0005-0000-0000-00003CBB0000}"/>
    <cellStyle name="Salida 2 2 2 4 2 3" xfId="47762" xr:uid="{00000000-0005-0000-0000-00003DBB0000}"/>
    <cellStyle name="Salida 2 2 2 4 2 3 2" xfId="47763" xr:uid="{00000000-0005-0000-0000-00003EBB0000}"/>
    <cellStyle name="Salida 2 2 2 4 2 3 2 2" xfId="47764" xr:uid="{00000000-0005-0000-0000-00003FBB0000}"/>
    <cellStyle name="Salida 2 2 2 4 2 3 2 3" xfId="47765" xr:uid="{00000000-0005-0000-0000-000040BB0000}"/>
    <cellStyle name="Salida 2 2 2 4 2 3 2 4" xfId="47766" xr:uid="{00000000-0005-0000-0000-000041BB0000}"/>
    <cellStyle name="Salida 2 2 2 4 2 3 3" xfId="47767" xr:uid="{00000000-0005-0000-0000-000042BB0000}"/>
    <cellStyle name="Salida 2 2 2 4 2 3 3 2" xfId="47768" xr:uid="{00000000-0005-0000-0000-000043BB0000}"/>
    <cellStyle name="Salida 2 2 2 4 2 3 3 3" xfId="47769" xr:uid="{00000000-0005-0000-0000-000044BB0000}"/>
    <cellStyle name="Salida 2 2 2 4 2 3 3 4" xfId="47770" xr:uid="{00000000-0005-0000-0000-000045BB0000}"/>
    <cellStyle name="Salida 2 2 2 4 2 3 4" xfId="47771" xr:uid="{00000000-0005-0000-0000-000046BB0000}"/>
    <cellStyle name="Salida 2 2 2 4 2 3 5" xfId="47772" xr:uid="{00000000-0005-0000-0000-000047BB0000}"/>
    <cellStyle name="Salida 2 2 2 4 2 3 6" xfId="47773" xr:uid="{00000000-0005-0000-0000-000048BB0000}"/>
    <cellStyle name="Salida 2 2 2 4 2 4" xfId="47774" xr:uid="{00000000-0005-0000-0000-000049BB0000}"/>
    <cellStyle name="Salida 2 2 2 4 2 5" xfId="47775" xr:uid="{00000000-0005-0000-0000-00004ABB0000}"/>
    <cellStyle name="Salida 2 2 2 4 2 6" xfId="47776" xr:uid="{00000000-0005-0000-0000-00004BBB0000}"/>
    <cellStyle name="Salida 2 2 2 4 3" xfId="47777" xr:uid="{00000000-0005-0000-0000-00004CBB0000}"/>
    <cellStyle name="Salida 2 2 2 4 4" xfId="47778" xr:uid="{00000000-0005-0000-0000-00004DBB0000}"/>
    <cellStyle name="Salida 2 2 2 5" xfId="47779" xr:uid="{00000000-0005-0000-0000-00004EBB0000}"/>
    <cellStyle name="Salida 2 2 2 5 2" xfId="47780" xr:uid="{00000000-0005-0000-0000-00004FBB0000}"/>
    <cellStyle name="Salida 2 2 2 5 2 2" xfId="47781" xr:uid="{00000000-0005-0000-0000-000050BB0000}"/>
    <cellStyle name="Salida 2 2 2 5 2 3" xfId="47782" xr:uid="{00000000-0005-0000-0000-000051BB0000}"/>
    <cellStyle name="Salida 2 2 2 5 2 4" xfId="47783" xr:uid="{00000000-0005-0000-0000-000052BB0000}"/>
    <cellStyle name="Salida 2 2 2 5 3" xfId="47784" xr:uid="{00000000-0005-0000-0000-000053BB0000}"/>
    <cellStyle name="Salida 2 2 2 5 3 2" xfId="47785" xr:uid="{00000000-0005-0000-0000-000054BB0000}"/>
    <cellStyle name="Salida 2 2 2 5 3 2 2" xfId="47786" xr:uid="{00000000-0005-0000-0000-000055BB0000}"/>
    <cellStyle name="Salida 2 2 2 5 3 2 3" xfId="47787" xr:uid="{00000000-0005-0000-0000-000056BB0000}"/>
    <cellStyle name="Salida 2 2 2 5 3 2 4" xfId="47788" xr:uid="{00000000-0005-0000-0000-000057BB0000}"/>
    <cellStyle name="Salida 2 2 2 5 3 3" xfId="47789" xr:uid="{00000000-0005-0000-0000-000058BB0000}"/>
    <cellStyle name="Salida 2 2 2 5 3 3 2" xfId="47790" xr:uid="{00000000-0005-0000-0000-000059BB0000}"/>
    <cellStyle name="Salida 2 2 2 5 3 3 3" xfId="47791" xr:uid="{00000000-0005-0000-0000-00005ABB0000}"/>
    <cellStyle name="Salida 2 2 2 5 3 3 4" xfId="47792" xr:uid="{00000000-0005-0000-0000-00005BBB0000}"/>
    <cellStyle name="Salida 2 2 2 5 3 4" xfId="47793" xr:uid="{00000000-0005-0000-0000-00005CBB0000}"/>
    <cellStyle name="Salida 2 2 2 5 3 5" xfId="47794" xr:uid="{00000000-0005-0000-0000-00005DBB0000}"/>
    <cellStyle name="Salida 2 2 2 5 3 6" xfId="47795" xr:uid="{00000000-0005-0000-0000-00005EBB0000}"/>
    <cellStyle name="Salida 2 2 2 5 4" xfId="47796" xr:uid="{00000000-0005-0000-0000-00005FBB0000}"/>
    <cellStyle name="Salida 2 2 2 5 5" xfId="47797" xr:uid="{00000000-0005-0000-0000-000060BB0000}"/>
    <cellStyle name="Salida 2 2 2 6" xfId="47798" xr:uid="{00000000-0005-0000-0000-000061BB0000}"/>
    <cellStyle name="Salida 2 2 2 6 2" xfId="47799" xr:uid="{00000000-0005-0000-0000-000062BB0000}"/>
    <cellStyle name="Salida 2 2 2 6 2 2" xfId="47800" xr:uid="{00000000-0005-0000-0000-000063BB0000}"/>
    <cellStyle name="Salida 2 2 2 6 2 3" xfId="47801" xr:uid="{00000000-0005-0000-0000-000064BB0000}"/>
    <cellStyle name="Salida 2 2 2 6 2 4" xfId="47802" xr:uid="{00000000-0005-0000-0000-000065BB0000}"/>
    <cellStyle name="Salida 2 2 2 6 3" xfId="47803" xr:uid="{00000000-0005-0000-0000-000066BB0000}"/>
    <cellStyle name="Salida 2 2 2 6 3 2" xfId="47804" xr:uid="{00000000-0005-0000-0000-000067BB0000}"/>
    <cellStyle name="Salida 2 2 2 6 3 2 2" xfId="47805" xr:uid="{00000000-0005-0000-0000-000068BB0000}"/>
    <cellStyle name="Salida 2 2 2 6 3 2 3" xfId="47806" xr:uid="{00000000-0005-0000-0000-000069BB0000}"/>
    <cellStyle name="Salida 2 2 2 6 3 2 4" xfId="47807" xr:uid="{00000000-0005-0000-0000-00006ABB0000}"/>
    <cellStyle name="Salida 2 2 2 6 3 3" xfId="47808" xr:uid="{00000000-0005-0000-0000-00006BBB0000}"/>
    <cellStyle name="Salida 2 2 2 6 3 3 2" xfId="47809" xr:uid="{00000000-0005-0000-0000-00006CBB0000}"/>
    <cellStyle name="Salida 2 2 2 6 3 3 3" xfId="47810" xr:uid="{00000000-0005-0000-0000-00006DBB0000}"/>
    <cellStyle name="Salida 2 2 2 6 3 3 4" xfId="47811" xr:uid="{00000000-0005-0000-0000-00006EBB0000}"/>
    <cellStyle name="Salida 2 2 2 6 3 4" xfId="47812" xr:uid="{00000000-0005-0000-0000-00006FBB0000}"/>
    <cellStyle name="Salida 2 2 2 6 3 5" xfId="47813" xr:uid="{00000000-0005-0000-0000-000070BB0000}"/>
    <cellStyle name="Salida 2 2 2 6 3 6" xfId="47814" xr:uid="{00000000-0005-0000-0000-000071BB0000}"/>
    <cellStyle name="Salida 2 2 2 6 4" xfId="47815" xr:uid="{00000000-0005-0000-0000-000072BB0000}"/>
    <cellStyle name="Salida 2 2 2 6 5" xfId="47816" xr:uid="{00000000-0005-0000-0000-000073BB0000}"/>
    <cellStyle name="Salida 2 2 2 7" xfId="47817" xr:uid="{00000000-0005-0000-0000-000074BB0000}"/>
    <cellStyle name="Salida 2 2 2 7 2" xfId="47818" xr:uid="{00000000-0005-0000-0000-000075BB0000}"/>
    <cellStyle name="Salida 2 2 2 7 2 2" xfId="47819" xr:uid="{00000000-0005-0000-0000-000076BB0000}"/>
    <cellStyle name="Salida 2 2 2 7 2 3" xfId="47820" xr:uid="{00000000-0005-0000-0000-000077BB0000}"/>
    <cellStyle name="Salida 2 2 2 7 2 4" xfId="47821" xr:uid="{00000000-0005-0000-0000-000078BB0000}"/>
    <cellStyle name="Salida 2 2 2 7 3" xfId="47822" xr:uid="{00000000-0005-0000-0000-000079BB0000}"/>
    <cellStyle name="Salida 2 2 2 7 3 2" xfId="47823" xr:uid="{00000000-0005-0000-0000-00007ABB0000}"/>
    <cellStyle name="Salida 2 2 2 7 3 2 2" xfId="47824" xr:uid="{00000000-0005-0000-0000-00007BBB0000}"/>
    <cellStyle name="Salida 2 2 2 7 3 2 3" xfId="47825" xr:uid="{00000000-0005-0000-0000-00007CBB0000}"/>
    <cellStyle name="Salida 2 2 2 7 3 2 4" xfId="47826" xr:uid="{00000000-0005-0000-0000-00007DBB0000}"/>
    <cellStyle name="Salida 2 2 2 7 3 3" xfId="47827" xr:uid="{00000000-0005-0000-0000-00007EBB0000}"/>
    <cellStyle name="Salida 2 2 2 7 3 3 2" xfId="47828" xr:uid="{00000000-0005-0000-0000-00007FBB0000}"/>
    <cellStyle name="Salida 2 2 2 7 3 3 3" xfId="47829" xr:uid="{00000000-0005-0000-0000-000080BB0000}"/>
    <cellStyle name="Salida 2 2 2 7 3 3 4" xfId="47830" xr:uid="{00000000-0005-0000-0000-000081BB0000}"/>
    <cellStyle name="Salida 2 2 2 7 3 4" xfId="47831" xr:uid="{00000000-0005-0000-0000-000082BB0000}"/>
    <cellStyle name="Salida 2 2 2 7 3 5" xfId="47832" xr:uid="{00000000-0005-0000-0000-000083BB0000}"/>
    <cellStyle name="Salida 2 2 2 7 3 6" xfId="47833" xr:uid="{00000000-0005-0000-0000-000084BB0000}"/>
    <cellStyle name="Salida 2 2 2 7 4" xfId="47834" xr:uid="{00000000-0005-0000-0000-000085BB0000}"/>
    <cellStyle name="Salida 2 2 2 7 5" xfId="47835" xr:uid="{00000000-0005-0000-0000-000086BB0000}"/>
    <cellStyle name="Salida 2 2 2 8" xfId="47836" xr:uid="{00000000-0005-0000-0000-000087BB0000}"/>
    <cellStyle name="Salida 2 2 2 8 2" xfId="47837" xr:uid="{00000000-0005-0000-0000-000088BB0000}"/>
    <cellStyle name="Salida 2 2 2 8 2 2" xfId="47838" xr:uid="{00000000-0005-0000-0000-000089BB0000}"/>
    <cellStyle name="Salida 2 2 2 8 2 3" xfId="47839" xr:uid="{00000000-0005-0000-0000-00008ABB0000}"/>
    <cellStyle name="Salida 2 2 2 8 2 4" xfId="47840" xr:uid="{00000000-0005-0000-0000-00008BBB0000}"/>
    <cellStyle name="Salida 2 2 2 8 3" xfId="47841" xr:uid="{00000000-0005-0000-0000-00008CBB0000}"/>
    <cellStyle name="Salida 2 2 2 8 3 2" xfId="47842" xr:uid="{00000000-0005-0000-0000-00008DBB0000}"/>
    <cellStyle name="Salida 2 2 2 8 3 2 2" xfId="47843" xr:uid="{00000000-0005-0000-0000-00008EBB0000}"/>
    <cellStyle name="Salida 2 2 2 8 3 2 3" xfId="47844" xr:uid="{00000000-0005-0000-0000-00008FBB0000}"/>
    <cellStyle name="Salida 2 2 2 8 3 2 4" xfId="47845" xr:uid="{00000000-0005-0000-0000-000090BB0000}"/>
    <cellStyle name="Salida 2 2 2 8 3 3" xfId="47846" xr:uid="{00000000-0005-0000-0000-000091BB0000}"/>
    <cellStyle name="Salida 2 2 2 8 3 3 2" xfId="47847" xr:uid="{00000000-0005-0000-0000-000092BB0000}"/>
    <cellStyle name="Salida 2 2 2 8 3 3 3" xfId="47848" xr:uid="{00000000-0005-0000-0000-000093BB0000}"/>
    <cellStyle name="Salida 2 2 2 8 3 3 4" xfId="47849" xr:uid="{00000000-0005-0000-0000-000094BB0000}"/>
    <cellStyle name="Salida 2 2 2 8 3 4" xfId="47850" xr:uid="{00000000-0005-0000-0000-000095BB0000}"/>
    <cellStyle name="Salida 2 2 2 8 3 5" xfId="47851" xr:uid="{00000000-0005-0000-0000-000096BB0000}"/>
    <cellStyle name="Salida 2 2 2 8 3 6" xfId="47852" xr:uid="{00000000-0005-0000-0000-000097BB0000}"/>
    <cellStyle name="Salida 2 2 2 8 4" xfId="47853" xr:uid="{00000000-0005-0000-0000-000098BB0000}"/>
    <cellStyle name="Salida 2 2 2 8 5" xfId="47854" xr:uid="{00000000-0005-0000-0000-000099BB0000}"/>
    <cellStyle name="Salida 2 2 2 9" xfId="47855" xr:uid="{00000000-0005-0000-0000-00009ABB0000}"/>
    <cellStyle name="Salida 2 2 2 9 2" xfId="47856" xr:uid="{00000000-0005-0000-0000-00009BBB0000}"/>
    <cellStyle name="Salida 2 2 2 9 2 2" xfId="47857" xr:uid="{00000000-0005-0000-0000-00009CBB0000}"/>
    <cellStyle name="Salida 2 2 2 9 2 3" xfId="47858" xr:uid="{00000000-0005-0000-0000-00009DBB0000}"/>
    <cellStyle name="Salida 2 2 2 9 2 4" xfId="47859" xr:uid="{00000000-0005-0000-0000-00009EBB0000}"/>
    <cellStyle name="Salida 2 2 2 9 3" xfId="47860" xr:uid="{00000000-0005-0000-0000-00009FBB0000}"/>
    <cellStyle name="Salida 2 2 2 9 3 2" xfId="47861" xr:uid="{00000000-0005-0000-0000-0000A0BB0000}"/>
    <cellStyle name="Salida 2 2 2 9 3 2 2" xfId="47862" xr:uid="{00000000-0005-0000-0000-0000A1BB0000}"/>
    <cellStyle name="Salida 2 2 2 9 3 2 3" xfId="47863" xr:uid="{00000000-0005-0000-0000-0000A2BB0000}"/>
    <cellStyle name="Salida 2 2 2 9 3 2 4" xfId="47864" xr:uid="{00000000-0005-0000-0000-0000A3BB0000}"/>
    <cellStyle name="Salida 2 2 2 9 3 3" xfId="47865" xr:uid="{00000000-0005-0000-0000-0000A4BB0000}"/>
    <cellStyle name="Salida 2 2 2 9 3 3 2" xfId="47866" xr:uid="{00000000-0005-0000-0000-0000A5BB0000}"/>
    <cellStyle name="Salida 2 2 2 9 3 3 3" xfId="47867" xr:uid="{00000000-0005-0000-0000-0000A6BB0000}"/>
    <cellStyle name="Salida 2 2 2 9 3 3 4" xfId="47868" xr:uid="{00000000-0005-0000-0000-0000A7BB0000}"/>
    <cellStyle name="Salida 2 2 2 9 3 4" xfId="47869" xr:uid="{00000000-0005-0000-0000-0000A8BB0000}"/>
    <cellStyle name="Salida 2 2 2 9 3 5" xfId="47870" xr:uid="{00000000-0005-0000-0000-0000A9BB0000}"/>
    <cellStyle name="Salida 2 2 2 9 3 6" xfId="47871" xr:uid="{00000000-0005-0000-0000-0000AABB0000}"/>
    <cellStyle name="Salida 2 2 2 9 4" xfId="47872" xr:uid="{00000000-0005-0000-0000-0000ABBB0000}"/>
    <cellStyle name="Salida 2 2 2 9 5" xfId="47873" xr:uid="{00000000-0005-0000-0000-0000ACBB0000}"/>
    <cellStyle name="Salida 2 2 3" xfId="47874" xr:uid="{00000000-0005-0000-0000-0000ADBB0000}"/>
    <cellStyle name="Salida 2 2 3 2" xfId="47875" xr:uid="{00000000-0005-0000-0000-0000AEBB0000}"/>
    <cellStyle name="Salida 2 2 3 2 2" xfId="47876" xr:uid="{00000000-0005-0000-0000-0000AFBB0000}"/>
    <cellStyle name="Salida 2 2 3 2 3" xfId="47877" xr:uid="{00000000-0005-0000-0000-0000B0BB0000}"/>
    <cellStyle name="Salida 2 2 3 2 4" xfId="47878" xr:uid="{00000000-0005-0000-0000-0000B1BB0000}"/>
    <cellStyle name="Salida 2 2 3 3" xfId="47879" xr:uid="{00000000-0005-0000-0000-0000B2BB0000}"/>
    <cellStyle name="Salida 2 2 3 3 2" xfId="47880" xr:uid="{00000000-0005-0000-0000-0000B3BB0000}"/>
    <cellStyle name="Salida 2 2 3 3 2 2" xfId="47881" xr:uid="{00000000-0005-0000-0000-0000B4BB0000}"/>
    <cellStyle name="Salida 2 2 3 3 2 3" xfId="47882" xr:uid="{00000000-0005-0000-0000-0000B5BB0000}"/>
    <cellStyle name="Salida 2 2 3 3 2 4" xfId="47883" xr:uid="{00000000-0005-0000-0000-0000B6BB0000}"/>
    <cellStyle name="Salida 2 2 3 3 3" xfId="47884" xr:uid="{00000000-0005-0000-0000-0000B7BB0000}"/>
    <cellStyle name="Salida 2 2 3 3 3 2" xfId="47885" xr:uid="{00000000-0005-0000-0000-0000B8BB0000}"/>
    <cellStyle name="Salida 2 2 3 3 3 3" xfId="47886" xr:uid="{00000000-0005-0000-0000-0000B9BB0000}"/>
    <cellStyle name="Salida 2 2 3 3 3 4" xfId="47887" xr:uid="{00000000-0005-0000-0000-0000BABB0000}"/>
    <cellStyle name="Salida 2 2 3 3 4" xfId="47888" xr:uid="{00000000-0005-0000-0000-0000BBBB0000}"/>
    <cellStyle name="Salida 2 2 3 3 5" xfId="47889" xr:uid="{00000000-0005-0000-0000-0000BCBB0000}"/>
    <cellStyle name="Salida 2 2 3 3 6" xfId="47890" xr:uid="{00000000-0005-0000-0000-0000BDBB0000}"/>
    <cellStyle name="Salida 2 2 3 4" xfId="47891" xr:uid="{00000000-0005-0000-0000-0000BEBB0000}"/>
    <cellStyle name="Salida 2 2 3 5" xfId="47892" xr:uid="{00000000-0005-0000-0000-0000BFBB0000}"/>
    <cellStyle name="Salida 2 2 4" xfId="47893" xr:uid="{00000000-0005-0000-0000-0000C0BB0000}"/>
    <cellStyle name="Salida 2 2 4 2" xfId="47894" xr:uid="{00000000-0005-0000-0000-0000C1BB0000}"/>
    <cellStyle name="Salida 2 2 4 2 2" xfId="47895" xr:uid="{00000000-0005-0000-0000-0000C2BB0000}"/>
    <cellStyle name="Salida 2 2 4 2 2 2" xfId="47896" xr:uid="{00000000-0005-0000-0000-0000C3BB0000}"/>
    <cellStyle name="Salida 2 2 4 2 2 3" xfId="47897" xr:uid="{00000000-0005-0000-0000-0000C4BB0000}"/>
    <cellStyle name="Salida 2 2 4 2 2 4" xfId="47898" xr:uid="{00000000-0005-0000-0000-0000C5BB0000}"/>
    <cellStyle name="Salida 2 2 4 2 3" xfId="47899" xr:uid="{00000000-0005-0000-0000-0000C6BB0000}"/>
    <cellStyle name="Salida 2 2 4 2 3 2" xfId="47900" xr:uid="{00000000-0005-0000-0000-0000C7BB0000}"/>
    <cellStyle name="Salida 2 2 4 2 3 3" xfId="47901" xr:uid="{00000000-0005-0000-0000-0000C8BB0000}"/>
    <cellStyle name="Salida 2 2 4 2 3 4" xfId="47902" xr:uid="{00000000-0005-0000-0000-0000C9BB0000}"/>
    <cellStyle name="Salida 2 2 4 2 4" xfId="47903" xr:uid="{00000000-0005-0000-0000-0000CABB0000}"/>
    <cellStyle name="Salida 2 2 4 2 5" xfId="47904" xr:uid="{00000000-0005-0000-0000-0000CBBB0000}"/>
    <cellStyle name="Salida 2 2 4 2 6" xfId="47905" xr:uid="{00000000-0005-0000-0000-0000CCBB0000}"/>
    <cellStyle name="Salida 2 2 4 3" xfId="47906" xr:uid="{00000000-0005-0000-0000-0000CDBB0000}"/>
    <cellStyle name="Salida 2 2 4 3 2" xfId="47907" xr:uid="{00000000-0005-0000-0000-0000CEBB0000}"/>
    <cellStyle name="Salida 2 2 4 3 2 2" xfId="47908" xr:uid="{00000000-0005-0000-0000-0000CFBB0000}"/>
    <cellStyle name="Salida 2 2 4 3 2 3" xfId="47909" xr:uid="{00000000-0005-0000-0000-0000D0BB0000}"/>
    <cellStyle name="Salida 2 2 4 3 2 4" xfId="47910" xr:uid="{00000000-0005-0000-0000-0000D1BB0000}"/>
    <cellStyle name="Salida 2 2 4 3 3" xfId="47911" xr:uid="{00000000-0005-0000-0000-0000D2BB0000}"/>
    <cellStyle name="Salida 2 2 4 3 3 2" xfId="47912" xr:uid="{00000000-0005-0000-0000-0000D3BB0000}"/>
    <cellStyle name="Salida 2 2 4 3 3 3" xfId="47913" xr:uid="{00000000-0005-0000-0000-0000D4BB0000}"/>
    <cellStyle name="Salida 2 2 4 3 3 4" xfId="47914" xr:uid="{00000000-0005-0000-0000-0000D5BB0000}"/>
    <cellStyle name="Salida 2 2 4 3 4" xfId="47915" xr:uid="{00000000-0005-0000-0000-0000D6BB0000}"/>
    <cellStyle name="Salida 2 2 4 3 5" xfId="47916" xr:uid="{00000000-0005-0000-0000-0000D7BB0000}"/>
    <cellStyle name="Salida 2 2 4 3 6" xfId="47917" xr:uid="{00000000-0005-0000-0000-0000D8BB0000}"/>
    <cellStyle name="Salida 2 2 4 4" xfId="47918" xr:uid="{00000000-0005-0000-0000-0000D9BB0000}"/>
    <cellStyle name="Salida 2 2 4 5" xfId="47919" xr:uid="{00000000-0005-0000-0000-0000DABB0000}"/>
    <cellStyle name="Salida 2 2 4 6" xfId="47920" xr:uid="{00000000-0005-0000-0000-0000DBBB0000}"/>
    <cellStyle name="Salida 2 2 5" xfId="47921" xr:uid="{00000000-0005-0000-0000-0000DCBB0000}"/>
    <cellStyle name="Salida 2 2 6" xfId="47922" xr:uid="{00000000-0005-0000-0000-0000DDBB0000}"/>
    <cellStyle name="Salida 2 3" xfId="47923" xr:uid="{00000000-0005-0000-0000-0000DEBB0000}"/>
    <cellStyle name="Salida 2 3 10" xfId="47924" xr:uid="{00000000-0005-0000-0000-0000DFBB0000}"/>
    <cellStyle name="Salida 2 3 10 2" xfId="47925" xr:uid="{00000000-0005-0000-0000-0000E0BB0000}"/>
    <cellStyle name="Salida 2 3 10 2 2" xfId="47926" xr:uid="{00000000-0005-0000-0000-0000E1BB0000}"/>
    <cellStyle name="Salida 2 3 10 2 3" xfId="47927" xr:uid="{00000000-0005-0000-0000-0000E2BB0000}"/>
    <cellStyle name="Salida 2 3 10 2 4" xfId="47928" xr:uid="{00000000-0005-0000-0000-0000E3BB0000}"/>
    <cellStyle name="Salida 2 3 10 3" xfId="47929" xr:uid="{00000000-0005-0000-0000-0000E4BB0000}"/>
    <cellStyle name="Salida 2 3 10 3 2" xfId="47930" xr:uid="{00000000-0005-0000-0000-0000E5BB0000}"/>
    <cellStyle name="Salida 2 3 10 3 2 2" xfId="47931" xr:uid="{00000000-0005-0000-0000-0000E6BB0000}"/>
    <cellStyle name="Salida 2 3 10 3 2 3" xfId="47932" xr:uid="{00000000-0005-0000-0000-0000E7BB0000}"/>
    <cellStyle name="Salida 2 3 10 3 2 4" xfId="47933" xr:uid="{00000000-0005-0000-0000-0000E8BB0000}"/>
    <cellStyle name="Salida 2 3 10 3 3" xfId="47934" xr:uid="{00000000-0005-0000-0000-0000E9BB0000}"/>
    <cellStyle name="Salida 2 3 10 3 3 2" xfId="47935" xr:uid="{00000000-0005-0000-0000-0000EABB0000}"/>
    <cellStyle name="Salida 2 3 10 3 3 3" xfId="47936" xr:uid="{00000000-0005-0000-0000-0000EBBB0000}"/>
    <cellStyle name="Salida 2 3 10 3 3 4" xfId="47937" xr:uid="{00000000-0005-0000-0000-0000ECBB0000}"/>
    <cellStyle name="Salida 2 3 10 3 4" xfId="47938" xr:uid="{00000000-0005-0000-0000-0000EDBB0000}"/>
    <cellStyle name="Salida 2 3 10 3 5" xfId="47939" xr:uid="{00000000-0005-0000-0000-0000EEBB0000}"/>
    <cellStyle name="Salida 2 3 10 3 6" xfId="47940" xr:uid="{00000000-0005-0000-0000-0000EFBB0000}"/>
    <cellStyle name="Salida 2 3 10 4" xfId="47941" xr:uid="{00000000-0005-0000-0000-0000F0BB0000}"/>
    <cellStyle name="Salida 2 3 10 5" xfId="47942" xr:uid="{00000000-0005-0000-0000-0000F1BB0000}"/>
    <cellStyle name="Salida 2 3 11" xfId="47943" xr:uid="{00000000-0005-0000-0000-0000F2BB0000}"/>
    <cellStyle name="Salida 2 3 11 2" xfId="47944" xr:uid="{00000000-0005-0000-0000-0000F3BB0000}"/>
    <cellStyle name="Salida 2 3 11 2 2" xfId="47945" xr:uid="{00000000-0005-0000-0000-0000F4BB0000}"/>
    <cellStyle name="Salida 2 3 11 2 3" xfId="47946" xr:uid="{00000000-0005-0000-0000-0000F5BB0000}"/>
    <cellStyle name="Salida 2 3 11 2 4" xfId="47947" xr:uid="{00000000-0005-0000-0000-0000F6BB0000}"/>
    <cellStyle name="Salida 2 3 11 3" xfId="47948" xr:uid="{00000000-0005-0000-0000-0000F7BB0000}"/>
    <cellStyle name="Salida 2 3 11 3 2" xfId="47949" xr:uid="{00000000-0005-0000-0000-0000F8BB0000}"/>
    <cellStyle name="Salida 2 3 11 3 2 2" xfId="47950" xr:uid="{00000000-0005-0000-0000-0000F9BB0000}"/>
    <cellStyle name="Salida 2 3 11 3 2 3" xfId="47951" xr:uid="{00000000-0005-0000-0000-0000FABB0000}"/>
    <cellStyle name="Salida 2 3 11 3 2 4" xfId="47952" xr:uid="{00000000-0005-0000-0000-0000FBBB0000}"/>
    <cellStyle name="Salida 2 3 11 3 3" xfId="47953" xr:uid="{00000000-0005-0000-0000-0000FCBB0000}"/>
    <cellStyle name="Salida 2 3 11 3 3 2" xfId="47954" xr:uid="{00000000-0005-0000-0000-0000FDBB0000}"/>
    <cellStyle name="Salida 2 3 11 3 3 3" xfId="47955" xr:uid="{00000000-0005-0000-0000-0000FEBB0000}"/>
    <cellStyle name="Salida 2 3 11 3 3 4" xfId="47956" xr:uid="{00000000-0005-0000-0000-0000FFBB0000}"/>
    <cellStyle name="Salida 2 3 11 3 4" xfId="47957" xr:uid="{00000000-0005-0000-0000-000000BC0000}"/>
    <cellStyle name="Salida 2 3 11 3 5" xfId="47958" xr:uid="{00000000-0005-0000-0000-000001BC0000}"/>
    <cellStyle name="Salida 2 3 11 3 6" xfId="47959" xr:uid="{00000000-0005-0000-0000-000002BC0000}"/>
    <cellStyle name="Salida 2 3 11 4" xfId="47960" xr:uid="{00000000-0005-0000-0000-000003BC0000}"/>
    <cellStyle name="Salida 2 3 11 5" xfId="47961" xr:uid="{00000000-0005-0000-0000-000004BC0000}"/>
    <cellStyle name="Salida 2 3 12" xfId="47962" xr:uid="{00000000-0005-0000-0000-000005BC0000}"/>
    <cellStyle name="Salida 2 3 12 2" xfId="47963" xr:uid="{00000000-0005-0000-0000-000006BC0000}"/>
    <cellStyle name="Salida 2 3 12 2 2" xfId="47964" xr:uid="{00000000-0005-0000-0000-000007BC0000}"/>
    <cellStyle name="Salida 2 3 12 2 2 2" xfId="47965" xr:uid="{00000000-0005-0000-0000-000008BC0000}"/>
    <cellStyle name="Salida 2 3 12 2 2 3" xfId="47966" xr:uid="{00000000-0005-0000-0000-000009BC0000}"/>
    <cellStyle name="Salida 2 3 12 2 2 4" xfId="47967" xr:uid="{00000000-0005-0000-0000-00000ABC0000}"/>
    <cellStyle name="Salida 2 3 12 2 3" xfId="47968" xr:uid="{00000000-0005-0000-0000-00000BBC0000}"/>
    <cellStyle name="Salida 2 3 12 2 3 2" xfId="47969" xr:uid="{00000000-0005-0000-0000-00000CBC0000}"/>
    <cellStyle name="Salida 2 3 12 2 3 3" xfId="47970" xr:uid="{00000000-0005-0000-0000-00000DBC0000}"/>
    <cellStyle name="Salida 2 3 12 2 3 4" xfId="47971" xr:uid="{00000000-0005-0000-0000-00000EBC0000}"/>
    <cellStyle name="Salida 2 3 12 2 4" xfId="47972" xr:uid="{00000000-0005-0000-0000-00000FBC0000}"/>
    <cellStyle name="Salida 2 3 12 2 5" xfId="47973" xr:uid="{00000000-0005-0000-0000-000010BC0000}"/>
    <cellStyle name="Salida 2 3 12 2 6" xfId="47974" xr:uid="{00000000-0005-0000-0000-000011BC0000}"/>
    <cellStyle name="Salida 2 3 12 3" xfId="47975" xr:uid="{00000000-0005-0000-0000-000012BC0000}"/>
    <cellStyle name="Salida 2 3 12 3 2" xfId="47976" xr:uid="{00000000-0005-0000-0000-000013BC0000}"/>
    <cellStyle name="Salida 2 3 12 3 2 2" xfId="47977" xr:uid="{00000000-0005-0000-0000-000014BC0000}"/>
    <cellStyle name="Salida 2 3 12 3 2 3" xfId="47978" xr:uid="{00000000-0005-0000-0000-000015BC0000}"/>
    <cellStyle name="Salida 2 3 12 3 2 4" xfId="47979" xr:uid="{00000000-0005-0000-0000-000016BC0000}"/>
    <cellStyle name="Salida 2 3 12 3 3" xfId="47980" xr:uid="{00000000-0005-0000-0000-000017BC0000}"/>
    <cellStyle name="Salida 2 3 12 3 3 2" xfId="47981" xr:uid="{00000000-0005-0000-0000-000018BC0000}"/>
    <cellStyle name="Salida 2 3 12 3 3 3" xfId="47982" xr:uid="{00000000-0005-0000-0000-000019BC0000}"/>
    <cellStyle name="Salida 2 3 12 3 3 4" xfId="47983" xr:uid="{00000000-0005-0000-0000-00001ABC0000}"/>
    <cellStyle name="Salida 2 3 12 3 4" xfId="47984" xr:uid="{00000000-0005-0000-0000-00001BBC0000}"/>
    <cellStyle name="Salida 2 3 12 3 5" xfId="47985" xr:uid="{00000000-0005-0000-0000-00001CBC0000}"/>
    <cellStyle name="Salida 2 3 12 3 6" xfId="47986" xr:uid="{00000000-0005-0000-0000-00001DBC0000}"/>
    <cellStyle name="Salida 2 3 12 4" xfId="47987" xr:uid="{00000000-0005-0000-0000-00001EBC0000}"/>
    <cellStyle name="Salida 2 3 12 5" xfId="47988" xr:uid="{00000000-0005-0000-0000-00001FBC0000}"/>
    <cellStyle name="Salida 2 3 12 6" xfId="47989" xr:uid="{00000000-0005-0000-0000-000020BC0000}"/>
    <cellStyle name="Salida 2 3 13" xfId="47990" xr:uid="{00000000-0005-0000-0000-000021BC0000}"/>
    <cellStyle name="Salida 2 3 14" xfId="47991" xr:uid="{00000000-0005-0000-0000-000022BC0000}"/>
    <cellStyle name="Salida 2 3 15" xfId="58786" xr:uid="{00000000-0005-0000-0000-000023BC0000}"/>
    <cellStyle name="Salida 2 3 2" xfId="47992" xr:uid="{00000000-0005-0000-0000-000024BC0000}"/>
    <cellStyle name="Salida 2 3 2 2" xfId="47993" xr:uid="{00000000-0005-0000-0000-000025BC0000}"/>
    <cellStyle name="Salida 2 3 2 2 2" xfId="47994" xr:uid="{00000000-0005-0000-0000-000026BC0000}"/>
    <cellStyle name="Salida 2 3 2 2 2 2" xfId="47995" xr:uid="{00000000-0005-0000-0000-000027BC0000}"/>
    <cellStyle name="Salida 2 3 2 2 2 2 2" xfId="47996" xr:uid="{00000000-0005-0000-0000-000028BC0000}"/>
    <cellStyle name="Salida 2 3 2 2 2 2 3" xfId="47997" xr:uid="{00000000-0005-0000-0000-000029BC0000}"/>
    <cellStyle name="Salida 2 3 2 2 2 2 4" xfId="47998" xr:uid="{00000000-0005-0000-0000-00002ABC0000}"/>
    <cellStyle name="Salida 2 3 2 2 2 3" xfId="47999" xr:uid="{00000000-0005-0000-0000-00002BBC0000}"/>
    <cellStyle name="Salida 2 3 2 2 2 3 2" xfId="48000" xr:uid="{00000000-0005-0000-0000-00002CBC0000}"/>
    <cellStyle name="Salida 2 3 2 2 2 3 3" xfId="48001" xr:uid="{00000000-0005-0000-0000-00002DBC0000}"/>
    <cellStyle name="Salida 2 3 2 2 2 3 4" xfId="48002" xr:uid="{00000000-0005-0000-0000-00002EBC0000}"/>
    <cellStyle name="Salida 2 3 2 2 2 4" xfId="48003" xr:uid="{00000000-0005-0000-0000-00002FBC0000}"/>
    <cellStyle name="Salida 2 3 2 2 2 5" xfId="48004" xr:uid="{00000000-0005-0000-0000-000030BC0000}"/>
    <cellStyle name="Salida 2 3 2 2 2 6" xfId="48005" xr:uid="{00000000-0005-0000-0000-000031BC0000}"/>
    <cellStyle name="Salida 2 3 2 2 3" xfId="48006" xr:uid="{00000000-0005-0000-0000-000032BC0000}"/>
    <cellStyle name="Salida 2 3 2 2 3 2" xfId="48007" xr:uid="{00000000-0005-0000-0000-000033BC0000}"/>
    <cellStyle name="Salida 2 3 2 2 3 2 2" xfId="48008" xr:uid="{00000000-0005-0000-0000-000034BC0000}"/>
    <cellStyle name="Salida 2 3 2 2 3 2 3" xfId="48009" xr:uid="{00000000-0005-0000-0000-000035BC0000}"/>
    <cellStyle name="Salida 2 3 2 2 3 2 4" xfId="48010" xr:uid="{00000000-0005-0000-0000-000036BC0000}"/>
    <cellStyle name="Salida 2 3 2 2 3 3" xfId="48011" xr:uid="{00000000-0005-0000-0000-000037BC0000}"/>
    <cellStyle name="Salida 2 3 2 2 3 3 2" xfId="48012" xr:uid="{00000000-0005-0000-0000-000038BC0000}"/>
    <cellStyle name="Salida 2 3 2 2 3 3 3" xfId="48013" xr:uid="{00000000-0005-0000-0000-000039BC0000}"/>
    <cellStyle name="Salida 2 3 2 2 3 3 4" xfId="48014" xr:uid="{00000000-0005-0000-0000-00003ABC0000}"/>
    <cellStyle name="Salida 2 3 2 2 3 4" xfId="48015" xr:uid="{00000000-0005-0000-0000-00003BBC0000}"/>
    <cellStyle name="Salida 2 3 2 2 3 5" xfId="48016" xr:uid="{00000000-0005-0000-0000-00003CBC0000}"/>
    <cellStyle name="Salida 2 3 2 2 3 6" xfId="48017" xr:uid="{00000000-0005-0000-0000-00003DBC0000}"/>
    <cellStyle name="Salida 2 3 2 2 4" xfId="48018" xr:uid="{00000000-0005-0000-0000-00003EBC0000}"/>
    <cellStyle name="Salida 2 3 2 2 5" xfId="48019" xr:uid="{00000000-0005-0000-0000-00003FBC0000}"/>
    <cellStyle name="Salida 2 3 2 2 6" xfId="48020" xr:uid="{00000000-0005-0000-0000-000040BC0000}"/>
    <cellStyle name="Salida 2 3 2 3" xfId="48021" xr:uid="{00000000-0005-0000-0000-000041BC0000}"/>
    <cellStyle name="Salida 2 3 2 4" xfId="48022" xr:uid="{00000000-0005-0000-0000-000042BC0000}"/>
    <cellStyle name="Salida 2 3 3" xfId="48023" xr:uid="{00000000-0005-0000-0000-000043BC0000}"/>
    <cellStyle name="Salida 2 3 3 2" xfId="48024" xr:uid="{00000000-0005-0000-0000-000044BC0000}"/>
    <cellStyle name="Salida 2 3 3 2 2" xfId="48025" xr:uid="{00000000-0005-0000-0000-000045BC0000}"/>
    <cellStyle name="Salida 2 3 3 2 2 2" xfId="48026" xr:uid="{00000000-0005-0000-0000-000046BC0000}"/>
    <cellStyle name="Salida 2 3 3 2 2 2 2" xfId="48027" xr:uid="{00000000-0005-0000-0000-000047BC0000}"/>
    <cellStyle name="Salida 2 3 3 2 2 2 3" xfId="48028" xr:uid="{00000000-0005-0000-0000-000048BC0000}"/>
    <cellStyle name="Salida 2 3 3 2 2 2 4" xfId="48029" xr:uid="{00000000-0005-0000-0000-000049BC0000}"/>
    <cellStyle name="Salida 2 3 3 2 2 3" xfId="48030" xr:uid="{00000000-0005-0000-0000-00004ABC0000}"/>
    <cellStyle name="Salida 2 3 3 2 2 3 2" xfId="48031" xr:uid="{00000000-0005-0000-0000-00004BBC0000}"/>
    <cellStyle name="Salida 2 3 3 2 2 3 3" xfId="48032" xr:uid="{00000000-0005-0000-0000-00004CBC0000}"/>
    <cellStyle name="Salida 2 3 3 2 2 3 4" xfId="48033" xr:uid="{00000000-0005-0000-0000-00004DBC0000}"/>
    <cellStyle name="Salida 2 3 3 2 2 4" xfId="48034" xr:uid="{00000000-0005-0000-0000-00004EBC0000}"/>
    <cellStyle name="Salida 2 3 3 2 2 5" xfId="48035" xr:uid="{00000000-0005-0000-0000-00004FBC0000}"/>
    <cellStyle name="Salida 2 3 3 2 2 6" xfId="48036" xr:uid="{00000000-0005-0000-0000-000050BC0000}"/>
    <cellStyle name="Salida 2 3 3 2 3" xfId="48037" xr:uid="{00000000-0005-0000-0000-000051BC0000}"/>
    <cellStyle name="Salida 2 3 3 2 3 2" xfId="48038" xr:uid="{00000000-0005-0000-0000-000052BC0000}"/>
    <cellStyle name="Salida 2 3 3 2 3 2 2" xfId="48039" xr:uid="{00000000-0005-0000-0000-000053BC0000}"/>
    <cellStyle name="Salida 2 3 3 2 3 2 3" xfId="48040" xr:uid="{00000000-0005-0000-0000-000054BC0000}"/>
    <cellStyle name="Salida 2 3 3 2 3 2 4" xfId="48041" xr:uid="{00000000-0005-0000-0000-000055BC0000}"/>
    <cellStyle name="Salida 2 3 3 2 3 3" xfId="48042" xr:uid="{00000000-0005-0000-0000-000056BC0000}"/>
    <cellStyle name="Salida 2 3 3 2 3 3 2" xfId="48043" xr:uid="{00000000-0005-0000-0000-000057BC0000}"/>
    <cellStyle name="Salida 2 3 3 2 3 3 3" xfId="48044" xr:uid="{00000000-0005-0000-0000-000058BC0000}"/>
    <cellStyle name="Salida 2 3 3 2 3 3 4" xfId="48045" xr:uid="{00000000-0005-0000-0000-000059BC0000}"/>
    <cellStyle name="Salida 2 3 3 2 3 4" xfId="48046" xr:uid="{00000000-0005-0000-0000-00005ABC0000}"/>
    <cellStyle name="Salida 2 3 3 2 3 5" xfId="48047" xr:uid="{00000000-0005-0000-0000-00005BBC0000}"/>
    <cellStyle name="Salida 2 3 3 2 3 6" xfId="48048" xr:uid="{00000000-0005-0000-0000-00005CBC0000}"/>
    <cellStyle name="Salida 2 3 3 2 4" xfId="48049" xr:uid="{00000000-0005-0000-0000-00005DBC0000}"/>
    <cellStyle name="Salida 2 3 3 2 5" xfId="48050" xr:uid="{00000000-0005-0000-0000-00005EBC0000}"/>
    <cellStyle name="Salida 2 3 3 2 6" xfId="48051" xr:uid="{00000000-0005-0000-0000-00005FBC0000}"/>
    <cellStyle name="Salida 2 3 3 3" xfId="48052" xr:uid="{00000000-0005-0000-0000-000060BC0000}"/>
    <cellStyle name="Salida 2 3 3 4" xfId="48053" xr:uid="{00000000-0005-0000-0000-000061BC0000}"/>
    <cellStyle name="Salida 2 3 4" xfId="48054" xr:uid="{00000000-0005-0000-0000-000062BC0000}"/>
    <cellStyle name="Salida 2 3 4 2" xfId="48055" xr:uid="{00000000-0005-0000-0000-000063BC0000}"/>
    <cellStyle name="Salida 2 3 4 2 2" xfId="48056" xr:uid="{00000000-0005-0000-0000-000064BC0000}"/>
    <cellStyle name="Salida 2 3 4 2 2 2" xfId="48057" xr:uid="{00000000-0005-0000-0000-000065BC0000}"/>
    <cellStyle name="Salida 2 3 4 2 2 2 2" xfId="48058" xr:uid="{00000000-0005-0000-0000-000066BC0000}"/>
    <cellStyle name="Salida 2 3 4 2 2 2 3" xfId="48059" xr:uid="{00000000-0005-0000-0000-000067BC0000}"/>
    <cellStyle name="Salida 2 3 4 2 2 2 4" xfId="48060" xr:uid="{00000000-0005-0000-0000-000068BC0000}"/>
    <cellStyle name="Salida 2 3 4 2 2 3" xfId="48061" xr:uid="{00000000-0005-0000-0000-000069BC0000}"/>
    <cellStyle name="Salida 2 3 4 2 2 3 2" xfId="48062" xr:uid="{00000000-0005-0000-0000-00006ABC0000}"/>
    <cellStyle name="Salida 2 3 4 2 2 3 3" xfId="48063" xr:uid="{00000000-0005-0000-0000-00006BBC0000}"/>
    <cellStyle name="Salida 2 3 4 2 2 3 4" xfId="48064" xr:uid="{00000000-0005-0000-0000-00006CBC0000}"/>
    <cellStyle name="Salida 2 3 4 2 2 4" xfId="48065" xr:uid="{00000000-0005-0000-0000-00006DBC0000}"/>
    <cellStyle name="Salida 2 3 4 2 2 5" xfId="48066" xr:uid="{00000000-0005-0000-0000-00006EBC0000}"/>
    <cellStyle name="Salida 2 3 4 2 2 6" xfId="48067" xr:uid="{00000000-0005-0000-0000-00006FBC0000}"/>
    <cellStyle name="Salida 2 3 4 2 3" xfId="48068" xr:uid="{00000000-0005-0000-0000-000070BC0000}"/>
    <cellStyle name="Salida 2 3 4 2 3 2" xfId="48069" xr:uid="{00000000-0005-0000-0000-000071BC0000}"/>
    <cellStyle name="Salida 2 3 4 2 3 2 2" xfId="48070" xr:uid="{00000000-0005-0000-0000-000072BC0000}"/>
    <cellStyle name="Salida 2 3 4 2 3 2 3" xfId="48071" xr:uid="{00000000-0005-0000-0000-000073BC0000}"/>
    <cellStyle name="Salida 2 3 4 2 3 2 4" xfId="48072" xr:uid="{00000000-0005-0000-0000-000074BC0000}"/>
    <cellStyle name="Salida 2 3 4 2 3 3" xfId="48073" xr:uid="{00000000-0005-0000-0000-000075BC0000}"/>
    <cellStyle name="Salida 2 3 4 2 3 3 2" xfId="48074" xr:uid="{00000000-0005-0000-0000-000076BC0000}"/>
    <cellStyle name="Salida 2 3 4 2 3 3 3" xfId="48075" xr:uid="{00000000-0005-0000-0000-000077BC0000}"/>
    <cellStyle name="Salida 2 3 4 2 3 3 4" xfId="48076" xr:uid="{00000000-0005-0000-0000-000078BC0000}"/>
    <cellStyle name="Salida 2 3 4 2 3 4" xfId="48077" xr:uid="{00000000-0005-0000-0000-000079BC0000}"/>
    <cellStyle name="Salida 2 3 4 2 3 5" xfId="48078" xr:uid="{00000000-0005-0000-0000-00007ABC0000}"/>
    <cellStyle name="Salida 2 3 4 2 3 6" xfId="48079" xr:uid="{00000000-0005-0000-0000-00007BBC0000}"/>
    <cellStyle name="Salida 2 3 4 2 4" xfId="48080" xr:uid="{00000000-0005-0000-0000-00007CBC0000}"/>
    <cellStyle name="Salida 2 3 4 2 5" xfId="48081" xr:uid="{00000000-0005-0000-0000-00007DBC0000}"/>
    <cellStyle name="Salida 2 3 4 2 6" xfId="48082" xr:uid="{00000000-0005-0000-0000-00007EBC0000}"/>
    <cellStyle name="Salida 2 3 4 3" xfId="48083" xr:uid="{00000000-0005-0000-0000-00007FBC0000}"/>
    <cellStyle name="Salida 2 3 4 4" xfId="48084" xr:uid="{00000000-0005-0000-0000-000080BC0000}"/>
    <cellStyle name="Salida 2 3 5" xfId="48085" xr:uid="{00000000-0005-0000-0000-000081BC0000}"/>
    <cellStyle name="Salida 2 3 5 2" xfId="48086" xr:uid="{00000000-0005-0000-0000-000082BC0000}"/>
    <cellStyle name="Salida 2 3 5 2 2" xfId="48087" xr:uid="{00000000-0005-0000-0000-000083BC0000}"/>
    <cellStyle name="Salida 2 3 5 2 3" xfId="48088" xr:uid="{00000000-0005-0000-0000-000084BC0000}"/>
    <cellStyle name="Salida 2 3 5 2 4" xfId="48089" xr:uid="{00000000-0005-0000-0000-000085BC0000}"/>
    <cellStyle name="Salida 2 3 5 3" xfId="48090" xr:uid="{00000000-0005-0000-0000-000086BC0000}"/>
    <cellStyle name="Salida 2 3 5 3 2" xfId="48091" xr:uid="{00000000-0005-0000-0000-000087BC0000}"/>
    <cellStyle name="Salida 2 3 5 3 2 2" xfId="48092" xr:uid="{00000000-0005-0000-0000-000088BC0000}"/>
    <cellStyle name="Salida 2 3 5 3 2 3" xfId="48093" xr:uid="{00000000-0005-0000-0000-000089BC0000}"/>
    <cellStyle name="Salida 2 3 5 3 2 4" xfId="48094" xr:uid="{00000000-0005-0000-0000-00008ABC0000}"/>
    <cellStyle name="Salida 2 3 5 3 3" xfId="48095" xr:uid="{00000000-0005-0000-0000-00008BBC0000}"/>
    <cellStyle name="Salida 2 3 5 3 3 2" xfId="48096" xr:uid="{00000000-0005-0000-0000-00008CBC0000}"/>
    <cellStyle name="Salida 2 3 5 3 3 3" xfId="48097" xr:uid="{00000000-0005-0000-0000-00008DBC0000}"/>
    <cellStyle name="Salida 2 3 5 3 3 4" xfId="48098" xr:uid="{00000000-0005-0000-0000-00008EBC0000}"/>
    <cellStyle name="Salida 2 3 5 3 4" xfId="48099" xr:uid="{00000000-0005-0000-0000-00008FBC0000}"/>
    <cellStyle name="Salida 2 3 5 3 5" xfId="48100" xr:uid="{00000000-0005-0000-0000-000090BC0000}"/>
    <cellStyle name="Salida 2 3 5 3 6" xfId="48101" xr:uid="{00000000-0005-0000-0000-000091BC0000}"/>
    <cellStyle name="Salida 2 3 5 4" xfId="48102" xr:uid="{00000000-0005-0000-0000-000092BC0000}"/>
    <cellStyle name="Salida 2 3 5 5" xfId="48103" xr:uid="{00000000-0005-0000-0000-000093BC0000}"/>
    <cellStyle name="Salida 2 3 6" xfId="48104" xr:uid="{00000000-0005-0000-0000-000094BC0000}"/>
    <cellStyle name="Salida 2 3 6 2" xfId="48105" xr:uid="{00000000-0005-0000-0000-000095BC0000}"/>
    <cellStyle name="Salida 2 3 6 2 2" xfId="48106" xr:uid="{00000000-0005-0000-0000-000096BC0000}"/>
    <cellStyle name="Salida 2 3 6 2 3" xfId="48107" xr:uid="{00000000-0005-0000-0000-000097BC0000}"/>
    <cellStyle name="Salida 2 3 6 2 4" xfId="48108" xr:uid="{00000000-0005-0000-0000-000098BC0000}"/>
    <cellStyle name="Salida 2 3 6 3" xfId="48109" xr:uid="{00000000-0005-0000-0000-000099BC0000}"/>
    <cellStyle name="Salida 2 3 6 3 2" xfId="48110" xr:uid="{00000000-0005-0000-0000-00009ABC0000}"/>
    <cellStyle name="Salida 2 3 6 3 2 2" xfId="48111" xr:uid="{00000000-0005-0000-0000-00009BBC0000}"/>
    <cellStyle name="Salida 2 3 6 3 2 3" xfId="48112" xr:uid="{00000000-0005-0000-0000-00009CBC0000}"/>
    <cellStyle name="Salida 2 3 6 3 2 4" xfId="48113" xr:uid="{00000000-0005-0000-0000-00009DBC0000}"/>
    <cellStyle name="Salida 2 3 6 3 3" xfId="48114" xr:uid="{00000000-0005-0000-0000-00009EBC0000}"/>
    <cellStyle name="Salida 2 3 6 3 3 2" xfId="48115" xr:uid="{00000000-0005-0000-0000-00009FBC0000}"/>
    <cellStyle name="Salida 2 3 6 3 3 3" xfId="48116" xr:uid="{00000000-0005-0000-0000-0000A0BC0000}"/>
    <cellStyle name="Salida 2 3 6 3 3 4" xfId="48117" xr:uid="{00000000-0005-0000-0000-0000A1BC0000}"/>
    <cellStyle name="Salida 2 3 6 3 4" xfId="48118" xr:uid="{00000000-0005-0000-0000-0000A2BC0000}"/>
    <cellStyle name="Salida 2 3 6 3 5" xfId="48119" xr:uid="{00000000-0005-0000-0000-0000A3BC0000}"/>
    <cellStyle name="Salida 2 3 6 3 6" xfId="48120" xr:uid="{00000000-0005-0000-0000-0000A4BC0000}"/>
    <cellStyle name="Salida 2 3 6 4" xfId="48121" xr:uid="{00000000-0005-0000-0000-0000A5BC0000}"/>
    <cellStyle name="Salida 2 3 6 5" xfId="48122" xr:uid="{00000000-0005-0000-0000-0000A6BC0000}"/>
    <cellStyle name="Salida 2 3 7" xfId="48123" xr:uid="{00000000-0005-0000-0000-0000A7BC0000}"/>
    <cellStyle name="Salida 2 3 7 2" xfId="48124" xr:uid="{00000000-0005-0000-0000-0000A8BC0000}"/>
    <cellStyle name="Salida 2 3 7 2 2" xfId="48125" xr:uid="{00000000-0005-0000-0000-0000A9BC0000}"/>
    <cellStyle name="Salida 2 3 7 2 3" xfId="48126" xr:uid="{00000000-0005-0000-0000-0000AABC0000}"/>
    <cellStyle name="Salida 2 3 7 2 4" xfId="48127" xr:uid="{00000000-0005-0000-0000-0000ABBC0000}"/>
    <cellStyle name="Salida 2 3 7 3" xfId="48128" xr:uid="{00000000-0005-0000-0000-0000ACBC0000}"/>
    <cellStyle name="Salida 2 3 7 3 2" xfId="48129" xr:uid="{00000000-0005-0000-0000-0000ADBC0000}"/>
    <cellStyle name="Salida 2 3 7 3 2 2" xfId="48130" xr:uid="{00000000-0005-0000-0000-0000AEBC0000}"/>
    <cellStyle name="Salida 2 3 7 3 2 3" xfId="48131" xr:uid="{00000000-0005-0000-0000-0000AFBC0000}"/>
    <cellStyle name="Salida 2 3 7 3 2 4" xfId="48132" xr:uid="{00000000-0005-0000-0000-0000B0BC0000}"/>
    <cellStyle name="Salida 2 3 7 3 3" xfId="48133" xr:uid="{00000000-0005-0000-0000-0000B1BC0000}"/>
    <cellStyle name="Salida 2 3 7 3 3 2" xfId="48134" xr:uid="{00000000-0005-0000-0000-0000B2BC0000}"/>
    <cellStyle name="Salida 2 3 7 3 3 3" xfId="48135" xr:uid="{00000000-0005-0000-0000-0000B3BC0000}"/>
    <cellStyle name="Salida 2 3 7 3 3 4" xfId="48136" xr:uid="{00000000-0005-0000-0000-0000B4BC0000}"/>
    <cellStyle name="Salida 2 3 7 3 4" xfId="48137" xr:uid="{00000000-0005-0000-0000-0000B5BC0000}"/>
    <cellStyle name="Salida 2 3 7 3 5" xfId="48138" xr:uid="{00000000-0005-0000-0000-0000B6BC0000}"/>
    <cellStyle name="Salida 2 3 7 3 6" xfId="48139" xr:uid="{00000000-0005-0000-0000-0000B7BC0000}"/>
    <cellStyle name="Salida 2 3 7 4" xfId="48140" xr:uid="{00000000-0005-0000-0000-0000B8BC0000}"/>
    <cellStyle name="Salida 2 3 7 5" xfId="48141" xr:uid="{00000000-0005-0000-0000-0000B9BC0000}"/>
    <cellStyle name="Salida 2 3 8" xfId="48142" xr:uid="{00000000-0005-0000-0000-0000BABC0000}"/>
    <cellStyle name="Salida 2 3 8 2" xfId="48143" xr:uid="{00000000-0005-0000-0000-0000BBBC0000}"/>
    <cellStyle name="Salida 2 3 8 2 2" xfId="48144" xr:uid="{00000000-0005-0000-0000-0000BCBC0000}"/>
    <cellStyle name="Salida 2 3 8 2 3" xfId="48145" xr:uid="{00000000-0005-0000-0000-0000BDBC0000}"/>
    <cellStyle name="Salida 2 3 8 2 4" xfId="48146" xr:uid="{00000000-0005-0000-0000-0000BEBC0000}"/>
    <cellStyle name="Salida 2 3 8 3" xfId="48147" xr:uid="{00000000-0005-0000-0000-0000BFBC0000}"/>
    <cellStyle name="Salida 2 3 8 3 2" xfId="48148" xr:uid="{00000000-0005-0000-0000-0000C0BC0000}"/>
    <cellStyle name="Salida 2 3 8 3 2 2" xfId="48149" xr:uid="{00000000-0005-0000-0000-0000C1BC0000}"/>
    <cellStyle name="Salida 2 3 8 3 2 3" xfId="48150" xr:uid="{00000000-0005-0000-0000-0000C2BC0000}"/>
    <cellStyle name="Salida 2 3 8 3 2 4" xfId="48151" xr:uid="{00000000-0005-0000-0000-0000C3BC0000}"/>
    <cellStyle name="Salida 2 3 8 3 3" xfId="48152" xr:uid="{00000000-0005-0000-0000-0000C4BC0000}"/>
    <cellStyle name="Salida 2 3 8 3 3 2" xfId="48153" xr:uid="{00000000-0005-0000-0000-0000C5BC0000}"/>
    <cellStyle name="Salida 2 3 8 3 3 3" xfId="48154" xr:uid="{00000000-0005-0000-0000-0000C6BC0000}"/>
    <cellStyle name="Salida 2 3 8 3 3 4" xfId="48155" xr:uid="{00000000-0005-0000-0000-0000C7BC0000}"/>
    <cellStyle name="Salida 2 3 8 3 4" xfId="48156" xr:uid="{00000000-0005-0000-0000-0000C8BC0000}"/>
    <cellStyle name="Salida 2 3 8 3 5" xfId="48157" xr:uid="{00000000-0005-0000-0000-0000C9BC0000}"/>
    <cellStyle name="Salida 2 3 8 3 6" xfId="48158" xr:uid="{00000000-0005-0000-0000-0000CABC0000}"/>
    <cellStyle name="Salida 2 3 8 4" xfId="48159" xr:uid="{00000000-0005-0000-0000-0000CBBC0000}"/>
    <cellStyle name="Salida 2 3 8 5" xfId="48160" xr:uid="{00000000-0005-0000-0000-0000CCBC0000}"/>
    <cellStyle name="Salida 2 3 9" xfId="48161" xr:uid="{00000000-0005-0000-0000-0000CDBC0000}"/>
    <cellStyle name="Salida 2 3 9 2" xfId="48162" xr:uid="{00000000-0005-0000-0000-0000CEBC0000}"/>
    <cellStyle name="Salida 2 3 9 2 2" xfId="48163" xr:uid="{00000000-0005-0000-0000-0000CFBC0000}"/>
    <cellStyle name="Salida 2 3 9 2 3" xfId="48164" xr:uid="{00000000-0005-0000-0000-0000D0BC0000}"/>
    <cellStyle name="Salida 2 3 9 2 4" xfId="48165" xr:uid="{00000000-0005-0000-0000-0000D1BC0000}"/>
    <cellStyle name="Salida 2 3 9 3" xfId="48166" xr:uid="{00000000-0005-0000-0000-0000D2BC0000}"/>
    <cellStyle name="Salida 2 3 9 3 2" xfId="48167" xr:uid="{00000000-0005-0000-0000-0000D3BC0000}"/>
    <cellStyle name="Salida 2 3 9 3 2 2" xfId="48168" xr:uid="{00000000-0005-0000-0000-0000D4BC0000}"/>
    <cellStyle name="Salida 2 3 9 3 2 3" xfId="48169" xr:uid="{00000000-0005-0000-0000-0000D5BC0000}"/>
    <cellStyle name="Salida 2 3 9 3 2 4" xfId="48170" xr:uid="{00000000-0005-0000-0000-0000D6BC0000}"/>
    <cellStyle name="Salida 2 3 9 3 3" xfId="48171" xr:uid="{00000000-0005-0000-0000-0000D7BC0000}"/>
    <cellStyle name="Salida 2 3 9 3 3 2" xfId="48172" xr:uid="{00000000-0005-0000-0000-0000D8BC0000}"/>
    <cellStyle name="Salida 2 3 9 3 3 3" xfId="48173" xr:uid="{00000000-0005-0000-0000-0000D9BC0000}"/>
    <cellStyle name="Salida 2 3 9 3 3 4" xfId="48174" xr:uid="{00000000-0005-0000-0000-0000DABC0000}"/>
    <cellStyle name="Salida 2 3 9 3 4" xfId="48175" xr:uid="{00000000-0005-0000-0000-0000DBBC0000}"/>
    <cellStyle name="Salida 2 3 9 3 5" xfId="48176" xr:uid="{00000000-0005-0000-0000-0000DCBC0000}"/>
    <cellStyle name="Salida 2 3 9 3 6" xfId="48177" xr:uid="{00000000-0005-0000-0000-0000DDBC0000}"/>
    <cellStyle name="Salida 2 3 9 4" xfId="48178" xr:uid="{00000000-0005-0000-0000-0000DEBC0000}"/>
    <cellStyle name="Salida 2 3 9 5" xfId="48179" xr:uid="{00000000-0005-0000-0000-0000DFBC0000}"/>
    <cellStyle name="Salida 2 4" xfId="48180" xr:uid="{00000000-0005-0000-0000-0000E0BC0000}"/>
    <cellStyle name="Salida 2 4 10" xfId="48181" xr:uid="{00000000-0005-0000-0000-0000E1BC0000}"/>
    <cellStyle name="Salida 2 4 10 2" xfId="48182" xr:uid="{00000000-0005-0000-0000-0000E2BC0000}"/>
    <cellStyle name="Salida 2 4 10 2 2" xfId="48183" xr:uid="{00000000-0005-0000-0000-0000E3BC0000}"/>
    <cellStyle name="Salida 2 4 10 2 3" xfId="48184" xr:uid="{00000000-0005-0000-0000-0000E4BC0000}"/>
    <cellStyle name="Salida 2 4 10 2 4" xfId="48185" xr:uid="{00000000-0005-0000-0000-0000E5BC0000}"/>
    <cellStyle name="Salida 2 4 10 3" xfId="48186" xr:uid="{00000000-0005-0000-0000-0000E6BC0000}"/>
    <cellStyle name="Salida 2 4 10 3 2" xfId="48187" xr:uid="{00000000-0005-0000-0000-0000E7BC0000}"/>
    <cellStyle name="Salida 2 4 10 3 2 2" xfId="48188" xr:uid="{00000000-0005-0000-0000-0000E8BC0000}"/>
    <cellStyle name="Salida 2 4 10 3 2 3" xfId="48189" xr:uid="{00000000-0005-0000-0000-0000E9BC0000}"/>
    <cellStyle name="Salida 2 4 10 3 2 4" xfId="48190" xr:uid="{00000000-0005-0000-0000-0000EABC0000}"/>
    <cellStyle name="Salida 2 4 10 3 3" xfId="48191" xr:uid="{00000000-0005-0000-0000-0000EBBC0000}"/>
    <cellStyle name="Salida 2 4 10 3 3 2" xfId="48192" xr:uid="{00000000-0005-0000-0000-0000ECBC0000}"/>
    <cellStyle name="Salida 2 4 10 3 3 3" xfId="48193" xr:uid="{00000000-0005-0000-0000-0000EDBC0000}"/>
    <cellStyle name="Salida 2 4 10 3 3 4" xfId="48194" xr:uid="{00000000-0005-0000-0000-0000EEBC0000}"/>
    <cellStyle name="Salida 2 4 10 3 4" xfId="48195" xr:uid="{00000000-0005-0000-0000-0000EFBC0000}"/>
    <cellStyle name="Salida 2 4 10 3 5" xfId="48196" xr:uid="{00000000-0005-0000-0000-0000F0BC0000}"/>
    <cellStyle name="Salida 2 4 10 3 6" xfId="48197" xr:uid="{00000000-0005-0000-0000-0000F1BC0000}"/>
    <cellStyle name="Salida 2 4 10 4" xfId="48198" xr:uid="{00000000-0005-0000-0000-0000F2BC0000}"/>
    <cellStyle name="Salida 2 4 10 5" xfId="48199" xr:uid="{00000000-0005-0000-0000-0000F3BC0000}"/>
    <cellStyle name="Salida 2 4 11" xfId="48200" xr:uid="{00000000-0005-0000-0000-0000F4BC0000}"/>
    <cellStyle name="Salida 2 4 11 2" xfId="48201" xr:uid="{00000000-0005-0000-0000-0000F5BC0000}"/>
    <cellStyle name="Salida 2 4 11 2 2" xfId="48202" xr:uid="{00000000-0005-0000-0000-0000F6BC0000}"/>
    <cellStyle name="Salida 2 4 11 2 3" xfId="48203" xr:uid="{00000000-0005-0000-0000-0000F7BC0000}"/>
    <cellStyle name="Salida 2 4 11 2 4" xfId="48204" xr:uid="{00000000-0005-0000-0000-0000F8BC0000}"/>
    <cellStyle name="Salida 2 4 11 3" xfId="48205" xr:uid="{00000000-0005-0000-0000-0000F9BC0000}"/>
    <cellStyle name="Salida 2 4 11 3 2" xfId="48206" xr:uid="{00000000-0005-0000-0000-0000FABC0000}"/>
    <cellStyle name="Salida 2 4 11 3 2 2" xfId="48207" xr:uid="{00000000-0005-0000-0000-0000FBBC0000}"/>
    <cellStyle name="Salida 2 4 11 3 2 3" xfId="48208" xr:uid="{00000000-0005-0000-0000-0000FCBC0000}"/>
    <cellStyle name="Salida 2 4 11 3 2 4" xfId="48209" xr:uid="{00000000-0005-0000-0000-0000FDBC0000}"/>
    <cellStyle name="Salida 2 4 11 3 3" xfId="48210" xr:uid="{00000000-0005-0000-0000-0000FEBC0000}"/>
    <cellStyle name="Salida 2 4 11 3 3 2" xfId="48211" xr:uid="{00000000-0005-0000-0000-0000FFBC0000}"/>
    <cellStyle name="Salida 2 4 11 3 3 3" xfId="48212" xr:uid="{00000000-0005-0000-0000-000000BD0000}"/>
    <cellStyle name="Salida 2 4 11 3 3 4" xfId="48213" xr:uid="{00000000-0005-0000-0000-000001BD0000}"/>
    <cellStyle name="Salida 2 4 11 3 4" xfId="48214" xr:uid="{00000000-0005-0000-0000-000002BD0000}"/>
    <cellStyle name="Salida 2 4 11 3 5" xfId="48215" xr:uid="{00000000-0005-0000-0000-000003BD0000}"/>
    <cellStyle name="Salida 2 4 11 3 6" xfId="48216" xr:uid="{00000000-0005-0000-0000-000004BD0000}"/>
    <cellStyle name="Salida 2 4 11 4" xfId="48217" xr:uid="{00000000-0005-0000-0000-000005BD0000}"/>
    <cellStyle name="Salida 2 4 11 5" xfId="48218" xr:uid="{00000000-0005-0000-0000-000006BD0000}"/>
    <cellStyle name="Salida 2 4 12" xfId="48219" xr:uid="{00000000-0005-0000-0000-000007BD0000}"/>
    <cellStyle name="Salida 2 4 12 2" xfId="48220" xr:uid="{00000000-0005-0000-0000-000008BD0000}"/>
    <cellStyle name="Salida 2 4 12 2 2" xfId="48221" xr:uid="{00000000-0005-0000-0000-000009BD0000}"/>
    <cellStyle name="Salida 2 4 12 2 2 2" xfId="48222" xr:uid="{00000000-0005-0000-0000-00000ABD0000}"/>
    <cellStyle name="Salida 2 4 12 2 2 3" xfId="48223" xr:uid="{00000000-0005-0000-0000-00000BBD0000}"/>
    <cellStyle name="Salida 2 4 12 2 2 4" xfId="48224" xr:uid="{00000000-0005-0000-0000-00000CBD0000}"/>
    <cellStyle name="Salida 2 4 12 2 3" xfId="48225" xr:uid="{00000000-0005-0000-0000-00000DBD0000}"/>
    <cellStyle name="Salida 2 4 12 2 3 2" xfId="48226" xr:uid="{00000000-0005-0000-0000-00000EBD0000}"/>
    <cellStyle name="Salida 2 4 12 2 3 3" xfId="48227" xr:uid="{00000000-0005-0000-0000-00000FBD0000}"/>
    <cellStyle name="Salida 2 4 12 2 3 4" xfId="48228" xr:uid="{00000000-0005-0000-0000-000010BD0000}"/>
    <cellStyle name="Salida 2 4 12 2 4" xfId="48229" xr:uid="{00000000-0005-0000-0000-000011BD0000}"/>
    <cellStyle name="Salida 2 4 12 2 5" xfId="48230" xr:uid="{00000000-0005-0000-0000-000012BD0000}"/>
    <cellStyle name="Salida 2 4 12 2 6" xfId="48231" xr:uid="{00000000-0005-0000-0000-000013BD0000}"/>
    <cellStyle name="Salida 2 4 12 3" xfId="48232" xr:uid="{00000000-0005-0000-0000-000014BD0000}"/>
    <cellStyle name="Salida 2 4 12 3 2" xfId="48233" xr:uid="{00000000-0005-0000-0000-000015BD0000}"/>
    <cellStyle name="Salida 2 4 12 3 2 2" xfId="48234" xr:uid="{00000000-0005-0000-0000-000016BD0000}"/>
    <cellStyle name="Salida 2 4 12 3 2 3" xfId="48235" xr:uid="{00000000-0005-0000-0000-000017BD0000}"/>
    <cellStyle name="Salida 2 4 12 3 2 4" xfId="48236" xr:uid="{00000000-0005-0000-0000-000018BD0000}"/>
    <cellStyle name="Salida 2 4 12 3 3" xfId="48237" xr:uid="{00000000-0005-0000-0000-000019BD0000}"/>
    <cellStyle name="Salida 2 4 12 3 3 2" xfId="48238" xr:uid="{00000000-0005-0000-0000-00001ABD0000}"/>
    <cellStyle name="Salida 2 4 12 3 3 3" xfId="48239" xr:uid="{00000000-0005-0000-0000-00001BBD0000}"/>
    <cellStyle name="Salida 2 4 12 3 3 4" xfId="48240" xr:uid="{00000000-0005-0000-0000-00001CBD0000}"/>
    <cellStyle name="Salida 2 4 12 3 4" xfId="48241" xr:uid="{00000000-0005-0000-0000-00001DBD0000}"/>
    <cellStyle name="Salida 2 4 12 3 5" xfId="48242" xr:uid="{00000000-0005-0000-0000-00001EBD0000}"/>
    <cellStyle name="Salida 2 4 12 3 6" xfId="48243" xr:uid="{00000000-0005-0000-0000-00001FBD0000}"/>
    <cellStyle name="Salida 2 4 12 4" xfId="48244" xr:uid="{00000000-0005-0000-0000-000020BD0000}"/>
    <cellStyle name="Salida 2 4 12 5" xfId="48245" xr:uid="{00000000-0005-0000-0000-000021BD0000}"/>
    <cellStyle name="Salida 2 4 12 6" xfId="48246" xr:uid="{00000000-0005-0000-0000-000022BD0000}"/>
    <cellStyle name="Salida 2 4 13" xfId="48247" xr:uid="{00000000-0005-0000-0000-000023BD0000}"/>
    <cellStyle name="Salida 2 4 14" xfId="48248" xr:uid="{00000000-0005-0000-0000-000024BD0000}"/>
    <cellStyle name="Salida 2 4 15" xfId="58787" xr:uid="{00000000-0005-0000-0000-000025BD0000}"/>
    <cellStyle name="Salida 2 4 2" xfId="48249" xr:uid="{00000000-0005-0000-0000-000026BD0000}"/>
    <cellStyle name="Salida 2 4 2 2" xfId="48250" xr:uid="{00000000-0005-0000-0000-000027BD0000}"/>
    <cellStyle name="Salida 2 4 2 2 2" xfId="48251" xr:uid="{00000000-0005-0000-0000-000028BD0000}"/>
    <cellStyle name="Salida 2 4 2 2 2 2" xfId="48252" xr:uid="{00000000-0005-0000-0000-000029BD0000}"/>
    <cellStyle name="Salida 2 4 2 2 2 2 2" xfId="48253" xr:uid="{00000000-0005-0000-0000-00002ABD0000}"/>
    <cellStyle name="Salida 2 4 2 2 2 2 3" xfId="48254" xr:uid="{00000000-0005-0000-0000-00002BBD0000}"/>
    <cellStyle name="Salida 2 4 2 2 2 2 4" xfId="48255" xr:uid="{00000000-0005-0000-0000-00002CBD0000}"/>
    <cellStyle name="Salida 2 4 2 2 2 3" xfId="48256" xr:uid="{00000000-0005-0000-0000-00002DBD0000}"/>
    <cellStyle name="Salida 2 4 2 2 2 3 2" xfId="48257" xr:uid="{00000000-0005-0000-0000-00002EBD0000}"/>
    <cellStyle name="Salida 2 4 2 2 2 3 3" xfId="48258" xr:uid="{00000000-0005-0000-0000-00002FBD0000}"/>
    <cellStyle name="Salida 2 4 2 2 2 3 4" xfId="48259" xr:uid="{00000000-0005-0000-0000-000030BD0000}"/>
    <cellStyle name="Salida 2 4 2 2 2 4" xfId="48260" xr:uid="{00000000-0005-0000-0000-000031BD0000}"/>
    <cellStyle name="Salida 2 4 2 2 2 5" xfId="48261" xr:uid="{00000000-0005-0000-0000-000032BD0000}"/>
    <cellStyle name="Salida 2 4 2 2 2 6" xfId="48262" xr:uid="{00000000-0005-0000-0000-000033BD0000}"/>
    <cellStyle name="Salida 2 4 2 2 3" xfId="48263" xr:uid="{00000000-0005-0000-0000-000034BD0000}"/>
    <cellStyle name="Salida 2 4 2 2 3 2" xfId="48264" xr:uid="{00000000-0005-0000-0000-000035BD0000}"/>
    <cellStyle name="Salida 2 4 2 2 3 2 2" xfId="48265" xr:uid="{00000000-0005-0000-0000-000036BD0000}"/>
    <cellStyle name="Salida 2 4 2 2 3 2 3" xfId="48266" xr:uid="{00000000-0005-0000-0000-000037BD0000}"/>
    <cellStyle name="Salida 2 4 2 2 3 2 4" xfId="48267" xr:uid="{00000000-0005-0000-0000-000038BD0000}"/>
    <cellStyle name="Salida 2 4 2 2 3 3" xfId="48268" xr:uid="{00000000-0005-0000-0000-000039BD0000}"/>
    <cellStyle name="Salida 2 4 2 2 3 3 2" xfId="48269" xr:uid="{00000000-0005-0000-0000-00003ABD0000}"/>
    <cellStyle name="Salida 2 4 2 2 3 3 3" xfId="48270" xr:uid="{00000000-0005-0000-0000-00003BBD0000}"/>
    <cellStyle name="Salida 2 4 2 2 3 3 4" xfId="48271" xr:uid="{00000000-0005-0000-0000-00003CBD0000}"/>
    <cellStyle name="Salida 2 4 2 2 3 4" xfId="48272" xr:uid="{00000000-0005-0000-0000-00003DBD0000}"/>
    <cellStyle name="Salida 2 4 2 2 3 5" xfId="48273" xr:uid="{00000000-0005-0000-0000-00003EBD0000}"/>
    <cellStyle name="Salida 2 4 2 2 3 6" xfId="48274" xr:uid="{00000000-0005-0000-0000-00003FBD0000}"/>
    <cellStyle name="Salida 2 4 2 2 4" xfId="48275" xr:uid="{00000000-0005-0000-0000-000040BD0000}"/>
    <cellStyle name="Salida 2 4 2 2 5" xfId="48276" xr:uid="{00000000-0005-0000-0000-000041BD0000}"/>
    <cellStyle name="Salida 2 4 2 2 6" xfId="48277" xr:uid="{00000000-0005-0000-0000-000042BD0000}"/>
    <cellStyle name="Salida 2 4 2 3" xfId="48278" xr:uid="{00000000-0005-0000-0000-000043BD0000}"/>
    <cellStyle name="Salida 2 4 2 4" xfId="48279" xr:uid="{00000000-0005-0000-0000-000044BD0000}"/>
    <cellStyle name="Salida 2 4 3" xfId="48280" xr:uid="{00000000-0005-0000-0000-000045BD0000}"/>
    <cellStyle name="Salida 2 4 3 2" xfId="48281" xr:uid="{00000000-0005-0000-0000-000046BD0000}"/>
    <cellStyle name="Salida 2 4 3 2 2" xfId="48282" xr:uid="{00000000-0005-0000-0000-000047BD0000}"/>
    <cellStyle name="Salida 2 4 3 2 2 2" xfId="48283" xr:uid="{00000000-0005-0000-0000-000048BD0000}"/>
    <cellStyle name="Salida 2 4 3 2 2 2 2" xfId="48284" xr:uid="{00000000-0005-0000-0000-000049BD0000}"/>
    <cellStyle name="Salida 2 4 3 2 2 2 3" xfId="48285" xr:uid="{00000000-0005-0000-0000-00004ABD0000}"/>
    <cellStyle name="Salida 2 4 3 2 2 2 4" xfId="48286" xr:uid="{00000000-0005-0000-0000-00004BBD0000}"/>
    <cellStyle name="Salida 2 4 3 2 2 3" xfId="48287" xr:uid="{00000000-0005-0000-0000-00004CBD0000}"/>
    <cellStyle name="Salida 2 4 3 2 2 3 2" xfId="48288" xr:uid="{00000000-0005-0000-0000-00004DBD0000}"/>
    <cellStyle name="Salida 2 4 3 2 2 3 3" xfId="48289" xr:uid="{00000000-0005-0000-0000-00004EBD0000}"/>
    <cellStyle name="Salida 2 4 3 2 2 3 4" xfId="48290" xr:uid="{00000000-0005-0000-0000-00004FBD0000}"/>
    <cellStyle name="Salida 2 4 3 2 2 4" xfId="48291" xr:uid="{00000000-0005-0000-0000-000050BD0000}"/>
    <cellStyle name="Salida 2 4 3 2 2 5" xfId="48292" xr:uid="{00000000-0005-0000-0000-000051BD0000}"/>
    <cellStyle name="Salida 2 4 3 2 2 6" xfId="48293" xr:uid="{00000000-0005-0000-0000-000052BD0000}"/>
    <cellStyle name="Salida 2 4 3 2 3" xfId="48294" xr:uid="{00000000-0005-0000-0000-000053BD0000}"/>
    <cellStyle name="Salida 2 4 3 2 3 2" xfId="48295" xr:uid="{00000000-0005-0000-0000-000054BD0000}"/>
    <cellStyle name="Salida 2 4 3 2 3 2 2" xfId="48296" xr:uid="{00000000-0005-0000-0000-000055BD0000}"/>
    <cellStyle name="Salida 2 4 3 2 3 2 3" xfId="48297" xr:uid="{00000000-0005-0000-0000-000056BD0000}"/>
    <cellStyle name="Salida 2 4 3 2 3 2 4" xfId="48298" xr:uid="{00000000-0005-0000-0000-000057BD0000}"/>
    <cellStyle name="Salida 2 4 3 2 3 3" xfId="48299" xr:uid="{00000000-0005-0000-0000-000058BD0000}"/>
    <cellStyle name="Salida 2 4 3 2 3 3 2" xfId="48300" xr:uid="{00000000-0005-0000-0000-000059BD0000}"/>
    <cellStyle name="Salida 2 4 3 2 3 3 3" xfId="48301" xr:uid="{00000000-0005-0000-0000-00005ABD0000}"/>
    <cellStyle name="Salida 2 4 3 2 3 3 4" xfId="48302" xr:uid="{00000000-0005-0000-0000-00005BBD0000}"/>
    <cellStyle name="Salida 2 4 3 2 3 4" xfId="48303" xr:uid="{00000000-0005-0000-0000-00005CBD0000}"/>
    <cellStyle name="Salida 2 4 3 2 3 5" xfId="48304" xr:uid="{00000000-0005-0000-0000-00005DBD0000}"/>
    <cellStyle name="Salida 2 4 3 2 3 6" xfId="48305" xr:uid="{00000000-0005-0000-0000-00005EBD0000}"/>
    <cellStyle name="Salida 2 4 3 2 4" xfId="48306" xr:uid="{00000000-0005-0000-0000-00005FBD0000}"/>
    <cellStyle name="Salida 2 4 3 2 5" xfId="48307" xr:uid="{00000000-0005-0000-0000-000060BD0000}"/>
    <cellStyle name="Salida 2 4 3 2 6" xfId="48308" xr:uid="{00000000-0005-0000-0000-000061BD0000}"/>
    <cellStyle name="Salida 2 4 3 3" xfId="48309" xr:uid="{00000000-0005-0000-0000-000062BD0000}"/>
    <cellStyle name="Salida 2 4 3 4" xfId="48310" xr:uid="{00000000-0005-0000-0000-000063BD0000}"/>
    <cellStyle name="Salida 2 4 4" xfId="48311" xr:uid="{00000000-0005-0000-0000-000064BD0000}"/>
    <cellStyle name="Salida 2 4 4 2" xfId="48312" xr:uid="{00000000-0005-0000-0000-000065BD0000}"/>
    <cellStyle name="Salida 2 4 4 2 2" xfId="48313" xr:uid="{00000000-0005-0000-0000-000066BD0000}"/>
    <cellStyle name="Salida 2 4 4 2 2 2" xfId="48314" xr:uid="{00000000-0005-0000-0000-000067BD0000}"/>
    <cellStyle name="Salida 2 4 4 2 2 2 2" xfId="48315" xr:uid="{00000000-0005-0000-0000-000068BD0000}"/>
    <cellStyle name="Salida 2 4 4 2 2 2 3" xfId="48316" xr:uid="{00000000-0005-0000-0000-000069BD0000}"/>
    <cellStyle name="Salida 2 4 4 2 2 2 4" xfId="48317" xr:uid="{00000000-0005-0000-0000-00006ABD0000}"/>
    <cellStyle name="Salida 2 4 4 2 2 3" xfId="48318" xr:uid="{00000000-0005-0000-0000-00006BBD0000}"/>
    <cellStyle name="Salida 2 4 4 2 2 3 2" xfId="48319" xr:uid="{00000000-0005-0000-0000-00006CBD0000}"/>
    <cellStyle name="Salida 2 4 4 2 2 3 3" xfId="48320" xr:uid="{00000000-0005-0000-0000-00006DBD0000}"/>
    <cellStyle name="Salida 2 4 4 2 2 3 4" xfId="48321" xr:uid="{00000000-0005-0000-0000-00006EBD0000}"/>
    <cellStyle name="Salida 2 4 4 2 2 4" xfId="48322" xr:uid="{00000000-0005-0000-0000-00006FBD0000}"/>
    <cellStyle name="Salida 2 4 4 2 2 5" xfId="48323" xr:uid="{00000000-0005-0000-0000-000070BD0000}"/>
    <cellStyle name="Salida 2 4 4 2 2 6" xfId="48324" xr:uid="{00000000-0005-0000-0000-000071BD0000}"/>
    <cellStyle name="Salida 2 4 4 2 3" xfId="48325" xr:uid="{00000000-0005-0000-0000-000072BD0000}"/>
    <cellStyle name="Salida 2 4 4 2 3 2" xfId="48326" xr:uid="{00000000-0005-0000-0000-000073BD0000}"/>
    <cellStyle name="Salida 2 4 4 2 3 2 2" xfId="48327" xr:uid="{00000000-0005-0000-0000-000074BD0000}"/>
    <cellStyle name="Salida 2 4 4 2 3 2 3" xfId="48328" xr:uid="{00000000-0005-0000-0000-000075BD0000}"/>
    <cellStyle name="Salida 2 4 4 2 3 2 4" xfId="48329" xr:uid="{00000000-0005-0000-0000-000076BD0000}"/>
    <cellStyle name="Salida 2 4 4 2 3 3" xfId="48330" xr:uid="{00000000-0005-0000-0000-000077BD0000}"/>
    <cellStyle name="Salida 2 4 4 2 3 3 2" xfId="48331" xr:uid="{00000000-0005-0000-0000-000078BD0000}"/>
    <cellStyle name="Salida 2 4 4 2 3 3 3" xfId="48332" xr:uid="{00000000-0005-0000-0000-000079BD0000}"/>
    <cellStyle name="Salida 2 4 4 2 3 3 4" xfId="48333" xr:uid="{00000000-0005-0000-0000-00007ABD0000}"/>
    <cellStyle name="Salida 2 4 4 2 3 4" xfId="48334" xr:uid="{00000000-0005-0000-0000-00007BBD0000}"/>
    <cellStyle name="Salida 2 4 4 2 3 5" xfId="48335" xr:uid="{00000000-0005-0000-0000-00007CBD0000}"/>
    <cellStyle name="Salida 2 4 4 2 3 6" xfId="48336" xr:uid="{00000000-0005-0000-0000-00007DBD0000}"/>
    <cellStyle name="Salida 2 4 4 2 4" xfId="48337" xr:uid="{00000000-0005-0000-0000-00007EBD0000}"/>
    <cellStyle name="Salida 2 4 4 2 5" xfId="48338" xr:uid="{00000000-0005-0000-0000-00007FBD0000}"/>
    <cellStyle name="Salida 2 4 4 2 6" xfId="48339" xr:uid="{00000000-0005-0000-0000-000080BD0000}"/>
    <cellStyle name="Salida 2 4 4 3" xfId="48340" xr:uid="{00000000-0005-0000-0000-000081BD0000}"/>
    <cellStyle name="Salida 2 4 4 4" xfId="48341" xr:uid="{00000000-0005-0000-0000-000082BD0000}"/>
    <cellStyle name="Salida 2 4 5" xfId="48342" xr:uid="{00000000-0005-0000-0000-000083BD0000}"/>
    <cellStyle name="Salida 2 4 5 2" xfId="48343" xr:uid="{00000000-0005-0000-0000-000084BD0000}"/>
    <cellStyle name="Salida 2 4 5 2 2" xfId="48344" xr:uid="{00000000-0005-0000-0000-000085BD0000}"/>
    <cellStyle name="Salida 2 4 5 2 3" xfId="48345" xr:uid="{00000000-0005-0000-0000-000086BD0000}"/>
    <cellStyle name="Salida 2 4 5 2 4" xfId="48346" xr:uid="{00000000-0005-0000-0000-000087BD0000}"/>
    <cellStyle name="Salida 2 4 5 3" xfId="48347" xr:uid="{00000000-0005-0000-0000-000088BD0000}"/>
    <cellStyle name="Salida 2 4 5 3 2" xfId="48348" xr:uid="{00000000-0005-0000-0000-000089BD0000}"/>
    <cellStyle name="Salida 2 4 5 3 2 2" xfId="48349" xr:uid="{00000000-0005-0000-0000-00008ABD0000}"/>
    <cellStyle name="Salida 2 4 5 3 2 3" xfId="48350" xr:uid="{00000000-0005-0000-0000-00008BBD0000}"/>
    <cellStyle name="Salida 2 4 5 3 2 4" xfId="48351" xr:uid="{00000000-0005-0000-0000-00008CBD0000}"/>
    <cellStyle name="Salida 2 4 5 3 3" xfId="48352" xr:uid="{00000000-0005-0000-0000-00008DBD0000}"/>
    <cellStyle name="Salida 2 4 5 3 3 2" xfId="48353" xr:uid="{00000000-0005-0000-0000-00008EBD0000}"/>
    <cellStyle name="Salida 2 4 5 3 3 3" xfId="48354" xr:uid="{00000000-0005-0000-0000-00008FBD0000}"/>
    <cellStyle name="Salida 2 4 5 3 3 4" xfId="48355" xr:uid="{00000000-0005-0000-0000-000090BD0000}"/>
    <cellStyle name="Salida 2 4 5 3 4" xfId="48356" xr:uid="{00000000-0005-0000-0000-000091BD0000}"/>
    <cellStyle name="Salida 2 4 5 3 5" xfId="48357" xr:uid="{00000000-0005-0000-0000-000092BD0000}"/>
    <cellStyle name="Salida 2 4 5 3 6" xfId="48358" xr:uid="{00000000-0005-0000-0000-000093BD0000}"/>
    <cellStyle name="Salida 2 4 5 4" xfId="48359" xr:uid="{00000000-0005-0000-0000-000094BD0000}"/>
    <cellStyle name="Salida 2 4 5 5" xfId="48360" xr:uid="{00000000-0005-0000-0000-000095BD0000}"/>
    <cellStyle name="Salida 2 4 6" xfId="48361" xr:uid="{00000000-0005-0000-0000-000096BD0000}"/>
    <cellStyle name="Salida 2 4 6 2" xfId="48362" xr:uid="{00000000-0005-0000-0000-000097BD0000}"/>
    <cellStyle name="Salida 2 4 6 2 2" xfId="48363" xr:uid="{00000000-0005-0000-0000-000098BD0000}"/>
    <cellStyle name="Salida 2 4 6 2 3" xfId="48364" xr:uid="{00000000-0005-0000-0000-000099BD0000}"/>
    <cellStyle name="Salida 2 4 6 2 4" xfId="48365" xr:uid="{00000000-0005-0000-0000-00009ABD0000}"/>
    <cellStyle name="Salida 2 4 6 3" xfId="48366" xr:uid="{00000000-0005-0000-0000-00009BBD0000}"/>
    <cellStyle name="Salida 2 4 6 3 2" xfId="48367" xr:uid="{00000000-0005-0000-0000-00009CBD0000}"/>
    <cellStyle name="Salida 2 4 6 3 2 2" xfId="48368" xr:uid="{00000000-0005-0000-0000-00009DBD0000}"/>
    <cellStyle name="Salida 2 4 6 3 2 3" xfId="48369" xr:uid="{00000000-0005-0000-0000-00009EBD0000}"/>
    <cellStyle name="Salida 2 4 6 3 2 4" xfId="48370" xr:uid="{00000000-0005-0000-0000-00009FBD0000}"/>
    <cellStyle name="Salida 2 4 6 3 3" xfId="48371" xr:uid="{00000000-0005-0000-0000-0000A0BD0000}"/>
    <cellStyle name="Salida 2 4 6 3 3 2" xfId="48372" xr:uid="{00000000-0005-0000-0000-0000A1BD0000}"/>
    <cellStyle name="Salida 2 4 6 3 3 3" xfId="48373" xr:uid="{00000000-0005-0000-0000-0000A2BD0000}"/>
    <cellStyle name="Salida 2 4 6 3 3 4" xfId="48374" xr:uid="{00000000-0005-0000-0000-0000A3BD0000}"/>
    <cellStyle name="Salida 2 4 6 3 4" xfId="48375" xr:uid="{00000000-0005-0000-0000-0000A4BD0000}"/>
    <cellStyle name="Salida 2 4 6 3 5" xfId="48376" xr:uid="{00000000-0005-0000-0000-0000A5BD0000}"/>
    <cellStyle name="Salida 2 4 6 3 6" xfId="48377" xr:uid="{00000000-0005-0000-0000-0000A6BD0000}"/>
    <cellStyle name="Salida 2 4 6 4" xfId="48378" xr:uid="{00000000-0005-0000-0000-0000A7BD0000}"/>
    <cellStyle name="Salida 2 4 6 5" xfId="48379" xr:uid="{00000000-0005-0000-0000-0000A8BD0000}"/>
    <cellStyle name="Salida 2 4 7" xfId="48380" xr:uid="{00000000-0005-0000-0000-0000A9BD0000}"/>
    <cellStyle name="Salida 2 4 7 2" xfId="48381" xr:uid="{00000000-0005-0000-0000-0000AABD0000}"/>
    <cellStyle name="Salida 2 4 7 2 2" xfId="48382" xr:uid="{00000000-0005-0000-0000-0000ABBD0000}"/>
    <cellStyle name="Salida 2 4 7 2 3" xfId="48383" xr:uid="{00000000-0005-0000-0000-0000ACBD0000}"/>
    <cellStyle name="Salida 2 4 7 2 4" xfId="48384" xr:uid="{00000000-0005-0000-0000-0000ADBD0000}"/>
    <cellStyle name="Salida 2 4 7 3" xfId="48385" xr:uid="{00000000-0005-0000-0000-0000AEBD0000}"/>
    <cellStyle name="Salida 2 4 7 3 2" xfId="48386" xr:uid="{00000000-0005-0000-0000-0000AFBD0000}"/>
    <cellStyle name="Salida 2 4 7 3 2 2" xfId="48387" xr:uid="{00000000-0005-0000-0000-0000B0BD0000}"/>
    <cellStyle name="Salida 2 4 7 3 2 3" xfId="48388" xr:uid="{00000000-0005-0000-0000-0000B1BD0000}"/>
    <cellStyle name="Salida 2 4 7 3 2 4" xfId="48389" xr:uid="{00000000-0005-0000-0000-0000B2BD0000}"/>
    <cellStyle name="Salida 2 4 7 3 3" xfId="48390" xr:uid="{00000000-0005-0000-0000-0000B3BD0000}"/>
    <cellStyle name="Salida 2 4 7 3 3 2" xfId="48391" xr:uid="{00000000-0005-0000-0000-0000B4BD0000}"/>
    <cellStyle name="Salida 2 4 7 3 3 3" xfId="48392" xr:uid="{00000000-0005-0000-0000-0000B5BD0000}"/>
    <cellStyle name="Salida 2 4 7 3 3 4" xfId="48393" xr:uid="{00000000-0005-0000-0000-0000B6BD0000}"/>
    <cellStyle name="Salida 2 4 7 3 4" xfId="48394" xr:uid="{00000000-0005-0000-0000-0000B7BD0000}"/>
    <cellStyle name="Salida 2 4 7 3 5" xfId="48395" xr:uid="{00000000-0005-0000-0000-0000B8BD0000}"/>
    <cellStyle name="Salida 2 4 7 3 6" xfId="48396" xr:uid="{00000000-0005-0000-0000-0000B9BD0000}"/>
    <cellStyle name="Salida 2 4 7 4" xfId="48397" xr:uid="{00000000-0005-0000-0000-0000BABD0000}"/>
    <cellStyle name="Salida 2 4 7 5" xfId="48398" xr:uid="{00000000-0005-0000-0000-0000BBBD0000}"/>
    <cellStyle name="Salida 2 4 8" xfId="48399" xr:uid="{00000000-0005-0000-0000-0000BCBD0000}"/>
    <cellStyle name="Salida 2 4 8 2" xfId="48400" xr:uid="{00000000-0005-0000-0000-0000BDBD0000}"/>
    <cellStyle name="Salida 2 4 8 2 2" xfId="48401" xr:uid="{00000000-0005-0000-0000-0000BEBD0000}"/>
    <cellStyle name="Salida 2 4 8 2 3" xfId="48402" xr:uid="{00000000-0005-0000-0000-0000BFBD0000}"/>
    <cellStyle name="Salida 2 4 8 2 4" xfId="48403" xr:uid="{00000000-0005-0000-0000-0000C0BD0000}"/>
    <cellStyle name="Salida 2 4 8 3" xfId="48404" xr:uid="{00000000-0005-0000-0000-0000C1BD0000}"/>
    <cellStyle name="Salida 2 4 8 3 2" xfId="48405" xr:uid="{00000000-0005-0000-0000-0000C2BD0000}"/>
    <cellStyle name="Salida 2 4 8 3 2 2" xfId="48406" xr:uid="{00000000-0005-0000-0000-0000C3BD0000}"/>
    <cellStyle name="Salida 2 4 8 3 2 3" xfId="48407" xr:uid="{00000000-0005-0000-0000-0000C4BD0000}"/>
    <cellStyle name="Salida 2 4 8 3 2 4" xfId="48408" xr:uid="{00000000-0005-0000-0000-0000C5BD0000}"/>
    <cellStyle name="Salida 2 4 8 3 3" xfId="48409" xr:uid="{00000000-0005-0000-0000-0000C6BD0000}"/>
    <cellStyle name="Salida 2 4 8 3 3 2" xfId="48410" xr:uid="{00000000-0005-0000-0000-0000C7BD0000}"/>
    <cellStyle name="Salida 2 4 8 3 3 3" xfId="48411" xr:uid="{00000000-0005-0000-0000-0000C8BD0000}"/>
    <cellStyle name="Salida 2 4 8 3 3 4" xfId="48412" xr:uid="{00000000-0005-0000-0000-0000C9BD0000}"/>
    <cellStyle name="Salida 2 4 8 3 4" xfId="48413" xr:uid="{00000000-0005-0000-0000-0000CABD0000}"/>
    <cellStyle name="Salida 2 4 8 3 5" xfId="48414" xr:uid="{00000000-0005-0000-0000-0000CBBD0000}"/>
    <cellStyle name="Salida 2 4 8 3 6" xfId="48415" xr:uid="{00000000-0005-0000-0000-0000CCBD0000}"/>
    <cellStyle name="Salida 2 4 8 4" xfId="48416" xr:uid="{00000000-0005-0000-0000-0000CDBD0000}"/>
    <cellStyle name="Salida 2 4 8 5" xfId="48417" xr:uid="{00000000-0005-0000-0000-0000CEBD0000}"/>
    <cellStyle name="Salida 2 4 9" xfId="48418" xr:uid="{00000000-0005-0000-0000-0000CFBD0000}"/>
    <cellStyle name="Salida 2 4 9 2" xfId="48419" xr:uid="{00000000-0005-0000-0000-0000D0BD0000}"/>
    <cellStyle name="Salida 2 4 9 2 2" xfId="48420" xr:uid="{00000000-0005-0000-0000-0000D1BD0000}"/>
    <cellStyle name="Salida 2 4 9 2 3" xfId="48421" xr:uid="{00000000-0005-0000-0000-0000D2BD0000}"/>
    <cellStyle name="Salida 2 4 9 2 4" xfId="48422" xr:uid="{00000000-0005-0000-0000-0000D3BD0000}"/>
    <cellStyle name="Salida 2 4 9 3" xfId="48423" xr:uid="{00000000-0005-0000-0000-0000D4BD0000}"/>
    <cellStyle name="Salida 2 4 9 3 2" xfId="48424" xr:uid="{00000000-0005-0000-0000-0000D5BD0000}"/>
    <cellStyle name="Salida 2 4 9 3 2 2" xfId="48425" xr:uid="{00000000-0005-0000-0000-0000D6BD0000}"/>
    <cellStyle name="Salida 2 4 9 3 2 3" xfId="48426" xr:uid="{00000000-0005-0000-0000-0000D7BD0000}"/>
    <cellStyle name="Salida 2 4 9 3 2 4" xfId="48427" xr:uid="{00000000-0005-0000-0000-0000D8BD0000}"/>
    <cellStyle name="Salida 2 4 9 3 3" xfId="48428" xr:uid="{00000000-0005-0000-0000-0000D9BD0000}"/>
    <cellStyle name="Salida 2 4 9 3 3 2" xfId="48429" xr:uid="{00000000-0005-0000-0000-0000DABD0000}"/>
    <cellStyle name="Salida 2 4 9 3 3 3" xfId="48430" xr:uid="{00000000-0005-0000-0000-0000DBBD0000}"/>
    <cellStyle name="Salida 2 4 9 3 3 4" xfId="48431" xr:uid="{00000000-0005-0000-0000-0000DCBD0000}"/>
    <cellStyle name="Salida 2 4 9 3 4" xfId="48432" xr:uid="{00000000-0005-0000-0000-0000DDBD0000}"/>
    <cellStyle name="Salida 2 4 9 3 5" xfId="48433" xr:uid="{00000000-0005-0000-0000-0000DEBD0000}"/>
    <cellStyle name="Salida 2 4 9 3 6" xfId="48434" xr:uid="{00000000-0005-0000-0000-0000DFBD0000}"/>
    <cellStyle name="Salida 2 4 9 4" xfId="48435" xr:uid="{00000000-0005-0000-0000-0000E0BD0000}"/>
    <cellStyle name="Salida 2 4 9 5" xfId="48436" xr:uid="{00000000-0005-0000-0000-0000E1BD0000}"/>
    <cellStyle name="Salida 2 5" xfId="48437" xr:uid="{00000000-0005-0000-0000-0000E2BD0000}"/>
    <cellStyle name="Salida 2 5 2" xfId="48438" xr:uid="{00000000-0005-0000-0000-0000E3BD0000}"/>
    <cellStyle name="Salida 2 5 2 2" xfId="48439" xr:uid="{00000000-0005-0000-0000-0000E4BD0000}"/>
    <cellStyle name="Salida 2 5 2 3" xfId="48440" xr:uid="{00000000-0005-0000-0000-0000E5BD0000}"/>
    <cellStyle name="Salida 2 5 2 4" xfId="48441" xr:uid="{00000000-0005-0000-0000-0000E6BD0000}"/>
    <cellStyle name="Salida 2 5 3" xfId="48442" xr:uid="{00000000-0005-0000-0000-0000E7BD0000}"/>
    <cellStyle name="Salida 2 5 3 2" xfId="48443" xr:uid="{00000000-0005-0000-0000-0000E8BD0000}"/>
    <cellStyle name="Salida 2 5 3 2 2" xfId="48444" xr:uid="{00000000-0005-0000-0000-0000E9BD0000}"/>
    <cellStyle name="Salida 2 5 3 2 3" xfId="48445" xr:uid="{00000000-0005-0000-0000-0000EABD0000}"/>
    <cellStyle name="Salida 2 5 3 2 4" xfId="48446" xr:uid="{00000000-0005-0000-0000-0000EBBD0000}"/>
    <cellStyle name="Salida 2 5 3 3" xfId="48447" xr:uid="{00000000-0005-0000-0000-0000ECBD0000}"/>
    <cellStyle name="Salida 2 5 3 3 2" xfId="48448" xr:uid="{00000000-0005-0000-0000-0000EDBD0000}"/>
    <cellStyle name="Salida 2 5 3 3 3" xfId="48449" xr:uid="{00000000-0005-0000-0000-0000EEBD0000}"/>
    <cellStyle name="Salida 2 5 3 3 4" xfId="48450" xr:uid="{00000000-0005-0000-0000-0000EFBD0000}"/>
    <cellStyle name="Salida 2 5 3 4" xfId="48451" xr:uid="{00000000-0005-0000-0000-0000F0BD0000}"/>
    <cellStyle name="Salida 2 5 3 5" xfId="48452" xr:uid="{00000000-0005-0000-0000-0000F1BD0000}"/>
    <cellStyle name="Salida 2 5 3 6" xfId="48453" xr:uid="{00000000-0005-0000-0000-0000F2BD0000}"/>
    <cellStyle name="Salida 2 5 4" xfId="48454" xr:uid="{00000000-0005-0000-0000-0000F3BD0000}"/>
    <cellStyle name="Salida 2 5 5" xfId="48455" xr:uid="{00000000-0005-0000-0000-0000F4BD0000}"/>
    <cellStyle name="Salida 2 6" xfId="48456" xr:uid="{00000000-0005-0000-0000-0000F5BD0000}"/>
    <cellStyle name="Salida 2 6 2" xfId="48457" xr:uid="{00000000-0005-0000-0000-0000F6BD0000}"/>
    <cellStyle name="Salida 2 6 2 2" xfId="48458" xr:uid="{00000000-0005-0000-0000-0000F7BD0000}"/>
    <cellStyle name="Salida 2 6 2 2 2" xfId="48459" xr:uid="{00000000-0005-0000-0000-0000F8BD0000}"/>
    <cellStyle name="Salida 2 6 2 2 3" xfId="48460" xr:uid="{00000000-0005-0000-0000-0000F9BD0000}"/>
    <cellStyle name="Salida 2 6 2 2 4" xfId="48461" xr:uid="{00000000-0005-0000-0000-0000FABD0000}"/>
    <cellStyle name="Salida 2 6 2 3" xfId="48462" xr:uid="{00000000-0005-0000-0000-0000FBBD0000}"/>
    <cellStyle name="Salida 2 6 2 3 2" xfId="48463" xr:uid="{00000000-0005-0000-0000-0000FCBD0000}"/>
    <cellStyle name="Salida 2 6 2 3 3" xfId="48464" xr:uid="{00000000-0005-0000-0000-0000FDBD0000}"/>
    <cellStyle name="Salida 2 6 2 3 4" xfId="48465" xr:uid="{00000000-0005-0000-0000-0000FEBD0000}"/>
    <cellStyle name="Salida 2 6 2 4" xfId="48466" xr:uid="{00000000-0005-0000-0000-0000FFBD0000}"/>
    <cellStyle name="Salida 2 6 2 5" xfId="48467" xr:uid="{00000000-0005-0000-0000-000000BE0000}"/>
    <cellStyle name="Salida 2 6 2 6" xfId="48468" xr:uid="{00000000-0005-0000-0000-000001BE0000}"/>
    <cellStyle name="Salida 2 6 3" xfId="48469" xr:uid="{00000000-0005-0000-0000-000002BE0000}"/>
    <cellStyle name="Salida 2 6 3 2" xfId="48470" xr:uid="{00000000-0005-0000-0000-000003BE0000}"/>
    <cellStyle name="Salida 2 6 3 2 2" xfId="48471" xr:uid="{00000000-0005-0000-0000-000004BE0000}"/>
    <cellStyle name="Salida 2 6 3 2 3" xfId="48472" xr:uid="{00000000-0005-0000-0000-000005BE0000}"/>
    <cellStyle name="Salida 2 6 3 2 4" xfId="48473" xr:uid="{00000000-0005-0000-0000-000006BE0000}"/>
    <cellStyle name="Salida 2 6 3 3" xfId="48474" xr:uid="{00000000-0005-0000-0000-000007BE0000}"/>
    <cellStyle name="Salida 2 6 3 3 2" xfId="48475" xr:uid="{00000000-0005-0000-0000-000008BE0000}"/>
    <cellStyle name="Salida 2 6 3 3 3" xfId="48476" xr:uid="{00000000-0005-0000-0000-000009BE0000}"/>
    <cellStyle name="Salida 2 6 3 3 4" xfId="48477" xr:uid="{00000000-0005-0000-0000-00000ABE0000}"/>
    <cellStyle name="Salida 2 6 3 4" xfId="48478" xr:uid="{00000000-0005-0000-0000-00000BBE0000}"/>
    <cellStyle name="Salida 2 6 3 5" xfId="48479" xr:uid="{00000000-0005-0000-0000-00000CBE0000}"/>
    <cellStyle name="Salida 2 6 3 6" xfId="48480" xr:uid="{00000000-0005-0000-0000-00000DBE0000}"/>
    <cellStyle name="Salida 2 6 4" xfId="48481" xr:uid="{00000000-0005-0000-0000-00000EBE0000}"/>
    <cellStyle name="Salida 2 6 5" xfId="48482" xr:uid="{00000000-0005-0000-0000-00000FBE0000}"/>
    <cellStyle name="Salida 2 6 6" xfId="48483" xr:uid="{00000000-0005-0000-0000-000010BE0000}"/>
    <cellStyle name="Salida 2 7" xfId="48484" xr:uid="{00000000-0005-0000-0000-000011BE0000}"/>
    <cellStyle name="Salida 2 8" xfId="48485" xr:uid="{00000000-0005-0000-0000-000012BE0000}"/>
    <cellStyle name="Salida 3" xfId="48486" xr:uid="{00000000-0005-0000-0000-000013BE0000}"/>
    <cellStyle name="Salida 3 2" xfId="48487" xr:uid="{00000000-0005-0000-0000-000014BE0000}"/>
    <cellStyle name="Salida 3 2 2" xfId="48488" xr:uid="{00000000-0005-0000-0000-000015BE0000}"/>
    <cellStyle name="Salida 3 2 2 10" xfId="48489" xr:uid="{00000000-0005-0000-0000-000016BE0000}"/>
    <cellStyle name="Salida 3 2 2 10 2" xfId="48490" xr:uid="{00000000-0005-0000-0000-000017BE0000}"/>
    <cellStyle name="Salida 3 2 2 10 2 2" xfId="48491" xr:uid="{00000000-0005-0000-0000-000018BE0000}"/>
    <cellStyle name="Salida 3 2 2 10 2 3" xfId="48492" xr:uid="{00000000-0005-0000-0000-000019BE0000}"/>
    <cellStyle name="Salida 3 2 2 10 2 4" xfId="48493" xr:uid="{00000000-0005-0000-0000-00001ABE0000}"/>
    <cellStyle name="Salida 3 2 2 10 3" xfId="48494" xr:uid="{00000000-0005-0000-0000-00001BBE0000}"/>
    <cellStyle name="Salida 3 2 2 10 3 2" xfId="48495" xr:uid="{00000000-0005-0000-0000-00001CBE0000}"/>
    <cellStyle name="Salida 3 2 2 10 3 2 2" xfId="48496" xr:uid="{00000000-0005-0000-0000-00001DBE0000}"/>
    <cellStyle name="Salida 3 2 2 10 3 2 3" xfId="48497" xr:uid="{00000000-0005-0000-0000-00001EBE0000}"/>
    <cellStyle name="Salida 3 2 2 10 3 2 4" xfId="48498" xr:uid="{00000000-0005-0000-0000-00001FBE0000}"/>
    <cellStyle name="Salida 3 2 2 10 3 3" xfId="48499" xr:uid="{00000000-0005-0000-0000-000020BE0000}"/>
    <cellStyle name="Salida 3 2 2 10 3 3 2" xfId="48500" xr:uid="{00000000-0005-0000-0000-000021BE0000}"/>
    <cellStyle name="Salida 3 2 2 10 3 3 3" xfId="48501" xr:uid="{00000000-0005-0000-0000-000022BE0000}"/>
    <cellStyle name="Salida 3 2 2 10 3 3 4" xfId="48502" xr:uid="{00000000-0005-0000-0000-000023BE0000}"/>
    <cellStyle name="Salida 3 2 2 10 3 4" xfId="48503" xr:uid="{00000000-0005-0000-0000-000024BE0000}"/>
    <cellStyle name="Salida 3 2 2 10 3 5" xfId="48504" xr:uid="{00000000-0005-0000-0000-000025BE0000}"/>
    <cellStyle name="Salida 3 2 2 10 3 6" xfId="48505" xr:uid="{00000000-0005-0000-0000-000026BE0000}"/>
    <cellStyle name="Salida 3 2 2 10 4" xfId="48506" xr:uid="{00000000-0005-0000-0000-000027BE0000}"/>
    <cellStyle name="Salida 3 2 2 10 5" xfId="48507" xr:uid="{00000000-0005-0000-0000-000028BE0000}"/>
    <cellStyle name="Salida 3 2 2 11" xfId="48508" xr:uid="{00000000-0005-0000-0000-000029BE0000}"/>
    <cellStyle name="Salida 3 2 2 11 2" xfId="48509" xr:uid="{00000000-0005-0000-0000-00002ABE0000}"/>
    <cellStyle name="Salida 3 2 2 11 2 2" xfId="48510" xr:uid="{00000000-0005-0000-0000-00002BBE0000}"/>
    <cellStyle name="Salida 3 2 2 11 2 3" xfId="48511" xr:uid="{00000000-0005-0000-0000-00002CBE0000}"/>
    <cellStyle name="Salida 3 2 2 11 2 4" xfId="48512" xr:uid="{00000000-0005-0000-0000-00002DBE0000}"/>
    <cellStyle name="Salida 3 2 2 11 3" xfId="48513" xr:uid="{00000000-0005-0000-0000-00002EBE0000}"/>
    <cellStyle name="Salida 3 2 2 11 3 2" xfId="48514" xr:uid="{00000000-0005-0000-0000-00002FBE0000}"/>
    <cellStyle name="Salida 3 2 2 11 3 2 2" xfId="48515" xr:uid="{00000000-0005-0000-0000-000030BE0000}"/>
    <cellStyle name="Salida 3 2 2 11 3 2 3" xfId="48516" xr:uid="{00000000-0005-0000-0000-000031BE0000}"/>
    <cellStyle name="Salida 3 2 2 11 3 2 4" xfId="48517" xr:uid="{00000000-0005-0000-0000-000032BE0000}"/>
    <cellStyle name="Salida 3 2 2 11 3 3" xfId="48518" xr:uid="{00000000-0005-0000-0000-000033BE0000}"/>
    <cellStyle name="Salida 3 2 2 11 3 3 2" xfId="48519" xr:uid="{00000000-0005-0000-0000-000034BE0000}"/>
    <cellStyle name="Salida 3 2 2 11 3 3 3" xfId="48520" xr:uid="{00000000-0005-0000-0000-000035BE0000}"/>
    <cellStyle name="Salida 3 2 2 11 3 3 4" xfId="48521" xr:uid="{00000000-0005-0000-0000-000036BE0000}"/>
    <cellStyle name="Salida 3 2 2 11 3 4" xfId="48522" xr:uid="{00000000-0005-0000-0000-000037BE0000}"/>
    <cellStyle name="Salida 3 2 2 11 3 5" xfId="48523" xr:uid="{00000000-0005-0000-0000-000038BE0000}"/>
    <cellStyle name="Salida 3 2 2 11 3 6" xfId="48524" xr:uid="{00000000-0005-0000-0000-000039BE0000}"/>
    <cellStyle name="Salida 3 2 2 11 4" xfId="48525" xr:uid="{00000000-0005-0000-0000-00003ABE0000}"/>
    <cellStyle name="Salida 3 2 2 11 5" xfId="48526" xr:uid="{00000000-0005-0000-0000-00003BBE0000}"/>
    <cellStyle name="Salida 3 2 2 12" xfId="48527" xr:uid="{00000000-0005-0000-0000-00003CBE0000}"/>
    <cellStyle name="Salida 3 2 2 12 2" xfId="48528" xr:uid="{00000000-0005-0000-0000-00003DBE0000}"/>
    <cellStyle name="Salida 3 2 2 12 2 2" xfId="48529" xr:uid="{00000000-0005-0000-0000-00003EBE0000}"/>
    <cellStyle name="Salida 3 2 2 12 2 2 2" xfId="48530" xr:uid="{00000000-0005-0000-0000-00003FBE0000}"/>
    <cellStyle name="Salida 3 2 2 12 2 2 3" xfId="48531" xr:uid="{00000000-0005-0000-0000-000040BE0000}"/>
    <cellStyle name="Salida 3 2 2 12 2 2 4" xfId="48532" xr:uid="{00000000-0005-0000-0000-000041BE0000}"/>
    <cellStyle name="Salida 3 2 2 12 2 3" xfId="48533" xr:uid="{00000000-0005-0000-0000-000042BE0000}"/>
    <cellStyle name="Salida 3 2 2 12 2 3 2" xfId="48534" xr:uid="{00000000-0005-0000-0000-000043BE0000}"/>
    <cellStyle name="Salida 3 2 2 12 2 3 3" xfId="48535" xr:uid="{00000000-0005-0000-0000-000044BE0000}"/>
    <cellStyle name="Salida 3 2 2 12 2 3 4" xfId="48536" xr:uid="{00000000-0005-0000-0000-000045BE0000}"/>
    <cellStyle name="Salida 3 2 2 12 2 4" xfId="48537" xr:uid="{00000000-0005-0000-0000-000046BE0000}"/>
    <cellStyle name="Salida 3 2 2 12 2 5" xfId="48538" xr:uid="{00000000-0005-0000-0000-000047BE0000}"/>
    <cellStyle name="Salida 3 2 2 12 2 6" xfId="48539" xr:uid="{00000000-0005-0000-0000-000048BE0000}"/>
    <cellStyle name="Salida 3 2 2 12 3" xfId="48540" xr:uid="{00000000-0005-0000-0000-000049BE0000}"/>
    <cellStyle name="Salida 3 2 2 12 3 2" xfId="48541" xr:uid="{00000000-0005-0000-0000-00004ABE0000}"/>
    <cellStyle name="Salida 3 2 2 12 3 2 2" xfId="48542" xr:uid="{00000000-0005-0000-0000-00004BBE0000}"/>
    <cellStyle name="Salida 3 2 2 12 3 2 3" xfId="48543" xr:uid="{00000000-0005-0000-0000-00004CBE0000}"/>
    <cellStyle name="Salida 3 2 2 12 3 2 4" xfId="48544" xr:uid="{00000000-0005-0000-0000-00004DBE0000}"/>
    <cellStyle name="Salida 3 2 2 12 3 3" xfId="48545" xr:uid="{00000000-0005-0000-0000-00004EBE0000}"/>
    <cellStyle name="Salida 3 2 2 12 3 3 2" xfId="48546" xr:uid="{00000000-0005-0000-0000-00004FBE0000}"/>
    <cellStyle name="Salida 3 2 2 12 3 3 3" xfId="48547" xr:uid="{00000000-0005-0000-0000-000050BE0000}"/>
    <cellStyle name="Salida 3 2 2 12 3 3 4" xfId="48548" xr:uid="{00000000-0005-0000-0000-000051BE0000}"/>
    <cellStyle name="Salida 3 2 2 12 3 4" xfId="48549" xr:uid="{00000000-0005-0000-0000-000052BE0000}"/>
    <cellStyle name="Salida 3 2 2 12 3 5" xfId="48550" xr:uid="{00000000-0005-0000-0000-000053BE0000}"/>
    <cellStyle name="Salida 3 2 2 12 3 6" xfId="48551" xr:uid="{00000000-0005-0000-0000-000054BE0000}"/>
    <cellStyle name="Salida 3 2 2 12 4" xfId="48552" xr:uid="{00000000-0005-0000-0000-000055BE0000}"/>
    <cellStyle name="Salida 3 2 2 12 5" xfId="48553" xr:uid="{00000000-0005-0000-0000-000056BE0000}"/>
    <cellStyle name="Salida 3 2 2 12 6" xfId="48554" xr:uid="{00000000-0005-0000-0000-000057BE0000}"/>
    <cellStyle name="Salida 3 2 2 13" xfId="48555" xr:uid="{00000000-0005-0000-0000-000058BE0000}"/>
    <cellStyle name="Salida 3 2 2 14" xfId="48556" xr:uid="{00000000-0005-0000-0000-000059BE0000}"/>
    <cellStyle name="Salida 3 2 2 15" xfId="58788" xr:uid="{00000000-0005-0000-0000-00005ABE0000}"/>
    <cellStyle name="Salida 3 2 2 2" xfId="48557" xr:uid="{00000000-0005-0000-0000-00005BBE0000}"/>
    <cellStyle name="Salida 3 2 2 2 2" xfId="48558" xr:uid="{00000000-0005-0000-0000-00005CBE0000}"/>
    <cellStyle name="Salida 3 2 2 2 2 2" xfId="48559" xr:uid="{00000000-0005-0000-0000-00005DBE0000}"/>
    <cellStyle name="Salida 3 2 2 2 2 2 2" xfId="48560" xr:uid="{00000000-0005-0000-0000-00005EBE0000}"/>
    <cellStyle name="Salida 3 2 2 2 2 2 2 2" xfId="48561" xr:uid="{00000000-0005-0000-0000-00005FBE0000}"/>
    <cellStyle name="Salida 3 2 2 2 2 2 2 3" xfId="48562" xr:uid="{00000000-0005-0000-0000-000060BE0000}"/>
    <cellStyle name="Salida 3 2 2 2 2 2 2 4" xfId="48563" xr:uid="{00000000-0005-0000-0000-000061BE0000}"/>
    <cellStyle name="Salida 3 2 2 2 2 2 3" xfId="48564" xr:uid="{00000000-0005-0000-0000-000062BE0000}"/>
    <cellStyle name="Salida 3 2 2 2 2 2 3 2" xfId="48565" xr:uid="{00000000-0005-0000-0000-000063BE0000}"/>
    <cellStyle name="Salida 3 2 2 2 2 2 3 3" xfId="48566" xr:uid="{00000000-0005-0000-0000-000064BE0000}"/>
    <cellStyle name="Salida 3 2 2 2 2 2 3 4" xfId="48567" xr:uid="{00000000-0005-0000-0000-000065BE0000}"/>
    <cellStyle name="Salida 3 2 2 2 2 2 4" xfId="48568" xr:uid="{00000000-0005-0000-0000-000066BE0000}"/>
    <cellStyle name="Salida 3 2 2 2 2 2 5" xfId="48569" xr:uid="{00000000-0005-0000-0000-000067BE0000}"/>
    <cellStyle name="Salida 3 2 2 2 2 2 6" xfId="48570" xr:uid="{00000000-0005-0000-0000-000068BE0000}"/>
    <cellStyle name="Salida 3 2 2 2 2 3" xfId="48571" xr:uid="{00000000-0005-0000-0000-000069BE0000}"/>
    <cellStyle name="Salida 3 2 2 2 2 3 2" xfId="48572" xr:uid="{00000000-0005-0000-0000-00006ABE0000}"/>
    <cellStyle name="Salida 3 2 2 2 2 3 2 2" xfId="48573" xr:uid="{00000000-0005-0000-0000-00006BBE0000}"/>
    <cellStyle name="Salida 3 2 2 2 2 3 2 3" xfId="48574" xr:uid="{00000000-0005-0000-0000-00006CBE0000}"/>
    <cellStyle name="Salida 3 2 2 2 2 3 2 4" xfId="48575" xr:uid="{00000000-0005-0000-0000-00006DBE0000}"/>
    <cellStyle name="Salida 3 2 2 2 2 3 3" xfId="48576" xr:uid="{00000000-0005-0000-0000-00006EBE0000}"/>
    <cellStyle name="Salida 3 2 2 2 2 3 3 2" xfId="48577" xr:uid="{00000000-0005-0000-0000-00006FBE0000}"/>
    <cellStyle name="Salida 3 2 2 2 2 3 3 3" xfId="48578" xr:uid="{00000000-0005-0000-0000-000070BE0000}"/>
    <cellStyle name="Salida 3 2 2 2 2 3 3 4" xfId="48579" xr:uid="{00000000-0005-0000-0000-000071BE0000}"/>
    <cellStyle name="Salida 3 2 2 2 2 3 4" xfId="48580" xr:uid="{00000000-0005-0000-0000-000072BE0000}"/>
    <cellStyle name="Salida 3 2 2 2 2 3 5" xfId="48581" xr:uid="{00000000-0005-0000-0000-000073BE0000}"/>
    <cellStyle name="Salida 3 2 2 2 2 3 6" xfId="48582" xr:uid="{00000000-0005-0000-0000-000074BE0000}"/>
    <cellStyle name="Salida 3 2 2 2 2 4" xfId="48583" xr:uid="{00000000-0005-0000-0000-000075BE0000}"/>
    <cellStyle name="Salida 3 2 2 2 2 5" xfId="48584" xr:uid="{00000000-0005-0000-0000-000076BE0000}"/>
    <cellStyle name="Salida 3 2 2 2 2 6" xfId="48585" xr:uid="{00000000-0005-0000-0000-000077BE0000}"/>
    <cellStyle name="Salida 3 2 2 2 3" xfId="48586" xr:uid="{00000000-0005-0000-0000-000078BE0000}"/>
    <cellStyle name="Salida 3 2 2 2 4" xfId="48587" xr:uid="{00000000-0005-0000-0000-000079BE0000}"/>
    <cellStyle name="Salida 3 2 2 3" xfId="48588" xr:uid="{00000000-0005-0000-0000-00007ABE0000}"/>
    <cellStyle name="Salida 3 2 2 3 2" xfId="48589" xr:uid="{00000000-0005-0000-0000-00007BBE0000}"/>
    <cellStyle name="Salida 3 2 2 3 2 2" xfId="48590" xr:uid="{00000000-0005-0000-0000-00007CBE0000}"/>
    <cellStyle name="Salida 3 2 2 3 2 2 2" xfId="48591" xr:uid="{00000000-0005-0000-0000-00007DBE0000}"/>
    <cellStyle name="Salida 3 2 2 3 2 2 2 2" xfId="48592" xr:uid="{00000000-0005-0000-0000-00007EBE0000}"/>
    <cellStyle name="Salida 3 2 2 3 2 2 2 3" xfId="48593" xr:uid="{00000000-0005-0000-0000-00007FBE0000}"/>
    <cellStyle name="Salida 3 2 2 3 2 2 2 4" xfId="48594" xr:uid="{00000000-0005-0000-0000-000080BE0000}"/>
    <cellStyle name="Salida 3 2 2 3 2 2 3" xfId="48595" xr:uid="{00000000-0005-0000-0000-000081BE0000}"/>
    <cellStyle name="Salida 3 2 2 3 2 2 3 2" xfId="48596" xr:uid="{00000000-0005-0000-0000-000082BE0000}"/>
    <cellStyle name="Salida 3 2 2 3 2 2 3 3" xfId="48597" xr:uid="{00000000-0005-0000-0000-000083BE0000}"/>
    <cellStyle name="Salida 3 2 2 3 2 2 3 4" xfId="48598" xr:uid="{00000000-0005-0000-0000-000084BE0000}"/>
    <cellStyle name="Salida 3 2 2 3 2 2 4" xfId="48599" xr:uid="{00000000-0005-0000-0000-000085BE0000}"/>
    <cellStyle name="Salida 3 2 2 3 2 2 5" xfId="48600" xr:uid="{00000000-0005-0000-0000-000086BE0000}"/>
    <cellStyle name="Salida 3 2 2 3 2 2 6" xfId="48601" xr:uid="{00000000-0005-0000-0000-000087BE0000}"/>
    <cellStyle name="Salida 3 2 2 3 2 3" xfId="48602" xr:uid="{00000000-0005-0000-0000-000088BE0000}"/>
    <cellStyle name="Salida 3 2 2 3 2 3 2" xfId="48603" xr:uid="{00000000-0005-0000-0000-000089BE0000}"/>
    <cellStyle name="Salida 3 2 2 3 2 3 2 2" xfId="48604" xr:uid="{00000000-0005-0000-0000-00008ABE0000}"/>
    <cellStyle name="Salida 3 2 2 3 2 3 2 3" xfId="48605" xr:uid="{00000000-0005-0000-0000-00008BBE0000}"/>
    <cellStyle name="Salida 3 2 2 3 2 3 2 4" xfId="48606" xr:uid="{00000000-0005-0000-0000-00008CBE0000}"/>
    <cellStyle name="Salida 3 2 2 3 2 3 3" xfId="48607" xr:uid="{00000000-0005-0000-0000-00008DBE0000}"/>
    <cellStyle name="Salida 3 2 2 3 2 3 3 2" xfId="48608" xr:uid="{00000000-0005-0000-0000-00008EBE0000}"/>
    <cellStyle name="Salida 3 2 2 3 2 3 3 3" xfId="48609" xr:uid="{00000000-0005-0000-0000-00008FBE0000}"/>
    <cellStyle name="Salida 3 2 2 3 2 3 3 4" xfId="48610" xr:uid="{00000000-0005-0000-0000-000090BE0000}"/>
    <cellStyle name="Salida 3 2 2 3 2 3 4" xfId="48611" xr:uid="{00000000-0005-0000-0000-000091BE0000}"/>
    <cellStyle name="Salida 3 2 2 3 2 3 5" xfId="48612" xr:uid="{00000000-0005-0000-0000-000092BE0000}"/>
    <cellStyle name="Salida 3 2 2 3 2 3 6" xfId="48613" xr:uid="{00000000-0005-0000-0000-000093BE0000}"/>
    <cellStyle name="Salida 3 2 2 3 2 4" xfId="48614" xr:uid="{00000000-0005-0000-0000-000094BE0000}"/>
    <cellStyle name="Salida 3 2 2 3 2 5" xfId="48615" xr:uid="{00000000-0005-0000-0000-000095BE0000}"/>
    <cellStyle name="Salida 3 2 2 3 2 6" xfId="48616" xr:uid="{00000000-0005-0000-0000-000096BE0000}"/>
    <cellStyle name="Salida 3 2 2 3 3" xfId="48617" xr:uid="{00000000-0005-0000-0000-000097BE0000}"/>
    <cellStyle name="Salida 3 2 2 3 4" xfId="48618" xr:uid="{00000000-0005-0000-0000-000098BE0000}"/>
    <cellStyle name="Salida 3 2 2 4" xfId="48619" xr:uid="{00000000-0005-0000-0000-000099BE0000}"/>
    <cellStyle name="Salida 3 2 2 4 2" xfId="48620" xr:uid="{00000000-0005-0000-0000-00009ABE0000}"/>
    <cellStyle name="Salida 3 2 2 4 2 2" xfId="48621" xr:uid="{00000000-0005-0000-0000-00009BBE0000}"/>
    <cellStyle name="Salida 3 2 2 4 2 2 2" xfId="48622" xr:uid="{00000000-0005-0000-0000-00009CBE0000}"/>
    <cellStyle name="Salida 3 2 2 4 2 2 2 2" xfId="48623" xr:uid="{00000000-0005-0000-0000-00009DBE0000}"/>
    <cellStyle name="Salida 3 2 2 4 2 2 2 3" xfId="48624" xr:uid="{00000000-0005-0000-0000-00009EBE0000}"/>
    <cellStyle name="Salida 3 2 2 4 2 2 2 4" xfId="48625" xr:uid="{00000000-0005-0000-0000-00009FBE0000}"/>
    <cellStyle name="Salida 3 2 2 4 2 2 3" xfId="48626" xr:uid="{00000000-0005-0000-0000-0000A0BE0000}"/>
    <cellStyle name="Salida 3 2 2 4 2 2 3 2" xfId="48627" xr:uid="{00000000-0005-0000-0000-0000A1BE0000}"/>
    <cellStyle name="Salida 3 2 2 4 2 2 3 3" xfId="48628" xr:uid="{00000000-0005-0000-0000-0000A2BE0000}"/>
    <cellStyle name="Salida 3 2 2 4 2 2 3 4" xfId="48629" xr:uid="{00000000-0005-0000-0000-0000A3BE0000}"/>
    <cellStyle name="Salida 3 2 2 4 2 2 4" xfId="48630" xr:uid="{00000000-0005-0000-0000-0000A4BE0000}"/>
    <cellStyle name="Salida 3 2 2 4 2 2 5" xfId="48631" xr:uid="{00000000-0005-0000-0000-0000A5BE0000}"/>
    <cellStyle name="Salida 3 2 2 4 2 2 6" xfId="48632" xr:uid="{00000000-0005-0000-0000-0000A6BE0000}"/>
    <cellStyle name="Salida 3 2 2 4 2 3" xfId="48633" xr:uid="{00000000-0005-0000-0000-0000A7BE0000}"/>
    <cellStyle name="Salida 3 2 2 4 2 3 2" xfId="48634" xr:uid="{00000000-0005-0000-0000-0000A8BE0000}"/>
    <cellStyle name="Salida 3 2 2 4 2 3 2 2" xfId="48635" xr:uid="{00000000-0005-0000-0000-0000A9BE0000}"/>
    <cellStyle name="Salida 3 2 2 4 2 3 2 3" xfId="48636" xr:uid="{00000000-0005-0000-0000-0000AABE0000}"/>
    <cellStyle name="Salida 3 2 2 4 2 3 2 4" xfId="48637" xr:uid="{00000000-0005-0000-0000-0000ABBE0000}"/>
    <cellStyle name="Salida 3 2 2 4 2 3 3" xfId="48638" xr:uid="{00000000-0005-0000-0000-0000ACBE0000}"/>
    <cellStyle name="Salida 3 2 2 4 2 3 3 2" xfId="48639" xr:uid="{00000000-0005-0000-0000-0000ADBE0000}"/>
    <cellStyle name="Salida 3 2 2 4 2 3 3 3" xfId="48640" xr:uid="{00000000-0005-0000-0000-0000AEBE0000}"/>
    <cellStyle name="Salida 3 2 2 4 2 3 3 4" xfId="48641" xr:uid="{00000000-0005-0000-0000-0000AFBE0000}"/>
    <cellStyle name="Salida 3 2 2 4 2 3 4" xfId="48642" xr:uid="{00000000-0005-0000-0000-0000B0BE0000}"/>
    <cellStyle name="Salida 3 2 2 4 2 3 5" xfId="48643" xr:uid="{00000000-0005-0000-0000-0000B1BE0000}"/>
    <cellStyle name="Salida 3 2 2 4 2 3 6" xfId="48644" xr:uid="{00000000-0005-0000-0000-0000B2BE0000}"/>
    <cellStyle name="Salida 3 2 2 4 2 4" xfId="48645" xr:uid="{00000000-0005-0000-0000-0000B3BE0000}"/>
    <cellStyle name="Salida 3 2 2 4 2 5" xfId="48646" xr:uid="{00000000-0005-0000-0000-0000B4BE0000}"/>
    <cellStyle name="Salida 3 2 2 4 2 6" xfId="48647" xr:uid="{00000000-0005-0000-0000-0000B5BE0000}"/>
    <cellStyle name="Salida 3 2 2 4 3" xfId="48648" xr:uid="{00000000-0005-0000-0000-0000B6BE0000}"/>
    <cellStyle name="Salida 3 2 2 4 4" xfId="48649" xr:uid="{00000000-0005-0000-0000-0000B7BE0000}"/>
    <cellStyle name="Salida 3 2 2 5" xfId="48650" xr:uid="{00000000-0005-0000-0000-0000B8BE0000}"/>
    <cellStyle name="Salida 3 2 2 5 2" xfId="48651" xr:uid="{00000000-0005-0000-0000-0000B9BE0000}"/>
    <cellStyle name="Salida 3 2 2 5 2 2" xfId="48652" xr:uid="{00000000-0005-0000-0000-0000BABE0000}"/>
    <cellStyle name="Salida 3 2 2 5 2 3" xfId="48653" xr:uid="{00000000-0005-0000-0000-0000BBBE0000}"/>
    <cellStyle name="Salida 3 2 2 5 2 4" xfId="48654" xr:uid="{00000000-0005-0000-0000-0000BCBE0000}"/>
    <cellStyle name="Salida 3 2 2 5 3" xfId="48655" xr:uid="{00000000-0005-0000-0000-0000BDBE0000}"/>
    <cellStyle name="Salida 3 2 2 5 3 2" xfId="48656" xr:uid="{00000000-0005-0000-0000-0000BEBE0000}"/>
    <cellStyle name="Salida 3 2 2 5 3 2 2" xfId="48657" xr:uid="{00000000-0005-0000-0000-0000BFBE0000}"/>
    <cellStyle name="Salida 3 2 2 5 3 2 3" xfId="48658" xr:uid="{00000000-0005-0000-0000-0000C0BE0000}"/>
    <cellStyle name="Salida 3 2 2 5 3 2 4" xfId="48659" xr:uid="{00000000-0005-0000-0000-0000C1BE0000}"/>
    <cellStyle name="Salida 3 2 2 5 3 3" xfId="48660" xr:uid="{00000000-0005-0000-0000-0000C2BE0000}"/>
    <cellStyle name="Salida 3 2 2 5 3 3 2" xfId="48661" xr:uid="{00000000-0005-0000-0000-0000C3BE0000}"/>
    <cellStyle name="Salida 3 2 2 5 3 3 3" xfId="48662" xr:uid="{00000000-0005-0000-0000-0000C4BE0000}"/>
    <cellStyle name="Salida 3 2 2 5 3 3 4" xfId="48663" xr:uid="{00000000-0005-0000-0000-0000C5BE0000}"/>
    <cellStyle name="Salida 3 2 2 5 3 4" xfId="48664" xr:uid="{00000000-0005-0000-0000-0000C6BE0000}"/>
    <cellStyle name="Salida 3 2 2 5 3 5" xfId="48665" xr:uid="{00000000-0005-0000-0000-0000C7BE0000}"/>
    <cellStyle name="Salida 3 2 2 5 3 6" xfId="48666" xr:uid="{00000000-0005-0000-0000-0000C8BE0000}"/>
    <cellStyle name="Salida 3 2 2 5 4" xfId="48667" xr:uid="{00000000-0005-0000-0000-0000C9BE0000}"/>
    <cellStyle name="Salida 3 2 2 5 5" xfId="48668" xr:uid="{00000000-0005-0000-0000-0000CABE0000}"/>
    <cellStyle name="Salida 3 2 2 6" xfId="48669" xr:uid="{00000000-0005-0000-0000-0000CBBE0000}"/>
    <cellStyle name="Salida 3 2 2 6 2" xfId="48670" xr:uid="{00000000-0005-0000-0000-0000CCBE0000}"/>
    <cellStyle name="Salida 3 2 2 6 2 2" xfId="48671" xr:uid="{00000000-0005-0000-0000-0000CDBE0000}"/>
    <cellStyle name="Salida 3 2 2 6 2 3" xfId="48672" xr:uid="{00000000-0005-0000-0000-0000CEBE0000}"/>
    <cellStyle name="Salida 3 2 2 6 2 4" xfId="48673" xr:uid="{00000000-0005-0000-0000-0000CFBE0000}"/>
    <cellStyle name="Salida 3 2 2 6 3" xfId="48674" xr:uid="{00000000-0005-0000-0000-0000D0BE0000}"/>
    <cellStyle name="Salida 3 2 2 6 3 2" xfId="48675" xr:uid="{00000000-0005-0000-0000-0000D1BE0000}"/>
    <cellStyle name="Salida 3 2 2 6 3 2 2" xfId="48676" xr:uid="{00000000-0005-0000-0000-0000D2BE0000}"/>
    <cellStyle name="Salida 3 2 2 6 3 2 3" xfId="48677" xr:uid="{00000000-0005-0000-0000-0000D3BE0000}"/>
    <cellStyle name="Salida 3 2 2 6 3 2 4" xfId="48678" xr:uid="{00000000-0005-0000-0000-0000D4BE0000}"/>
    <cellStyle name="Salida 3 2 2 6 3 3" xfId="48679" xr:uid="{00000000-0005-0000-0000-0000D5BE0000}"/>
    <cellStyle name="Salida 3 2 2 6 3 3 2" xfId="48680" xr:uid="{00000000-0005-0000-0000-0000D6BE0000}"/>
    <cellStyle name="Salida 3 2 2 6 3 3 3" xfId="48681" xr:uid="{00000000-0005-0000-0000-0000D7BE0000}"/>
    <cellStyle name="Salida 3 2 2 6 3 3 4" xfId="48682" xr:uid="{00000000-0005-0000-0000-0000D8BE0000}"/>
    <cellStyle name="Salida 3 2 2 6 3 4" xfId="48683" xr:uid="{00000000-0005-0000-0000-0000D9BE0000}"/>
    <cellStyle name="Salida 3 2 2 6 3 5" xfId="48684" xr:uid="{00000000-0005-0000-0000-0000DABE0000}"/>
    <cellStyle name="Salida 3 2 2 6 3 6" xfId="48685" xr:uid="{00000000-0005-0000-0000-0000DBBE0000}"/>
    <cellStyle name="Salida 3 2 2 6 4" xfId="48686" xr:uid="{00000000-0005-0000-0000-0000DCBE0000}"/>
    <cellStyle name="Salida 3 2 2 6 5" xfId="48687" xr:uid="{00000000-0005-0000-0000-0000DDBE0000}"/>
    <cellStyle name="Salida 3 2 2 7" xfId="48688" xr:uid="{00000000-0005-0000-0000-0000DEBE0000}"/>
    <cellStyle name="Salida 3 2 2 7 2" xfId="48689" xr:uid="{00000000-0005-0000-0000-0000DFBE0000}"/>
    <cellStyle name="Salida 3 2 2 7 2 2" xfId="48690" xr:uid="{00000000-0005-0000-0000-0000E0BE0000}"/>
    <cellStyle name="Salida 3 2 2 7 2 3" xfId="48691" xr:uid="{00000000-0005-0000-0000-0000E1BE0000}"/>
    <cellStyle name="Salida 3 2 2 7 2 4" xfId="48692" xr:uid="{00000000-0005-0000-0000-0000E2BE0000}"/>
    <cellStyle name="Salida 3 2 2 7 3" xfId="48693" xr:uid="{00000000-0005-0000-0000-0000E3BE0000}"/>
    <cellStyle name="Salida 3 2 2 7 3 2" xfId="48694" xr:uid="{00000000-0005-0000-0000-0000E4BE0000}"/>
    <cellStyle name="Salida 3 2 2 7 3 2 2" xfId="48695" xr:uid="{00000000-0005-0000-0000-0000E5BE0000}"/>
    <cellStyle name="Salida 3 2 2 7 3 2 3" xfId="48696" xr:uid="{00000000-0005-0000-0000-0000E6BE0000}"/>
    <cellStyle name="Salida 3 2 2 7 3 2 4" xfId="48697" xr:uid="{00000000-0005-0000-0000-0000E7BE0000}"/>
    <cellStyle name="Salida 3 2 2 7 3 3" xfId="48698" xr:uid="{00000000-0005-0000-0000-0000E8BE0000}"/>
    <cellStyle name="Salida 3 2 2 7 3 3 2" xfId="48699" xr:uid="{00000000-0005-0000-0000-0000E9BE0000}"/>
    <cellStyle name="Salida 3 2 2 7 3 3 3" xfId="48700" xr:uid="{00000000-0005-0000-0000-0000EABE0000}"/>
    <cellStyle name="Salida 3 2 2 7 3 3 4" xfId="48701" xr:uid="{00000000-0005-0000-0000-0000EBBE0000}"/>
    <cellStyle name="Salida 3 2 2 7 3 4" xfId="48702" xr:uid="{00000000-0005-0000-0000-0000ECBE0000}"/>
    <cellStyle name="Salida 3 2 2 7 3 5" xfId="48703" xr:uid="{00000000-0005-0000-0000-0000EDBE0000}"/>
    <cellStyle name="Salida 3 2 2 7 3 6" xfId="48704" xr:uid="{00000000-0005-0000-0000-0000EEBE0000}"/>
    <cellStyle name="Salida 3 2 2 7 4" xfId="48705" xr:uid="{00000000-0005-0000-0000-0000EFBE0000}"/>
    <cellStyle name="Salida 3 2 2 7 5" xfId="48706" xr:uid="{00000000-0005-0000-0000-0000F0BE0000}"/>
    <cellStyle name="Salida 3 2 2 8" xfId="48707" xr:uid="{00000000-0005-0000-0000-0000F1BE0000}"/>
    <cellStyle name="Salida 3 2 2 8 2" xfId="48708" xr:uid="{00000000-0005-0000-0000-0000F2BE0000}"/>
    <cellStyle name="Salida 3 2 2 8 2 2" xfId="48709" xr:uid="{00000000-0005-0000-0000-0000F3BE0000}"/>
    <cellStyle name="Salida 3 2 2 8 2 3" xfId="48710" xr:uid="{00000000-0005-0000-0000-0000F4BE0000}"/>
    <cellStyle name="Salida 3 2 2 8 2 4" xfId="48711" xr:uid="{00000000-0005-0000-0000-0000F5BE0000}"/>
    <cellStyle name="Salida 3 2 2 8 3" xfId="48712" xr:uid="{00000000-0005-0000-0000-0000F6BE0000}"/>
    <cellStyle name="Salida 3 2 2 8 3 2" xfId="48713" xr:uid="{00000000-0005-0000-0000-0000F7BE0000}"/>
    <cellStyle name="Salida 3 2 2 8 3 2 2" xfId="48714" xr:uid="{00000000-0005-0000-0000-0000F8BE0000}"/>
    <cellStyle name="Salida 3 2 2 8 3 2 3" xfId="48715" xr:uid="{00000000-0005-0000-0000-0000F9BE0000}"/>
    <cellStyle name="Salida 3 2 2 8 3 2 4" xfId="48716" xr:uid="{00000000-0005-0000-0000-0000FABE0000}"/>
    <cellStyle name="Salida 3 2 2 8 3 3" xfId="48717" xr:uid="{00000000-0005-0000-0000-0000FBBE0000}"/>
    <cellStyle name="Salida 3 2 2 8 3 3 2" xfId="48718" xr:uid="{00000000-0005-0000-0000-0000FCBE0000}"/>
    <cellStyle name="Salida 3 2 2 8 3 3 3" xfId="48719" xr:uid="{00000000-0005-0000-0000-0000FDBE0000}"/>
    <cellStyle name="Salida 3 2 2 8 3 3 4" xfId="48720" xr:uid="{00000000-0005-0000-0000-0000FEBE0000}"/>
    <cellStyle name="Salida 3 2 2 8 3 4" xfId="48721" xr:uid="{00000000-0005-0000-0000-0000FFBE0000}"/>
    <cellStyle name="Salida 3 2 2 8 3 5" xfId="48722" xr:uid="{00000000-0005-0000-0000-000000BF0000}"/>
    <cellStyle name="Salida 3 2 2 8 3 6" xfId="48723" xr:uid="{00000000-0005-0000-0000-000001BF0000}"/>
    <cellStyle name="Salida 3 2 2 8 4" xfId="48724" xr:uid="{00000000-0005-0000-0000-000002BF0000}"/>
    <cellStyle name="Salida 3 2 2 8 5" xfId="48725" xr:uid="{00000000-0005-0000-0000-000003BF0000}"/>
    <cellStyle name="Salida 3 2 2 9" xfId="48726" xr:uid="{00000000-0005-0000-0000-000004BF0000}"/>
    <cellStyle name="Salida 3 2 2 9 2" xfId="48727" xr:uid="{00000000-0005-0000-0000-000005BF0000}"/>
    <cellStyle name="Salida 3 2 2 9 2 2" xfId="48728" xr:uid="{00000000-0005-0000-0000-000006BF0000}"/>
    <cellStyle name="Salida 3 2 2 9 2 3" xfId="48729" xr:uid="{00000000-0005-0000-0000-000007BF0000}"/>
    <cellStyle name="Salida 3 2 2 9 2 4" xfId="48730" xr:uid="{00000000-0005-0000-0000-000008BF0000}"/>
    <cellStyle name="Salida 3 2 2 9 3" xfId="48731" xr:uid="{00000000-0005-0000-0000-000009BF0000}"/>
    <cellStyle name="Salida 3 2 2 9 3 2" xfId="48732" xr:uid="{00000000-0005-0000-0000-00000ABF0000}"/>
    <cellStyle name="Salida 3 2 2 9 3 2 2" xfId="48733" xr:uid="{00000000-0005-0000-0000-00000BBF0000}"/>
    <cellStyle name="Salida 3 2 2 9 3 2 3" xfId="48734" xr:uid="{00000000-0005-0000-0000-00000CBF0000}"/>
    <cellStyle name="Salida 3 2 2 9 3 2 4" xfId="48735" xr:uid="{00000000-0005-0000-0000-00000DBF0000}"/>
    <cellStyle name="Salida 3 2 2 9 3 3" xfId="48736" xr:uid="{00000000-0005-0000-0000-00000EBF0000}"/>
    <cellStyle name="Salida 3 2 2 9 3 3 2" xfId="48737" xr:uid="{00000000-0005-0000-0000-00000FBF0000}"/>
    <cellStyle name="Salida 3 2 2 9 3 3 3" xfId="48738" xr:uid="{00000000-0005-0000-0000-000010BF0000}"/>
    <cellStyle name="Salida 3 2 2 9 3 3 4" xfId="48739" xr:uid="{00000000-0005-0000-0000-000011BF0000}"/>
    <cellStyle name="Salida 3 2 2 9 3 4" xfId="48740" xr:uid="{00000000-0005-0000-0000-000012BF0000}"/>
    <cellStyle name="Salida 3 2 2 9 3 5" xfId="48741" xr:uid="{00000000-0005-0000-0000-000013BF0000}"/>
    <cellStyle name="Salida 3 2 2 9 3 6" xfId="48742" xr:uid="{00000000-0005-0000-0000-000014BF0000}"/>
    <cellStyle name="Salida 3 2 2 9 4" xfId="48743" xr:uid="{00000000-0005-0000-0000-000015BF0000}"/>
    <cellStyle name="Salida 3 2 2 9 5" xfId="48744" xr:uid="{00000000-0005-0000-0000-000016BF0000}"/>
    <cellStyle name="Salida 3 2 3" xfId="48745" xr:uid="{00000000-0005-0000-0000-000017BF0000}"/>
    <cellStyle name="Salida 3 2 3 2" xfId="48746" xr:uid="{00000000-0005-0000-0000-000018BF0000}"/>
    <cellStyle name="Salida 3 2 3 2 2" xfId="48747" xr:uid="{00000000-0005-0000-0000-000019BF0000}"/>
    <cellStyle name="Salida 3 2 3 2 3" xfId="48748" xr:uid="{00000000-0005-0000-0000-00001ABF0000}"/>
    <cellStyle name="Salida 3 2 3 2 4" xfId="48749" xr:uid="{00000000-0005-0000-0000-00001BBF0000}"/>
    <cellStyle name="Salida 3 2 3 3" xfId="48750" xr:uid="{00000000-0005-0000-0000-00001CBF0000}"/>
    <cellStyle name="Salida 3 2 3 3 2" xfId="48751" xr:uid="{00000000-0005-0000-0000-00001DBF0000}"/>
    <cellStyle name="Salida 3 2 3 3 2 2" xfId="48752" xr:uid="{00000000-0005-0000-0000-00001EBF0000}"/>
    <cellStyle name="Salida 3 2 3 3 2 3" xfId="48753" xr:uid="{00000000-0005-0000-0000-00001FBF0000}"/>
    <cellStyle name="Salida 3 2 3 3 2 4" xfId="48754" xr:uid="{00000000-0005-0000-0000-000020BF0000}"/>
    <cellStyle name="Salida 3 2 3 3 3" xfId="48755" xr:uid="{00000000-0005-0000-0000-000021BF0000}"/>
    <cellStyle name="Salida 3 2 3 3 3 2" xfId="48756" xr:uid="{00000000-0005-0000-0000-000022BF0000}"/>
    <cellStyle name="Salida 3 2 3 3 3 3" xfId="48757" xr:uid="{00000000-0005-0000-0000-000023BF0000}"/>
    <cellStyle name="Salida 3 2 3 3 3 4" xfId="48758" xr:uid="{00000000-0005-0000-0000-000024BF0000}"/>
    <cellStyle name="Salida 3 2 3 3 4" xfId="48759" xr:uid="{00000000-0005-0000-0000-000025BF0000}"/>
    <cellStyle name="Salida 3 2 3 3 5" xfId="48760" xr:uid="{00000000-0005-0000-0000-000026BF0000}"/>
    <cellStyle name="Salida 3 2 3 3 6" xfId="48761" xr:uid="{00000000-0005-0000-0000-000027BF0000}"/>
    <cellStyle name="Salida 3 2 3 4" xfId="48762" xr:uid="{00000000-0005-0000-0000-000028BF0000}"/>
    <cellStyle name="Salida 3 2 3 5" xfId="48763" xr:uid="{00000000-0005-0000-0000-000029BF0000}"/>
    <cellStyle name="Salida 3 2 4" xfId="48764" xr:uid="{00000000-0005-0000-0000-00002ABF0000}"/>
    <cellStyle name="Salida 3 2 4 2" xfId="48765" xr:uid="{00000000-0005-0000-0000-00002BBF0000}"/>
    <cellStyle name="Salida 3 2 4 2 2" xfId="48766" xr:uid="{00000000-0005-0000-0000-00002CBF0000}"/>
    <cellStyle name="Salida 3 2 4 2 2 2" xfId="48767" xr:uid="{00000000-0005-0000-0000-00002DBF0000}"/>
    <cellStyle name="Salida 3 2 4 2 2 3" xfId="48768" xr:uid="{00000000-0005-0000-0000-00002EBF0000}"/>
    <cellStyle name="Salida 3 2 4 2 2 4" xfId="48769" xr:uid="{00000000-0005-0000-0000-00002FBF0000}"/>
    <cellStyle name="Salida 3 2 4 2 3" xfId="48770" xr:uid="{00000000-0005-0000-0000-000030BF0000}"/>
    <cellStyle name="Salida 3 2 4 2 3 2" xfId="48771" xr:uid="{00000000-0005-0000-0000-000031BF0000}"/>
    <cellStyle name="Salida 3 2 4 2 3 3" xfId="48772" xr:uid="{00000000-0005-0000-0000-000032BF0000}"/>
    <cellStyle name="Salida 3 2 4 2 3 4" xfId="48773" xr:uid="{00000000-0005-0000-0000-000033BF0000}"/>
    <cellStyle name="Salida 3 2 4 2 4" xfId="48774" xr:uid="{00000000-0005-0000-0000-000034BF0000}"/>
    <cellStyle name="Salida 3 2 4 2 5" xfId="48775" xr:uid="{00000000-0005-0000-0000-000035BF0000}"/>
    <cellStyle name="Salida 3 2 4 2 6" xfId="48776" xr:uid="{00000000-0005-0000-0000-000036BF0000}"/>
    <cellStyle name="Salida 3 2 4 3" xfId="48777" xr:uid="{00000000-0005-0000-0000-000037BF0000}"/>
    <cellStyle name="Salida 3 2 4 3 2" xfId="48778" xr:uid="{00000000-0005-0000-0000-000038BF0000}"/>
    <cellStyle name="Salida 3 2 4 3 2 2" xfId="48779" xr:uid="{00000000-0005-0000-0000-000039BF0000}"/>
    <cellStyle name="Salida 3 2 4 3 2 3" xfId="48780" xr:uid="{00000000-0005-0000-0000-00003ABF0000}"/>
    <cellStyle name="Salida 3 2 4 3 2 4" xfId="48781" xr:uid="{00000000-0005-0000-0000-00003BBF0000}"/>
    <cellStyle name="Salida 3 2 4 3 3" xfId="48782" xr:uid="{00000000-0005-0000-0000-00003CBF0000}"/>
    <cellStyle name="Salida 3 2 4 3 3 2" xfId="48783" xr:uid="{00000000-0005-0000-0000-00003DBF0000}"/>
    <cellStyle name="Salida 3 2 4 3 3 3" xfId="48784" xr:uid="{00000000-0005-0000-0000-00003EBF0000}"/>
    <cellStyle name="Salida 3 2 4 3 3 4" xfId="48785" xr:uid="{00000000-0005-0000-0000-00003FBF0000}"/>
    <cellStyle name="Salida 3 2 4 3 4" xfId="48786" xr:uid="{00000000-0005-0000-0000-000040BF0000}"/>
    <cellStyle name="Salida 3 2 4 3 5" xfId="48787" xr:uid="{00000000-0005-0000-0000-000041BF0000}"/>
    <cellStyle name="Salida 3 2 4 3 6" xfId="48788" xr:uid="{00000000-0005-0000-0000-000042BF0000}"/>
    <cellStyle name="Salida 3 2 4 4" xfId="48789" xr:uid="{00000000-0005-0000-0000-000043BF0000}"/>
    <cellStyle name="Salida 3 2 4 5" xfId="48790" xr:uid="{00000000-0005-0000-0000-000044BF0000}"/>
    <cellStyle name="Salida 3 2 4 6" xfId="48791" xr:uid="{00000000-0005-0000-0000-000045BF0000}"/>
    <cellStyle name="Salida 3 2 5" xfId="48792" xr:uid="{00000000-0005-0000-0000-000046BF0000}"/>
    <cellStyle name="Salida 3 2 6" xfId="48793" xr:uid="{00000000-0005-0000-0000-000047BF0000}"/>
    <cellStyle name="Salida 3 3" xfId="48794" xr:uid="{00000000-0005-0000-0000-000048BF0000}"/>
    <cellStyle name="Salida 3 3 10" xfId="48795" xr:uid="{00000000-0005-0000-0000-000049BF0000}"/>
    <cellStyle name="Salida 3 3 10 2" xfId="48796" xr:uid="{00000000-0005-0000-0000-00004ABF0000}"/>
    <cellStyle name="Salida 3 3 10 2 2" xfId="48797" xr:uid="{00000000-0005-0000-0000-00004BBF0000}"/>
    <cellStyle name="Salida 3 3 10 2 3" xfId="48798" xr:uid="{00000000-0005-0000-0000-00004CBF0000}"/>
    <cellStyle name="Salida 3 3 10 2 4" xfId="48799" xr:uid="{00000000-0005-0000-0000-00004DBF0000}"/>
    <cellStyle name="Salida 3 3 10 3" xfId="48800" xr:uid="{00000000-0005-0000-0000-00004EBF0000}"/>
    <cellStyle name="Salida 3 3 10 3 2" xfId="48801" xr:uid="{00000000-0005-0000-0000-00004FBF0000}"/>
    <cellStyle name="Salida 3 3 10 3 2 2" xfId="48802" xr:uid="{00000000-0005-0000-0000-000050BF0000}"/>
    <cellStyle name="Salida 3 3 10 3 2 3" xfId="48803" xr:uid="{00000000-0005-0000-0000-000051BF0000}"/>
    <cellStyle name="Salida 3 3 10 3 2 4" xfId="48804" xr:uid="{00000000-0005-0000-0000-000052BF0000}"/>
    <cellStyle name="Salida 3 3 10 3 3" xfId="48805" xr:uid="{00000000-0005-0000-0000-000053BF0000}"/>
    <cellStyle name="Salida 3 3 10 3 3 2" xfId="48806" xr:uid="{00000000-0005-0000-0000-000054BF0000}"/>
    <cellStyle name="Salida 3 3 10 3 3 3" xfId="48807" xr:uid="{00000000-0005-0000-0000-000055BF0000}"/>
    <cellStyle name="Salida 3 3 10 3 3 4" xfId="48808" xr:uid="{00000000-0005-0000-0000-000056BF0000}"/>
    <cellStyle name="Salida 3 3 10 3 4" xfId="48809" xr:uid="{00000000-0005-0000-0000-000057BF0000}"/>
    <cellStyle name="Salida 3 3 10 3 5" xfId="48810" xr:uid="{00000000-0005-0000-0000-000058BF0000}"/>
    <cellStyle name="Salida 3 3 10 3 6" xfId="48811" xr:uid="{00000000-0005-0000-0000-000059BF0000}"/>
    <cellStyle name="Salida 3 3 10 4" xfId="48812" xr:uid="{00000000-0005-0000-0000-00005ABF0000}"/>
    <cellStyle name="Salida 3 3 10 5" xfId="48813" xr:uid="{00000000-0005-0000-0000-00005BBF0000}"/>
    <cellStyle name="Salida 3 3 11" xfId="48814" xr:uid="{00000000-0005-0000-0000-00005CBF0000}"/>
    <cellStyle name="Salida 3 3 11 2" xfId="48815" xr:uid="{00000000-0005-0000-0000-00005DBF0000}"/>
    <cellStyle name="Salida 3 3 11 2 2" xfId="48816" xr:uid="{00000000-0005-0000-0000-00005EBF0000}"/>
    <cellStyle name="Salida 3 3 11 2 3" xfId="48817" xr:uid="{00000000-0005-0000-0000-00005FBF0000}"/>
    <cellStyle name="Salida 3 3 11 2 4" xfId="48818" xr:uid="{00000000-0005-0000-0000-000060BF0000}"/>
    <cellStyle name="Salida 3 3 11 3" xfId="48819" xr:uid="{00000000-0005-0000-0000-000061BF0000}"/>
    <cellStyle name="Salida 3 3 11 3 2" xfId="48820" xr:uid="{00000000-0005-0000-0000-000062BF0000}"/>
    <cellStyle name="Salida 3 3 11 3 2 2" xfId="48821" xr:uid="{00000000-0005-0000-0000-000063BF0000}"/>
    <cellStyle name="Salida 3 3 11 3 2 3" xfId="48822" xr:uid="{00000000-0005-0000-0000-000064BF0000}"/>
    <cellStyle name="Salida 3 3 11 3 2 4" xfId="48823" xr:uid="{00000000-0005-0000-0000-000065BF0000}"/>
    <cellStyle name="Salida 3 3 11 3 3" xfId="48824" xr:uid="{00000000-0005-0000-0000-000066BF0000}"/>
    <cellStyle name="Salida 3 3 11 3 3 2" xfId="48825" xr:uid="{00000000-0005-0000-0000-000067BF0000}"/>
    <cellStyle name="Salida 3 3 11 3 3 3" xfId="48826" xr:uid="{00000000-0005-0000-0000-000068BF0000}"/>
    <cellStyle name="Salida 3 3 11 3 3 4" xfId="48827" xr:uid="{00000000-0005-0000-0000-000069BF0000}"/>
    <cellStyle name="Salida 3 3 11 3 4" xfId="48828" xr:uid="{00000000-0005-0000-0000-00006ABF0000}"/>
    <cellStyle name="Salida 3 3 11 3 5" xfId="48829" xr:uid="{00000000-0005-0000-0000-00006BBF0000}"/>
    <cellStyle name="Salida 3 3 11 3 6" xfId="48830" xr:uid="{00000000-0005-0000-0000-00006CBF0000}"/>
    <cellStyle name="Salida 3 3 11 4" xfId="48831" xr:uid="{00000000-0005-0000-0000-00006DBF0000}"/>
    <cellStyle name="Salida 3 3 11 5" xfId="48832" xr:uid="{00000000-0005-0000-0000-00006EBF0000}"/>
    <cellStyle name="Salida 3 3 12" xfId="48833" xr:uid="{00000000-0005-0000-0000-00006FBF0000}"/>
    <cellStyle name="Salida 3 3 12 2" xfId="48834" xr:uid="{00000000-0005-0000-0000-000070BF0000}"/>
    <cellStyle name="Salida 3 3 12 2 2" xfId="48835" xr:uid="{00000000-0005-0000-0000-000071BF0000}"/>
    <cellStyle name="Salida 3 3 12 2 2 2" xfId="48836" xr:uid="{00000000-0005-0000-0000-000072BF0000}"/>
    <cellStyle name="Salida 3 3 12 2 2 3" xfId="48837" xr:uid="{00000000-0005-0000-0000-000073BF0000}"/>
    <cellStyle name="Salida 3 3 12 2 2 4" xfId="48838" xr:uid="{00000000-0005-0000-0000-000074BF0000}"/>
    <cellStyle name="Salida 3 3 12 2 3" xfId="48839" xr:uid="{00000000-0005-0000-0000-000075BF0000}"/>
    <cellStyle name="Salida 3 3 12 2 3 2" xfId="48840" xr:uid="{00000000-0005-0000-0000-000076BF0000}"/>
    <cellStyle name="Salida 3 3 12 2 3 3" xfId="48841" xr:uid="{00000000-0005-0000-0000-000077BF0000}"/>
    <cellStyle name="Salida 3 3 12 2 3 4" xfId="48842" xr:uid="{00000000-0005-0000-0000-000078BF0000}"/>
    <cellStyle name="Salida 3 3 12 2 4" xfId="48843" xr:uid="{00000000-0005-0000-0000-000079BF0000}"/>
    <cellStyle name="Salida 3 3 12 2 5" xfId="48844" xr:uid="{00000000-0005-0000-0000-00007ABF0000}"/>
    <cellStyle name="Salida 3 3 12 2 6" xfId="48845" xr:uid="{00000000-0005-0000-0000-00007BBF0000}"/>
    <cellStyle name="Salida 3 3 12 3" xfId="48846" xr:uid="{00000000-0005-0000-0000-00007CBF0000}"/>
    <cellStyle name="Salida 3 3 12 3 2" xfId="48847" xr:uid="{00000000-0005-0000-0000-00007DBF0000}"/>
    <cellStyle name="Salida 3 3 12 3 2 2" xfId="48848" xr:uid="{00000000-0005-0000-0000-00007EBF0000}"/>
    <cellStyle name="Salida 3 3 12 3 2 3" xfId="48849" xr:uid="{00000000-0005-0000-0000-00007FBF0000}"/>
    <cellStyle name="Salida 3 3 12 3 2 4" xfId="48850" xr:uid="{00000000-0005-0000-0000-000080BF0000}"/>
    <cellStyle name="Salida 3 3 12 3 3" xfId="48851" xr:uid="{00000000-0005-0000-0000-000081BF0000}"/>
    <cellStyle name="Salida 3 3 12 3 3 2" xfId="48852" xr:uid="{00000000-0005-0000-0000-000082BF0000}"/>
    <cellStyle name="Salida 3 3 12 3 3 3" xfId="48853" xr:uid="{00000000-0005-0000-0000-000083BF0000}"/>
    <cellStyle name="Salida 3 3 12 3 3 4" xfId="48854" xr:uid="{00000000-0005-0000-0000-000084BF0000}"/>
    <cellStyle name="Salida 3 3 12 3 4" xfId="48855" xr:uid="{00000000-0005-0000-0000-000085BF0000}"/>
    <cellStyle name="Salida 3 3 12 3 5" xfId="48856" xr:uid="{00000000-0005-0000-0000-000086BF0000}"/>
    <cellStyle name="Salida 3 3 12 3 6" xfId="48857" xr:uid="{00000000-0005-0000-0000-000087BF0000}"/>
    <cellStyle name="Salida 3 3 12 4" xfId="48858" xr:uid="{00000000-0005-0000-0000-000088BF0000}"/>
    <cellStyle name="Salida 3 3 12 5" xfId="48859" xr:uid="{00000000-0005-0000-0000-000089BF0000}"/>
    <cellStyle name="Salida 3 3 12 6" xfId="48860" xr:uid="{00000000-0005-0000-0000-00008ABF0000}"/>
    <cellStyle name="Salida 3 3 13" xfId="48861" xr:uid="{00000000-0005-0000-0000-00008BBF0000}"/>
    <cellStyle name="Salida 3 3 14" xfId="48862" xr:uid="{00000000-0005-0000-0000-00008CBF0000}"/>
    <cellStyle name="Salida 3 3 15" xfId="58789" xr:uid="{00000000-0005-0000-0000-00008DBF0000}"/>
    <cellStyle name="Salida 3 3 2" xfId="48863" xr:uid="{00000000-0005-0000-0000-00008EBF0000}"/>
    <cellStyle name="Salida 3 3 2 2" xfId="48864" xr:uid="{00000000-0005-0000-0000-00008FBF0000}"/>
    <cellStyle name="Salida 3 3 2 2 2" xfId="48865" xr:uid="{00000000-0005-0000-0000-000090BF0000}"/>
    <cellStyle name="Salida 3 3 2 2 2 2" xfId="48866" xr:uid="{00000000-0005-0000-0000-000091BF0000}"/>
    <cellStyle name="Salida 3 3 2 2 2 2 2" xfId="48867" xr:uid="{00000000-0005-0000-0000-000092BF0000}"/>
    <cellStyle name="Salida 3 3 2 2 2 2 3" xfId="48868" xr:uid="{00000000-0005-0000-0000-000093BF0000}"/>
    <cellStyle name="Salida 3 3 2 2 2 2 4" xfId="48869" xr:uid="{00000000-0005-0000-0000-000094BF0000}"/>
    <cellStyle name="Salida 3 3 2 2 2 3" xfId="48870" xr:uid="{00000000-0005-0000-0000-000095BF0000}"/>
    <cellStyle name="Salida 3 3 2 2 2 3 2" xfId="48871" xr:uid="{00000000-0005-0000-0000-000096BF0000}"/>
    <cellStyle name="Salida 3 3 2 2 2 3 3" xfId="48872" xr:uid="{00000000-0005-0000-0000-000097BF0000}"/>
    <cellStyle name="Salida 3 3 2 2 2 3 4" xfId="48873" xr:uid="{00000000-0005-0000-0000-000098BF0000}"/>
    <cellStyle name="Salida 3 3 2 2 2 4" xfId="48874" xr:uid="{00000000-0005-0000-0000-000099BF0000}"/>
    <cellStyle name="Salida 3 3 2 2 2 5" xfId="48875" xr:uid="{00000000-0005-0000-0000-00009ABF0000}"/>
    <cellStyle name="Salida 3 3 2 2 2 6" xfId="48876" xr:uid="{00000000-0005-0000-0000-00009BBF0000}"/>
    <cellStyle name="Salida 3 3 2 2 3" xfId="48877" xr:uid="{00000000-0005-0000-0000-00009CBF0000}"/>
    <cellStyle name="Salida 3 3 2 2 3 2" xfId="48878" xr:uid="{00000000-0005-0000-0000-00009DBF0000}"/>
    <cellStyle name="Salida 3 3 2 2 3 2 2" xfId="48879" xr:uid="{00000000-0005-0000-0000-00009EBF0000}"/>
    <cellStyle name="Salida 3 3 2 2 3 2 3" xfId="48880" xr:uid="{00000000-0005-0000-0000-00009FBF0000}"/>
    <cellStyle name="Salida 3 3 2 2 3 2 4" xfId="48881" xr:uid="{00000000-0005-0000-0000-0000A0BF0000}"/>
    <cellStyle name="Salida 3 3 2 2 3 3" xfId="48882" xr:uid="{00000000-0005-0000-0000-0000A1BF0000}"/>
    <cellStyle name="Salida 3 3 2 2 3 3 2" xfId="48883" xr:uid="{00000000-0005-0000-0000-0000A2BF0000}"/>
    <cellStyle name="Salida 3 3 2 2 3 3 3" xfId="48884" xr:uid="{00000000-0005-0000-0000-0000A3BF0000}"/>
    <cellStyle name="Salida 3 3 2 2 3 3 4" xfId="48885" xr:uid="{00000000-0005-0000-0000-0000A4BF0000}"/>
    <cellStyle name="Salida 3 3 2 2 3 4" xfId="48886" xr:uid="{00000000-0005-0000-0000-0000A5BF0000}"/>
    <cellStyle name="Salida 3 3 2 2 3 5" xfId="48887" xr:uid="{00000000-0005-0000-0000-0000A6BF0000}"/>
    <cellStyle name="Salida 3 3 2 2 3 6" xfId="48888" xr:uid="{00000000-0005-0000-0000-0000A7BF0000}"/>
    <cellStyle name="Salida 3 3 2 2 4" xfId="48889" xr:uid="{00000000-0005-0000-0000-0000A8BF0000}"/>
    <cellStyle name="Salida 3 3 2 2 5" xfId="48890" xr:uid="{00000000-0005-0000-0000-0000A9BF0000}"/>
    <cellStyle name="Salida 3 3 2 2 6" xfId="48891" xr:uid="{00000000-0005-0000-0000-0000AABF0000}"/>
    <cellStyle name="Salida 3 3 2 3" xfId="48892" xr:uid="{00000000-0005-0000-0000-0000ABBF0000}"/>
    <cellStyle name="Salida 3 3 2 4" xfId="48893" xr:uid="{00000000-0005-0000-0000-0000ACBF0000}"/>
    <cellStyle name="Salida 3 3 3" xfId="48894" xr:uid="{00000000-0005-0000-0000-0000ADBF0000}"/>
    <cellStyle name="Salida 3 3 3 2" xfId="48895" xr:uid="{00000000-0005-0000-0000-0000AEBF0000}"/>
    <cellStyle name="Salida 3 3 3 2 2" xfId="48896" xr:uid="{00000000-0005-0000-0000-0000AFBF0000}"/>
    <cellStyle name="Salida 3 3 3 2 2 2" xfId="48897" xr:uid="{00000000-0005-0000-0000-0000B0BF0000}"/>
    <cellStyle name="Salida 3 3 3 2 2 2 2" xfId="48898" xr:uid="{00000000-0005-0000-0000-0000B1BF0000}"/>
    <cellStyle name="Salida 3 3 3 2 2 2 3" xfId="48899" xr:uid="{00000000-0005-0000-0000-0000B2BF0000}"/>
    <cellStyle name="Salida 3 3 3 2 2 2 4" xfId="48900" xr:uid="{00000000-0005-0000-0000-0000B3BF0000}"/>
    <cellStyle name="Salida 3 3 3 2 2 3" xfId="48901" xr:uid="{00000000-0005-0000-0000-0000B4BF0000}"/>
    <cellStyle name="Salida 3 3 3 2 2 3 2" xfId="48902" xr:uid="{00000000-0005-0000-0000-0000B5BF0000}"/>
    <cellStyle name="Salida 3 3 3 2 2 3 3" xfId="48903" xr:uid="{00000000-0005-0000-0000-0000B6BF0000}"/>
    <cellStyle name="Salida 3 3 3 2 2 3 4" xfId="48904" xr:uid="{00000000-0005-0000-0000-0000B7BF0000}"/>
    <cellStyle name="Salida 3 3 3 2 2 4" xfId="48905" xr:uid="{00000000-0005-0000-0000-0000B8BF0000}"/>
    <cellStyle name="Salida 3 3 3 2 2 5" xfId="48906" xr:uid="{00000000-0005-0000-0000-0000B9BF0000}"/>
    <cellStyle name="Salida 3 3 3 2 2 6" xfId="48907" xr:uid="{00000000-0005-0000-0000-0000BABF0000}"/>
    <cellStyle name="Salida 3 3 3 2 3" xfId="48908" xr:uid="{00000000-0005-0000-0000-0000BBBF0000}"/>
    <cellStyle name="Salida 3 3 3 2 3 2" xfId="48909" xr:uid="{00000000-0005-0000-0000-0000BCBF0000}"/>
    <cellStyle name="Salida 3 3 3 2 3 2 2" xfId="48910" xr:uid="{00000000-0005-0000-0000-0000BDBF0000}"/>
    <cellStyle name="Salida 3 3 3 2 3 2 3" xfId="48911" xr:uid="{00000000-0005-0000-0000-0000BEBF0000}"/>
    <cellStyle name="Salida 3 3 3 2 3 2 4" xfId="48912" xr:uid="{00000000-0005-0000-0000-0000BFBF0000}"/>
    <cellStyle name="Salida 3 3 3 2 3 3" xfId="48913" xr:uid="{00000000-0005-0000-0000-0000C0BF0000}"/>
    <cellStyle name="Salida 3 3 3 2 3 3 2" xfId="48914" xr:uid="{00000000-0005-0000-0000-0000C1BF0000}"/>
    <cellStyle name="Salida 3 3 3 2 3 3 3" xfId="48915" xr:uid="{00000000-0005-0000-0000-0000C2BF0000}"/>
    <cellStyle name="Salida 3 3 3 2 3 3 4" xfId="48916" xr:uid="{00000000-0005-0000-0000-0000C3BF0000}"/>
    <cellStyle name="Salida 3 3 3 2 3 4" xfId="48917" xr:uid="{00000000-0005-0000-0000-0000C4BF0000}"/>
    <cellStyle name="Salida 3 3 3 2 3 5" xfId="48918" xr:uid="{00000000-0005-0000-0000-0000C5BF0000}"/>
    <cellStyle name="Salida 3 3 3 2 3 6" xfId="48919" xr:uid="{00000000-0005-0000-0000-0000C6BF0000}"/>
    <cellStyle name="Salida 3 3 3 2 4" xfId="48920" xr:uid="{00000000-0005-0000-0000-0000C7BF0000}"/>
    <cellStyle name="Salida 3 3 3 2 5" xfId="48921" xr:uid="{00000000-0005-0000-0000-0000C8BF0000}"/>
    <cellStyle name="Salida 3 3 3 2 6" xfId="48922" xr:uid="{00000000-0005-0000-0000-0000C9BF0000}"/>
    <cellStyle name="Salida 3 3 3 3" xfId="48923" xr:uid="{00000000-0005-0000-0000-0000CABF0000}"/>
    <cellStyle name="Salida 3 3 3 4" xfId="48924" xr:uid="{00000000-0005-0000-0000-0000CBBF0000}"/>
    <cellStyle name="Salida 3 3 4" xfId="48925" xr:uid="{00000000-0005-0000-0000-0000CCBF0000}"/>
    <cellStyle name="Salida 3 3 4 2" xfId="48926" xr:uid="{00000000-0005-0000-0000-0000CDBF0000}"/>
    <cellStyle name="Salida 3 3 4 2 2" xfId="48927" xr:uid="{00000000-0005-0000-0000-0000CEBF0000}"/>
    <cellStyle name="Salida 3 3 4 2 2 2" xfId="48928" xr:uid="{00000000-0005-0000-0000-0000CFBF0000}"/>
    <cellStyle name="Salida 3 3 4 2 2 2 2" xfId="48929" xr:uid="{00000000-0005-0000-0000-0000D0BF0000}"/>
    <cellStyle name="Salida 3 3 4 2 2 2 3" xfId="48930" xr:uid="{00000000-0005-0000-0000-0000D1BF0000}"/>
    <cellStyle name="Salida 3 3 4 2 2 2 4" xfId="48931" xr:uid="{00000000-0005-0000-0000-0000D2BF0000}"/>
    <cellStyle name="Salida 3 3 4 2 2 3" xfId="48932" xr:uid="{00000000-0005-0000-0000-0000D3BF0000}"/>
    <cellStyle name="Salida 3 3 4 2 2 3 2" xfId="48933" xr:uid="{00000000-0005-0000-0000-0000D4BF0000}"/>
    <cellStyle name="Salida 3 3 4 2 2 3 3" xfId="48934" xr:uid="{00000000-0005-0000-0000-0000D5BF0000}"/>
    <cellStyle name="Salida 3 3 4 2 2 3 4" xfId="48935" xr:uid="{00000000-0005-0000-0000-0000D6BF0000}"/>
    <cellStyle name="Salida 3 3 4 2 2 4" xfId="48936" xr:uid="{00000000-0005-0000-0000-0000D7BF0000}"/>
    <cellStyle name="Salida 3 3 4 2 2 5" xfId="48937" xr:uid="{00000000-0005-0000-0000-0000D8BF0000}"/>
    <cellStyle name="Salida 3 3 4 2 2 6" xfId="48938" xr:uid="{00000000-0005-0000-0000-0000D9BF0000}"/>
    <cellStyle name="Salida 3 3 4 2 3" xfId="48939" xr:uid="{00000000-0005-0000-0000-0000DABF0000}"/>
    <cellStyle name="Salida 3 3 4 2 3 2" xfId="48940" xr:uid="{00000000-0005-0000-0000-0000DBBF0000}"/>
    <cellStyle name="Salida 3 3 4 2 3 2 2" xfId="48941" xr:uid="{00000000-0005-0000-0000-0000DCBF0000}"/>
    <cellStyle name="Salida 3 3 4 2 3 2 3" xfId="48942" xr:uid="{00000000-0005-0000-0000-0000DDBF0000}"/>
    <cellStyle name="Salida 3 3 4 2 3 2 4" xfId="48943" xr:uid="{00000000-0005-0000-0000-0000DEBF0000}"/>
    <cellStyle name="Salida 3 3 4 2 3 3" xfId="48944" xr:uid="{00000000-0005-0000-0000-0000DFBF0000}"/>
    <cellStyle name="Salida 3 3 4 2 3 3 2" xfId="48945" xr:uid="{00000000-0005-0000-0000-0000E0BF0000}"/>
    <cellStyle name="Salida 3 3 4 2 3 3 3" xfId="48946" xr:uid="{00000000-0005-0000-0000-0000E1BF0000}"/>
    <cellStyle name="Salida 3 3 4 2 3 3 4" xfId="48947" xr:uid="{00000000-0005-0000-0000-0000E2BF0000}"/>
    <cellStyle name="Salida 3 3 4 2 3 4" xfId="48948" xr:uid="{00000000-0005-0000-0000-0000E3BF0000}"/>
    <cellStyle name="Salida 3 3 4 2 3 5" xfId="48949" xr:uid="{00000000-0005-0000-0000-0000E4BF0000}"/>
    <cellStyle name="Salida 3 3 4 2 3 6" xfId="48950" xr:uid="{00000000-0005-0000-0000-0000E5BF0000}"/>
    <cellStyle name="Salida 3 3 4 2 4" xfId="48951" xr:uid="{00000000-0005-0000-0000-0000E6BF0000}"/>
    <cellStyle name="Salida 3 3 4 2 5" xfId="48952" xr:uid="{00000000-0005-0000-0000-0000E7BF0000}"/>
    <cellStyle name="Salida 3 3 4 2 6" xfId="48953" xr:uid="{00000000-0005-0000-0000-0000E8BF0000}"/>
    <cellStyle name="Salida 3 3 4 3" xfId="48954" xr:uid="{00000000-0005-0000-0000-0000E9BF0000}"/>
    <cellStyle name="Salida 3 3 4 4" xfId="48955" xr:uid="{00000000-0005-0000-0000-0000EABF0000}"/>
    <cellStyle name="Salida 3 3 5" xfId="48956" xr:uid="{00000000-0005-0000-0000-0000EBBF0000}"/>
    <cellStyle name="Salida 3 3 5 2" xfId="48957" xr:uid="{00000000-0005-0000-0000-0000ECBF0000}"/>
    <cellStyle name="Salida 3 3 5 2 2" xfId="48958" xr:uid="{00000000-0005-0000-0000-0000EDBF0000}"/>
    <cellStyle name="Salida 3 3 5 2 3" xfId="48959" xr:uid="{00000000-0005-0000-0000-0000EEBF0000}"/>
    <cellStyle name="Salida 3 3 5 2 4" xfId="48960" xr:uid="{00000000-0005-0000-0000-0000EFBF0000}"/>
    <cellStyle name="Salida 3 3 5 3" xfId="48961" xr:uid="{00000000-0005-0000-0000-0000F0BF0000}"/>
    <cellStyle name="Salida 3 3 5 3 2" xfId="48962" xr:uid="{00000000-0005-0000-0000-0000F1BF0000}"/>
    <cellStyle name="Salida 3 3 5 3 2 2" xfId="48963" xr:uid="{00000000-0005-0000-0000-0000F2BF0000}"/>
    <cellStyle name="Salida 3 3 5 3 2 3" xfId="48964" xr:uid="{00000000-0005-0000-0000-0000F3BF0000}"/>
    <cellStyle name="Salida 3 3 5 3 2 4" xfId="48965" xr:uid="{00000000-0005-0000-0000-0000F4BF0000}"/>
    <cellStyle name="Salida 3 3 5 3 3" xfId="48966" xr:uid="{00000000-0005-0000-0000-0000F5BF0000}"/>
    <cellStyle name="Salida 3 3 5 3 3 2" xfId="48967" xr:uid="{00000000-0005-0000-0000-0000F6BF0000}"/>
    <cellStyle name="Salida 3 3 5 3 3 3" xfId="48968" xr:uid="{00000000-0005-0000-0000-0000F7BF0000}"/>
    <cellStyle name="Salida 3 3 5 3 3 4" xfId="48969" xr:uid="{00000000-0005-0000-0000-0000F8BF0000}"/>
    <cellStyle name="Salida 3 3 5 3 4" xfId="48970" xr:uid="{00000000-0005-0000-0000-0000F9BF0000}"/>
    <cellStyle name="Salida 3 3 5 3 5" xfId="48971" xr:uid="{00000000-0005-0000-0000-0000FABF0000}"/>
    <cellStyle name="Salida 3 3 5 3 6" xfId="48972" xr:uid="{00000000-0005-0000-0000-0000FBBF0000}"/>
    <cellStyle name="Salida 3 3 5 4" xfId="48973" xr:uid="{00000000-0005-0000-0000-0000FCBF0000}"/>
    <cellStyle name="Salida 3 3 5 5" xfId="48974" xr:uid="{00000000-0005-0000-0000-0000FDBF0000}"/>
    <cellStyle name="Salida 3 3 6" xfId="48975" xr:uid="{00000000-0005-0000-0000-0000FEBF0000}"/>
    <cellStyle name="Salida 3 3 6 2" xfId="48976" xr:uid="{00000000-0005-0000-0000-0000FFBF0000}"/>
    <cellStyle name="Salida 3 3 6 2 2" xfId="48977" xr:uid="{00000000-0005-0000-0000-000000C00000}"/>
    <cellStyle name="Salida 3 3 6 2 3" xfId="48978" xr:uid="{00000000-0005-0000-0000-000001C00000}"/>
    <cellStyle name="Salida 3 3 6 2 4" xfId="48979" xr:uid="{00000000-0005-0000-0000-000002C00000}"/>
    <cellStyle name="Salida 3 3 6 3" xfId="48980" xr:uid="{00000000-0005-0000-0000-000003C00000}"/>
    <cellStyle name="Salida 3 3 6 3 2" xfId="48981" xr:uid="{00000000-0005-0000-0000-000004C00000}"/>
    <cellStyle name="Salida 3 3 6 3 2 2" xfId="48982" xr:uid="{00000000-0005-0000-0000-000005C00000}"/>
    <cellStyle name="Salida 3 3 6 3 2 3" xfId="48983" xr:uid="{00000000-0005-0000-0000-000006C00000}"/>
    <cellStyle name="Salida 3 3 6 3 2 4" xfId="48984" xr:uid="{00000000-0005-0000-0000-000007C00000}"/>
    <cellStyle name="Salida 3 3 6 3 3" xfId="48985" xr:uid="{00000000-0005-0000-0000-000008C00000}"/>
    <cellStyle name="Salida 3 3 6 3 3 2" xfId="48986" xr:uid="{00000000-0005-0000-0000-000009C00000}"/>
    <cellStyle name="Salida 3 3 6 3 3 3" xfId="48987" xr:uid="{00000000-0005-0000-0000-00000AC00000}"/>
    <cellStyle name="Salida 3 3 6 3 3 4" xfId="48988" xr:uid="{00000000-0005-0000-0000-00000BC00000}"/>
    <cellStyle name="Salida 3 3 6 3 4" xfId="48989" xr:uid="{00000000-0005-0000-0000-00000CC00000}"/>
    <cellStyle name="Salida 3 3 6 3 5" xfId="48990" xr:uid="{00000000-0005-0000-0000-00000DC00000}"/>
    <cellStyle name="Salida 3 3 6 3 6" xfId="48991" xr:uid="{00000000-0005-0000-0000-00000EC00000}"/>
    <cellStyle name="Salida 3 3 6 4" xfId="48992" xr:uid="{00000000-0005-0000-0000-00000FC00000}"/>
    <cellStyle name="Salida 3 3 6 5" xfId="48993" xr:uid="{00000000-0005-0000-0000-000010C00000}"/>
    <cellStyle name="Salida 3 3 7" xfId="48994" xr:uid="{00000000-0005-0000-0000-000011C00000}"/>
    <cellStyle name="Salida 3 3 7 2" xfId="48995" xr:uid="{00000000-0005-0000-0000-000012C00000}"/>
    <cellStyle name="Salida 3 3 7 2 2" xfId="48996" xr:uid="{00000000-0005-0000-0000-000013C00000}"/>
    <cellStyle name="Salida 3 3 7 2 3" xfId="48997" xr:uid="{00000000-0005-0000-0000-000014C00000}"/>
    <cellStyle name="Salida 3 3 7 2 4" xfId="48998" xr:uid="{00000000-0005-0000-0000-000015C00000}"/>
    <cellStyle name="Salida 3 3 7 3" xfId="48999" xr:uid="{00000000-0005-0000-0000-000016C00000}"/>
    <cellStyle name="Salida 3 3 7 3 2" xfId="49000" xr:uid="{00000000-0005-0000-0000-000017C00000}"/>
    <cellStyle name="Salida 3 3 7 3 2 2" xfId="49001" xr:uid="{00000000-0005-0000-0000-000018C00000}"/>
    <cellStyle name="Salida 3 3 7 3 2 3" xfId="49002" xr:uid="{00000000-0005-0000-0000-000019C00000}"/>
    <cellStyle name="Salida 3 3 7 3 2 4" xfId="49003" xr:uid="{00000000-0005-0000-0000-00001AC00000}"/>
    <cellStyle name="Salida 3 3 7 3 3" xfId="49004" xr:uid="{00000000-0005-0000-0000-00001BC00000}"/>
    <cellStyle name="Salida 3 3 7 3 3 2" xfId="49005" xr:uid="{00000000-0005-0000-0000-00001CC00000}"/>
    <cellStyle name="Salida 3 3 7 3 3 3" xfId="49006" xr:uid="{00000000-0005-0000-0000-00001DC00000}"/>
    <cellStyle name="Salida 3 3 7 3 3 4" xfId="49007" xr:uid="{00000000-0005-0000-0000-00001EC00000}"/>
    <cellStyle name="Salida 3 3 7 3 4" xfId="49008" xr:uid="{00000000-0005-0000-0000-00001FC00000}"/>
    <cellStyle name="Salida 3 3 7 3 5" xfId="49009" xr:uid="{00000000-0005-0000-0000-000020C00000}"/>
    <cellStyle name="Salida 3 3 7 3 6" xfId="49010" xr:uid="{00000000-0005-0000-0000-000021C00000}"/>
    <cellStyle name="Salida 3 3 7 4" xfId="49011" xr:uid="{00000000-0005-0000-0000-000022C00000}"/>
    <cellStyle name="Salida 3 3 7 5" xfId="49012" xr:uid="{00000000-0005-0000-0000-000023C00000}"/>
    <cellStyle name="Salida 3 3 8" xfId="49013" xr:uid="{00000000-0005-0000-0000-000024C00000}"/>
    <cellStyle name="Salida 3 3 8 2" xfId="49014" xr:uid="{00000000-0005-0000-0000-000025C00000}"/>
    <cellStyle name="Salida 3 3 8 2 2" xfId="49015" xr:uid="{00000000-0005-0000-0000-000026C00000}"/>
    <cellStyle name="Salida 3 3 8 2 3" xfId="49016" xr:uid="{00000000-0005-0000-0000-000027C00000}"/>
    <cellStyle name="Salida 3 3 8 2 4" xfId="49017" xr:uid="{00000000-0005-0000-0000-000028C00000}"/>
    <cellStyle name="Salida 3 3 8 3" xfId="49018" xr:uid="{00000000-0005-0000-0000-000029C00000}"/>
    <cellStyle name="Salida 3 3 8 3 2" xfId="49019" xr:uid="{00000000-0005-0000-0000-00002AC00000}"/>
    <cellStyle name="Salida 3 3 8 3 2 2" xfId="49020" xr:uid="{00000000-0005-0000-0000-00002BC00000}"/>
    <cellStyle name="Salida 3 3 8 3 2 3" xfId="49021" xr:uid="{00000000-0005-0000-0000-00002CC00000}"/>
    <cellStyle name="Salida 3 3 8 3 2 4" xfId="49022" xr:uid="{00000000-0005-0000-0000-00002DC00000}"/>
    <cellStyle name="Salida 3 3 8 3 3" xfId="49023" xr:uid="{00000000-0005-0000-0000-00002EC00000}"/>
    <cellStyle name="Salida 3 3 8 3 3 2" xfId="49024" xr:uid="{00000000-0005-0000-0000-00002FC00000}"/>
    <cellStyle name="Salida 3 3 8 3 3 3" xfId="49025" xr:uid="{00000000-0005-0000-0000-000030C00000}"/>
    <cellStyle name="Salida 3 3 8 3 3 4" xfId="49026" xr:uid="{00000000-0005-0000-0000-000031C00000}"/>
    <cellStyle name="Salida 3 3 8 3 4" xfId="49027" xr:uid="{00000000-0005-0000-0000-000032C00000}"/>
    <cellStyle name="Salida 3 3 8 3 5" xfId="49028" xr:uid="{00000000-0005-0000-0000-000033C00000}"/>
    <cellStyle name="Salida 3 3 8 3 6" xfId="49029" xr:uid="{00000000-0005-0000-0000-000034C00000}"/>
    <cellStyle name="Salida 3 3 8 4" xfId="49030" xr:uid="{00000000-0005-0000-0000-000035C00000}"/>
    <cellStyle name="Salida 3 3 8 5" xfId="49031" xr:uid="{00000000-0005-0000-0000-000036C00000}"/>
    <cellStyle name="Salida 3 3 9" xfId="49032" xr:uid="{00000000-0005-0000-0000-000037C00000}"/>
    <cellStyle name="Salida 3 3 9 2" xfId="49033" xr:uid="{00000000-0005-0000-0000-000038C00000}"/>
    <cellStyle name="Salida 3 3 9 2 2" xfId="49034" xr:uid="{00000000-0005-0000-0000-000039C00000}"/>
    <cellStyle name="Salida 3 3 9 2 3" xfId="49035" xr:uid="{00000000-0005-0000-0000-00003AC00000}"/>
    <cellStyle name="Salida 3 3 9 2 4" xfId="49036" xr:uid="{00000000-0005-0000-0000-00003BC00000}"/>
    <cellStyle name="Salida 3 3 9 3" xfId="49037" xr:uid="{00000000-0005-0000-0000-00003CC00000}"/>
    <cellStyle name="Salida 3 3 9 3 2" xfId="49038" xr:uid="{00000000-0005-0000-0000-00003DC00000}"/>
    <cellStyle name="Salida 3 3 9 3 2 2" xfId="49039" xr:uid="{00000000-0005-0000-0000-00003EC00000}"/>
    <cellStyle name="Salida 3 3 9 3 2 3" xfId="49040" xr:uid="{00000000-0005-0000-0000-00003FC00000}"/>
    <cellStyle name="Salida 3 3 9 3 2 4" xfId="49041" xr:uid="{00000000-0005-0000-0000-000040C00000}"/>
    <cellStyle name="Salida 3 3 9 3 3" xfId="49042" xr:uid="{00000000-0005-0000-0000-000041C00000}"/>
    <cellStyle name="Salida 3 3 9 3 3 2" xfId="49043" xr:uid="{00000000-0005-0000-0000-000042C00000}"/>
    <cellStyle name="Salida 3 3 9 3 3 3" xfId="49044" xr:uid="{00000000-0005-0000-0000-000043C00000}"/>
    <cellStyle name="Salida 3 3 9 3 3 4" xfId="49045" xr:uid="{00000000-0005-0000-0000-000044C00000}"/>
    <cellStyle name="Salida 3 3 9 3 4" xfId="49046" xr:uid="{00000000-0005-0000-0000-000045C00000}"/>
    <cellStyle name="Salida 3 3 9 3 5" xfId="49047" xr:uid="{00000000-0005-0000-0000-000046C00000}"/>
    <cellStyle name="Salida 3 3 9 3 6" xfId="49048" xr:uid="{00000000-0005-0000-0000-000047C00000}"/>
    <cellStyle name="Salida 3 3 9 4" xfId="49049" xr:uid="{00000000-0005-0000-0000-000048C00000}"/>
    <cellStyle name="Salida 3 3 9 5" xfId="49050" xr:uid="{00000000-0005-0000-0000-000049C00000}"/>
    <cellStyle name="Salida 3 4" xfId="49051" xr:uid="{00000000-0005-0000-0000-00004AC00000}"/>
    <cellStyle name="Salida 3 4 10" xfId="49052" xr:uid="{00000000-0005-0000-0000-00004BC00000}"/>
    <cellStyle name="Salida 3 4 10 2" xfId="49053" xr:uid="{00000000-0005-0000-0000-00004CC00000}"/>
    <cellStyle name="Salida 3 4 10 2 2" xfId="49054" xr:uid="{00000000-0005-0000-0000-00004DC00000}"/>
    <cellStyle name="Salida 3 4 10 2 3" xfId="49055" xr:uid="{00000000-0005-0000-0000-00004EC00000}"/>
    <cellStyle name="Salida 3 4 10 2 4" xfId="49056" xr:uid="{00000000-0005-0000-0000-00004FC00000}"/>
    <cellStyle name="Salida 3 4 10 3" xfId="49057" xr:uid="{00000000-0005-0000-0000-000050C00000}"/>
    <cellStyle name="Salida 3 4 10 3 2" xfId="49058" xr:uid="{00000000-0005-0000-0000-000051C00000}"/>
    <cellStyle name="Salida 3 4 10 3 2 2" xfId="49059" xr:uid="{00000000-0005-0000-0000-000052C00000}"/>
    <cellStyle name="Salida 3 4 10 3 2 3" xfId="49060" xr:uid="{00000000-0005-0000-0000-000053C00000}"/>
    <cellStyle name="Salida 3 4 10 3 2 4" xfId="49061" xr:uid="{00000000-0005-0000-0000-000054C00000}"/>
    <cellStyle name="Salida 3 4 10 3 3" xfId="49062" xr:uid="{00000000-0005-0000-0000-000055C00000}"/>
    <cellStyle name="Salida 3 4 10 3 3 2" xfId="49063" xr:uid="{00000000-0005-0000-0000-000056C00000}"/>
    <cellStyle name="Salida 3 4 10 3 3 3" xfId="49064" xr:uid="{00000000-0005-0000-0000-000057C00000}"/>
    <cellStyle name="Salida 3 4 10 3 3 4" xfId="49065" xr:uid="{00000000-0005-0000-0000-000058C00000}"/>
    <cellStyle name="Salida 3 4 10 3 4" xfId="49066" xr:uid="{00000000-0005-0000-0000-000059C00000}"/>
    <cellStyle name="Salida 3 4 10 3 5" xfId="49067" xr:uid="{00000000-0005-0000-0000-00005AC00000}"/>
    <cellStyle name="Salida 3 4 10 3 6" xfId="49068" xr:uid="{00000000-0005-0000-0000-00005BC00000}"/>
    <cellStyle name="Salida 3 4 10 4" xfId="49069" xr:uid="{00000000-0005-0000-0000-00005CC00000}"/>
    <cellStyle name="Salida 3 4 10 5" xfId="49070" xr:uid="{00000000-0005-0000-0000-00005DC00000}"/>
    <cellStyle name="Salida 3 4 11" xfId="49071" xr:uid="{00000000-0005-0000-0000-00005EC00000}"/>
    <cellStyle name="Salida 3 4 11 2" xfId="49072" xr:uid="{00000000-0005-0000-0000-00005FC00000}"/>
    <cellStyle name="Salida 3 4 11 2 2" xfId="49073" xr:uid="{00000000-0005-0000-0000-000060C00000}"/>
    <cellStyle name="Salida 3 4 11 2 3" xfId="49074" xr:uid="{00000000-0005-0000-0000-000061C00000}"/>
    <cellStyle name="Salida 3 4 11 2 4" xfId="49075" xr:uid="{00000000-0005-0000-0000-000062C00000}"/>
    <cellStyle name="Salida 3 4 11 3" xfId="49076" xr:uid="{00000000-0005-0000-0000-000063C00000}"/>
    <cellStyle name="Salida 3 4 11 3 2" xfId="49077" xr:uid="{00000000-0005-0000-0000-000064C00000}"/>
    <cellStyle name="Salida 3 4 11 3 2 2" xfId="49078" xr:uid="{00000000-0005-0000-0000-000065C00000}"/>
    <cellStyle name="Salida 3 4 11 3 2 3" xfId="49079" xr:uid="{00000000-0005-0000-0000-000066C00000}"/>
    <cellStyle name="Salida 3 4 11 3 2 4" xfId="49080" xr:uid="{00000000-0005-0000-0000-000067C00000}"/>
    <cellStyle name="Salida 3 4 11 3 3" xfId="49081" xr:uid="{00000000-0005-0000-0000-000068C00000}"/>
    <cellStyle name="Salida 3 4 11 3 3 2" xfId="49082" xr:uid="{00000000-0005-0000-0000-000069C00000}"/>
    <cellStyle name="Salida 3 4 11 3 3 3" xfId="49083" xr:uid="{00000000-0005-0000-0000-00006AC00000}"/>
    <cellStyle name="Salida 3 4 11 3 3 4" xfId="49084" xr:uid="{00000000-0005-0000-0000-00006BC00000}"/>
    <cellStyle name="Salida 3 4 11 3 4" xfId="49085" xr:uid="{00000000-0005-0000-0000-00006CC00000}"/>
    <cellStyle name="Salida 3 4 11 3 5" xfId="49086" xr:uid="{00000000-0005-0000-0000-00006DC00000}"/>
    <cellStyle name="Salida 3 4 11 3 6" xfId="49087" xr:uid="{00000000-0005-0000-0000-00006EC00000}"/>
    <cellStyle name="Salida 3 4 11 4" xfId="49088" xr:uid="{00000000-0005-0000-0000-00006FC00000}"/>
    <cellStyle name="Salida 3 4 11 5" xfId="49089" xr:uid="{00000000-0005-0000-0000-000070C00000}"/>
    <cellStyle name="Salida 3 4 12" xfId="49090" xr:uid="{00000000-0005-0000-0000-000071C00000}"/>
    <cellStyle name="Salida 3 4 12 2" xfId="49091" xr:uid="{00000000-0005-0000-0000-000072C00000}"/>
    <cellStyle name="Salida 3 4 12 2 2" xfId="49092" xr:uid="{00000000-0005-0000-0000-000073C00000}"/>
    <cellStyle name="Salida 3 4 12 2 2 2" xfId="49093" xr:uid="{00000000-0005-0000-0000-000074C00000}"/>
    <cellStyle name="Salida 3 4 12 2 2 3" xfId="49094" xr:uid="{00000000-0005-0000-0000-000075C00000}"/>
    <cellStyle name="Salida 3 4 12 2 2 4" xfId="49095" xr:uid="{00000000-0005-0000-0000-000076C00000}"/>
    <cellStyle name="Salida 3 4 12 2 3" xfId="49096" xr:uid="{00000000-0005-0000-0000-000077C00000}"/>
    <cellStyle name="Salida 3 4 12 2 3 2" xfId="49097" xr:uid="{00000000-0005-0000-0000-000078C00000}"/>
    <cellStyle name="Salida 3 4 12 2 3 3" xfId="49098" xr:uid="{00000000-0005-0000-0000-000079C00000}"/>
    <cellStyle name="Salida 3 4 12 2 3 4" xfId="49099" xr:uid="{00000000-0005-0000-0000-00007AC00000}"/>
    <cellStyle name="Salida 3 4 12 2 4" xfId="49100" xr:uid="{00000000-0005-0000-0000-00007BC00000}"/>
    <cellStyle name="Salida 3 4 12 2 5" xfId="49101" xr:uid="{00000000-0005-0000-0000-00007CC00000}"/>
    <cellStyle name="Salida 3 4 12 2 6" xfId="49102" xr:uid="{00000000-0005-0000-0000-00007DC00000}"/>
    <cellStyle name="Salida 3 4 12 3" xfId="49103" xr:uid="{00000000-0005-0000-0000-00007EC00000}"/>
    <cellStyle name="Salida 3 4 12 3 2" xfId="49104" xr:uid="{00000000-0005-0000-0000-00007FC00000}"/>
    <cellStyle name="Salida 3 4 12 3 2 2" xfId="49105" xr:uid="{00000000-0005-0000-0000-000080C00000}"/>
    <cellStyle name="Salida 3 4 12 3 2 3" xfId="49106" xr:uid="{00000000-0005-0000-0000-000081C00000}"/>
    <cellStyle name="Salida 3 4 12 3 2 4" xfId="49107" xr:uid="{00000000-0005-0000-0000-000082C00000}"/>
    <cellStyle name="Salida 3 4 12 3 3" xfId="49108" xr:uid="{00000000-0005-0000-0000-000083C00000}"/>
    <cellStyle name="Salida 3 4 12 3 3 2" xfId="49109" xr:uid="{00000000-0005-0000-0000-000084C00000}"/>
    <cellStyle name="Salida 3 4 12 3 3 3" xfId="49110" xr:uid="{00000000-0005-0000-0000-000085C00000}"/>
    <cellStyle name="Salida 3 4 12 3 3 4" xfId="49111" xr:uid="{00000000-0005-0000-0000-000086C00000}"/>
    <cellStyle name="Salida 3 4 12 3 4" xfId="49112" xr:uid="{00000000-0005-0000-0000-000087C00000}"/>
    <cellStyle name="Salida 3 4 12 3 5" xfId="49113" xr:uid="{00000000-0005-0000-0000-000088C00000}"/>
    <cellStyle name="Salida 3 4 12 3 6" xfId="49114" xr:uid="{00000000-0005-0000-0000-000089C00000}"/>
    <cellStyle name="Salida 3 4 12 4" xfId="49115" xr:uid="{00000000-0005-0000-0000-00008AC00000}"/>
    <cellStyle name="Salida 3 4 12 5" xfId="49116" xr:uid="{00000000-0005-0000-0000-00008BC00000}"/>
    <cellStyle name="Salida 3 4 12 6" xfId="49117" xr:uid="{00000000-0005-0000-0000-00008CC00000}"/>
    <cellStyle name="Salida 3 4 13" xfId="49118" xr:uid="{00000000-0005-0000-0000-00008DC00000}"/>
    <cellStyle name="Salida 3 4 14" xfId="49119" xr:uid="{00000000-0005-0000-0000-00008EC00000}"/>
    <cellStyle name="Salida 3 4 15" xfId="58790" xr:uid="{00000000-0005-0000-0000-00008FC00000}"/>
    <cellStyle name="Salida 3 4 2" xfId="49120" xr:uid="{00000000-0005-0000-0000-000090C00000}"/>
    <cellStyle name="Salida 3 4 2 2" xfId="49121" xr:uid="{00000000-0005-0000-0000-000091C00000}"/>
    <cellStyle name="Salida 3 4 2 2 2" xfId="49122" xr:uid="{00000000-0005-0000-0000-000092C00000}"/>
    <cellStyle name="Salida 3 4 2 2 2 2" xfId="49123" xr:uid="{00000000-0005-0000-0000-000093C00000}"/>
    <cellStyle name="Salida 3 4 2 2 2 2 2" xfId="49124" xr:uid="{00000000-0005-0000-0000-000094C00000}"/>
    <cellStyle name="Salida 3 4 2 2 2 2 3" xfId="49125" xr:uid="{00000000-0005-0000-0000-000095C00000}"/>
    <cellStyle name="Salida 3 4 2 2 2 2 4" xfId="49126" xr:uid="{00000000-0005-0000-0000-000096C00000}"/>
    <cellStyle name="Salida 3 4 2 2 2 3" xfId="49127" xr:uid="{00000000-0005-0000-0000-000097C00000}"/>
    <cellStyle name="Salida 3 4 2 2 2 3 2" xfId="49128" xr:uid="{00000000-0005-0000-0000-000098C00000}"/>
    <cellStyle name="Salida 3 4 2 2 2 3 3" xfId="49129" xr:uid="{00000000-0005-0000-0000-000099C00000}"/>
    <cellStyle name="Salida 3 4 2 2 2 3 4" xfId="49130" xr:uid="{00000000-0005-0000-0000-00009AC00000}"/>
    <cellStyle name="Salida 3 4 2 2 2 4" xfId="49131" xr:uid="{00000000-0005-0000-0000-00009BC00000}"/>
    <cellStyle name="Salida 3 4 2 2 2 5" xfId="49132" xr:uid="{00000000-0005-0000-0000-00009CC00000}"/>
    <cellStyle name="Salida 3 4 2 2 2 6" xfId="49133" xr:uid="{00000000-0005-0000-0000-00009DC00000}"/>
    <cellStyle name="Salida 3 4 2 2 3" xfId="49134" xr:uid="{00000000-0005-0000-0000-00009EC00000}"/>
    <cellStyle name="Salida 3 4 2 2 3 2" xfId="49135" xr:uid="{00000000-0005-0000-0000-00009FC00000}"/>
    <cellStyle name="Salida 3 4 2 2 3 2 2" xfId="49136" xr:uid="{00000000-0005-0000-0000-0000A0C00000}"/>
    <cellStyle name="Salida 3 4 2 2 3 2 3" xfId="49137" xr:uid="{00000000-0005-0000-0000-0000A1C00000}"/>
    <cellStyle name="Salida 3 4 2 2 3 2 4" xfId="49138" xr:uid="{00000000-0005-0000-0000-0000A2C00000}"/>
    <cellStyle name="Salida 3 4 2 2 3 3" xfId="49139" xr:uid="{00000000-0005-0000-0000-0000A3C00000}"/>
    <cellStyle name="Salida 3 4 2 2 3 3 2" xfId="49140" xr:uid="{00000000-0005-0000-0000-0000A4C00000}"/>
    <cellStyle name="Salida 3 4 2 2 3 3 3" xfId="49141" xr:uid="{00000000-0005-0000-0000-0000A5C00000}"/>
    <cellStyle name="Salida 3 4 2 2 3 3 4" xfId="49142" xr:uid="{00000000-0005-0000-0000-0000A6C00000}"/>
    <cellStyle name="Salida 3 4 2 2 3 4" xfId="49143" xr:uid="{00000000-0005-0000-0000-0000A7C00000}"/>
    <cellStyle name="Salida 3 4 2 2 3 5" xfId="49144" xr:uid="{00000000-0005-0000-0000-0000A8C00000}"/>
    <cellStyle name="Salida 3 4 2 2 3 6" xfId="49145" xr:uid="{00000000-0005-0000-0000-0000A9C00000}"/>
    <cellStyle name="Salida 3 4 2 2 4" xfId="49146" xr:uid="{00000000-0005-0000-0000-0000AAC00000}"/>
    <cellStyle name="Salida 3 4 2 2 5" xfId="49147" xr:uid="{00000000-0005-0000-0000-0000ABC00000}"/>
    <cellStyle name="Salida 3 4 2 2 6" xfId="49148" xr:uid="{00000000-0005-0000-0000-0000ACC00000}"/>
    <cellStyle name="Salida 3 4 2 3" xfId="49149" xr:uid="{00000000-0005-0000-0000-0000ADC00000}"/>
    <cellStyle name="Salida 3 4 2 4" xfId="49150" xr:uid="{00000000-0005-0000-0000-0000AEC00000}"/>
    <cellStyle name="Salida 3 4 3" xfId="49151" xr:uid="{00000000-0005-0000-0000-0000AFC00000}"/>
    <cellStyle name="Salida 3 4 3 2" xfId="49152" xr:uid="{00000000-0005-0000-0000-0000B0C00000}"/>
    <cellStyle name="Salida 3 4 3 2 2" xfId="49153" xr:uid="{00000000-0005-0000-0000-0000B1C00000}"/>
    <cellStyle name="Salida 3 4 3 2 2 2" xfId="49154" xr:uid="{00000000-0005-0000-0000-0000B2C00000}"/>
    <cellStyle name="Salida 3 4 3 2 2 2 2" xfId="49155" xr:uid="{00000000-0005-0000-0000-0000B3C00000}"/>
    <cellStyle name="Salida 3 4 3 2 2 2 3" xfId="49156" xr:uid="{00000000-0005-0000-0000-0000B4C00000}"/>
    <cellStyle name="Salida 3 4 3 2 2 2 4" xfId="49157" xr:uid="{00000000-0005-0000-0000-0000B5C00000}"/>
    <cellStyle name="Salida 3 4 3 2 2 3" xfId="49158" xr:uid="{00000000-0005-0000-0000-0000B6C00000}"/>
    <cellStyle name="Salida 3 4 3 2 2 3 2" xfId="49159" xr:uid="{00000000-0005-0000-0000-0000B7C00000}"/>
    <cellStyle name="Salida 3 4 3 2 2 3 3" xfId="49160" xr:uid="{00000000-0005-0000-0000-0000B8C00000}"/>
    <cellStyle name="Salida 3 4 3 2 2 3 4" xfId="49161" xr:uid="{00000000-0005-0000-0000-0000B9C00000}"/>
    <cellStyle name="Salida 3 4 3 2 2 4" xfId="49162" xr:uid="{00000000-0005-0000-0000-0000BAC00000}"/>
    <cellStyle name="Salida 3 4 3 2 2 5" xfId="49163" xr:uid="{00000000-0005-0000-0000-0000BBC00000}"/>
    <cellStyle name="Salida 3 4 3 2 2 6" xfId="49164" xr:uid="{00000000-0005-0000-0000-0000BCC00000}"/>
    <cellStyle name="Salida 3 4 3 2 3" xfId="49165" xr:uid="{00000000-0005-0000-0000-0000BDC00000}"/>
    <cellStyle name="Salida 3 4 3 2 3 2" xfId="49166" xr:uid="{00000000-0005-0000-0000-0000BEC00000}"/>
    <cellStyle name="Salida 3 4 3 2 3 2 2" xfId="49167" xr:uid="{00000000-0005-0000-0000-0000BFC00000}"/>
    <cellStyle name="Salida 3 4 3 2 3 2 3" xfId="49168" xr:uid="{00000000-0005-0000-0000-0000C0C00000}"/>
    <cellStyle name="Salida 3 4 3 2 3 2 4" xfId="49169" xr:uid="{00000000-0005-0000-0000-0000C1C00000}"/>
    <cellStyle name="Salida 3 4 3 2 3 3" xfId="49170" xr:uid="{00000000-0005-0000-0000-0000C2C00000}"/>
    <cellStyle name="Salida 3 4 3 2 3 3 2" xfId="49171" xr:uid="{00000000-0005-0000-0000-0000C3C00000}"/>
    <cellStyle name="Salida 3 4 3 2 3 3 3" xfId="49172" xr:uid="{00000000-0005-0000-0000-0000C4C00000}"/>
    <cellStyle name="Salida 3 4 3 2 3 3 4" xfId="49173" xr:uid="{00000000-0005-0000-0000-0000C5C00000}"/>
    <cellStyle name="Salida 3 4 3 2 3 4" xfId="49174" xr:uid="{00000000-0005-0000-0000-0000C6C00000}"/>
    <cellStyle name="Salida 3 4 3 2 3 5" xfId="49175" xr:uid="{00000000-0005-0000-0000-0000C7C00000}"/>
    <cellStyle name="Salida 3 4 3 2 3 6" xfId="49176" xr:uid="{00000000-0005-0000-0000-0000C8C00000}"/>
    <cellStyle name="Salida 3 4 3 2 4" xfId="49177" xr:uid="{00000000-0005-0000-0000-0000C9C00000}"/>
    <cellStyle name="Salida 3 4 3 2 5" xfId="49178" xr:uid="{00000000-0005-0000-0000-0000CAC00000}"/>
    <cellStyle name="Salida 3 4 3 2 6" xfId="49179" xr:uid="{00000000-0005-0000-0000-0000CBC00000}"/>
    <cellStyle name="Salida 3 4 3 3" xfId="49180" xr:uid="{00000000-0005-0000-0000-0000CCC00000}"/>
    <cellStyle name="Salida 3 4 3 4" xfId="49181" xr:uid="{00000000-0005-0000-0000-0000CDC00000}"/>
    <cellStyle name="Salida 3 4 4" xfId="49182" xr:uid="{00000000-0005-0000-0000-0000CEC00000}"/>
    <cellStyle name="Salida 3 4 4 2" xfId="49183" xr:uid="{00000000-0005-0000-0000-0000CFC00000}"/>
    <cellStyle name="Salida 3 4 4 2 2" xfId="49184" xr:uid="{00000000-0005-0000-0000-0000D0C00000}"/>
    <cellStyle name="Salida 3 4 4 2 2 2" xfId="49185" xr:uid="{00000000-0005-0000-0000-0000D1C00000}"/>
    <cellStyle name="Salida 3 4 4 2 2 2 2" xfId="49186" xr:uid="{00000000-0005-0000-0000-0000D2C00000}"/>
    <cellStyle name="Salida 3 4 4 2 2 2 3" xfId="49187" xr:uid="{00000000-0005-0000-0000-0000D3C00000}"/>
    <cellStyle name="Salida 3 4 4 2 2 2 4" xfId="49188" xr:uid="{00000000-0005-0000-0000-0000D4C00000}"/>
    <cellStyle name="Salida 3 4 4 2 2 3" xfId="49189" xr:uid="{00000000-0005-0000-0000-0000D5C00000}"/>
    <cellStyle name="Salida 3 4 4 2 2 3 2" xfId="49190" xr:uid="{00000000-0005-0000-0000-0000D6C00000}"/>
    <cellStyle name="Salida 3 4 4 2 2 3 3" xfId="49191" xr:uid="{00000000-0005-0000-0000-0000D7C00000}"/>
    <cellStyle name="Salida 3 4 4 2 2 3 4" xfId="49192" xr:uid="{00000000-0005-0000-0000-0000D8C00000}"/>
    <cellStyle name="Salida 3 4 4 2 2 4" xfId="49193" xr:uid="{00000000-0005-0000-0000-0000D9C00000}"/>
    <cellStyle name="Salida 3 4 4 2 2 5" xfId="49194" xr:uid="{00000000-0005-0000-0000-0000DAC00000}"/>
    <cellStyle name="Salida 3 4 4 2 2 6" xfId="49195" xr:uid="{00000000-0005-0000-0000-0000DBC00000}"/>
    <cellStyle name="Salida 3 4 4 2 3" xfId="49196" xr:uid="{00000000-0005-0000-0000-0000DCC00000}"/>
    <cellStyle name="Salida 3 4 4 2 3 2" xfId="49197" xr:uid="{00000000-0005-0000-0000-0000DDC00000}"/>
    <cellStyle name="Salida 3 4 4 2 3 2 2" xfId="49198" xr:uid="{00000000-0005-0000-0000-0000DEC00000}"/>
    <cellStyle name="Salida 3 4 4 2 3 2 3" xfId="49199" xr:uid="{00000000-0005-0000-0000-0000DFC00000}"/>
    <cellStyle name="Salida 3 4 4 2 3 2 4" xfId="49200" xr:uid="{00000000-0005-0000-0000-0000E0C00000}"/>
    <cellStyle name="Salida 3 4 4 2 3 3" xfId="49201" xr:uid="{00000000-0005-0000-0000-0000E1C00000}"/>
    <cellStyle name="Salida 3 4 4 2 3 3 2" xfId="49202" xr:uid="{00000000-0005-0000-0000-0000E2C00000}"/>
    <cellStyle name="Salida 3 4 4 2 3 3 3" xfId="49203" xr:uid="{00000000-0005-0000-0000-0000E3C00000}"/>
    <cellStyle name="Salida 3 4 4 2 3 3 4" xfId="49204" xr:uid="{00000000-0005-0000-0000-0000E4C00000}"/>
    <cellStyle name="Salida 3 4 4 2 3 4" xfId="49205" xr:uid="{00000000-0005-0000-0000-0000E5C00000}"/>
    <cellStyle name="Salida 3 4 4 2 3 5" xfId="49206" xr:uid="{00000000-0005-0000-0000-0000E6C00000}"/>
    <cellStyle name="Salida 3 4 4 2 3 6" xfId="49207" xr:uid="{00000000-0005-0000-0000-0000E7C00000}"/>
    <cellStyle name="Salida 3 4 4 2 4" xfId="49208" xr:uid="{00000000-0005-0000-0000-0000E8C00000}"/>
    <cellStyle name="Salida 3 4 4 2 5" xfId="49209" xr:uid="{00000000-0005-0000-0000-0000E9C00000}"/>
    <cellStyle name="Salida 3 4 4 2 6" xfId="49210" xr:uid="{00000000-0005-0000-0000-0000EAC00000}"/>
    <cellStyle name="Salida 3 4 4 3" xfId="49211" xr:uid="{00000000-0005-0000-0000-0000EBC00000}"/>
    <cellStyle name="Salida 3 4 4 4" xfId="49212" xr:uid="{00000000-0005-0000-0000-0000ECC00000}"/>
    <cellStyle name="Salida 3 4 5" xfId="49213" xr:uid="{00000000-0005-0000-0000-0000EDC00000}"/>
    <cellStyle name="Salida 3 4 5 2" xfId="49214" xr:uid="{00000000-0005-0000-0000-0000EEC00000}"/>
    <cellStyle name="Salida 3 4 5 2 2" xfId="49215" xr:uid="{00000000-0005-0000-0000-0000EFC00000}"/>
    <cellStyle name="Salida 3 4 5 2 3" xfId="49216" xr:uid="{00000000-0005-0000-0000-0000F0C00000}"/>
    <cellStyle name="Salida 3 4 5 2 4" xfId="49217" xr:uid="{00000000-0005-0000-0000-0000F1C00000}"/>
    <cellStyle name="Salida 3 4 5 3" xfId="49218" xr:uid="{00000000-0005-0000-0000-0000F2C00000}"/>
    <cellStyle name="Salida 3 4 5 3 2" xfId="49219" xr:uid="{00000000-0005-0000-0000-0000F3C00000}"/>
    <cellStyle name="Salida 3 4 5 3 2 2" xfId="49220" xr:uid="{00000000-0005-0000-0000-0000F4C00000}"/>
    <cellStyle name="Salida 3 4 5 3 2 3" xfId="49221" xr:uid="{00000000-0005-0000-0000-0000F5C00000}"/>
    <cellStyle name="Salida 3 4 5 3 2 4" xfId="49222" xr:uid="{00000000-0005-0000-0000-0000F6C00000}"/>
    <cellStyle name="Salida 3 4 5 3 3" xfId="49223" xr:uid="{00000000-0005-0000-0000-0000F7C00000}"/>
    <cellStyle name="Salida 3 4 5 3 3 2" xfId="49224" xr:uid="{00000000-0005-0000-0000-0000F8C00000}"/>
    <cellStyle name="Salida 3 4 5 3 3 3" xfId="49225" xr:uid="{00000000-0005-0000-0000-0000F9C00000}"/>
    <cellStyle name="Salida 3 4 5 3 3 4" xfId="49226" xr:uid="{00000000-0005-0000-0000-0000FAC00000}"/>
    <cellStyle name="Salida 3 4 5 3 4" xfId="49227" xr:uid="{00000000-0005-0000-0000-0000FBC00000}"/>
    <cellStyle name="Salida 3 4 5 3 5" xfId="49228" xr:uid="{00000000-0005-0000-0000-0000FCC00000}"/>
    <cellStyle name="Salida 3 4 5 3 6" xfId="49229" xr:uid="{00000000-0005-0000-0000-0000FDC00000}"/>
    <cellStyle name="Salida 3 4 5 4" xfId="49230" xr:uid="{00000000-0005-0000-0000-0000FEC00000}"/>
    <cellStyle name="Salida 3 4 5 5" xfId="49231" xr:uid="{00000000-0005-0000-0000-0000FFC00000}"/>
    <cellStyle name="Salida 3 4 6" xfId="49232" xr:uid="{00000000-0005-0000-0000-000000C10000}"/>
    <cellStyle name="Salida 3 4 6 2" xfId="49233" xr:uid="{00000000-0005-0000-0000-000001C10000}"/>
    <cellStyle name="Salida 3 4 6 2 2" xfId="49234" xr:uid="{00000000-0005-0000-0000-000002C10000}"/>
    <cellStyle name="Salida 3 4 6 2 3" xfId="49235" xr:uid="{00000000-0005-0000-0000-000003C10000}"/>
    <cellStyle name="Salida 3 4 6 2 4" xfId="49236" xr:uid="{00000000-0005-0000-0000-000004C10000}"/>
    <cellStyle name="Salida 3 4 6 3" xfId="49237" xr:uid="{00000000-0005-0000-0000-000005C10000}"/>
    <cellStyle name="Salida 3 4 6 3 2" xfId="49238" xr:uid="{00000000-0005-0000-0000-000006C10000}"/>
    <cellStyle name="Salida 3 4 6 3 2 2" xfId="49239" xr:uid="{00000000-0005-0000-0000-000007C10000}"/>
    <cellStyle name="Salida 3 4 6 3 2 3" xfId="49240" xr:uid="{00000000-0005-0000-0000-000008C10000}"/>
    <cellStyle name="Salida 3 4 6 3 2 4" xfId="49241" xr:uid="{00000000-0005-0000-0000-000009C10000}"/>
    <cellStyle name="Salida 3 4 6 3 3" xfId="49242" xr:uid="{00000000-0005-0000-0000-00000AC10000}"/>
    <cellStyle name="Salida 3 4 6 3 3 2" xfId="49243" xr:uid="{00000000-0005-0000-0000-00000BC10000}"/>
    <cellStyle name="Salida 3 4 6 3 3 3" xfId="49244" xr:uid="{00000000-0005-0000-0000-00000CC10000}"/>
    <cellStyle name="Salida 3 4 6 3 3 4" xfId="49245" xr:uid="{00000000-0005-0000-0000-00000DC10000}"/>
    <cellStyle name="Salida 3 4 6 3 4" xfId="49246" xr:uid="{00000000-0005-0000-0000-00000EC10000}"/>
    <cellStyle name="Salida 3 4 6 3 5" xfId="49247" xr:uid="{00000000-0005-0000-0000-00000FC10000}"/>
    <cellStyle name="Salida 3 4 6 3 6" xfId="49248" xr:uid="{00000000-0005-0000-0000-000010C10000}"/>
    <cellStyle name="Salida 3 4 6 4" xfId="49249" xr:uid="{00000000-0005-0000-0000-000011C10000}"/>
    <cellStyle name="Salida 3 4 6 5" xfId="49250" xr:uid="{00000000-0005-0000-0000-000012C10000}"/>
    <cellStyle name="Salida 3 4 7" xfId="49251" xr:uid="{00000000-0005-0000-0000-000013C10000}"/>
    <cellStyle name="Salida 3 4 7 2" xfId="49252" xr:uid="{00000000-0005-0000-0000-000014C10000}"/>
    <cellStyle name="Salida 3 4 7 2 2" xfId="49253" xr:uid="{00000000-0005-0000-0000-000015C10000}"/>
    <cellStyle name="Salida 3 4 7 2 3" xfId="49254" xr:uid="{00000000-0005-0000-0000-000016C10000}"/>
    <cellStyle name="Salida 3 4 7 2 4" xfId="49255" xr:uid="{00000000-0005-0000-0000-000017C10000}"/>
    <cellStyle name="Salida 3 4 7 3" xfId="49256" xr:uid="{00000000-0005-0000-0000-000018C10000}"/>
    <cellStyle name="Salida 3 4 7 3 2" xfId="49257" xr:uid="{00000000-0005-0000-0000-000019C10000}"/>
    <cellStyle name="Salida 3 4 7 3 2 2" xfId="49258" xr:uid="{00000000-0005-0000-0000-00001AC10000}"/>
    <cellStyle name="Salida 3 4 7 3 2 3" xfId="49259" xr:uid="{00000000-0005-0000-0000-00001BC10000}"/>
    <cellStyle name="Salida 3 4 7 3 2 4" xfId="49260" xr:uid="{00000000-0005-0000-0000-00001CC10000}"/>
    <cellStyle name="Salida 3 4 7 3 3" xfId="49261" xr:uid="{00000000-0005-0000-0000-00001DC10000}"/>
    <cellStyle name="Salida 3 4 7 3 3 2" xfId="49262" xr:uid="{00000000-0005-0000-0000-00001EC10000}"/>
    <cellStyle name="Salida 3 4 7 3 3 3" xfId="49263" xr:uid="{00000000-0005-0000-0000-00001FC10000}"/>
    <cellStyle name="Salida 3 4 7 3 3 4" xfId="49264" xr:uid="{00000000-0005-0000-0000-000020C10000}"/>
    <cellStyle name="Salida 3 4 7 3 4" xfId="49265" xr:uid="{00000000-0005-0000-0000-000021C10000}"/>
    <cellStyle name="Salida 3 4 7 3 5" xfId="49266" xr:uid="{00000000-0005-0000-0000-000022C10000}"/>
    <cellStyle name="Salida 3 4 7 3 6" xfId="49267" xr:uid="{00000000-0005-0000-0000-000023C10000}"/>
    <cellStyle name="Salida 3 4 7 4" xfId="49268" xr:uid="{00000000-0005-0000-0000-000024C10000}"/>
    <cellStyle name="Salida 3 4 7 5" xfId="49269" xr:uid="{00000000-0005-0000-0000-000025C10000}"/>
    <cellStyle name="Salida 3 4 8" xfId="49270" xr:uid="{00000000-0005-0000-0000-000026C10000}"/>
    <cellStyle name="Salida 3 4 8 2" xfId="49271" xr:uid="{00000000-0005-0000-0000-000027C10000}"/>
    <cellStyle name="Salida 3 4 8 2 2" xfId="49272" xr:uid="{00000000-0005-0000-0000-000028C10000}"/>
    <cellStyle name="Salida 3 4 8 2 3" xfId="49273" xr:uid="{00000000-0005-0000-0000-000029C10000}"/>
    <cellStyle name="Salida 3 4 8 2 4" xfId="49274" xr:uid="{00000000-0005-0000-0000-00002AC10000}"/>
    <cellStyle name="Salida 3 4 8 3" xfId="49275" xr:uid="{00000000-0005-0000-0000-00002BC10000}"/>
    <cellStyle name="Salida 3 4 8 3 2" xfId="49276" xr:uid="{00000000-0005-0000-0000-00002CC10000}"/>
    <cellStyle name="Salida 3 4 8 3 2 2" xfId="49277" xr:uid="{00000000-0005-0000-0000-00002DC10000}"/>
    <cellStyle name="Salida 3 4 8 3 2 3" xfId="49278" xr:uid="{00000000-0005-0000-0000-00002EC10000}"/>
    <cellStyle name="Salida 3 4 8 3 2 4" xfId="49279" xr:uid="{00000000-0005-0000-0000-00002FC10000}"/>
    <cellStyle name="Salida 3 4 8 3 3" xfId="49280" xr:uid="{00000000-0005-0000-0000-000030C10000}"/>
    <cellStyle name="Salida 3 4 8 3 3 2" xfId="49281" xr:uid="{00000000-0005-0000-0000-000031C10000}"/>
    <cellStyle name="Salida 3 4 8 3 3 3" xfId="49282" xr:uid="{00000000-0005-0000-0000-000032C10000}"/>
    <cellStyle name="Salida 3 4 8 3 3 4" xfId="49283" xr:uid="{00000000-0005-0000-0000-000033C10000}"/>
    <cellStyle name="Salida 3 4 8 3 4" xfId="49284" xr:uid="{00000000-0005-0000-0000-000034C10000}"/>
    <cellStyle name="Salida 3 4 8 3 5" xfId="49285" xr:uid="{00000000-0005-0000-0000-000035C10000}"/>
    <cellStyle name="Salida 3 4 8 3 6" xfId="49286" xr:uid="{00000000-0005-0000-0000-000036C10000}"/>
    <cellStyle name="Salida 3 4 8 4" xfId="49287" xr:uid="{00000000-0005-0000-0000-000037C10000}"/>
    <cellStyle name="Salida 3 4 8 5" xfId="49288" xr:uid="{00000000-0005-0000-0000-000038C10000}"/>
    <cellStyle name="Salida 3 4 9" xfId="49289" xr:uid="{00000000-0005-0000-0000-000039C10000}"/>
    <cellStyle name="Salida 3 4 9 2" xfId="49290" xr:uid="{00000000-0005-0000-0000-00003AC10000}"/>
    <cellStyle name="Salida 3 4 9 2 2" xfId="49291" xr:uid="{00000000-0005-0000-0000-00003BC10000}"/>
    <cellStyle name="Salida 3 4 9 2 3" xfId="49292" xr:uid="{00000000-0005-0000-0000-00003CC10000}"/>
    <cellStyle name="Salida 3 4 9 2 4" xfId="49293" xr:uid="{00000000-0005-0000-0000-00003DC10000}"/>
    <cellStyle name="Salida 3 4 9 3" xfId="49294" xr:uid="{00000000-0005-0000-0000-00003EC10000}"/>
    <cellStyle name="Salida 3 4 9 3 2" xfId="49295" xr:uid="{00000000-0005-0000-0000-00003FC10000}"/>
    <cellStyle name="Salida 3 4 9 3 2 2" xfId="49296" xr:uid="{00000000-0005-0000-0000-000040C10000}"/>
    <cellStyle name="Salida 3 4 9 3 2 3" xfId="49297" xr:uid="{00000000-0005-0000-0000-000041C10000}"/>
    <cellStyle name="Salida 3 4 9 3 2 4" xfId="49298" xr:uid="{00000000-0005-0000-0000-000042C10000}"/>
    <cellStyle name="Salida 3 4 9 3 3" xfId="49299" xr:uid="{00000000-0005-0000-0000-000043C10000}"/>
    <cellStyle name="Salida 3 4 9 3 3 2" xfId="49300" xr:uid="{00000000-0005-0000-0000-000044C10000}"/>
    <cellStyle name="Salida 3 4 9 3 3 3" xfId="49301" xr:uid="{00000000-0005-0000-0000-000045C10000}"/>
    <cellStyle name="Salida 3 4 9 3 3 4" xfId="49302" xr:uid="{00000000-0005-0000-0000-000046C10000}"/>
    <cellStyle name="Salida 3 4 9 3 4" xfId="49303" xr:uid="{00000000-0005-0000-0000-000047C10000}"/>
    <cellStyle name="Salida 3 4 9 3 5" xfId="49304" xr:uid="{00000000-0005-0000-0000-000048C10000}"/>
    <cellStyle name="Salida 3 4 9 3 6" xfId="49305" xr:uid="{00000000-0005-0000-0000-000049C10000}"/>
    <cellStyle name="Salida 3 4 9 4" xfId="49306" xr:uid="{00000000-0005-0000-0000-00004AC10000}"/>
    <cellStyle name="Salida 3 4 9 5" xfId="49307" xr:uid="{00000000-0005-0000-0000-00004BC10000}"/>
    <cellStyle name="Salida 3 5" xfId="49308" xr:uid="{00000000-0005-0000-0000-00004CC10000}"/>
    <cellStyle name="Salida 3 5 2" xfId="49309" xr:uid="{00000000-0005-0000-0000-00004DC10000}"/>
    <cellStyle name="Salida 3 5 2 2" xfId="49310" xr:uid="{00000000-0005-0000-0000-00004EC10000}"/>
    <cellStyle name="Salida 3 5 2 3" xfId="49311" xr:uid="{00000000-0005-0000-0000-00004FC10000}"/>
    <cellStyle name="Salida 3 5 2 4" xfId="49312" xr:uid="{00000000-0005-0000-0000-000050C10000}"/>
    <cellStyle name="Salida 3 5 3" xfId="49313" xr:uid="{00000000-0005-0000-0000-000051C10000}"/>
    <cellStyle name="Salida 3 5 3 2" xfId="49314" xr:uid="{00000000-0005-0000-0000-000052C10000}"/>
    <cellStyle name="Salida 3 5 3 2 2" xfId="49315" xr:uid="{00000000-0005-0000-0000-000053C10000}"/>
    <cellStyle name="Salida 3 5 3 2 3" xfId="49316" xr:uid="{00000000-0005-0000-0000-000054C10000}"/>
    <cellStyle name="Salida 3 5 3 2 4" xfId="49317" xr:uid="{00000000-0005-0000-0000-000055C10000}"/>
    <cellStyle name="Salida 3 5 3 3" xfId="49318" xr:uid="{00000000-0005-0000-0000-000056C10000}"/>
    <cellStyle name="Salida 3 5 3 3 2" xfId="49319" xr:uid="{00000000-0005-0000-0000-000057C10000}"/>
    <cellStyle name="Salida 3 5 3 3 3" xfId="49320" xr:uid="{00000000-0005-0000-0000-000058C10000}"/>
    <cellStyle name="Salida 3 5 3 3 4" xfId="49321" xr:uid="{00000000-0005-0000-0000-000059C10000}"/>
    <cellStyle name="Salida 3 5 3 4" xfId="49322" xr:uid="{00000000-0005-0000-0000-00005AC10000}"/>
    <cellStyle name="Salida 3 5 3 5" xfId="49323" xr:uid="{00000000-0005-0000-0000-00005BC10000}"/>
    <cellStyle name="Salida 3 5 3 6" xfId="49324" xr:uid="{00000000-0005-0000-0000-00005CC10000}"/>
    <cellStyle name="Salida 3 5 4" xfId="49325" xr:uid="{00000000-0005-0000-0000-00005DC10000}"/>
    <cellStyle name="Salida 3 5 5" xfId="49326" xr:uid="{00000000-0005-0000-0000-00005EC10000}"/>
    <cellStyle name="Salida 3 6" xfId="49327" xr:uid="{00000000-0005-0000-0000-00005FC10000}"/>
    <cellStyle name="Salida 3 6 2" xfId="49328" xr:uid="{00000000-0005-0000-0000-000060C10000}"/>
    <cellStyle name="Salida 3 6 2 2" xfId="49329" xr:uid="{00000000-0005-0000-0000-000061C10000}"/>
    <cellStyle name="Salida 3 6 2 2 2" xfId="49330" xr:uid="{00000000-0005-0000-0000-000062C10000}"/>
    <cellStyle name="Salida 3 6 2 2 3" xfId="49331" xr:uid="{00000000-0005-0000-0000-000063C10000}"/>
    <cellStyle name="Salida 3 6 2 2 4" xfId="49332" xr:uid="{00000000-0005-0000-0000-000064C10000}"/>
    <cellStyle name="Salida 3 6 2 3" xfId="49333" xr:uid="{00000000-0005-0000-0000-000065C10000}"/>
    <cellStyle name="Salida 3 6 2 3 2" xfId="49334" xr:uid="{00000000-0005-0000-0000-000066C10000}"/>
    <cellStyle name="Salida 3 6 2 3 3" xfId="49335" xr:uid="{00000000-0005-0000-0000-000067C10000}"/>
    <cellStyle name="Salida 3 6 2 3 4" xfId="49336" xr:uid="{00000000-0005-0000-0000-000068C10000}"/>
    <cellStyle name="Salida 3 6 2 4" xfId="49337" xr:uid="{00000000-0005-0000-0000-000069C10000}"/>
    <cellStyle name="Salida 3 6 2 5" xfId="49338" xr:uid="{00000000-0005-0000-0000-00006AC10000}"/>
    <cellStyle name="Salida 3 6 2 6" xfId="49339" xr:uid="{00000000-0005-0000-0000-00006BC10000}"/>
    <cellStyle name="Salida 3 6 3" xfId="49340" xr:uid="{00000000-0005-0000-0000-00006CC10000}"/>
    <cellStyle name="Salida 3 6 3 2" xfId="49341" xr:uid="{00000000-0005-0000-0000-00006DC10000}"/>
    <cellStyle name="Salida 3 6 3 2 2" xfId="49342" xr:uid="{00000000-0005-0000-0000-00006EC10000}"/>
    <cellStyle name="Salida 3 6 3 2 3" xfId="49343" xr:uid="{00000000-0005-0000-0000-00006FC10000}"/>
    <cellStyle name="Salida 3 6 3 2 4" xfId="49344" xr:uid="{00000000-0005-0000-0000-000070C10000}"/>
    <cellStyle name="Salida 3 6 3 3" xfId="49345" xr:uid="{00000000-0005-0000-0000-000071C10000}"/>
    <cellStyle name="Salida 3 6 3 3 2" xfId="49346" xr:uid="{00000000-0005-0000-0000-000072C10000}"/>
    <cellStyle name="Salida 3 6 3 3 3" xfId="49347" xr:uid="{00000000-0005-0000-0000-000073C10000}"/>
    <cellStyle name="Salida 3 6 3 3 4" xfId="49348" xr:uid="{00000000-0005-0000-0000-000074C10000}"/>
    <cellStyle name="Salida 3 6 3 4" xfId="49349" xr:uid="{00000000-0005-0000-0000-000075C10000}"/>
    <cellStyle name="Salida 3 6 3 5" xfId="49350" xr:uid="{00000000-0005-0000-0000-000076C10000}"/>
    <cellStyle name="Salida 3 6 3 6" xfId="49351" xr:uid="{00000000-0005-0000-0000-000077C10000}"/>
    <cellStyle name="Salida 3 6 4" xfId="49352" xr:uid="{00000000-0005-0000-0000-000078C10000}"/>
    <cellStyle name="Salida 3 6 5" xfId="49353" xr:uid="{00000000-0005-0000-0000-000079C10000}"/>
    <cellStyle name="Salida 3 6 6" xfId="49354" xr:uid="{00000000-0005-0000-0000-00007AC10000}"/>
    <cellStyle name="Salida 3 7" xfId="49355" xr:uid="{00000000-0005-0000-0000-00007BC10000}"/>
    <cellStyle name="Salida 3 8" xfId="49356" xr:uid="{00000000-0005-0000-0000-00007CC10000}"/>
    <cellStyle name="Salida 4" xfId="49357" xr:uid="{00000000-0005-0000-0000-00007DC10000}"/>
    <cellStyle name="Salida 4 2" xfId="49358" xr:uid="{00000000-0005-0000-0000-00007EC10000}"/>
    <cellStyle name="Salida 4 2 2" xfId="49359" xr:uid="{00000000-0005-0000-0000-00007FC10000}"/>
    <cellStyle name="Salida 4 2 2 10" xfId="49360" xr:uid="{00000000-0005-0000-0000-000080C10000}"/>
    <cellStyle name="Salida 4 2 2 10 2" xfId="49361" xr:uid="{00000000-0005-0000-0000-000081C10000}"/>
    <cellStyle name="Salida 4 2 2 10 2 2" xfId="49362" xr:uid="{00000000-0005-0000-0000-000082C10000}"/>
    <cellStyle name="Salida 4 2 2 10 2 3" xfId="49363" xr:uid="{00000000-0005-0000-0000-000083C10000}"/>
    <cellStyle name="Salida 4 2 2 10 2 4" xfId="49364" xr:uid="{00000000-0005-0000-0000-000084C10000}"/>
    <cellStyle name="Salida 4 2 2 10 3" xfId="49365" xr:uid="{00000000-0005-0000-0000-000085C10000}"/>
    <cellStyle name="Salida 4 2 2 10 3 2" xfId="49366" xr:uid="{00000000-0005-0000-0000-000086C10000}"/>
    <cellStyle name="Salida 4 2 2 10 3 2 2" xfId="49367" xr:uid="{00000000-0005-0000-0000-000087C10000}"/>
    <cellStyle name="Salida 4 2 2 10 3 2 3" xfId="49368" xr:uid="{00000000-0005-0000-0000-000088C10000}"/>
    <cellStyle name="Salida 4 2 2 10 3 2 4" xfId="49369" xr:uid="{00000000-0005-0000-0000-000089C10000}"/>
    <cellStyle name="Salida 4 2 2 10 3 3" xfId="49370" xr:uid="{00000000-0005-0000-0000-00008AC10000}"/>
    <cellStyle name="Salida 4 2 2 10 3 3 2" xfId="49371" xr:uid="{00000000-0005-0000-0000-00008BC10000}"/>
    <cellStyle name="Salida 4 2 2 10 3 3 3" xfId="49372" xr:uid="{00000000-0005-0000-0000-00008CC10000}"/>
    <cellStyle name="Salida 4 2 2 10 3 3 4" xfId="49373" xr:uid="{00000000-0005-0000-0000-00008DC10000}"/>
    <cellStyle name="Salida 4 2 2 10 3 4" xfId="49374" xr:uid="{00000000-0005-0000-0000-00008EC10000}"/>
    <cellStyle name="Salida 4 2 2 10 3 5" xfId="49375" xr:uid="{00000000-0005-0000-0000-00008FC10000}"/>
    <cellStyle name="Salida 4 2 2 10 3 6" xfId="49376" xr:uid="{00000000-0005-0000-0000-000090C10000}"/>
    <cellStyle name="Salida 4 2 2 10 4" xfId="49377" xr:uid="{00000000-0005-0000-0000-000091C10000}"/>
    <cellStyle name="Salida 4 2 2 10 5" xfId="49378" xr:uid="{00000000-0005-0000-0000-000092C10000}"/>
    <cellStyle name="Salida 4 2 2 11" xfId="49379" xr:uid="{00000000-0005-0000-0000-000093C10000}"/>
    <cellStyle name="Salida 4 2 2 11 2" xfId="49380" xr:uid="{00000000-0005-0000-0000-000094C10000}"/>
    <cellStyle name="Salida 4 2 2 11 2 2" xfId="49381" xr:uid="{00000000-0005-0000-0000-000095C10000}"/>
    <cellStyle name="Salida 4 2 2 11 2 3" xfId="49382" xr:uid="{00000000-0005-0000-0000-000096C10000}"/>
    <cellStyle name="Salida 4 2 2 11 2 4" xfId="49383" xr:uid="{00000000-0005-0000-0000-000097C10000}"/>
    <cellStyle name="Salida 4 2 2 11 3" xfId="49384" xr:uid="{00000000-0005-0000-0000-000098C10000}"/>
    <cellStyle name="Salida 4 2 2 11 3 2" xfId="49385" xr:uid="{00000000-0005-0000-0000-000099C10000}"/>
    <cellStyle name="Salida 4 2 2 11 3 2 2" xfId="49386" xr:uid="{00000000-0005-0000-0000-00009AC10000}"/>
    <cellStyle name="Salida 4 2 2 11 3 2 3" xfId="49387" xr:uid="{00000000-0005-0000-0000-00009BC10000}"/>
    <cellStyle name="Salida 4 2 2 11 3 2 4" xfId="49388" xr:uid="{00000000-0005-0000-0000-00009CC10000}"/>
    <cellStyle name="Salida 4 2 2 11 3 3" xfId="49389" xr:uid="{00000000-0005-0000-0000-00009DC10000}"/>
    <cellStyle name="Salida 4 2 2 11 3 3 2" xfId="49390" xr:uid="{00000000-0005-0000-0000-00009EC10000}"/>
    <cellStyle name="Salida 4 2 2 11 3 3 3" xfId="49391" xr:uid="{00000000-0005-0000-0000-00009FC10000}"/>
    <cellStyle name="Salida 4 2 2 11 3 3 4" xfId="49392" xr:uid="{00000000-0005-0000-0000-0000A0C10000}"/>
    <cellStyle name="Salida 4 2 2 11 3 4" xfId="49393" xr:uid="{00000000-0005-0000-0000-0000A1C10000}"/>
    <cellStyle name="Salida 4 2 2 11 3 5" xfId="49394" xr:uid="{00000000-0005-0000-0000-0000A2C10000}"/>
    <cellStyle name="Salida 4 2 2 11 3 6" xfId="49395" xr:uid="{00000000-0005-0000-0000-0000A3C10000}"/>
    <cellStyle name="Salida 4 2 2 11 4" xfId="49396" xr:uid="{00000000-0005-0000-0000-0000A4C10000}"/>
    <cellStyle name="Salida 4 2 2 11 5" xfId="49397" xr:uid="{00000000-0005-0000-0000-0000A5C10000}"/>
    <cellStyle name="Salida 4 2 2 12" xfId="49398" xr:uid="{00000000-0005-0000-0000-0000A6C10000}"/>
    <cellStyle name="Salida 4 2 2 12 2" xfId="49399" xr:uid="{00000000-0005-0000-0000-0000A7C10000}"/>
    <cellStyle name="Salida 4 2 2 12 2 2" xfId="49400" xr:uid="{00000000-0005-0000-0000-0000A8C10000}"/>
    <cellStyle name="Salida 4 2 2 12 2 2 2" xfId="49401" xr:uid="{00000000-0005-0000-0000-0000A9C10000}"/>
    <cellStyle name="Salida 4 2 2 12 2 2 3" xfId="49402" xr:uid="{00000000-0005-0000-0000-0000AAC10000}"/>
    <cellStyle name="Salida 4 2 2 12 2 2 4" xfId="49403" xr:uid="{00000000-0005-0000-0000-0000ABC10000}"/>
    <cellStyle name="Salida 4 2 2 12 2 3" xfId="49404" xr:uid="{00000000-0005-0000-0000-0000ACC10000}"/>
    <cellStyle name="Salida 4 2 2 12 2 3 2" xfId="49405" xr:uid="{00000000-0005-0000-0000-0000ADC10000}"/>
    <cellStyle name="Salida 4 2 2 12 2 3 3" xfId="49406" xr:uid="{00000000-0005-0000-0000-0000AEC10000}"/>
    <cellStyle name="Salida 4 2 2 12 2 3 4" xfId="49407" xr:uid="{00000000-0005-0000-0000-0000AFC10000}"/>
    <cellStyle name="Salida 4 2 2 12 2 4" xfId="49408" xr:uid="{00000000-0005-0000-0000-0000B0C10000}"/>
    <cellStyle name="Salida 4 2 2 12 2 5" xfId="49409" xr:uid="{00000000-0005-0000-0000-0000B1C10000}"/>
    <cellStyle name="Salida 4 2 2 12 2 6" xfId="49410" xr:uid="{00000000-0005-0000-0000-0000B2C10000}"/>
    <cellStyle name="Salida 4 2 2 12 3" xfId="49411" xr:uid="{00000000-0005-0000-0000-0000B3C10000}"/>
    <cellStyle name="Salida 4 2 2 12 3 2" xfId="49412" xr:uid="{00000000-0005-0000-0000-0000B4C10000}"/>
    <cellStyle name="Salida 4 2 2 12 3 2 2" xfId="49413" xr:uid="{00000000-0005-0000-0000-0000B5C10000}"/>
    <cellStyle name="Salida 4 2 2 12 3 2 3" xfId="49414" xr:uid="{00000000-0005-0000-0000-0000B6C10000}"/>
    <cellStyle name="Salida 4 2 2 12 3 2 4" xfId="49415" xr:uid="{00000000-0005-0000-0000-0000B7C10000}"/>
    <cellStyle name="Salida 4 2 2 12 3 3" xfId="49416" xr:uid="{00000000-0005-0000-0000-0000B8C10000}"/>
    <cellStyle name="Salida 4 2 2 12 3 3 2" xfId="49417" xr:uid="{00000000-0005-0000-0000-0000B9C10000}"/>
    <cellStyle name="Salida 4 2 2 12 3 3 3" xfId="49418" xr:uid="{00000000-0005-0000-0000-0000BAC10000}"/>
    <cellStyle name="Salida 4 2 2 12 3 3 4" xfId="49419" xr:uid="{00000000-0005-0000-0000-0000BBC10000}"/>
    <cellStyle name="Salida 4 2 2 12 3 4" xfId="49420" xr:uid="{00000000-0005-0000-0000-0000BCC10000}"/>
    <cellStyle name="Salida 4 2 2 12 3 5" xfId="49421" xr:uid="{00000000-0005-0000-0000-0000BDC10000}"/>
    <cellStyle name="Salida 4 2 2 12 3 6" xfId="49422" xr:uid="{00000000-0005-0000-0000-0000BEC10000}"/>
    <cellStyle name="Salida 4 2 2 12 4" xfId="49423" xr:uid="{00000000-0005-0000-0000-0000BFC10000}"/>
    <cellStyle name="Salida 4 2 2 12 5" xfId="49424" xr:uid="{00000000-0005-0000-0000-0000C0C10000}"/>
    <cellStyle name="Salida 4 2 2 12 6" xfId="49425" xr:uid="{00000000-0005-0000-0000-0000C1C10000}"/>
    <cellStyle name="Salida 4 2 2 13" xfId="49426" xr:uid="{00000000-0005-0000-0000-0000C2C10000}"/>
    <cellStyle name="Salida 4 2 2 14" xfId="49427" xr:uid="{00000000-0005-0000-0000-0000C3C10000}"/>
    <cellStyle name="Salida 4 2 2 15" xfId="58791" xr:uid="{00000000-0005-0000-0000-0000C4C10000}"/>
    <cellStyle name="Salida 4 2 2 2" xfId="49428" xr:uid="{00000000-0005-0000-0000-0000C5C10000}"/>
    <cellStyle name="Salida 4 2 2 2 2" xfId="49429" xr:uid="{00000000-0005-0000-0000-0000C6C10000}"/>
    <cellStyle name="Salida 4 2 2 2 2 2" xfId="49430" xr:uid="{00000000-0005-0000-0000-0000C7C10000}"/>
    <cellStyle name="Salida 4 2 2 2 2 2 2" xfId="49431" xr:uid="{00000000-0005-0000-0000-0000C8C10000}"/>
    <cellStyle name="Salida 4 2 2 2 2 2 2 2" xfId="49432" xr:uid="{00000000-0005-0000-0000-0000C9C10000}"/>
    <cellStyle name="Salida 4 2 2 2 2 2 2 3" xfId="49433" xr:uid="{00000000-0005-0000-0000-0000CAC10000}"/>
    <cellStyle name="Salida 4 2 2 2 2 2 2 4" xfId="49434" xr:uid="{00000000-0005-0000-0000-0000CBC10000}"/>
    <cellStyle name="Salida 4 2 2 2 2 2 3" xfId="49435" xr:uid="{00000000-0005-0000-0000-0000CCC10000}"/>
    <cellStyle name="Salida 4 2 2 2 2 2 3 2" xfId="49436" xr:uid="{00000000-0005-0000-0000-0000CDC10000}"/>
    <cellStyle name="Salida 4 2 2 2 2 2 3 3" xfId="49437" xr:uid="{00000000-0005-0000-0000-0000CEC10000}"/>
    <cellStyle name="Salida 4 2 2 2 2 2 3 4" xfId="49438" xr:uid="{00000000-0005-0000-0000-0000CFC10000}"/>
    <cellStyle name="Salida 4 2 2 2 2 2 4" xfId="49439" xr:uid="{00000000-0005-0000-0000-0000D0C10000}"/>
    <cellStyle name="Salida 4 2 2 2 2 2 5" xfId="49440" xr:uid="{00000000-0005-0000-0000-0000D1C10000}"/>
    <cellStyle name="Salida 4 2 2 2 2 2 6" xfId="49441" xr:uid="{00000000-0005-0000-0000-0000D2C10000}"/>
    <cellStyle name="Salida 4 2 2 2 2 3" xfId="49442" xr:uid="{00000000-0005-0000-0000-0000D3C10000}"/>
    <cellStyle name="Salida 4 2 2 2 2 3 2" xfId="49443" xr:uid="{00000000-0005-0000-0000-0000D4C10000}"/>
    <cellStyle name="Salida 4 2 2 2 2 3 2 2" xfId="49444" xr:uid="{00000000-0005-0000-0000-0000D5C10000}"/>
    <cellStyle name="Salida 4 2 2 2 2 3 2 3" xfId="49445" xr:uid="{00000000-0005-0000-0000-0000D6C10000}"/>
    <cellStyle name="Salida 4 2 2 2 2 3 2 4" xfId="49446" xr:uid="{00000000-0005-0000-0000-0000D7C10000}"/>
    <cellStyle name="Salida 4 2 2 2 2 3 3" xfId="49447" xr:uid="{00000000-0005-0000-0000-0000D8C10000}"/>
    <cellStyle name="Salida 4 2 2 2 2 3 3 2" xfId="49448" xr:uid="{00000000-0005-0000-0000-0000D9C10000}"/>
    <cellStyle name="Salida 4 2 2 2 2 3 3 3" xfId="49449" xr:uid="{00000000-0005-0000-0000-0000DAC10000}"/>
    <cellStyle name="Salida 4 2 2 2 2 3 3 4" xfId="49450" xr:uid="{00000000-0005-0000-0000-0000DBC10000}"/>
    <cellStyle name="Salida 4 2 2 2 2 3 4" xfId="49451" xr:uid="{00000000-0005-0000-0000-0000DCC10000}"/>
    <cellStyle name="Salida 4 2 2 2 2 3 5" xfId="49452" xr:uid="{00000000-0005-0000-0000-0000DDC10000}"/>
    <cellStyle name="Salida 4 2 2 2 2 3 6" xfId="49453" xr:uid="{00000000-0005-0000-0000-0000DEC10000}"/>
    <cellStyle name="Salida 4 2 2 2 2 4" xfId="49454" xr:uid="{00000000-0005-0000-0000-0000DFC10000}"/>
    <cellStyle name="Salida 4 2 2 2 2 5" xfId="49455" xr:uid="{00000000-0005-0000-0000-0000E0C10000}"/>
    <cellStyle name="Salida 4 2 2 2 2 6" xfId="49456" xr:uid="{00000000-0005-0000-0000-0000E1C10000}"/>
    <cellStyle name="Salida 4 2 2 2 3" xfId="49457" xr:uid="{00000000-0005-0000-0000-0000E2C10000}"/>
    <cellStyle name="Salida 4 2 2 2 4" xfId="49458" xr:uid="{00000000-0005-0000-0000-0000E3C10000}"/>
    <cellStyle name="Salida 4 2 2 3" xfId="49459" xr:uid="{00000000-0005-0000-0000-0000E4C10000}"/>
    <cellStyle name="Salida 4 2 2 3 2" xfId="49460" xr:uid="{00000000-0005-0000-0000-0000E5C10000}"/>
    <cellStyle name="Salida 4 2 2 3 2 2" xfId="49461" xr:uid="{00000000-0005-0000-0000-0000E6C10000}"/>
    <cellStyle name="Salida 4 2 2 3 2 2 2" xfId="49462" xr:uid="{00000000-0005-0000-0000-0000E7C10000}"/>
    <cellStyle name="Salida 4 2 2 3 2 2 2 2" xfId="49463" xr:uid="{00000000-0005-0000-0000-0000E8C10000}"/>
    <cellStyle name="Salida 4 2 2 3 2 2 2 3" xfId="49464" xr:uid="{00000000-0005-0000-0000-0000E9C10000}"/>
    <cellStyle name="Salida 4 2 2 3 2 2 2 4" xfId="49465" xr:uid="{00000000-0005-0000-0000-0000EAC10000}"/>
    <cellStyle name="Salida 4 2 2 3 2 2 3" xfId="49466" xr:uid="{00000000-0005-0000-0000-0000EBC10000}"/>
    <cellStyle name="Salida 4 2 2 3 2 2 3 2" xfId="49467" xr:uid="{00000000-0005-0000-0000-0000ECC10000}"/>
    <cellStyle name="Salida 4 2 2 3 2 2 3 3" xfId="49468" xr:uid="{00000000-0005-0000-0000-0000EDC10000}"/>
    <cellStyle name="Salida 4 2 2 3 2 2 3 4" xfId="49469" xr:uid="{00000000-0005-0000-0000-0000EEC10000}"/>
    <cellStyle name="Salida 4 2 2 3 2 2 4" xfId="49470" xr:uid="{00000000-0005-0000-0000-0000EFC10000}"/>
    <cellStyle name="Salida 4 2 2 3 2 2 5" xfId="49471" xr:uid="{00000000-0005-0000-0000-0000F0C10000}"/>
    <cellStyle name="Salida 4 2 2 3 2 2 6" xfId="49472" xr:uid="{00000000-0005-0000-0000-0000F1C10000}"/>
    <cellStyle name="Salida 4 2 2 3 2 3" xfId="49473" xr:uid="{00000000-0005-0000-0000-0000F2C10000}"/>
    <cellStyle name="Salida 4 2 2 3 2 3 2" xfId="49474" xr:uid="{00000000-0005-0000-0000-0000F3C10000}"/>
    <cellStyle name="Salida 4 2 2 3 2 3 2 2" xfId="49475" xr:uid="{00000000-0005-0000-0000-0000F4C10000}"/>
    <cellStyle name="Salida 4 2 2 3 2 3 2 3" xfId="49476" xr:uid="{00000000-0005-0000-0000-0000F5C10000}"/>
    <cellStyle name="Salida 4 2 2 3 2 3 2 4" xfId="49477" xr:uid="{00000000-0005-0000-0000-0000F6C10000}"/>
    <cellStyle name="Salida 4 2 2 3 2 3 3" xfId="49478" xr:uid="{00000000-0005-0000-0000-0000F7C10000}"/>
    <cellStyle name="Salida 4 2 2 3 2 3 3 2" xfId="49479" xr:uid="{00000000-0005-0000-0000-0000F8C10000}"/>
    <cellStyle name="Salida 4 2 2 3 2 3 3 3" xfId="49480" xr:uid="{00000000-0005-0000-0000-0000F9C10000}"/>
    <cellStyle name="Salida 4 2 2 3 2 3 3 4" xfId="49481" xr:uid="{00000000-0005-0000-0000-0000FAC10000}"/>
    <cellStyle name="Salida 4 2 2 3 2 3 4" xfId="49482" xr:uid="{00000000-0005-0000-0000-0000FBC10000}"/>
    <cellStyle name="Salida 4 2 2 3 2 3 5" xfId="49483" xr:uid="{00000000-0005-0000-0000-0000FCC10000}"/>
    <cellStyle name="Salida 4 2 2 3 2 3 6" xfId="49484" xr:uid="{00000000-0005-0000-0000-0000FDC10000}"/>
    <cellStyle name="Salida 4 2 2 3 2 4" xfId="49485" xr:uid="{00000000-0005-0000-0000-0000FEC10000}"/>
    <cellStyle name="Salida 4 2 2 3 2 5" xfId="49486" xr:uid="{00000000-0005-0000-0000-0000FFC10000}"/>
    <cellStyle name="Salida 4 2 2 3 2 6" xfId="49487" xr:uid="{00000000-0005-0000-0000-000000C20000}"/>
    <cellStyle name="Salida 4 2 2 3 3" xfId="49488" xr:uid="{00000000-0005-0000-0000-000001C20000}"/>
    <cellStyle name="Salida 4 2 2 3 4" xfId="49489" xr:uid="{00000000-0005-0000-0000-000002C20000}"/>
    <cellStyle name="Salida 4 2 2 4" xfId="49490" xr:uid="{00000000-0005-0000-0000-000003C20000}"/>
    <cellStyle name="Salida 4 2 2 4 2" xfId="49491" xr:uid="{00000000-0005-0000-0000-000004C20000}"/>
    <cellStyle name="Salida 4 2 2 4 2 2" xfId="49492" xr:uid="{00000000-0005-0000-0000-000005C20000}"/>
    <cellStyle name="Salida 4 2 2 4 2 2 2" xfId="49493" xr:uid="{00000000-0005-0000-0000-000006C20000}"/>
    <cellStyle name="Salida 4 2 2 4 2 2 2 2" xfId="49494" xr:uid="{00000000-0005-0000-0000-000007C20000}"/>
    <cellStyle name="Salida 4 2 2 4 2 2 2 3" xfId="49495" xr:uid="{00000000-0005-0000-0000-000008C20000}"/>
    <cellStyle name="Salida 4 2 2 4 2 2 2 4" xfId="49496" xr:uid="{00000000-0005-0000-0000-000009C20000}"/>
    <cellStyle name="Salida 4 2 2 4 2 2 3" xfId="49497" xr:uid="{00000000-0005-0000-0000-00000AC20000}"/>
    <cellStyle name="Salida 4 2 2 4 2 2 3 2" xfId="49498" xr:uid="{00000000-0005-0000-0000-00000BC20000}"/>
    <cellStyle name="Salida 4 2 2 4 2 2 3 3" xfId="49499" xr:uid="{00000000-0005-0000-0000-00000CC20000}"/>
    <cellStyle name="Salida 4 2 2 4 2 2 3 4" xfId="49500" xr:uid="{00000000-0005-0000-0000-00000DC20000}"/>
    <cellStyle name="Salida 4 2 2 4 2 2 4" xfId="49501" xr:uid="{00000000-0005-0000-0000-00000EC20000}"/>
    <cellStyle name="Salida 4 2 2 4 2 2 5" xfId="49502" xr:uid="{00000000-0005-0000-0000-00000FC20000}"/>
    <cellStyle name="Salida 4 2 2 4 2 2 6" xfId="49503" xr:uid="{00000000-0005-0000-0000-000010C20000}"/>
    <cellStyle name="Salida 4 2 2 4 2 3" xfId="49504" xr:uid="{00000000-0005-0000-0000-000011C20000}"/>
    <cellStyle name="Salida 4 2 2 4 2 3 2" xfId="49505" xr:uid="{00000000-0005-0000-0000-000012C20000}"/>
    <cellStyle name="Salida 4 2 2 4 2 3 2 2" xfId="49506" xr:uid="{00000000-0005-0000-0000-000013C20000}"/>
    <cellStyle name="Salida 4 2 2 4 2 3 2 3" xfId="49507" xr:uid="{00000000-0005-0000-0000-000014C20000}"/>
    <cellStyle name="Salida 4 2 2 4 2 3 2 4" xfId="49508" xr:uid="{00000000-0005-0000-0000-000015C20000}"/>
    <cellStyle name="Salida 4 2 2 4 2 3 3" xfId="49509" xr:uid="{00000000-0005-0000-0000-000016C20000}"/>
    <cellStyle name="Salida 4 2 2 4 2 3 3 2" xfId="49510" xr:uid="{00000000-0005-0000-0000-000017C20000}"/>
    <cellStyle name="Salida 4 2 2 4 2 3 3 3" xfId="49511" xr:uid="{00000000-0005-0000-0000-000018C20000}"/>
    <cellStyle name="Salida 4 2 2 4 2 3 3 4" xfId="49512" xr:uid="{00000000-0005-0000-0000-000019C20000}"/>
    <cellStyle name="Salida 4 2 2 4 2 3 4" xfId="49513" xr:uid="{00000000-0005-0000-0000-00001AC20000}"/>
    <cellStyle name="Salida 4 2 2 4 2 3 5" xfId="49514" xr:uid="{00000000-0005-0000-0000-00001BC20000}"/>
    <cellStyle name="Salida 4 2 2 4 2 3 6" xfId="49515" xr:uid="{00000000-0005-0000-0000-00001CC20000}"/>
    <cellStyle name="Salida 4 2 2 4 2 4" xfId="49516" xr:uid="{00000000-0005-0000-0000-00001DC20000}"/>
    <cellStyle name="Salida 4 2 2 4 2 5" xfId="49517" xr:uid="{00000000-0005-0000-0000-00001EC20000}"/>
    <cellStyle name="Salida 4 2 2 4 2 6" xfId="49518" xr:uid="{00000000-0005-0000-0000-00001FC20000}"/>
    <cellStyle name="Salida 4 2 2 4 3" xfId="49519" xr:uid="{00000000-0005-0000-0000-000020C20000}"/>
    <cellStyle name="Salida 4 2 2 4 4" xfId="49520" xr:uid="{00000000-0005-0000-0000-000021C20000}"/>
    <cellStyle name="Salida 4 2 2 5" xfId="49521" xr:uid="{00000000-0005-0000-0000-000022C20000}"/>
    <cellStyle name="Salida 4 2 2 5 2" xfId="49522" xr:uid="{00000000-0005-0000-0000-000023C20000}"/>
    <cellStyle name="Salida 4 2 2 5 2 2" xfId="49523" xr:uid="{00000000-0005-0000-0000-000024C20000}"/>
    <cellStyle name="Salida 4 2 2 5 2 3" xfId="49524" xr:uid="{00000000-0005-0000-0000-000025C20000}"/>
    <cellStyle name="Salida 4 2 2 5 2 4" xfId="49525" xr:uid="{00000000-0005-0000-0000-000026C20000}"/>
    <cellStyle name="Salida 4 2 2 5 3" xfId="49526" xr:uid="{00000000-0005-0000-0000-000027C20000}"/>
    <cellStyle name="Salida 4 2 2 5 3 2" xfId="49527" xr:uid="{00000000-0005-0000-0000-000028C20000}"/>
    <cellStyle name="Salida 4 2 2 5 3 2 2" xfId="49528" xr:uid="{00000000-0005-0000-0000-000029C20000}"/>
    <cellStyle name="Salida 4 2 2 5 3 2 3" xfId="49529" xr:uid="{00000000-0005-0000-0000-00002AC20000}"/>
    <cellStyle name="Salida 4 2 2 5 3 2 4" xfId="49530" xr:uid="{00000000-0005-0000-0000-00002BC20000}"/>
    <cellStyle name="Salida 4 2 2 5 3 3" xfId="49531" xr:uid="{00000000-0005-0000-0000-00002CC20000}"/>
    <cellStyle name="Salida 4 2 2 5 3 3 2" xfId="49532" xr:uid="{00000000-0005-0000-0000-00002DC20000}"/>
    <cellStyle name="Salida 4 2 2 5 3 3 3" xfId="49533" xr:uid="{00000000-0005-0000-0000-00002EC20000}"/>
    <cellStyle name="Salida 4 2 2 5 3 3 4" xfId="49534" xr:uid="{00000000-0005-0000-0000-00002FC20000}"/>
    <cellStyle name="Salida 4 2 2 5 3 4" xfId="49535" xr:uid="{00000000-0005-0000-0000-000030C20000}"/>
    <cellStyle name="Salida 4 2 2 5 3 5" xfId="49536" xr:uid="{00000000-0005-0000-0000-000031C20000}"/>
    <cellStyle name="Salida 4 2 2 5 3 6" xfId="49537" xr:uid="{00000000-0005-0000-0000-000032C20000}"/>
    <cellStyle name="Salida 4 2 2 5 4" xfId="49538" xr:uid="{00000000-0005-0000-0000-000033C20000}"/>
    <cellStyle name="Salida 4 2 2 5 5" xfId="49539" xr:uid="{00000000-0005-0000-0000-000034C20000}"/>
    <cellStyle name="Salida 4 2 2 6" xfId="49540" xr:uid="{00000000-0005-0000-0000-000035C20000}"/>
    <cellStyle name="Salida 4 2 2 6 2" xfId="49541" xr:uid="{00000000-0005-0000-0000-000036C20000}"/>
    <cellStyle name="Salida 4 2 2 6 2 2" xfId="49542" xr:uid="{00000000-0005-0000-0000-000037C20000}"/>
    <cellStyle name="Salida 4 2 2 6 2 3" xfId="49543" xr:uid="{00000000-0005-0000-0000-000038C20000}"/>
    <cellStyle name="Salida 4 2 2 6 2 4" xfId="49544" xr:uid="{00000000-0005-0000-0000-000039C20000}"/>
    <cellStyle name="Salida 4 2 2 6 3" xfId="49545" xr:uid="{00000000-0005-0000-0000-00003AC20000}"/>
    <cellStyle name="Salida 4 2 2 6 3 2" xfId="49546" xr:uid="{00000000-0005-0000-0000-00003BC20000}"/>
    <cellStyle name="Salida 4 2 2 6 3 2 2" xfId="49547" xr:uid="{00000000-0005-0000-0000-00003CC20000}"/>
    <cellStyle name="Salida 4 2 2 6 3 2 3" xfId="49548" xr:uid="{00000000-0005-0000-0000-00003DC20000}"/>
    <cellStyle name="Salida 4 2 2 6 3 2 4" xfId="49549" xr:uid="{00000000-0005-0000-0000-00003EC20000}"/>
    <cellStyle name="Salida 4 2 2 6 3 3" xfId="49550" xr:uid="{00000000-0005-0000-0000-00003FC20000}"/>
    <cellStyle name="Salida 4 2 2 6 3 3 2" xfId="49551" xr:uid="{00000000-0005-0000-0000-000040C20000}"/>
    <cellStyle name="Salida 4 2 2 6 3 3 3" xfId="49552" xr:uid="{00000000-0005-0000-0000-000041C20000}"/>
    <cellStyle name="Salida 4 2 2 6 3 3 4" xfId="49553" xr:uid="{00000000-0005-0000-0000-000042C20000}"/>
    <cellStyle name="Salida 4 2 2 6 3 4" xfId="49554" xr:uid="{00000000-0005-0000-0000-000043C20000}"/>
    <cellStyle name="Salida 4 2 2 6 3 5" xfId="49555" xr:uid="{00000000-0005-0000-0000-000044C20000}"/>
    <cellStyle name="Salida 4 2 2 6 3 6" xfId="49556" xr:uid="{00000000-0005-0000-0000-000045C20000}"/>
    <cellStyle name="Salida 4 2 2 6 4" xfId="49557" xr:uid="{00000000-0005-0000-0000-000046C20000}"/>
    <cellStyle name="Salida 4 2 2 6 5" xfId="49558" xr:uid="{00000000-0005-0000-0000-000047C20000}"/>
    <cellStyle name="Salida 4 2 2 7" xfId="49559" xr:uid="{00000000-0005-0000-0000-000048C20000}"/>
    <cellStyle name="Salida 4 2 2 7 2" xfId="49560" xr:uid="{00000000-0005-0000-0000-000049C20000}"/>
    <cellStyle name="Salida 4 2 2 7 2 2" xfId="49561" xr:uid="{00000000-0005-0000-0000-00004AC20000}"/>
    <cellStyle name="Salida 4 2 2 7 2 3" xfId="49562" xr:uid="{00000000-0005-0000-0000-00004BC20000}"/>
    <cellStyle name="Salida 4 2 2 7 2 4" xfId="49563" xr:uid="{00000000-0005-0000-0000-00004CC20000}"/>
    <cellStyle name="Salida 4 2 2 7 3" xfId="49564" xr:uid="{00000000-0005-0000-0000-00004DC20000}"/>
    <cellStyle name="Salida 4 2 2 7 3 2" xfId="49565" xr:uid="{00000000-0005-0000-0000-00004EC20000}"/>
    <cellStyle name="Salida 4 2 2 7 3 2 2" xfId="49566" xr:uid="{00000000-0005-0000-0000-00004FC20000}"/>
    <cellStyle name="Salida 4 2 2 7 3 2 3" xfId="49567" xr:uid="{00000000-0005-0000-0000-000050C20000}"/>
    <cellStyle name="Salida 4 2 2 7 3 2 4" xfId="49568" xr:uid="{00000000-0005-0000-0000-000051C20000}"/>
    <cellStyle name="Salida 4 2 2 7 3 3" xfId="49569" xr:uid="{00000000-0005-0000-0000-000052C20000}"/>
    <cellStyle name="Salida 4 2 2 7 3 3 2" xfId="49570" xr:uid="{00000000-0005-0000-0000-000053C20000}"/>
    <cellStyle name="Salida 4 2 2 7 3 3 3" xfId="49571" xr:uid="{00000000-0005-0000-0000-000054C20000}"/>
    <cellStyle name="Salida 4 2 2 7 3 3 4" xfId="49572" xr:uid="{00000000-0005-0000-0000-000055C20000}"/>
    <cellStyle name="Salida 4 2 2 7 3 4" xfId="49573" xr:uid="{00000000-0005-0000-0000-000056C20000}"/>
    <cellStyle name="Salida 4 2 2 7 3 5" xfId="49574" xr:uid="{00000000-0005-0000-0000-000057C20000}"/>
    <cellStyle name="Salida 4 2 2 7 3 6" xfId="49575" xr:uid="{00000000-0005-0000-0000-000058C20000}"/>
    <cellStyle name="Salida 4 2 2 7 4" xfId="49576" xr:uid="{00000000-0005-0000-0000-000059C20000}"/>
    <cellStyle name="Salida 4 2 2 7 5" xfId="49577" xr:uid="{00000000-0005-0000-0000-00005AC20000}"/>
    <cellStyle name="Salida 4 2 2 8" xfId="49578" xr:uid="{00000000-0005-0000-0000-00005BC20000}"/>
    <cellStyle name="Salida 4 2 2 8 2" xfId="49579" xr:uid="{00000000-0005-0000-0000-00005CC20000}"/>
    <cellStyle name="Salida 4 2 2 8 2 2" xfId="49580" xr:uid="{00000000-0005-0000-0000-00005DC20000}"/>
    <cellStyle name="Salida 4 2 2 8 2 3" xfId="49581" xr:uid="{00000000-0005-0000-0000-00005EC20000}"/>
    <cellStyle name="Salida 4 2 2 8 2 4" xfId="49582" xr:uid="{00000000-0005-0000-0000-00005FC20000}"/>
    <cellStyle name="Salida 4 2 2 8 3" xfId="49583" xr:uid="{00000000-0005-0000-0000-000060C20000}"/>
    <cellStyle name="Salida 4 2 2 8 3 2" xfId="49584" xr:uid="{00000000-0005-0000-0000-000061C20000}"/>
    <cellStyle name="Salida 4 2 2 8 3 2 2" xfId="49585" xr:uid="{00000000-0005-0000-0000-000062C20000}"/>
    <cellStyle name="Salida 4 2 2 8 3 2 3" xfId="49586" xr:uid="{00000000-0005-0000-0000-000063C20000}"/>
    <cellStyle name="Salida 4 2 2 8 3 2 4" xfId="49587" xr:uid="{00000000-0005-0000-0000-000064C20000}"/>
    <cellStyle name="Salida 4 2 2 8 3 3" xfId="49588" xr:uid="{00000000-0005-0000-0000-000065C20000}"/>
    <cellStyle name="Salida 4 2 2 8 3 3 2" xfId="49589" xr:uid="{00000000-0005-0000-0000-000066C20000}"/>
    <cellStyle name="Salida 4 2 2 8 3 3 3" xfId="49590" xr:uid="{00000000-0005-0000-0000-000067C20000}"/>
    <cellStyle name="Salida 4 2 2 8 3 3 4" xfId="49591" xr:uid="{00000000-0005-0000-0000-000068C20000}"/>
    <cellStyle name="Salida 4 2 2 8 3 4" xfId="49592" xr:uid="{00000000-0005-0000-0000-000069C20000}"/>
    <cellStyle name="Salida 4 2 2 8 3 5" xfId="49593" xr:uid="{00000000-0005-0000-0000-00006AC20000}"/>
    <cellStyle name="Salida 4 2 2 8 3 6" xfId="49594" xr:uid="{00000000-0005-0000-0000-00006BC20000}"/>
    <cellStyle name="Salida 4 2 2 8 4" xfId="49595" xr:uid="{00000000-0005-0000-0000-00006CC20000}"/>
    <cellStyle name="Salida 4 2 2 8 5" xfId="49596" xr:uid="{00000000-0005-0000-0000-00006DC20000}"/>
    <cellStyle name="Salida 4 2 2 9" xfId="49597" xr:uid="{00000000-0005-0000-0000-00006EC20000}"/>
    <cellStyle name="Salida 4 2 2 9 2" xfId="49598" xr:uid="{00000000-0005-0000-0000-00006FC20000}"/>
    <cellStyle name="Salida 4 2 2 9 2 2" xfId="49599" xr:uid="{00000000-0005-0000-0000-000070C20000}"/>
    <cellStyle name="Salida 4 2 2 9 2 3" xfId="49600" xr:uid="{00000000-0005-0000-0000-000071C20000}"/>
    <cellStyle name="Salida 4 2 2 9 2 4" xfId="49601" xr:uid="{00000000-0005-0000-0000-000072C20000}"/>
    <cellStyle name="Salida 4 2 2 9 3" xfId="49602" xr:uid="{00000000-0005-0000-0000-000073C20000}"/>
    <cellStyle name="Salida 4 2 2 9 3 2" xfId="49603" xr:uid="{00000000-0005-0000-0000-000074C20000}"/>
    <cellStyle name="Salida 4 2 2 9 3 2 2" xfId="49604" xr:uid="{00000000-0005-0000-0000-000075C20000}"/>
    <cellStyle name="Salida 4 2 2 9 3 2 3" xfId="49605" xr:uid="{00000000-0005-0000-0000-000076C20000}"/>
    <cellStyle name="Salida 4 2 2 9 3 2 4" xfId="49606" xr:uid="{00000000-0005-0000-0000-000077C20000}"/>
    <cellStyle name="Salida 4 2 2 9 3 3" xfId="49607" xr:uid="{00000000-0005-0000-0000-000078C20000}"/>
    <cellStyle name="Salida 4 2 2 9 3 3 2" xfId="49608" xr:uid="{00000000-0005-0000-0000-000079C20000}"/>
    <cellStyle name="Salida 4 2 2 9 3 3 3" xfId="49609" xr:uid="{00000000-0005-0000-0000-00007AC20000}"/>
    <cellStyle name="Salida 4 2 2 9 3 3 4" xfId="49610" xr:uid="{00000000-0005-0000-0000-00007BC20000}"/>
    <cellStyle name="Salida 4 2 2 9 3 4" xfId="49611" xr:uid="{00000000-0005-0000-0000-00007CC20000}"/>
    <cellStyle name="Salida 4 2 2 9 3 5" xfId="49612" xr:uid="{00000000-0005-0000-0000-00007DC20000}"/>
    <cellStyle name="Salida 4 2 2 9 3 6" xfId="49613" xr:uid="{00000000-0005-0000-0000-00007EC20000}"/>
    <cellStyle name="Salida 4 2 2 9 4" xfId="49614" xr:uid="{00000000-0005-0000-0000-00007FC20000}"/>
    <cellStyle name="Salida 4 2 2 9 5" xfId="49615" xr:uid="{00000000-0005-0000-0000-000080C20000}"/>
    <cellStyle name="Salida 4 2 3" xfId="49616" xr:uid="{00000000-0005-0000-0000-000081C20000}"/>
    <cellStyle name="Salida 4 2 3 2" xfId="49617" xr:uid="{00000000-0005-0000-0000-000082C20000}"/>
    <cellStyle name="Salida 4 2 3 2 2" xfId="49618" xr:uid="{00000000-0005-0000-0000-000083C20000}"/>
    <cellStyle name="Salida 4 2 3 2 3" xfId="49619" xr:uid="{00000000-0005-0000-0000-000084C20000}"/>
    <cellStyle name="Salida 4 2 3 2 4" xfId="49620" xr:uid="{00000000-0005-0000-0000-000085C20000}"/>
    <cellStyle name="Salida 4 2 3 3" xfId="49621" xr:uid="{00000000-0005-0000-0000-000086C20000}"/>
    <cellStyle name="Salida 4 2 3 3 2" xfId="49622" xr:uid="{00000000-0005-0000-0000-000087C20000}"/>
    <cellStyle name="Salida 4 2 3 3 2 2" xfId="49623" xr:uid="{00000000-0005-0000-0000-000088C20000}"/>
    <cellStyle name="Salida 4 2 3 3 2 3" xfId="49624" xr:uid="{00000000-0005-0000-0000-000089C20000}"/>
    <cellStyle name="Salida 4 2 3 3 2 4" xfId="49625" xr:uid="{00000000-0005-0000-0000-00008AC20000}"/>
    <cellStyle name="Salida 4 2 3 3 3" xfId="49626" xr:uid="{00000000-0005-0000-0000-00008BC20000}"/>
    <cellStyle name="Salida 4 2 3 3 3 2" xfId="49627" xr:uid="{00000000-0005-0000-0000-00008CC20000}"/>
    <cellStyle name="Salida 4 2 3 3 3 3" xfId="49628" xr:uid="{00000000-0005-0000-0000-00008DC20000}"/>
    <cellStyle name="Salida 4 2 3 3 3 4" xfId="49629" xr:uid="{00000000-0005-0000-0000-00008EC20000}"/>
    <cellStyle name="Salida 4 2 3 3 4" xfId="49630" xr:uid="{00000000-0005-0000-0000-00008FC20000}"/>
    <cellStyle name="Salida 4 2 3 3 5" xfId="49631" xr:uid="{00000000-0005-0000-0000-000090C20000}"/>
    <cellStyle name="Salida 4 2 3 3 6" xfId="49632" xr:uid="{00000000-0005-0000-0000-000091C20000}"/>
    <cellStyle name="Salida 4 2 3 4" xfId="49633" xr:uid="{00000000-0005-0000-0000-000092C20000}"/>
    <cellStyle name="Salida 4 2 3 5" xfId="49634" xr:uid="{00000000-0005-0000-0000-000093C20000}"/>
    <cellStyle name="Salida 4 2 4" xfId="49635" xr:uid="{00000000-0005-0000-0000-000094C20000}"/>
    <cellStyle name="Salida 4 2 4 2" xfId="49636" xr:uid="{00000000-0005-0000-0000-000095C20000}"/>
    <cellStyle name="Salida 4 2 4 2 2" xfId="49637" xr:uid="{00000000-0005-0000-0000-000096C20000}"/>
    <cellStyle name="Salida 4 2 4 2 2 2" xfId="49638" xr:uid="{00000000-0005-0000-0000-000097C20000}"/>
    <cellStyle name="Salida 4 2 4 2 2 3" xfId="49639" xr:uid="{00000000-0005-0000-0000-000098C20000}"/>
    <cellStyle name="Salida 4 2 4 2 2 4" xfId="49640" xr:uid="{00000000-0005-0000-0000-000099C20000}"/>
    <cellStyle name="Salida 4 2 4 2 3" xfId="49641" xr:uid="{00000000-0005-0000-0000-00009AC20000}"/>
    <cellStyle name="Salida 4 2 4 2 3 2" xfId="49642" xr:uid="{00000000-0005-0000-0000-00009BC20000}"/>
    <cellStyle name="Salida 4 2 4 2 3 3" xfId="49643" xr:uid="{00000000-0005-0000-0000-00009CC20000}"/>
    <cellStyle name="Salida 4 2 4 2 3 4" xfId="49644" xr:uid="{00000000-0005-0000-0000-00009DC20000}"/>
    <cellStyle name="Salida 4 2 4 2 4" xfId="49645" xr:uid="{00000000-0005-0000-0000-00009EC20000}"/>
    <cellStyle name="Salida 4 2 4 2 5" xfId="49646" xr:uid="{00000000-0005-0000-0000-00009FC20000}"/>
    <cellStyle name="Salida 4 2 4 2 6" xfId="49647" xr:uid="{00000000-0005-0000-0000-0000A0C20000}"/>
    <cellStyle name="Salida 4 2 4 3" xfId="49648" xr:uid="{00000000-0005-0000-0000-0000A1C20000}"/>
    <cellStyle name="Salida 4 2 4 3 2" xfId="49649" xr:uid="{00000000-0005-0000-0000-0000A2C20000}"/>
    <cellStyle name="Salida 4 2 4 3 2 2" xfId="49650" xr:uid="{00000000-0005-0000-0000-0000A3C20000}"/>
    <cellStyle name="Salida 4 2 4 3 2 3" xfId="49651" xr:uid="{00000000-0005-0000-0000-0000A4C20000}"/>
    <cellStyle name="Salida 4 2 4 3 2 4" xfId="49652" xr:uid="{00000000-0005-0000-0000-0000A5C20000}"/>
    <cellStyle name="Salida 4 2 4 3 3" xfId="49653" xr:uid="{00000000-0005-0000-0000-0000A6C20000}"/>
    <cellStyle name="Salida 4 2 4 3 3 2" xfId="49654" xr:uid="{00000000-0005-0000-0000-0000A7C20000}"/>
    <cellStyle name="Salida 4 2 4 3 3 3" xfId="49655" xr:uid="{00000000-0005-0000-0000-0000A8C20000}"/>
    <cellStyle name="Salida 4 2 4 3 3 4" xfId="49656" xr:uid="{00000000-0005-0000-0000-0000A9C20000}"/>
    <cellStyle name="Salida 4 2 4 3 4" xfId="49657" xr:uid="{00000000-0005-0000-0000-0000AAC20000}"/>
    <cellStyle name="Salida 4 2 4 3 5" xfId="49658" xr:uid="{00000000-0005-0000-0000-0000ABC20000}"/>
    <cellStyle name="Salida 4 2 4 3 6" xfId="49659" xr:uid="{00000000-0005-0000-0000-0000ACC20000}"/>
    <cellStyle name="Salida 4 2 4 4" xfId="49660" xr:uid="{00000000-0005-0000-0000-0000ADC20000}"/>
    <cellStyle name="Salida 4 2 4 5" xfId="49661" xr:uid="{00000000-0005-0000-0000-0000AEC20000}"/>
    <cellStyle name="Salida 4 2 4 6" xfId="49662" xr:uid="{00000000-0005-0000-0000-0000AFC20000}"/>
    <cellStyle name="Salida 4 2 5" xfId="49663" xr:uid="{00000000-0005-0000-0000-0000B0C20000}"/>
    <cellStyle name="Salida 4 2 6" xfId="49664" xr:uid="{00000000-0005-0000-0000-0000B1C20000}"/>
    <cellStyle name="Salida 4 3" xfId="49665" xr:uid="{00000000-0005-0000-0000-0000B2C20000}"/>
    <cellStyle name="Salida 4 3 10" xfId="49666" xr:uid="{00000000-0005-0000-0000-0000B3C20000}"/>
    <cellStyle name="Salida 4 3 10 2" xfId="49667" xr:uid="{00000000-0005-0000-0000-0000B4C20000}"/>
    <cellStyle name="Salida 4 3 10 2 2" xfId="49668" xr:uid="{00000000-0005-0000-0000-0000B5C20000}"/>
    <cellStyle name="Salida 4 3 10 2 3" xfId="49669" xr:uid="{00000000-0005-0000-0000-0000B6C20000}"/>
    <cellStyle name="Salida 4 3 10 2 4" xfId="49670" xr:uid="{00000000-0005-0000-0000-0000B7C20000}"/>
    <cellStyle name="Salida 4 3 10 3" xfId="49671" xr:uid="{00000000-0005-0000-0000-0000B8C20000}"/>
    <cellStyle name="Salida 4 3 10 3 2" xfId="49672" xr:uid="{00000000-0005-0000-0000-0000B9C20000}"/>
    <cellStyle name="Salida 4 3 10 3 2 2" xfId="49673" xr:uid="{00000000-0005-0000-0000-0000BAC20000}"/>
    <cellStyle name="Salida 4 3 10 3 2 3" xfId="49674" xr:uid="{00000000-0005-0000-0000-0000BBC20000}"/>
    <cellStyle name="Salida 4 3 10 3 2 4" xfId="49675" xr:uid="{00000000-0005-0000-0000-0000BCC20000}"/>
    <cellStyle name="Salida 4 3 10 3 3" xfId="49676" xr:uid="{00000000-0005-0000-0000-0000BDC20000}"/>
    <cellStyle name="Salida 4 3 10 3 3 2" xfId="49677" xr:uid="{00000000-0005-0000-0000-0000BEC20000}"/>
    <cellStyle name="Salida 4 3 10 3 3 3" xfId="49678" xr:uid="{00000000-0005-0000-0000-0000BFC20000}"/>
    <cellStyle name="Salida 4 3 10 3 3 4" xfId="49679" xr:uid="{00000000-0005-0000-0000-0000C0C20000}"/>
    <cellStyle name="Salida 4 3 10 3 4" xfId="49680" xr:uid="{00000000-0005-0000-0000-0000C1C20000}"/>
    <cellStyle name="Salida 4 3 10 3 5" xfId="49681" xr:uid="{00000000-0005-0000-0000-0000C2C20000}"/>
    <cellStyle name="Salida 4 3 10 3 6" xfId="49682" xr:uid="{00000000-0005-0000-0000-0000C3C20000}"/>
    <cellStyle name="Salida 4 3 10 4" xfId="49683" xr:uid="{00000000-0005-0000-0000-0000C4C20000}"/>
    <cellStyle name="Salida 4 3 10 5" xfId="49684" xr:uid="{00000000-0005-0000-0000-0000C5C20000}"/>
    <cellStyle name="Salida 4 3 11" xfId="49685" xr:uid="{00000000-0005-0000-0000-0000C6C20000}"/>
    <cellStyle name="Salida 4 3 11 2" xfId="49686" xr:uid="{00000000-0005-0000-0000-0000C7C20000}"/>
    <cellStyle name="Salida 4 3 11 2 2" xfId="49687" xr:uid="{00000000-0005-0000-0000-0000C8C20000}"/>
    <cellStyle name="Salida 4 3 11 2 3" xfId="49688" xr:uid="{00000000-0005-0000-0000-0000C9C20000}"/>
    <cellStyle name="Salida 4 3 11 2 4" xfId="49689" xr:uid="{00000000-0005-0000-0000-0000CAC20000}"/>
    <cellStyle name="Salida 4 3 11 3" xfId="49690" xr:uid="{00000000-0005-0000-0000-0000CBC20000}"/>
    <cellStyle name="Salida 4 3 11 3 2" xfId="49691" xr:uid="{00000000-0005-0000-0000-0000CCC20000}"/>
    <cellStyle name="Salida 4 3 11 3 2 2" xfId="49692" xr:uid="{00000000-0005-0000-0000-0000CDC20000}"/>
    <cellStyle name="Salida 4 3 11 3 2 3" xfId="49693" xr:uid="{00000000-0005-0000-0000-0000CEC20000}"/>
    <cellStyle name="Salida 4 3 11 3 2 4" xfId="49694" xr:uid="{00000000-0005-0000-0000-0000CFC20000}"/>
    <cellStyle name="Salida 4 3 11 3 3" xfId="49695" xr:uid="{00000000-0005-0000-0000-0000D0C20000}"/>
    <cellStyle name="Salida 4 3 11 3 3 2" xfId="49696" xr:uid="{00000000-0005-0000-0000-0000D1C20000}"/>
    <cellStyle name="Salida 4 3 11 3 3 3" xfId="49697" xr:uid="{00000000-0005-0000-0000-0000D2C20000}"/>
    <cellStyle name="Salida 4 3 11 3 3 4" xfId="49698" xr:uid="{00000000-0005-0000-0000-0000D3C20000}"/>
    <cellStyle name="Salida 4 3 11 3 4" xfId="49699" xr:uid="{00000000-0005-0000-0000-0000D4C20000}"/>
    <cellStyle name="Salida 4 3 11 3 5" xfId="49700" xr:uid="{00000000-0005-0000-0000-0000D5C20000}"/>
    <cellStyle name="Salida 4 3 11 3 6" xfId="49701" xr:uid="{00000000-0005-0000-0000-0000D6C20000}"/>
    <cellStyle name="Salida 4 3 11 4" xfId="49702" xr:uid="{00000000-0005-0000-0000-0000D7C20000}"/>
    <cellStyle name="Salida 4 3 11 5" xfId="49703" xr:uid="{00000000-0005-0000-0000-0000D8C20000}"/>
    <cellStyle name="Salida 4 3 12" xfId="49704" xr:uid="{00000000-0005-0000-0000-0000D9C20000}"/>
    <cellStyle name="Salida 4 3 12 2" xfId="49705" xr:uid="{00000000-0005-0000-0000-0000DAC20000}"/>
    <cellStyle name="Salida 4 3 12 2 2" xfId="49706" xr:uid="{00000000-0005-0000-0000-0000DBC20000}"/>
    <cellStyle name="Salida 4 3 12 2 2 2" xfId="49707" xr:uid="{00000000-0005-0000-0000-0000DCC20000}"/>
    <cellStyle name="Salida 4 3 12 2 2 3" xfId="49708" xr:uid="{00000000-0005-0000-0000-0000DDC20000}"/>
    <cellStyle name="Salida 4 3 12 2 2 4" xfId="49709" xr:uid="{00000000-0005-0000-0000-0000DEC20000}"/>
    <cellStyle name="Salida 4 3 12 2 3" xfId="49710" xr:uid="{00000000-0005-0000-0000-0000DFC20000}"/>
    <cellStyle name="Salida 4 3 12 2 3 2" xfId="49711" xr:uid="{00000000-0005-0000-0000-0000E0C20000}"/>
    <cellStyle name="Salida 4 3 12 2 3 3" xfId="49712" xr:uid="{00000000-0005-0000-0000-0000E1C20000}"/>
    <cellStyle name="Salida 4 3 12 2 3 4" xfId="49713" xr:uid="{00000000-0005-0000-0000-0000E2C20000}"/>
    <cellStyle name="Salida 4 3 12 2 4" xfId="49714" xr:uid="{00000000-0005-0000-0000-0000E3C20000}"/>
    <cellStyle name="Salida 4 3 12 2 5" xfId="49715" xr:uid="{00000000-0005-0000-0000-0000E4C20000}"/>
    <cellStyle name="Salida 4 3 12 2 6" xfId="49716" xr:uid="{00000000-0005-0000-0000-0000E5C20000}"/>
    <cellStyle name="Salida 4 3 12 3" xfId="49717" xr:uid="{00000000-0005-0000-0000-0000E6C20000}"/>
    <cellStyle name="Salida 4 3 12 3 2" xfId="49718" xr:uid="{00000000-0005-0000-0000-0000E7C20000}"/>
    <cellStyle name="Salida 4 3 12 3 2 2" xfId="49719" xr:uid="{00000000-0005-0000-0000-0000E8C20000}"/>
    <cellStyle name="Salida 4 3 12 3 2 3" xfId="49720" xr:uid="{00000000-0005-0000-0000-0000E9C20000}"/>
    <cellStyle name="Salida 4 3 12 3 2 4" xfId="49721" xr:uid="{00000000-0005-0000-0000-0000EAC20000}"/>
    <cellStyle name="Salida 4 3 12 3 3" xfId="49722" xr:uid="{00000000-0005-0000-0000-0000EBC20000}"/>
    <cellStyle name="Salida 4 3 12 3 3 2" xfId="49723" xr:uid="{00000000-0005-0000-0000-0000ECC20000}"/>
    <cellStyle name="Salida 4 3 12 3 3 3" xfId="49724" xr:uid="{00000000-0005-0000-0000-0000EDC20000}"/>
    <cellStyle name="Salida 4 3 12 3 3 4" xfId="49725" xr:uid="{00000000-0005-0000-0000-0000EEC20000}"/>
    <cellStyle name="Salida 4 3 12 3 4" xfId="49726" xr:uid="{00000000-0005-0000-0000-0000EFC20000}"/>
    <cellStyle name="Salida 4 3 12 3 5" xfId="49727" xr:uid="{00000000-0005-0000-0000-0000F0C20000}"/>
    <cellStyle name="Salida 4 3 12 3 6" xfId="49728" xr:uid="{00000000-0005-0000-0000-0000F1C20000}"/>
    <cellStyle name="Salida 4 3 12 4" xfId="49729" xr:uid="{00000000-0005-0000-0000-0000F2C20000}"/>
    <cellStyle name="Salida 4 3 12 5" xfId="49730" xr:uid="{00000000-0005-0000-0000-0000F3C20000}"/>
    <cellStyle name="Salida 4 3 12 6" xfId="49731" xr:uid="{00000000-0005-0000-0000-0000F4C20000}"/>
    <cellStyle name="Salida 4 3 13" xfId="49732" xr:uid="{00000000-0005-0000-0000-0000F5C20000}"/>
    <cellStyle name="Salida 4 3 14" xfId="49733" xr:uid="{00000000-0005-0000-0000-0000F6C20000}"/>
    <cellStyle name="Salida 4 3 15" xfId="58792" xr:uid="{00000000-0005-0000-0000-0000F7C20000}"/>
    <cellStyle name="Salida 4 3 2" xfId="49734" xr:uid="{00000000-0005-0000-0000-0000F8C20000}"/>
    <cellStyle name="Salida 4 3 2 2" xfId="49735" xr:uid="{00000000-0005-0000-0000-0000F9C20000}"/>
    <cellStyle name="Salida 4 3 2 2 2" xfId="49736" xr:uid="{00000000-0005-0000-0000-0000FAC20000}"/>
    <cellStyle name="Salida 4 3 2 2 2 2" xfId="49737" xr:uid="{00000000-0005-0000-0000-0000FBC20000}"/>
    <cellStyle name="Salida 4 3 2 2 2 2 2" xfId="49738" xr:uid="{00000000-0005-0000-0000-0000FCC20000}"/>
    <cellStyle name="Salida 4 3 2 2 2 2 3" xfId="49739" xr:uid="{00000000-0005-0000-0000-0000FDC20000}"/>
    <cellStyle name="Salida 4 3 2 2 2 2 4" xfId="49740" xr:uid="{00000000-0005-0000-0000-0000FEC20000}"/>
    <cellStyle name="Salida 4 3 2 2 2 3" xfId="49741" xr:uid="{00000000-0005-0000-0000-0000FFC20000}"/>
    <cellStyle name="Salida 4 3 2 2 2 3 2" xfId="49742" xr:uid="{00000000-0005-0000-0000-000000C30000}"/>
    <cellStyle name="Salida 4 3 2 2 2 3 3" xfId="49743" xr:uid="{00000000-0005-0000-0000-000001C30000}"/>
    <cellStyle name="Salida 4 3 2 2 2 3 4" xfId="49744" xr:uid="{00000000-0005-0000-0000-000002C30000}"/>
    <cellStyle name="Salida 4 3 2 2 2 4" xfId="49745" xr:uid="{00000000-0005-0000-0000-000003C30000}"/>
    <cellStyle name="Salida 4 3 2 2 2 5" xfId="49746" xr:uid="{00000000-0005-0000-0000-000004C30000}"/>
    <cellStyle name="Salida 4 3 2 2 2 6" xfId="49747" xr:uid="{00000000-0005-0000-0000-000005C30000}"/>
    <cellStyle name="Salida 4 3 2 2 3" xfId="49748" xr:uid="{00000000-0005-0000-0000-000006C30000}"/>
    <cellStyle name="Salida 4 3 2 2 3 2" xfId="49749" xr:uid="{00000000-0005-0000-0000-000007C30000}"/>
    <cellStyle name="Salida 4 3 2 2 3 2 2" xfId="49750" xr:uid="{00000000-0005-0000-0000-000008C30000}"/>
    <cellStyle name="Salida 4 3 2 2 3 2 3" xfId="49751" xr:uid="{00000000-0005-0000-0000-000009C30000}"/>
    <cellStyle name="Salida 4 3 2 2 3 2 4" xfId="49752" xr:uid="{00000000-0005-0000-0000-00000AC30000}"/>
    <cellStyle name="Salida 4 3 2 2 3 3" xfId="49753" xr:uid="{00000000-0005-0000-0000-00000BC30000}"/>
    <cellStyle name="Salida 4 3 2 2 3 3 2" xfId="49754" xr:uid="{00000000-0005-0000-0000-00000CC30000}"/>
    <cellStyle name="Salida 4 3 2 2 3 3 3" xfId="49755" xr:uid="{00000000-0005-0000-0000-00000DC30000}"/>
    <cellStyle name="Salida 4 3 2 2 3 3 4" xfId="49756" xr:uid="{00000000-0005-0000-0000-00000EC30000}"/>
    <cellStyle name="Salida 4 3 2 2 3 4" xfId="49757" xr:uid="{00000000-0005-0000-0000-00000FC30000}"/>
    <cellStyle name="Salida 4 3 2 2 3 5" xfId="49758" xr:uid="{00000000-0005-0000-0000-000010C30000}"/>
    <cellStyle name="Salida 4 3 2 2 3 6" xfId="49759" xr:uid="{00000000-0005-0000-0000-000011C30000}"/>
    <cellStyle name="Salida 4 3 2 2 4" xfId="49760" xr:uid="{00000000-0005-0000-0000-000012C30000}"/>
    <cellStyle name="Salida 4 3 2 2 5" xfId="49761" xr:uid="{00000000-0005-0000-0000-000013C30000}"/>
    <cellStyle name="Salida 4 3 2 2 6" xfId="49762" xr:uid="{00000000-0005-0000-0000-000014C30000}"/>
    <cellStyle name="Salida 4 3 2 3" xfId="49763" xr:uid="{00000000-0005-0000-0000-000015C30000}"/>
    <cellStyle name="Salida 4 3 2 4" xfId="49764" xr:uid="{00000000-0005-0000-0000-000016C30000}"/>
    <cellStyle name="Salida 4 3 3" xfId="49765" xr:uid="{00000000-0005-0000-0000-000017C30000}"/>
    <cellStyle name="Salida 4 3 3 2" xfId="49766" xr:uid="{00000000-0005-0000-0000-000018C30000}"/>
    <cellStyle name="Salida 4 3 3 2 2" xfId="49767" xr:uid="{00000000-0005-0000-0000-000019C30000}"/>
    <cellStyle name="Salida 4 3 3 2 2 2" xfId="49768" xr:uid="{00000000-0005-0000-0000-00001AC30000}"/>
    <cellStyle name="Salida 4 3 3 2 2 2 2" xfId="49769" xr:uid="{00000000-0005-0000-0000-00001BC30000}"/>
    <cellStyle name="Salida 4 3 3 2 2 2 3" xfId="49770" xr:uid="{00000000-0005-0000-0000-00001CC30000}"/>
    <cellStyle name="Salida 4 3 3 2 2 2 4" xfId="49771" xr:uid="{00000000-0005-0000-0000-00001DC30000}"/>
    <cellStyle name="Salida 4 3 3 2 2 3" xfId="49772" xr:uid="{00000000-0005-0000-0000-00001EC30000}"/>
    <cellStyle name="Salida 4 3 3 2 2 3 2" xfId="49773" xr:uid="{00000000-0005-0000-0000-00001FC30000}"/>
    <cellStyle name="Salida 4 3 3 2 2 3 3" xfId="49774" xr:uid="{00000000-0005-0000-0000-000020C30000}"/>
    <cellStyle name="Salida 4 3 3 2 2 3 4" xfId="49775" xr:uid="{00000000-0005-0000-0000-000021C30000}"/>
    <cellStyle name="Salida 4 3 3 2 2 4" xfId="49776" xr:uid="{00000000-0005-0000-0000-000022C30000}"/>
    <cellStyle name="Salida 4 3 3 2 2 5" xfId="49777" xr:uid="{00000000-0005-0000-0000-000023C30000}"/>
    <cellStyle name="Salida 4 3 3 2 2 6" xfId="49778" xr:uid="{00000000-0005-0000-0000-000024C30000}"/>
    <cellStyle name="Salida 4 3 3 2 3" xfId="49779" xr:uid="{00000000-0005-0000-0000-000025C30000}"/>
    <cellStyle name="Salida 4 3 3 2 3 2" xfId="49780" xr:uid="{00000000-0005-0000-0000-000026C30000}"/>
    <cellStyle name="Salida 4 3 3 2 3 2 2" xfId="49781" xr:uid="{00000000-0005-0000-0000-000027C30000}"/>
    <cellStyle name="Salida 4 3 3 2 3 2 3" xfId="49782" xr:uid="{00000000-0005-0000-0000-000028C30000}"/>
    <cellStyle name="Salida 4 3 3 2 3 2 4" xfId="49783" xr:uid="{00000000-0005-0000-0000-000029C30000}"/>
    <cellStyle name="Salida 4 3 3 2 3 3" xfId="49784" xr:uid="{00000000-0005-0000-0000-00002AC30000}"/>
    <cellStyle name="Salida 4 3 3 2 3 3 2" xfId="49785" xr:uid="{00000000-0005-0000-0000-00002BC30000}"/>
    <cellStyle name="Salida 4 3 3 2 3 3 3" xfId="49786" xr:uid="{00000000-0005-0000-0000-00002CC30000}"/>
    <cellStyle name="Salida 4 3 3 2 3 3 4" xfId="49787" xr:uid="{00000000-0005-0000-0000-00002DC30000}"/>
    <cellStyle name="Salida 4 3 3 2 3 4" xfId="49788" xr:uid="{00000000-0005-0000-0000-00002EC30000}"/>
    <cellStyle name="Salida 4 3 3 2 3 5" xfId="49789" xr:uid="{00000000-0005-0000-0000-00002FC30000}"/>
    <cellStyle name="Salida 4 3 3 2 3 6" xfId="49790" xr:uid="{00000000-0005-0000-0000-000030C30000}"/>
    <cellStyle name="Salida 4 3 3 2 4" xfId="49791" xr:uid="{00000000-0005-0000-0000-000031C30000}"/>
    <cellStyle name="Salida 4 3 3 2 5" xfId="49792" xr:uid="{00000000-0005-0000-0000-000032C30000}"/>
    <cellStyle name="Salida 4 3 3 2 6" xfId="49793" xr:uid="{00000000-0005-0000-0000-000033C30000}"/>
    <cellStyle name="Salida 4 3 3 3" xfId="49794" xr:uid="{00000000-0005-0000-0000-000034C30000}"/>
    <cellStyle name="Salida 4 3 3 4" xfId="49795" xr:uid="{00000000-0005-0000-0000-000035C30000}"/>
    <cellStyle name="Salida 4 3 4" xfId="49796" xr:uid="{00000000-0005-0000-0000-000036C30000}"/>
    <cellStyle name="Salida 4 3 4 2" xfId="49797" xr:uid="{00000000-0005-0000-0000-000037C30000}"/>
    <cellStyle name="Salida 4 3 4 2 2" xfId="49798" xr:uid="{00000000-0005-0000-0000-000038C30000}"/>
    <cellStyle name="Salida 4 3 4 2 2 2" xfId="49799" xr:uid="{00000000-0005-0000-0000-000039C30000}"/>
    <cellStyle name="Salida 4 3 4 2 2 2 2" xfId="49800" xr:uid="{00000000-0005-0000-0000-00003AC30000}"/>
    <cellStyle name="Salida 4 3 4 2 2 2 3" xfId="49801" xr:uid="{00000000-0005-0000-0000-00003BC30000}"/>
    <cellStyle name="Salida 4 3 4 2 2 2 4" xfId="49802" xr:uid="{00000000-0005-0000-0000-00003CC30000}"/>
    <cellStyle name="Salida 4 3 4 2 2 3" xfId="49803" xr:uid="{00000000-0005-0000-0000-00003DC30000}"/>
    <cellStyle name="Salida 4 3 4 2 2 3 2" xfId="49804" xr:uid="{00000000-0005-0000-0000-00003EC30000}"/>
    <cellStyle name="Salida 4 3 4 2 2 3 3" xfId="49805" xr:uid="{00000000-0005-0000-0000-00003FC30000}"/>
    <cellStyle name="Salida 4 3 4 2 2 3 4" xfId="49806" xr:uid="{00000000-0005-0000-0000-000040C30000}"/>
    <cellStyle name="Salida 4 3 4 2 2 4" xfId="49807" xr:uid="{00000000-0005-0000-0000-000041C30000}"/>
    <cellStyle name="Salida 4 3 4 2 2 5" xfId="49808" xr:uid="{00000000-0005-0000-0000-000042C30000}"/>
    <cellStyle name="Salida 4 3 4 2 2 6" xfId="49809" xr:uid="{00000000-0005-0000-0000-000043C30000}"/>
    <cellStyle name="Salida 4 3 4 2 3" xfId="49810" xr:uid="{00000000-0005-0000-0000-000044C30000}"/>
    <cellStyle name="Salida 4 3 4 2 3 2" xfId="49811" xr:uid="{00000000-0005-0000-0000-000045C30000}"/>
    <cellStyle name="Salida 4 3 4 2 3 2 2" xfId="49812" xr:uid="{00000000-0005-0000-0000-000046C30000}"/>
    <cellStyle name="Salida 4 3 4 2 3 2 3" xfId="49813" xr:uid="{00000000-0005-0000-0000-000047C30000}"/>
    <cellStyle name="Salida 4 3 4 2 3 2 4" xfId="49814" xr:uid="{00000000-0005-0000-0000-000048C30000}"/>
    <cellStyle name="Salida 4 3 4 2 3 3" xfId="49815" xr:uid="{00000000-0005-0000-0000-000049C30000}"/>
    <cellStyle name="Salida 4 3 4 2 3 3 2" xfId="49816" xr:uid="{00000000-0005-0000-0000-00004AC30000}"/>
    <cellStyle name="Salida 4 3 4 2 3 3 3" xfId="49817" xr:uid="{00000000-0005-0000-0000-00004BC30000}"/>
    <cellStyle name="Salida 4 3 4 2 3 3 4" xfId="49818" xr:uid="{00000000-0005-0000-0000-00004CC30000}"/>
    <cellStyle name="Salida 4 3 4 2 3 4" xfId="49819" xr:uid="{00000000-0005-0000-0000-00004DC30000}"/>
    <cellStyle name="Salida 4 3 4 2 3 5" xfId="49820" xr:uid="{00000000-0005-0000-0000-00004EC30000}"/>
    <cellStyle name="Salida 4 3 4 2 3 6" xfId="49821" xr:uid="{00000000-0005-0000-0000-00004FC30000}"/>
    <cellStyle name="Salida 4 3 4 2 4" xfId="49822" xr:uid="{00000000-0005-0000-0000-000050C30000}"/>
    <cellStyle name="Salida 4 3 4 2 5" xfId="49823" xr:uid="{00000000-0005-0000-0000-000051C30000}"/>
    <cellStyle name="Salida 4 3 4 2 6" xfId="49824" xr:uid="{00000000-0005-0000-0000-000052C30000}"/>
    <cellStyle name="Salida 4 3 4 3" xfId="49825" xr:uid="{00000000-0005-0000-0000-000053C30000}"/>
    <cellStyle name="Salida 4 3 4 4" xfId="49826" xr:uid="{00000000-0005-0000-0000-000054C30000}"/>
    <cellStyle name="Salida 4 3 5" xfId="49827" xr:uid="{00000000-0005-0000-0000-000055C30000}"/>
    <cellStyle name="Salida 4 3 5 2" xfId="49828" xr:uid="{00000000-0005-0000-0000-000056C30000}"/>
    <cellStyle name="Salida 4 3 5 2 2" xfId="49829" xr:uid="{00000000-0005-0000-0000-000057C30000}"/>
    <cellStyle name="Salida 4 3 5 2 3" xfId="49830" xr:uid="{00000000-0005-0000-0000-000058C30000}"/>
    <cellStyle name="Salida 4 3 5 2 4" xfId="49831" xr:uid="{00000000-0005-0000-0000-000059C30000}"/>
    <cellStyle name="Salida 4 3 5 3" xfId="49832" xr:uid="{00000000-0005-0000-0000-00005AC30000}"/>
    <cellStyle name="Salida 4 3 5 3 2" xfId="49833" xr:uid="{00000000-0005-0000-0000-00005BC30000}"/>
    <cellStyle name="Salida 4 3 5 3 2 2" xfId="49834" xr:uid="{00000000-0005-0000-0000-00005CC30000}"/>
    <cellStyle name="Salida 4 3 5 3 2 3" xfId="49835" xr:uid="{00000000-0005-0000-0000-00005DC30000}"/>
    <cellStyle name="Salida 4 3 5 3 2 4" xfId="49836" xr:uid="{00000000-0005-0000-0000-00005EC30000}"/>
    <cellStyle name="Salida 4 3 5 3 3" xfId="49837" xr:uid="{00000000-0005-0000-0000-00005FC30000}"/>
    <cellStyle name="Salida 4 3 5 3 3 2" xfId="49838" xr:uid="{00000000-0005-0000-0000-000060C30000}"/>
    <cellStyle name="Salida 4 3 5 3 3 3" xfId="49839" xr:uid="{00000000-0005-0000-0000-000061C30000}"/>
    <cellStyle name="Salida 4 3 5 3 3 4" xfId="49840" xr:uid="{00000000-0005-0000-0000-000062C30000}"/>
    <cellStyle name="Salida 4 3 5 3 4" xfId="49841" xr:uid="{00000000-0005-0000-0000-000063C30000}"/>
    <cellStyle name="Salida 4 3 5 3 5" xfId="49842" xr:uid="{00000000-0005-0000-0000-000064C30000}"/>
    <cellStyle name="Salida 4 3 5 3 6" xfId="49843" xr:uid="{00000000-0005-0000-0000-000065C30000}"/>
    <cellStyle name="Salida 4 3 5 4" xfId="49844" xr:uid="{00000000-0005-0000-0000-000066C30000}"/>
    <cellStyle name="Salida 4 3 5 5" xfId="49845" xr:uid="{00000000-0005-0000-0000-000067C30000}"/>
    <cellStyle name="Salida 4 3 6" xfId="49846" xr:uid="{00000000-0005-0000-0000-000068C30000}"/>
    <cellStyle name="Salida 4 3 6 2" xfId="49847" xr:uid="{00000000-0005-0000-0000-000069C30000}"/>
    <cellStyle name="Salida 4 3 6 2 2" xfId="49848" xr:uid="{00000000-0005-0000-0000-00006AC30000}"/>
    <cellStyle name="Salida 4 3 6 2 3" xfId="49849" xr:uid="{00000000-0005-0000-0000-00006BC30000}"/>
    <cellStyle name="Salida 4 3 6 2 4" xfId="49850" xr:uid="{00000000-0005-0000-0000-00006CC30000}"/>
    <cellStyle name="Salida 4 3 6 3" xfId="49851" xr:uid="{00000000-0005-0000-0000-00006DC30000}"/>
    <cellStyle name="Salida 4 3 6 3 2" xfId="49852" xr:uid="{00000000-0005-0000-0000-00006EC30000}"/>
    <cellStyle name="Salida 4 3 6 3 2 2" xfId="49853" xr:uid="{00000000-0005-0000-0000-00006FC30000}"/>
    <cellStyle name="Salida 4 3 6 3 2 3" xfId="49854" xr:uid="{00000000-0005-0000-0000-000070C30000}"/>
    <cellStyle name="Salida 4 3 6 3 2 4" xfId="49855" xr:uid="{00000000-0005-0000-0000-000071C30000}"/>
    <cellStyle name="Salida 4 3 6 3 3" xfId="49856" xr:uid="{00000000-0005-0000-0000-000072C30000}"/>
    <cellStyle name="Salida 4 3 6 3 3 2" xfId="49857" xr:uid="{00000000-0005-0000-0000-000073C30000}"/>
    <cellStyle name="Salida 4 3 6 3 3 3" xfId="49858" xr:uid="{00000000-0005-0000-0000-000074C30000}"/>
    <cellStyle name="Salida 4 3 6 3 3 4" xfId="49859" xr:uid="{00000000-0005-0000-0000-000075C30000}"/>
    <cellStyle name="Salida 4 3 6 3 4" xfId="49860" xr:uid="{00000000-0005-0000-0000-000076C30000}"/>
    <cellStyle name="Salida 4 3 6 3 5" xfId="49861" xr:uid="{00000000-0005-0000-0000-000077C30000}"/>
    <cellStyle name="Salida 4 3 6 3 6" xfId="49862" xr:uid="{00000000-0005-0000-0000-000078C30000}"/>
    <cellStyle name="Salida 4 3 6 4" xfId="49863" xr:uid="{00000000-0005-0000-0000-000079C30000}"/>
    <cellStyle name="Salida 4 3 6 5" xfId="49864" xr:uid="{00000000-0005-0000-0000-00007AC30000}"/>
    <cellStyle name="Salida 4 3 7" xfId="49865" xr:uid="{00000000-0005-0000-0000-00007BC30000}"/>
    <cellStyle name="Salida 4 3 7 2" xfId="49866" xr:uid="{00000000-0005-0000-0000-00007CC30000}"/>
    <cellStyle name="Salida 4 3 7 2 2" xfId="49867" xr:uid="{00000000-0005-0000-0000-00007DC30000}"/>
    <cellStyle name="Salida 4 3 7 2 3" xfId="49868" xr:uid="{00000000-0005-0000-0000-00007EC30000}"/>
    <cellStyle name="Salida 4 3 7 2 4" xfId="49869" xr:uid="{00000000-0005-0000-0000-00007FC30000}"/>
    <cellStyle name="Salida 4 3 7 3" xfId="49870" xr:uid="{00000000-0005-0000-0000-000080C30000}"/>
    <cellStyle name="Salida 4 3 7 3 2" xfId="49871" xr:uid="{00000000-0005-0000-0000-000081C30000}"/>
    <cellStyle name="Salida 4 3 7 3 2 2" xfId="49872" xr:uid="{00000000-0005-0000-0000-000082C30000}"/>
    <cellStyle name="Salida 4 3 7 3 2 3" xfId="49873" xr:uid="{00000000-0005-0000-0000-000083C30000}"/>
    <cellStyle name="Salida 4 3 7 3 2 4" xfId="49874" xr:uid="{00000000-0005-0000-0000-000084C30000}"/>
    <cellStyle name="Salida 4 3 7 3 3" xfId="49875" xr:uid="{00000000-0005-0000-0000-000085C30000}"/>
    <cellStyle name="Salida 4 3 7 3 3 2" xfId="49876" xr:uid="{00000000-0005-0000-0000-000086C30000}"/>
    <cellStyle name="Salida 4 3 7 3 3 3" xfId="49877" xr:uid="{00000000-0005-0000-0000-000087C30000}"/>
    <cellStyle name="Salida 4 3 7 3 3 4" xfId="49878" xr:uid="{00000000-0005-0000-0000-000088C30000}"/>
    <cellStyle name="Salida 4 3 7 3 4" xfId="49879" xr:uid="{00000000-0005-0000-0000-000089C30000}"/>
    <cellStyle name="Salida 4 3 7 3 5" xfId="49880" xr:uid="{00000000-0005-0000-0000-00008AC30000}"/>
    <cellStyle name="Salida 4 3 7 3 6" xfId="49881" xr:uid="{00000000-0005-0000-0000-00008BC30000}"/>
    <cellStyle name="Salida 4 3 7 4" xfId="49882" xr:uid="{00000000-0005-0000-0000-00008CC30000}"/>
    <cellStyle name="Salida 4 3 7 5" xfId="49883" xr:uid="{00000000-0005-0000-0000-00008DC30000}"/>
    <cellStyle name="Salida 4 3 8" xfId="49884" xr:uid="{00000000-0005-0000-0000-00008EC30000}"/>
    <cellStyle name="Salida 4 3 8 2" xfId="49885" xr:uid="{00000000-0005-0000-0000-00008FC30000}"/>
    <cellStyle name="Salida 4 3 8 2 2" xfId="49886" xr:uid="{00000000-0005-0000-0000-000090C30000}"/>
    <cellStyle name="Salida 4 3 8 2 3" xfId="49887" xr:uid="{00000000-0005-0000-0000-000091C30000}"/>
    <cellStyle name="Salida 4 3 8 2 4" xfId="49888" xr:uid="{00000000-0005-0000-0000-000092C30000}"/>
    <cellStyle name="Salida 4 3 8 3" xfId="49889" xr:uid="{00000000-0005-0000-0000-000093C30000}"/>
    <cellStyle name="Salida 4 3 8 3 2" xfId="49890" xr:uid="{00000000-0005-0000-0000-000094C30000}"/>
    <cellStyle name="Salida 4 3 8 3 2 2" xfId="49891" xr:uid="{00000000-0005-0000-0000-000095C30000}"/>
    <cellStyle name="Salida 4 3 8 3 2 3" xfId="49892" xr:uid="{00000000-0005-0000-0000-000096C30000}"/>
    <cellStyle name="Salida 4 3 8 3 2 4" xfId="49893" xr:uid="{00000000-0005-0000-0000-000097C30000}"/>
    <cellStyle name="Salida 4 3 8 3 3" xfId="49894" xr:uid="{00000000-0005-0000-0000-000098C30000}"/>
    <cellStyle name="Salida 4 3 8 3 3 2" xfId="49895" xr:uid="{00000000-0005-0000-0000-000099C30000}"/>
    <cellStyle name="Salida 4 3 8 3 3 3" xfId="49896" xr:uid="{00000000-0005-0000-0000-00009AC30000}"/>
    <cellStyle name="Salida 4 3 8 3 3 4" xfId="49897" xr:uid="{00000000-0005-0000-0000-00009BC30000}"/>
    <cellStyle name="Salida 4 3 8 3 4" xfId="49898" xr:uid="{00000000-0005-0000-0000-00009CC30000}"/>
    <cellStyle name="Salida 4 3 8 3 5" xfId="49899" xr:uid="{00000000-0005-0000-0000-00009DC30000}"/>
    <cellStyle name="Salida 4 3 8 3 6" xfId="49900" xr:uid="{00000000-0005-0000-0000-00009EC30000}"/>
    <cellStyle name="Salida 4 3 8 4" xfId="49901" xr:uid="{00000000-0005-0000-0000-00009FC30000}"/>
    <cellStyle name="Salida 4 3 8 5" xfId="49902" xr:uid="{00000000-0005-0000-0000-0000A0C30000}"/>
    <cellStyle name="Salida 4 3 9" xfId="49903" xr:uid="{00000000-0005-0000-0000-0000A1C30000}"/>
    <cellStyle name="Salida 4 3 9 2" xfId="49904" xr:uid="{00000000-0005-0000-0000-0000A2C30000}"/>
    <cellStyle name="Salida 4 3 9 2 2" xfId="49905" xr:uid="{00000000-0005-0000-0000-0000A3C30000}"/>
    <cellStyle name="Salida 4 3 9 2 3" xfId="49906" xr:uid="{00000000-0005-0000-0000-0000A4C30000}"/>
    <cellStyle name="Salida 4 3 9 2 4" xfId="49907" xr:uid="{00000000-0005-0000-0000-0000A5C30000}"/>
    <cellStyle name="Salida 4 3 9 3" xfId="49908" xr:uid="{00000000-0005-0000-0000-0000A6C30000}"/>
    <cellStyle name="Salida 4 3 9 3 2" xfId="49909" xr:uid="{00000000-0005-0000-0000-0000A7C30000}"/>
    <cellStyle name="Salida 4 3 9 3 2 2" xfId="49910" xr:uid="{00000000-0005-0000-0000-0000A8C30000}"/>
    <cellStyle name="Salida 4 3 9 3 2 3" xfId="49911" xr:uid="{00000000-0005-0000-0000-0000A9C30000}"/>
    <cellStyle name="Salida 4 3 9 3 2 4" xfId="49912" xr:uid="{00000000-0005-0000-0000-0000AAC30000}"/>
    <cellStyle name="Salida 4 3 9 3 3" xfId="49913" xr:uid="{00000000-0005-0000-0000-0000ABC30000}"/>
    <cellStyle name="Salida 4 3 9 3 3 2" xfId="49914" xr:uid="{00000000-0005-0000-0000-0000ACC30000}"/>
    <cellStyle name="Salida 4 3 9 3 3 3" xfId="49915" xr:uid="{00000000-0005-0000-0000-0000ADC30000}"/>
    <cellStyle name="Salida 4 3 9 3 3 4" xfId="49916" xr:uid="{00000000-0005-0000-0000-0000AEC30000}"/>
    <cellStyle name="Salida 4 3 9 3 4" xfId="49917" xr:uid="{00000000-0005-0000-0000-0000AFC30000}"/>
    <cellStyle name="Salida 4 3 9 3 5" xfId="49918" xr:uid="{00000000-0005-0000-0000-0000B0C30000}"/>
    <cellStyle name="Salida 4 3 9 3 6" xfId="49919" xr:uid="{00000000-0005-0000-0000-0000B1C30000}"/>
    <cellStyle name="Salida 4 3 9 4" xfId="49920" xr:uid="{00000000-0005-0000-0000-0000B2C30000}"/>
    <cellStyle name="Salida 4 3 9 5" xfId="49921" xr:uid="{00000000-0005-0000-0000-0000B3C30000}"/>
    <cellStyle name="Salida 4 4" xfId="49922" xr:uid="{00000000-0005-0000-0000-0000B4C30000}"/>
    <cellStyle name="Salida 4 4 10" xfId="49923" xr:uid="{00000000-0005-0000-0000-0000B5C30000}"/>
    <cellStyle name="Salida 4 4 10 2" xfId="49924" xr:uid="{00000000-0005-0000-0000-0000B6C30000}"/>
    <cellStyle name="Salida 4 4 10 2 2" xfId="49925" xr:uid="{00000000-0005-0000-0000-0000B7C30000}"/>
    <cellStyle name="Salida 4 4 10 2 3" xfId="49926" xr:uid="{00000000-0005-0000-0000-0000B8C30000}"/>
    <cellStyle name="Salida 4 4 10 2 4" xfId="49927" xr:uid="{00000000-0005-0000-0000-0000B9C30000}"/>
    <cellStyle name="Salida 4 4 10 3" xfId="49928" xr:uid="{00000000-0005-0000-0000-0000BAC30000}"/>
    <cellStyle name="Salida 4 4 10 3 2" xfId="49929" xr:uid="{00000000-0005-0000-0000-0000BBC30000}"/>
    <cellStyle name="Salida 4 4 10 3 2 2" xfId="49930" xr:uid="{00000000-0005-0000-0000-0000BCC30000}"/>
    <cellStyle name="Salida 4 4 10 3 2 3" xfId="49931" xr:uid="{00000000-0005-0000-0000-0000BDC30000}"/>
    <cellStyle name="Salida 4 4 10 3 2 4" xfId="49932" xr:uid="{00000000-0005-0000-0000-0000BEC30000}"/>
    <cellStyle name="Salida 4 4 10 3 3" xfId="49933" xr:uid="{00000000-0005-0000-0000-0000BFC30000}"/>
    <cellStyle name="Salida 4 4 10 3 3 2" xfId="49934" xr:uid="{00000000-0005-0000-0000-0000C0C30000}"/>
    <cellStyle name="Salida 4 4 10 3 3 3" xfId="49935" xr:uid="{00000000-0005-0000-0000-0000C1C30000}"/>
    <cellStyle name="Salida 4 4 10 3 3 4" xfId="49936" xr:uid="{00000000-0005-0000-0000-0000C2C30000}"/>
    <cellStyle name="Salida 4 4 10 3 4" xfId="49937" xr:uid="{00000000-0005-0000-0000-0000C3C30000}"/>
    <cellStyle name="Salida 4 4 10 3 5" xfId="49938" xr:uid="{00000000-0005-0000-0000-0000C4C30000}"/>
    <cellStyle name="Salida 4 4 10 3 6" xfId="49939" xr:uid="{00000000-0005-0000-0000-0000C5C30000}"/>
    <cellStyle name="Salida 4 4 10 4" xfId="49940" xr:uid="{00000000-0005-0000-0000-0000C6C30000}"/>
    <cellStyle name="Salida 4 4 10 5" xfId="49941" xr:uid="{00000000-0005-0000-0000-0000C7C30000}"/>
    <cellStyle name="Salida 4 4 11" xfId="49942" xr:uid="{00000000-0005-0000-0000-0000C8C30000}"/>
    <cellStyle name="Salida 4 4 11 2" xfId="49943" xr:uid="{00000000-0005-0000-0000-0000C9C30000}"/>
    <cellStyle name="Salida 4 4 11 2 2" xfId="49944" xr:uid="{00000000-0005-0000-0000-0000CAC30000}"/>
    <cellStyle name="Salida 4 4 11 2 3" xfId="49945" xr:uid="{00000000-0005-0000-0000-0000CBC30000}"/>
    <cellStyle name="Salida 4 4 11 2 4" xfId="49946" xr:uid="{00000000-0005-0000-0000-0000CCC30000}"/>
    <cellStyle name="Salida 4 4 11 3" xfId="49947" xr:uid="{00000000-0005-0000-0000-0000CDC30000}"/>
    <cellStyle name="Salida 4 4 11 3 2" xfId="49948" xr:uid="{00000000-0005-0000-0000-0000CEC30000}"/>
    <cellStyle name="Salida 4 4 11 3 2 2" xfId="49949" xr:uid="{00000000-0005-0000-0000-0000CFC30000}"/>
    <cellStyle name="Salida 4 4 11 3 2 3" xfId="49950" xr:uid="{00000000-0005-0000-0000-0000D0C30000}"/>
    <cellStyle name="Salida 4 4 11 3 2 4" xfId="49951" xr:uid="{00000000-0005-0000-0000-0000D1C30000}"/>
    <cellStyle name="Salida 4 4 11 3 3" xfId="49952" xr:uid="{00000000-0005-0000-0000-0000D2C30000}"/>
    <cellStyle name="Salida 4 4 11 3 3 2" xfId="49953" xr:uid="{00000000-0005-0000-0000-0000D3C30000}"/>
    <cellStyle name="Salida 4 4 11 3 3 3" xfId="49954" xr:uid="{00000000-0005-0000-0000-0000D4C30000}"/>
    <cellStyle name="Salida 4 4 11 3 3 4" xfId="49955" xr:uid="{00000000-0005-0000-0000-0000D5C30000}"/>
    <cellStyle name="Salida 4 4 11 3 4" xfId="49956" xr:uid="{00000000-0005-0000-0000-0000D6C30000}"/>
    <cellStyle name="Salida 4 4 11 3 5" xfId="49957" xr:uid="{00000000-0005-0000-0000-0000D7C30000}"/>
    <cellStyle name="Salida 4 4 11 3 6" xfId="49958" xr:uid="{00000000-0005-0000-0000-0000D8C30000}"/>
    <cellStyle name="Salida 4 4 11 4" xfId="49959" xr:uid="{00000000-0005-0000-0000-0000D9C30000}"/>
    <cellStyle name="Salida 4 4 11 5" xfId="49960" xr:uid="{00000000-0005-0000-0000-0000DAC30000}"/>
    <cellStyle name="Salida 4 4 12" xfId="49961" xr:uid="{00000000-0005-0000-0000-0000DBC30000}"/>
    <cellStyle name="Salida 4 4 12 2" xfId="49962" xr:uid="{00000000-0005-0000-0000-0000DCC30000}"/>
    <cellStyle name="Salida 4 4 12 2 2" xfId="49963" xr:uid="{00000000-0005-0000-0000-0000DDC30000}"/>
    <cellStyle name="Salida 4 4 12 2 2 2" xfId="49964" xr:uid="{00000000-0005-0000-0000-0000DEC30000}"/>
    <cellStyle name="Salida 4 4 12 2 2 3" xfId="49965" xr:uid="{00000000-0005-0000-0000-0000DFC30000}"/>
    <cellStyle name="Salida 4 4 12 2 2 4" xfId="49966" xr:uid="{00000000-0005-0000-0000-0000E0C30000}"/>
    <cellStyle name="Salida 4 4 12 2 3" xfId="49967" xr:uid="{00000000-0005-0000-0000-0000E1C30000}"/>
    <cellStyle name="Salida 4 4 12 2 3 2" xfId="49968" xr:uid="{00000000-0005-0000-0000-0000E2C30000}"/>
    <cellStyle name="Salida 4 4 12 2 3 3" xfId="49969" xr:uid="{00000000-0005-0000-0000-0000E3C30000}"/>
    <cellStyle name="Salida 4 4 12 2 3 4" xfId="49970" xr:uid="{00000000-0005-0000-0000-0000E4C30000}"/>
    <cellStyle name="Salida 4 4 12 2 4" xfId="49971" xr:uid="{00000000-0005-0000-0000-0000E5C30000}"/>
    <cellStyle name="Salida 4 4 12 2 5" xfId="49972" xr:uid="{00000000-0005-0000-0000-0000E6C30000}"/>
    <cellStyle name="Salida 4 4 12 2 6" xfId="49973" xr:uid="{00000000-0005-0000-0000-0000E7C30000}"/>
    <cellStyle name="Salida 4 4 12 3" xfId="49974" xr:uid="{00000000-0005-0000-0000-0000E8C30000}"/>
    <cellStyle name="Salida 4 4 12 3 2" xfId="49975" xr:uid="{00000000-0005-0000-0000-0000E9C30000}"/>
    <cellStyle name="Salida 4 4 12 3 2 2" xfId="49976" xr:uid="{00000000-0005-0000-0000-0000EAC30000}"/>
    <cellStyle name="Salida 4 4 12 3 2 3" xfId="49977" xr:uid="{00000000-0005-0000-0000-0000EBC30000}"/>
    <cellStyle name="Salida 4 4 12 3 2 4" xfId="49978" xr:uid="{00000000-0005-0000-0000-0000ECC30000}"/>
    <cellStyle name="Salida 4 4 12 3 3" xfId="49979" xr:uid="{00000000-0005-0000-0000-0000EDC30000}"/>
    <cellStyle name="Salida 4 4 12 3 3 2" xfId="49980" xr:uid="{00000000-0005-0000-0000-0000EEC30000}"/>
    <cellStyle name="Salida 4 4 12 3 3 3" xfId="49981" xr:uid="{00000000-0005-0000-0000-0000EFC30000}"/>
    <cellStyle name="Salida 4 4 12 3 3 4" xfId="49982" xr:uid="{00000000-0005-0000-0000-0000F0C30000}"/>
    <cellStyle name="Salida 4 4 12 3 4" xfId="49983" xr:uid="{00000000-0005-0000-0000-0000F1C30000}"/>
    <cellStyle name="Salida 4 4 12 3 5" xfId="49984" xr:uid="{00000000-0005-0000-0000-0000F2C30000}"/>
    <cellStyle name="Salida 4 4 12 3 6" xfId="49985" xr:uid="{00000000-0005-0000-0000-0000F3C30000}"/>
    <cellStyle name="Salida 4 4 12 4" xfId="49986" xr:uid="{00000000-0005-0000-0000-0000F4C30000}"/>
    <cellStyle name="Salida 4 4 12 5" xfId="49987" xr:uid="{00000000-0005-0000-0000-0000F5C30000}"/>
    <cellStyle name="Salida 4 4 12 6" xfId="49988" xr:uid="{00000000-0005-0000-0000-0000F6C30000}"/>
    <cellStyle name="Salida 4 4 13" xfId="49989" xr:uid="{00000000-0005-0000-0000-0000F7C30000}"/>
    <cellStyle name="Salida 4 4 14" xfId="49990" xr:uid="{00000000-0005-0000-0000-0000F8C30000}"/>
    <cellStyle name="Salida 4 4 15" xfId="58793" xr:uid="{00000000-0005-0000-0000-0000F9C30000}"/>
    <cellStyle name="Salida 4 4 2" xfId="49991" xr:uid="{00000000-0005-0000-0000-0000FAC30000}"/>
    <cellStyle name="Salida 4 4 2 2" xfId="49992" xr:uid="{00000000-0005-0000-0000-0000FBC30000}"/>
    <cellStyle name="Salida 4 4 2 2 2" xfId="49993" xr:uid="{00000000-0005-0000-0000-0000FCC30000}"/>
    <cellStyle name="Salida 4 4 2 2 2 2" xfId="49994" xr:uid="{00000000-0005-0000-0000-0000FDC30000}"/>
    <cellStyle name="Salida 4 4 2 2 2 2 2" xfId="49995" xr:uid="{00000000-0005-0000-0000-0000FEC30000}"/>
    <cellStyle name="Salida 4 4 2 2 2 2 3" xfId="49996" xr:uid="{00000000-0005-0000-0000-0000FFC30000}"/>
    <cellStyle name="Salida 4 4 2 2 2 2 4" xfId="49997" xr:uid="{00000000-0005-0000-0000-000000C40000}"/>
    <cellStyle name="Salida 4 4 2 2 2 3" xfId="49998" xr:uid="{00000000-0005-0000-0000-000001C40000}"/>
    <cellStyle name="Salida 4 4 2 2 2 3 2" xfId="49999" xr:uid="{00000000-0005-0000-0000-000002C40000}"/>
    <cellStyle name="Salida 4 4 2 2 2 3 3" xfId="50000" xr:uid="{00000000-0005-0000-0000-000003C40000}"/>
    <cellStyle name="Salida 4 4 2 2 2 3 4" xfId="50001" xr:uid="{00000000-0005-0000-0000-000004C40000}"/>
    <cellStyle name="Salida 4 4 2 2 2 4" xfId="50002" xr:uid="{00000000-0005-0000-0000-000005C40000}"/>
    <cellStyle name="Salida 4 4 2 2 2 5" xfId="50003" xr:uid="{00000000-0005-0000-0000-000006C40000}"/>
    <cellStyle name="Salida 4 4 2 2 2 6" xfId="50004" xr:uid="{00000000-0005-0000-0000-000007C40000}"/>
    <cellStyle name="Salida 4 4 2 2 3" xfId="50005" xr:uid="{00000000-0005-0000-0000-000008C40000}"/>
    <cellStyle name="Salida 4 4 2 2 3 2" xfId="50006" xr:uid="{00000000-0005-0000-0000-000009C40000}"/>
    <cellStyle name="Salida 4 4 2 2 3 2 2" xfId="50007" xr:uid="{00000000-0005-0000-0000-00000AC40000}"/>
    <cellStyle name="Salida 4 4 2 2 3 2 3" xfId="50008" xr:uid="{00000000-0005-0000-0000-00000BC40000}"/>
    <cellStyle name="Salida 4 4 2 2 3 2 4" xfId="50009" xr:uid="{00000000-0005-0000-0000-00000CC40000}"/>
    <cellStyle name="Salida 4 4 2 2 3 3" xfId="50010" xr:uid="{00000000-0005-0000-0000-00000DC40000}"/>
    <cellStyle name="Salida 4 4 2 2 3 3 2" xfId="50011" xr:uid="{00000000-0005-0000-0000-00000EC40000}"/>
    <cellStyle name="Salida 4 4 2 2 3 3 3" xfId="50012" xr:uid="{00000000-0005-0000-0000-00000FC40000}"/>
    <cellStyle name="Salida 4 4 2 2 3 3 4" xfId="50013" xr:uid="{00000000-0005-0000-0000-000010C40000}"/>
    <cellStyle name="Salida 4 4 2 2 3 4" xfId="50014" xr:uid="{00000000-0005-0000-0000-000011C40000}"/>
    <cellStyle name="Salida 4 4 2 2 3 5" xfId="50015" xr:uid="{00000000-0005-0000-0000-000012C40000}"/>
    <cellStyle name="Salida 4 4 2 2 3 6" xfId="50016" xr:uid="{00000000-0005-0000-0000-000013C40000}"/>
    <cellStyle name="Salida 4 4 2 2 4" xfId="50017" xr:uid="{00000000-0005-0000-0000-000014C40000}"/>
    <cellStyle name="Salida 4 4 2 2 5" xfId="50018" xr:uid="{00000000-0005-0000-0000-000015C40000}"/>
    <cellStyle name="Salida 4 4 2 2 6" xfId="50019" xr:uid="{00000000-0005-0000-0000-000016C40000}"/>
    <cellStyle name="Salida 4 4 2 3" xfId="50020" xr:uid="{00000000-0005-0000-0000-000017C40000}"/>
    <cellStyle name="Salida 4 4 2 4" xfId="50021" xr:uid="{00000000-0005-0000-0000-000018C40000}"/>
    <cellStyle name="Salida 4 4 3" xfId="50022" xr:uid="{00000000-0005-0000-0000-000019C40000}"/>
    <cellStyle name="Salida 4 4 3 2" xfId="50023" xr:uid="{00000000-0005-0000-0000-00001AC40000}"/>
    <cellStyle name="Salida 4 4 3 2 2" xfId="50024" xr:uid="{00000000-0005-0000-0000-00001BC40000}"/>
    <cellStyle name="Salida 4 4 3 2 2 2" xfId="50025" xr:uid="{00000000-0005-0000-0000-00001CC40000}"/>
    <cellStyle name="Salida 4 4 3 2 2 2 2" xfId="50026" xr:uid="{00000000-0005-0000-0000-00001DC40000}"/>
    <cellStyle name="Salida 4 4 3 2 2 2 3" xfId="50027" xr:uid="{00000000-0005-0000-0000-00001EC40000}"/>
    <cellStyle name="Salida 4 4 3 2 2 2 4" xfId="50028" xr:uid="{00000000-0005-0000-0000-00001FC40000}"/>
    <cellStyle name="Salida 4 4 3 2 2 3" xfId="50029" xr:uid="{00000000-0005-0000-0000-000020C40000}"/>
    <cellStyle name="Salida 4 4 3 2 2 3 2" xfId="50030" xr:uid="{00000000-0005-0000-0000-000021C40000}"/>
    <cellStyle name="Salida 4 4 3 2 2 3 3" xfId="50031" xr:uid="{00000000-0005-0000-0000-000022C40000}"/>
    <cellStyle name="Salida 4 4 3 2 2 3 4" xfId="50032" xr:uid="{00000000-0005-0000-0000-000023C40000}"/>
    <cellStyle name="Salida 4 4 3 2 2 4" xfId="50033" xr:uid="{00000000-0005-0000-0000-000024C40000}"/>
    <cellStyle name="Salida 4 4 3 2 2 5" xfId="50034" xr:uid="{00000000-0005-0000-0000-000025C40000}"/>
    <cellStyle name="Salida 4 4 3 2 2 6" xfId="50035" xr:uid="{00000000-0005-0000-0000-000026C40000}"/>
    <cellStyle name="Salida 4 4 3 2 3" xfId="50036" xr:uid="{00000000-0005-0000-0000-000027C40000}"/>
    <cellStyle name="Salida 4 4 3 2 3 2" xfId="50037" xr:uid="{00000000-0005-0000-0000-000028C40000}"/>
    <cellStyle name="Salida 4 4 3 2 3 2 2" xfId="50038" xr:uid="{00000000-0005-0000-0000-000029C40000}"/>
    <cellStyle name="Salida 4 4 3 2 3 2 3" xfId="50039" xr:uid="{00000000-0005-0000-0000-00002AC40000}"/>
    <cellStyle name="Salida 4 4 3 2 3 2 4" xfId="50040" xr:uid="{00000000-0005-0000-0000-00002BC40000}"/>
    <cellStyle name="Salida 4 4 3 2 3 3" xfId="50041" xr:uid="{00000000-0005-0000-0000-00002CC40000}"/>
    <cellStyle name="Salida 4 4 3 2 3 3 2" xfId="50042" xr:uid="{00000000-0005-0000-0000-00002DC40000}"/>
    <cellStyle name="Salida 4 4 3 2 3 3 3" xfId="50043" xr:uid="{00000000-0005-0000-0000-00002EC40000}"/>
    <cellStyle name="Salida 4 4 3 2 3 3 4" xfId="50044" xr:uid="{00000000-0005-0000-0000-00002FC40000}"/>
    <cellStyle name="Salida 4 4 3 2 3 4" xfId="50045" xr:uid="{00000000-0005-0000-0000-000030C40000}"/>
    <cellStyle name="Salida 4 4 3 2 3 5" xfId="50046" xr:uid="{00000000-0005-0000-0000-000031C40000}"/>
    <cellStyle name="Salida 4 4 3 2 3 6" xfId="50047" xr:uid="{00000000-0005-0000-0000-000032C40000}"/>
    <cellStyle name="Salida 4 4 3 2 4" xfId="50048" xr:uid="{00000000-0005-0000-0000-000033C40000}"/>
    <cellStyle name="Salida 4 4 3 2 5" xfId="50049" xr:uid="{00000000-0005-0000-0000-000034C40000}"/>
    <cellStyle name="Salida 4 4 3 2 6" xfId="50050" xr:uid="{00000000-0005-0000-0000-000035C40000}"/>
    <cellStyle name="Salida 4 4 3 3" xfId="50051" xr:uid="{00000000-0005-0000-0000-000036C40000}"/>
    <cellStyle name="Salida 4 4 3 4" xfId="50052" xr:uid="{00000000-0005-0000-0000-000037C40000}"/>
    <cellStyle name="Salida 4 4 4" xfId="50053" xr:uid="{00000000-0005-0000-0000-000038C40000}"/>
    <cellStyle name="Salida 4 4 4 2" xfId="50054" xr:uid="{00000000-0005-0000-0000-000039C40000}"/>
    <cellStyle name="Salida 4 4 4 2 2" xfId="50055" xr:uid="{00000000-0005-0000-0000-00003AC40000}"/>
    <cellStyle name="Salida 4 4 4 2 2 2" xfId="50056" xr:uid="{00000000-0005-0000-0000-00003BC40000}"/>
    <cellStyle name="Salida 4 4 4 2 2 2 2" xfId="50057" xr:uid="{00000000-0005-0000-0000-00003CC40000}"/>
    <cellStyle name="Salida 4 4 4 2 2 2 3" xfId="50058" xr:uid="{00000000-0005-0000-0000-00003DC40000}"/>
    <cellStyle name="Salida 4 4 4 2 2 2 4" xfId="50059" xr:uid="{00000000-0005-0000-0000-00003EC40000}"/>
    <cellStyle name="Salida 4 4 4 2 2 3" xfId="50060" xr:uid="{00000000-0005-0000-0000-00003FC40000}"/>
    <cellStyle name="Salida 4 4 4 2 2 3 2" xfId="50061" xr:uid="{00000000-0005-0000-0000-000040C40000}"/>
    <cellStyle name="Salida 4 4 4 2 2 3 3" xfId="50062" xr:uid="{00000000-0005-0000-0000-000041C40000}"/>
    <cellStyle name="Salida 4 4 4 2 2 3 4" xfId="50063" xr:uid="{00000000-0005-0000-0000-000042C40000}"/>
    <cellStyle name="Salida 4 4 4 2 2 4" xfId="50064" xr:uid="{00000000-0005-0000-0000-000043C40000}"/>
    <cellStyle name="Salida 4 4 4 2 2 5" xfId="50065" xr:uid="{00000000-0005-0000-0000-000044C40000}"/>
    <cellStyle name="Salida 4 4 4 2 2 6" xfId="50066" xr:uid="{00000000-0005-0000-0000-000045C40000}"/>
    <cellStyle name="Salida 4 4 4 2 3" xfId="50067" xr:uid="{00000000-0005-0000-0000-000046C40000}"/>
    <cellStyle name="Salida 4 4 4 2 3 2" xfId="50068" xr:uid="{00000000-0005-0000-0000-000047C40000}"/>
    <cellStyle name="Salida 4 4 4 2 3 2 2" xfId="50069" xr:uid="{00000000-0005-0000-0000-000048C40000}"/>
    <cellStyle name="Salida 4 4 4 2 3 2 3" xfId="50070" xr:uid="{00000000-0005-0000-0000-000049C40000}"/>
    <cellStyle name="Salida 4 4 4 2 3 2 4" xfId="50071" xr:uid="{00000000-0005-0000-0000-00004AC40000}"/>
    <cellStyle name="Salida 4 4 4 2 3 3" xfId="50072" xr:uid="{00000000-0005-0000-0000-00004BC40000}"/>
    <cellStyle name="Salida 4 4 4 2 3 3 2" xfId="50073" xr:uid="{00000000-0005-0000-0000-00004CC40000}"/>
    <cellStyle name="Salida 4 4 4 2 3 3 3" xfId="50074" xr:uid="{00000000-0005-0000-0000-00004DC40000}"/>
    <cellStyle name="Salida 4 4 4 2 3 3 4" xfId="50075" xr:uid="{00000000-0005-0000-0000-00004EC40000}"/>
    <cellStyle name="Salida 4 4 4 2 3 4" xfId="50076" xr:uid="{00000000-0005-0000-0000-00004FC40000}"/>
    <cellStyle name="Salida 4 4 4 2 3 5" xfId="50077" xr:uid="{00000000-0005-0000-0000-000050C40000}"/>
    <cellStyle name="Salida 4 4 4 2 3 6" xfId="50078" xr:uid="{00000000-0005-0000-0000-000051C40000}"/>
    <cellStyle name="Salida 4 4 4 2 4" xfId="50079" xr:uid="{00000000-0005-0000-0000-000052C40000}"/>
    <cellStyle name="Salida 4 4 4 2 5" xfId="50080" xr:uid="{00000000-0005-0000-0000-000053C40000}"/>
    <cellStyle name="Salida 4 4 4 2 6" xfId="50081" xr:uid="{00000000-0005-0000-0000-000054C40000}"/>
    <cellStyle name="Salida 4 4 4 3" xfId="50082" xr:uid="{00000000-0005-0000-0000-000055C40000}"/>
    <cellStyle name="Salida 4 4 4 4" xfId="50083" xr:uid="{00000000-0005-0000-0000-000056C40000}"/>
    <cellStyle name="Salida 4 4 5" xfId="50084" xr:uid="{00000000-0005-0000-0000-000057C40000}"/>
    <cellStyle name="Salida 4 4 5 2" xfId="50085" xr:uid="{00000000-0005-0000-0000-000058C40000}"/>
    <cellStyle name="Salida 4 4 5 2 2" xfId="50086" xr:uid="{00000000-0005-0000-0000-000059C40000}"/>
    <cellStyle name="Salida 4 4 5 2 3" xfId="50087" xr:uid="{00000000-0005-0000-0000-00005AC40000}"/>
    <cellStyle name="Salida 4 4 5 2 4" xfId="50088" xr:uid="{00000000-0005-0000-0000-00005BC40000}"/>
    <cellStyle name="Salida 4 4 5 3" xfId="50089" xr:uid="{00000000-0005-0000-0000-00005CC40000}"/>
    <cellStyle name="Salida 4 4 5 3 2" xfId="50090" xr:uid="{00000000-0005-0000-0000-00005DC40000}"/>
    <cellStyle name="Salida 4 4 5 3 2 2" xfId="50091" xr:uid="{00000000-0005-0000-0000-00005EC40000}"/>
    <cellStyle name="Salida 4 4 5 3 2 3" xfId="50092" xr:uid="{00000000-0005-0000-0000-00005FC40000}"/>
    <cellStyle name="Salida 4 4 5 3 2 4" xfId="50093" xr:uid="{00000000-0005-0000-0000-000060C40000}"/>
    <cellStyle name="Salida 4 4 5 3 3" xfId="50094" xr:uid="{00000000-0005-0000-0000-000061C40000}"/>
    <cellStyle name="Salida 4 4 5 3 3 2" xfId="50095" xr:uid="{00000000-0005-0000-0000-000062C40000}"/>
    <cellStyle name="Salida 4 4 5 3 3 3" xfId="50096" xr:uid="{00000000-0005-0000-0000-000063C40000}"/>
    <cellStyle name="Salida 4 4 5 3 3 4" xfId="50097" xr:uid="{00000000-0005-0000-0000-000064C40000}"/>
    <cellStyle name="Salida 4 4 5 3 4" xfId="50098" xr:uid="{00000000-0005-0000-0000-000065C40000}"/>
    <cellStyle name="Salida 4 4 5 3 5" xfId="50099" xr:uid="{00000000-0005-0000-0000-000066C40000}"/>
    <cellStyle name="Salida 4 4 5 3 6" xfId="50100" xr:uid="{00000000-0005-0000-0000-000067C40000}"/>
    <cellStyle name="Salida 4 4 5 4" xfId="50101" xr:uid="{00000000-0005-0000-0000-000068C40000}"/>
    <cellStyle name="Salida 4 4 5 5" xfId="50102" xr:uid="{00000000-0005-0000-0000-000069C40000}"/>
    <cellStyle name="Salida 4 4 6" xfId="50103" xr:uid="{00000000-0005-0000-0000-00006AC40000}"/>
    <cellStyle name="Salida 4 4 6 2" xfId="50104" xr:uid="{00000000-0005-0000-0000-00006BC40000}"/>
    <cellStyle name="Salida 4 4 6 2 2" xfId="50105" xr:uid="{00000000-0005-0000-0000-00006CC40000}"/>
    <cellStyle name="Salida 4 4 6 2 3" xfId="50106" xr:uid="{00000000-0005-0000-0000-00006DC40000}"/>
    <cellStyle name="Salida 4 4 6 2 4" xfId="50107" xr:uid="{00000000-0005-0000-0000-00006EC40000}"/>
    <cellStyle name="Salida 4 4 6 3" xfId="50108" xr:uid="{00000000-0005-0000-0000-00006FC40000}"/>
    <cellStyle name="Salida 4 4 6 3 2" xfId="50109" xr:uid="{00000000-0005-0000-0000-000070C40000}"/>
    <cellStyle name="Salida 4 4 6 3 2 2" xfId="50110" xr:uid="{00000000-0005-0000-0000-000071C40000}"/>
    <cellStyle name="Salida 4 4 6 3 2 3" xfId="50111" xr:uid="{00000000-0005-0000-0000-000072C40000}"/>
    <cellStyle name="Salida 4 4 6 3 2 4" xfId="50112" xr:uid="{00000000-0005-0000-0000-000073C40000}"/>
    <cellStyle name="Salida 4 4 6 3 3" xfId="50113" xr:uid="{00000000-0005-0000-0000-000074C40000}"/>
    <cellStyle name="Salida 4 4 6 3 3 2" xfId="50114" xr:uid="{00000000-0005-0000-0000-000075C40000}"/>
    <cellStyle name="Salida 4 4 6 3 3 3" xfId="50115" xr:uid="{00000000-0005-0000-0000-000076C40000}"/>
    <cellStyle name="Salida 4 4 6 3 3 4" xfId="50116" xr:uid="{00000000-0005-0000-0000-000077C40000}"/>
    <cellStyle name="Salida 4 4 6 3 4" xfId="50117" xr:uid="{00000000-0005-0000-0000-000078C40000}"/>
    <cellStyle name="Salida 4 4 6 3 5" xfId="50118" xr:uid="{00000000-0005-0000-0000-000079C40000}"/>
    <cellStyle name="Salida 4 4 6 3 6" xfId="50119" xr:uid="{00000000-0005-0000-0000-00007AC40000}"/>
    <cellStyle name="Salida 4 4 6 4" xfId="50120" xr:uid="{00000000-0005-0000-0000-00007BC40000}"/>
    <cellStyle name="Salida 4 4 6 5" xfId="50121" xr:uid="{00000000-0005-0000-0000-00007CC40000}"/>
    <cellStyle name="Salida 4 4 7" xfId="50122" xr:uid="{00000000-0005-0000-0000-00007DC40000}"/>
    <cellStyle name="Salida 4 4 7 2" xfId="50123" xr:uid="{00000000-0005-0000-0000-00007EC40000}"/>
    <cellStyle name="Salida 4 4 7 2 2" xfId="50124" xr:uid="{00000000-0005-0000-0000-00007FC40000}"/>
    <cellStyle name="Salida 4 4 7 2 3" xfId="50125" xr:uid="{00000000-0005-0000-0000-000080C40000}"/>
    <cellStyle name="Salida 4 4 7 2 4" xfId="50126" xr:uid="{00000000-0005-0000-0000-000081C40000}"/>
    <cellStyle name="Salida 4 4 7 3" xfId="50127" xr:uid="{00000000-0005-0000-0000-000082C40000}"/>
    <cellStyle name="Salida 4 4 7 3 2" xfId="50128" xr:uid="{00000000-0005-0000-0000-000083C40000}"/>
    <cellStyle name="Salida 4 4 7 3 2 2" xfId="50129" xr:uid="{00000000-0005-0000-0000-000084C40000}"/>
    <cellStyle name="Salida 4 4 7 3 2 3" xfId="50130" xr:uid="{00000000-0005-0000-0000-000085C40000}"/>
    <cellStyle name="Salida 4 4 7 3 2 4" xfId="50131" xr:uid="{00000000-0005-0000-0000-000086C40000}"/>
    <cellStyle name="Salida 4 4 7 3 3" xfId="50132" xr:uid="{00000000-0005-0000-0000-000087C40000}"/>
    <cellStyle name="Salida 4 4 7 3 3 2" xfId="50133" xr:uid="{00000000-0005-0000-0000-000088C40000}"/>
    <cellStyle name="Salida 4 4 7 3 3 3" xfId="50134" xr:uid="{00000000-0005-0000-0000-000089C40000}"/>
    <cellStyle name="Salida 4 4 7 3 3 4" xfId="50135" xr:uid="{00000000-0005-0000-0000-00008AC40000}"/>
    <cellStyle name="Salida 4 4 7 3 4" xfId="50136" xr:uid="{00000000-0005-0000-0000-00008BC40000}"/>
    <cellStyle name="Salida 4 4 7 3 5" xfId="50137" xr:uid="{00000000-0005-0000-0000-00008CC40000}"/>
    <cellStyle name="Salida 4 4 7 3 6" xfId="50138" xr:uid="{00000000-0005-0000-0000-00008DC40000}"/>
    <cellStyle name="Salida 4 4 7 4" xfId="50139" xr:uid="{00000000-0005-0000-0000-00008EC40000}"/>
    <cellStyle name="Salida 4 4 7 5" xfId="50140" xr:uid="{00000000-0005-0000-0000-00008FC40000}"/>
    <cellStyle name="Salida 4 4 8" xfId="50141" xr:uid="{00000000-0005-0000-0000-000090C40000}"/>
    <cellStyle name="Salida 4 4 8 2" xfId="50142" xr:uid="{00000000-0005-0000-0000-000091C40000}"/>
    <cellStyle name="Salida 4 4 8 2 2" xfId="50143" xr:uid="{00000000-0005-0000-0000-000092C40000}"/>
    <cellStyle name="Salida 4 4 8 2 3" xfId="50144" xr:uid="{00000000-0005-0000-0000-000093C40000}"/>
    <cellStyle name="Salida 4 4 8 2 4" xfId="50145" xr:uid="{00000000-0005-0000-0000-000094C40000}"/>
    <cellStyle name="Salida 4 4 8 3" xfId="50146" xr:uid="{00000000-0005-0000-0000-000095C40000}"/>
    <cellStyle name="Salida 4 4 8 3 2" xfId="50147" xr:uid="{00000000-0005-0000-0000-000096C40000}"/>
    <cellStyle name="Salida 4 4 8 3 2 2" xfId="50148" xr:uid="{00000000-0005-0000-0000-000097C40000}"/>
    <cellStyle name="Salida 4 4 8 3 2 3" xfId="50149" xr:uid="{00000000-0005-0000-0000-000098C40000}"/>
    <cellStyle name="Salida 4 4 8 3 2 4" xfId="50150" xr:uid="{00000000-0005-0000-0000-000099C40000}"/>
    <cellStyle name="Salida 4 4 8 3 3" xfId="50151" xr:uid="{00000000-0005-0000-0000-00009AC40000}"/>
    <cellStyle name="Salida 4 4 8 3 3 2" xfId="50152" xr:uid="{00000000-0005-0000-0000-00009BC40000}"/>
    <cellStyle name="Salida 4 4 8 3 3 3" xfId="50153" xr:uid="{00000000-0005-0000-0000-00009CC40000}"/>
    <cellStyle name="Salida 4 4 8 3 3 4" xfId="50154" xr:uid="{00000000-0005-0000-0000-00009DC40000}"/>
    <cellStyle name="Salida 4 4 8 3 4" xfId="50155" xr:uid="{00000000-0005-0000-0000-00009EC40000}"/>
    <cellStyle name="Salida 4 4 8 3 5" xfId="50156" xr:uid="{00000000-0005-0000-0000-00009FC40000}"/>
    <cellStyle name="Salida 4 4 8 3 6" xfId="50157" xr:uid="{00000000-0005-0000-0000-0000A0C40000}"/>
    <cellStyle name="Salida 4 4 8 4" xfId="50158" xr:uid="{00000000-0005-0000-0000-0000A1C40000}"/>
    <cellStyle name="Salida 4 4 8 5" xfId="50159" xr:uid="{00000000-0005-0000-0000-0000A2C40000}"/>
    <cellStyle name="Salida 4 4 9" xfId="50160" xr:uid="{00000000-0005-0000-0000-0000A3C40000}"/>
    <cellStyle name="Salida 4 4 9 2" xfId="50161" xr:uid="{00000000-0005-0000-0000-0000A4C40000}"/>
    <cellStyle name="Salida 4 4 9 2 2" xfId="50162" xr:uid="{00000000-0005-0000-0000-0000A5C40000}"/>
    <cellStyle name="Salida 4 4 9 2 3" xfId="50163" xr:uid="{00000000-0005-0000-0000-0000A6C40000}"/>
    <cellStyle name="Salida 4 4 9 2 4" xfId="50164" xr:uid="{00000000-0005-0000-0000-0000A7C40000}"/>
    <cellStyle name="Salida 4 4 9 3" xfId="50165" xr:uid="{00000000-0005-0000-0000-0000A8C40000}"/>
    <cellStyle name="Salida 4 4 9 3 2" xfId="50166" xr:uid="{00000000-0005-0000-0000-0000A9C40000}"/>
    <cellStyle name="Salida 4 4 9 3 2 2" xfId="50167" xr:uid="{00000000-0005-0000-0000-0000AAC40000}"/>
    <cellStyle name="Salida 4 4 9 3 2 3" xfId="50168" xr:uid="{00000000-0005-0000-0000-0000ABC40000}"/>
    <cellStyle name="Salida 4 4 9 3 2 4" xfId="50169" xr:uid="{00000000-0005-0000-0000-0000ACC40000}"/>
    <cellStyle name="Salida 4 4 9 3 3" xfId="50170" xr:uid="{00000000-0005-0000-0000-0000ADC40000}"/>
    <cellStyle name="Salida 4 4 9 3 3 2" xfId="50171" xr:uid="{00000000-0005-0000-0000-0000AEC40000}"/>
    <cellStyle name="Salida 4 4 9 3 3 3" xfId="50172" xr:uid="{00000000-0005-0000-0000-0000AFC40000}"/>
    <cellStyle name="Salida 4 4 9 3 3 4" xfId="50173" xr:uid="{00000000-0005-0000-0000-0000B0C40000}"/>
    <cellStyle name="Salida 4 4 9 3 4" xfId="50174" xr:uid="{00000000-0005-0000-0000-0000B1C40000}"/>
    <cellStyle name="Salida 4 4 9 3 5" xfId="50175" xr:uid="{00000000-0005-0000-0000-0000B2C40000}"/>
    <cellStyle name="Salida 4 4 9 3 6" xfId="50176" xr:uid="{00000000-0005-0000-0000-0000B3C40000}"/>
    <cellStyle name="Salida 4 4 9 4" xfId="50177" xr:uid="{00000000-0005-0000-0000-0000B4C40000}"/>
    <cellStyle name="Salida 4 4 9 5" xfId="50178" xr:uid="{00000000-0005-0000-0000-0000B5C40000}"/>
    <cellStyle name="Salida 4 5" xfId="50179" xr:uid="{00000000-0005-0000-0000-0000B6C40000}"/>
    <cellStyle name="Salida 4 5 2" xfId="50180" xr:uid="{00000000-0005-0000-0000-0000B7C40000}"/>
    <cellStyle name="Salida 4 5 2 2" xfId="50181" xr:uid="{00000000-0005-0000-0000-0000B8C40000}"/>
    <cellStyle name="Salida 4 5 2 3" xfId="50182" xr:uid="{00000000-0005-0000-0000-0000B9C40000}"/>
    <cellStyle name="Salida 4 5 2 4" xfId="50183" xr:uid="{00000000-0005-0000-0000-0000BAC40000}"/>
    <cellStyle name="Salida 4 5 3" xfId="50184" xr:uid="{00000000-0005-0000-0000-0000BBC40000}"/>
    <cellStyle name="Salida 4 5 3 2" xfId="50185" xr:uid="{00000000-0005-0000-0000-0000BCC40000}"/>
    <cellStyle name="Salida 4 5 3 2 2" xfId="50186" xr:uid="{00000000-0005-0000-0000-0000BDC40000}"/>
    <cellStyle name="Salida 4 5 3 2 3" xfId="50187" xr:uid="{00000000-0005-0000-0000-0000BEC40000}"/>
    <cellStyle name="Salida 4 5 3 2 4" xfId="50188" xr:uid="{00000000-0005-0000-0000-0000BFC40000}"/>
    <cellStyle name="Salida 4 5 3 3" xfId="50189" xr:uid="{00000000-0005-0000-0000-0000C0C40000}"/>
    <cellStyle name="Salida 4 5 3 3 2" xfId="50190" xr:uid="{00000000-0005-0000-0000-0000C1C40000}"/>
    <cellStyle name="Salida 4 5 3 3 3" xfId="50191" xr:uid="{00000000-0005-0000-0000-0000C2C40000}"/>
    <cellStyle name="Salida 4 5 3 3 4" xfId="50192" xr:uid="{00000000-0005-0000-0000-0000C3C40000}"/>
    <cellStyle name="Salida 4 5 3 4" xfId="50193" xr:uid="{00000000-0005-0000-0000-0000C4C40000}"/>
    <cellStyle name="Salida 4 5 3 5" xfId="50194" xr:uid="{00000000-0005-0000-0000-0000C5C40000}"/>
    <cellStyle name="Salida 4 5 3 6" xfId="50195" xr:uid="{00000000-0005-0000-0000-0000C6C40000}"/>
    <cellStyle name="Salida 4 5 4" xfId="50196" xr:uid="{00000000-0005-0000-0000-0000C7C40000}"/>
    <cellStyle name="Salida 4 5 5" xfId="50197" xr:uid="{00000000-0005-0000-0000-0000C8C40000}"/>
    <cellStyle name="Salida 4 6" xfId="50198" xr:uid="{00000000-0005-0000-0000-0000C9C40000}"/>
    <cellStyle name="Salida 4 6 2" xfId="50199" xr:uid="{00000000-0005-0000-0000-0000CAC40000}"/>
    <cellStyle name="Salida 4 6 2 2" xfId="50200" xr:uid="{00000000-0005-0000-0000-0000CBC40000}"/>
    <cellStyle name="Salida 4 6 2 2 2" xfId="50201" xr:uid="{00000000-0005-0000-0000-0000CCC40000}"/>
    <cellStyle name="Salida 4 6 2 2 3" xfId="50202" xr:uid="{00000000-0005-0000-0000-0000CDC40000}"/>
    <cellStyle name="Salida 4 6 2 2 4" xfId="50203" xr:uid="{00000000-0005-0000-0000-0000CEC40000}"/>
    <cellStyle name="Salida 4 6 2 3" xfId="50204" xr:uid="{00000000-0005-0000-0000-0000CFC40000}"/>
    <cellStyle name="Salida 4 6 2 3 2" xfId="50205" xr:uid="{00000000-0005-0000-0000-0000D0C40000}"/>
    <cellStyle name="Salida 4 6 2 3 3" xfId="50206" xr:uid="{00000000-0005-0000-0000-0000D1C40000}"/>
    <cellStyle name="Salida 4 6 2 3 4" xfId="50207" xr:uid="{00000000-0005-0000-0000-0000D2C40000}"/>
    <cellStyle name="Salida 4 6 2 4" xfId="50208" xr:uid="{00000000-0005-0000-0000-0000D3C40000}"/>
    <cellStyle name="Salida 4 6 2 5" xfId="50209" xr:uid="{00000000-0005-0000-0000-0000D4C40000}"/>
    <cellStyle name="Salida 4 6 2 6" xfId="50210" xr:uid="{00000000-0005-0000-0000-0000D5C40000}"/>
    <cellStyle name="Salida 4 6 3" xfId="50211" xr:uid="{00000000-0005-0000-0000-0000D6C40000}"/>
    <cellStyle name="Salida 4 6 3 2" xfId="50212" xr:uid="{00000000-0005-0000-0000-0000D7C40000}"/>
    <cellStyle name="Salida 4 6 3 2 2" xfId="50213" xr:uid="{00000000-0005-0000-0000-0000D8C40000}"/>
    <cellStyle name="Salida 4 6 3 2 3" xfId="50214" xr:uid="{00000000-0005-0000-0000-0000D9C40000}"/>
    <cellStyle name="Salida 4 6 3 2 4" xfId="50215" xr:uid="{00000000-0005-0000-0000-0000DAC40000}"/>
    <cellStyle name="Salida 4 6 3 3" xfId="50216" xr:uid="{00000000-0005-0000-0000-0000DBC40000}"/>
    <cellStyle name="Salida 4 6 3 3 2" xfId="50217" xr:uid="{00000000-0005-0000-0000-0000DCC40000}"/>
    <cellStyle name="Salida 4 6 3 3 3" xfId="50218" xr:uid="{00000000-0005-0000-0000-0000DDC40000}"/>
    <cellStyle name="Salida 4 6 3 3 4" xfId="50219" xr:uid="{00000000-0005-0000-0000-0000DEC40000}"/>
    <cellStyle name="Salida 4 6 3 4" xfId="50220" xr:uid="{00000000-0005-0000-0000-0000DFC40000}"/>
    <cellStyle name="Salida 4 6 3 5" xfId="50221" xr:uid="{00000000-0005-0000-0000-0000E0C40000}"/>
    <cellStyle name="Salida 4 6 3 6" xfId="50222" xr:uid="{00000000-0005-0000-0000-0000E1C40000}"/>
    <cellStyle name="Salida 4 6 4" xfId="50223" xr:uid="{00000000-0005-0000-0000-0000E2C40000}"/>
    <cellStyle name="Salida 4 6 5" xfId="50224" xr:uid="{00000000-0005-0000-0000-0000E3C40000}"/>
    <cellStyle name="Salida 4 6 6" xfId="50225" xr:uid="{00000000-0005-0000-0000-0000E4C40000}"/>
    <cellStyle name="Salida 4 7" xfId="50226" xr:uid="{00000000-0005-0000-0000-0000E5C40000}"/>
    <cellStyle name="Salida 4 8" xfId="50227" xr:uid="{00000000-0005-0000-0000-0000E6C40000}"/>
    <cellStyle name="Salida 5" xfId="50228" xr:uid="{00000000-0005-0000-0000-0000E7C40000}"/>
    <cellStyle name="Salida 5 2" xfId="50229" xr:uid="{00000000-0005-0000-0000-0000E8C40000}"/>
    <cellStyle name="Salida 5 2 2" xfId="50230" xr:uid="{00000000-0005-0000-0000-0000E9C40000}"/>
    <cellStyle name="Salida 5 2 2 10" xfId="50231" xr:uid="{00000000-0005-0000-0000-0000EAC40000}"/>
    <cellStyle name="Salida 5 2 2 10 2" xfId="50232" xr:uid="{00000000-0005-0000-0000-0000EBC40000}"/>
    <cellStyle name="Salida 5 2 2 10 2 2" xfId="50233" xr:uid="{00000000-0005-0000-0000-0000ECC40000}"/>
    <cellStyle name="Salida 5 2 2 10 2 3" xfId="50234" xr:uid="{00000000-0005-0000-0000-0000EDC40000}"/>
    <cellStyle name="Salida 5 2 2 10 2 4" xfId="50235" xr:uid="{00000000-0005-0000-0000-0000EEC40000}"/>
    <cellStyle name="Salida 5 2 2 10 3" xfId="50236" xr:uid="{00000000-0005-0000-0000-0000EFC40000}"/>
    <cellStyle name="Salida 5 2 2 10 3 2" xfId="50237" xr:uid="{00000000-0005-0000-0000-0000F0C40000}"/>
    <cellStyle name="Salida 5 2 2 10 3 2 2" xfId="50238" xr:uid="{00000000-0005-0000-0000-0000F1C40000}"/>
    <cellStyle name="Salida 5 2 2 10 3 2 3" xfId="50239" xr:uid="{00000000-0005-0000-0000-0000F2C40000}"/>
    <cellStyle name="Salida 5 2 2 10 3 2 4" xfId="50240" xr:uid="{00000000-0005-0000-0000-0000F3C40000}"/>
    <cellStyle name="Salida 5 2 2 10 3 3" xfId="50241" xr:uid="{00000000-0005-0000-0000-0000F4C40000}"/>
    <cellStyle name="Salida 5 2 2 10 3 3 2" xfId="50242" xr:uid="{00000000-0005-0000-0000-0000F5C40000}"/>
    <cellStyle name="Salida 5 2 2 10 3 3 3" xfId="50243" xr:uid="{00000000-0005-0000-0000-0000F6C40000}"/>
    <cellStyle name="Salida 5 2 2 10 3 3 4" xfId="50244" xr:uid="{00000000-0005-0000-0000-0000F7C40000}"/>
    <cellStyle name="Salida 5 2 2 10 3 4" xfId="50245" xr:uid="{00000000-0005-0000-0000-0000F8C40000}"/>
    <cellStyle name="Salida 5 2 2 10 3 5" xfId="50246" xr:uid="{00000000-0005-0000-0000-0000F9C40000}"/>
    <cellStyle name="Salida 5 2 2 10 3 6" xfId="50247" xr:uid="{00000000-0005-0000-0000-0000FAC40000}"/>
    <cellStyle name="Salida 5 2 2 10 4" xfId="50248" xr:uid="{00000000-0005-0000-0000-0000FBC40000}"/>
    <cellStyle name="Salida 5 2 2 10 5" xfId="50249" xr:uid="{00000000-0005-0000-0000-0000FCC40000}"/>
    <cellStyle name="Salida 5 2 2 11" xfId="50250" xr:uid="{00000000-0005-0000-0000-0000FDC40000}"/>
    <cellStyle name="Salida 5 2 2 11 2" xfId="50251" xr:uid="{00000000-0005-0000-0000-0000FEC40000}"/>
    <cellStyle name="Salida 5 2 2 11 2 2" xfId="50252" xr:uid="{00000000-0005-0000-0000-0000FFC40000}"/>
    <cellStyle name="Salida 5 2 2 11 2 3" xfId="50253" xr:uid="{00000000-0005-0000-0000-000000C50000}"/>
    <cellStyle name="Salida 5 2 2 11 2 4" xfId="50254" xr:uid="{00000000-0005-0000-0000-000001C50000}"/>
    <cellStyle name="Salida 5 2 2 11 3" xfId="50255" xr:uid="{00000000-0005-0000-0000-000002C50000}"/>
    <cellStyle name="Salida 5 2 2 11 3 2" xfId="50256" xr:uid="{00000000-0005-0000-0000-000003C50000}"/>
    <cellStyle name="Salida 5 2 2 11 3 2 2" xfId="50257" xr:uid="{00000000-0005-0000-0000-000004C50000}"/>
    <cellStyle name="Salida 5 2 2 11 3 2 3" xfId="50258" xr:uid="{00000000-0005-0000-0000-000005C50000}"/>
    <cellStyle name="Salida 5 2 2 11 3 2 4" xfId="50259" xr:uid="{00000000-0005-0000-0000-000006C50000}"/>
    <cellStyle name="Salida 5 2 2 11 3 3" xfId="50260" xr:uid="{00000000-0005-0000-0000-000007C50000}"/>
    <cellStyle name="Salida 5 2 2 11 3 3 2" xfId="50261" xr:uid="{00000000-0005-0000-0000-000008C50000}"/>
    <cellStyle name="Salida 5 2 2 11 3 3 3" xfId="50262" xr:uid="{00000000-0005-0000-0000-000009C50000}"/>
    <cellStyle name="Salida 5 2 2 11 3 3 4" xfId="50263" xr:uid="{00000000-0005-0000-0000-00000AC50000}"/>
    <cellStyle name="Salida 5 2 2 11 3 4" xfId="50264" xr:uid="{00000000-0005-0000-0000-00000BC50000}"/>
    <cellStyle name="Salida 5 2 2 11 3 5" xfId="50265" xr:uid="{00000000-0005-0000-0000-00000CC50000}"/>
    <cellStyle name="Salida 5 2 2 11 3 6" xfId="50266" xr:uid="{00000000-0005-0000-0000-00000DC50000}"/>
    <cellStyle name="Salida 5 2 2 11 4" xfId="50267" xr:uid="{00000000-0005-0000-0000-00000EC50000}"/>
    <cellStyle name="Salida 5 2 2 11 5" xfId="50268" xr:uid="{00000000-0005-0000-0000-00000FC50000}"/>
    <cellStyle name="Salida 5 2 2 12" xfId="50269" xr:uid="{00000000-0005-0000-0000-000010C50000}"/>
    <cellStyle name="Salida 5 2 2 12 2" xfId="50270" xr:uid="{00000000-0005-0000-0000-000011C50000}"/>
    <cellStyle name="Salida 5 2 2 12 2 2" xfId="50271" xr:uid="{00000000-0005-0000-0000-000012C50000}"/>
    <cellStyle name="Salida 5 2 2 12 2 2 2" xfId="50272" xr:uid="{00000000-0005-0000-0000-000013C50000}"/>
    <cellStyle name="Salida 5 2 2 12 2 2 3" xfId="50273" xr:uid="{00000000-0005-0000-0000-000014C50000}"/>
    <cellStyle name="Salida 5 2 2 12 2 2 4" xfId="50274" xr:uid="{00000000-0005-0000-0000-000015C50000}"/>
    <cellStyle name="Salida 5 2 2 12 2 3" xfId="50275" xr:uid="{00000000-0005-0000-0000-000016C50000}"/>
    <cellStyle name="Salida 5 2 2 12 2 3 2" xfId="50276" xr:uid="{00000000-0005-0000-0000-000017C50000}"/>
    <cellStyle name="Salida 5 2 2 12 2 3 3" xfId="50277" xr:uid="{00000000-0005-0000-0000-000018C50000}"/>
    <cellStyle name="Salida 5 2 2 12 2 3 4" xfId="50278" xr:uid="{00000000-0005-0000-0000-000019C50000}"/>
    <cellStyle name="Salida 5 2 2 12 2 4" xfId="50279" xr:uid="{00000000-0005-0000-0000-00001AC50000}"/>
    <cellStyle name="Salida 5 2 2 12 2 5" xfId="50280" xr:uid="{00000000-0005-0000-0000-00001BC50000}"/>
    <cellStyle name="Salida 5 2 2 12 2 6" xfId="50281" xr:uid="{00000000-0005-0000-0000-00001CC50000}"/>
    <cellStyle name="Salida 5 2 2 12 3" xfId="50282" xr:uid="{00000000-0005-0000-0000-00001DC50000}"/>
    <cellStyle name="Salida 5 2 2 12 3 2" xfId="50283" xr:uid="{00000000-0005-0000-0000-00001EC50000}"/>
    <cellStyle name="Salida 5 2 2 12 3 2 2" xfId="50284" xr:uid="{00000000-0005-0000-0000-00001FC50000}"/>
    <cellStyle name="Salida 5 2 2 12 3 2 3" xfId="50285" xr:uid="{00000000-0005-0000-0000-000020C50000}"/>
    <cellStyle name="Salida 5 2 2 12 3 2 4" xfId="50286" xr:uid="{00000000-0005-0000-0000-000021C50000}"/>
    <cellStyle name="Salida 5 2 2 12 3 3" xfId="50287" xr:uid="{00000000-0005-0000-0000-000022C50000}"/>
    <cellStyle name="Salida 5 2 2 12 3 3 2" xfId="50288" xr:uid="{00000000-0005-0000-0000-000023C50000}"/>
    <cellStyle name="Salida 5 2 2 12 3 3 3" xfId="50289" xr:uid="{00000000-0005-0000-0000-000024C50000}"/>
    <cellStyle name="Salida 5 2 2 12 3 3 4" xfId="50290" xr:uid="{00000000-0005-0000-0000-000025C50000}"/>
    <cellStyle name="Salida 5 2 2 12 3 4" xfId="50291" xr:uid="{00000000-0005-0000-0000-000026C50000}"/>
    <cellStyle name="Salida 5 2 2 12 3 5" xfId="50292" xr:uid="{00000000-0005-0000-0000-000027C50000}"/>
    <cellStyle name="Salida 5 2 2 12 3 6" xfId="50293" xr:uid="{00000000-0005-0000-0000-000028C50000}"/>
    <cellStyle name="Salida 5 2 2 12 4" xfId="50294" xr:uid="{00000000-0005-0000-0000-000029C50000}"/>
    <cellStyle name="Salida 5 2 2 12 5" xfId="50295" xr:uid="{00000000-0005-0000-0000-00002AC50000}"/>
    <cellStyle name="Salida 5 2 2 12 6" xfId="50296" xr:uid="{00000000-0005-0000-0000-00002BC50000}"/>
    <cellStyle name="Salida 5 2 2 13" xfId="50297" xr:uid="{00000000-0005-0000-0000-00002CC50000}"/>
    <cellStyle name="Salida 5 2 2 14" xfId="50298" xr:uid="{00000000-0005-0000-0000-00002DC50000}"/>
    <cellStyle name="Salida 5 2 2 15" xfId="58794" xr:uid="{00000000-0005-0000-0000-00002EC50000}"/>
    <cellStyle name="Salida 5 2 2 2" xfId="50299" xr:uid="{00000000-0005-0000-0000-00002FC50000}"/>
    <cellStyle name="Salida 5 2 2 2 2" xfId="50300" xr:uid="{00000000-0005-0000-0000-000030C50000}"/>
    <cellStyle name="Salida 5 2 2 2 2 2" xfId="50301" xr:uid="{00000000-0005-0000-0000-000031C50000}"/>
    <cellStyle name="Salida 5 2 2 2 2 2 2" xfId="50302" xr:uid="{00000000-0005-0000-0000-000032C50000}"/>
    <cellStyle name="Salida 5 2 2 2 2 2 2 2" xfId="50303" xr:uid="{00000000-0005-0000-0000-000033C50000}"/>
    <cellStyle name="Salida 5 2 2 2 2 2 2 3" xfId="50304" xr:uid="{00000000-0005-0000-0000-000034C50000}"/>
    <cellStyle name="Salida 5 2 2 2 2 2 2 4" xfId="50305" xr:uid="{00000000-0005-0000-0000-000035C50000}"/>
    <cellStyle name="Salida 5 2 2 2 2 2 3" xfId="50306" xr:uid="{00000000-0005-0000-0000-000036C50000}"/>
    <cellStyle name="Salida 5 2 2 2 2 2 3 2" xfId="50307" xr:uid="{00000000-0005-0000-0000-000037C50000}"/>
    <cellStyle name="Salida 5 2 2 2 2 2 3 3" xfId="50308" xr:uid="{00000000-0005-0000-0000-000038C50000}"/>
    <cellStyle name="Salida 5 2 2 2 2 2 3 4" xfId="50309" xr:uid="{00000000-0005-0000-0000-000039C50000}"/>
    <cellStyle name="Salida 5 2 2 2 2 2 4" xfId="50310" xr:uid="{00000000-0005-0000-0000-00003AC50000}"/>
    <cellStyle name="Salida 5 2 2 2 2 2 5" xfId="50311" xr:uid="{00000000-0005-0000-0000-00003BC50000}"/>
    <cellStyle name="Salida 5 2 2 2 2 2 6" xfId="50312" xr:uid="{00000000-0005-0000-0000-00003CC50000}"/>
    <cellStyle name="Salida 5 2 2 2 2 3" xfId="50313" xr:uid="{00000000-0005-0000-0000-00003DC50000}"/>
    <cellStyle name="Salida 5 2 2 2 2 3 2" xfId="50314" xr:uid="{00000000-0005-0000-0000-00003EC50000}"/>
    <cellStyle name="Salida 5 2 2 2 2 3 2 2" xfId="50315" xr:uid="{00000000-0005-0000-0000-00003FC50000}"/>
    <cellStyle name="Salida 5 2 2 2 2 3 2 3" xfId="50316" xr:uid="{00000000-0005-0000-0000-000040C50000}"/>
    <cellStyle name="Salida 5 2 2 2 2 3 2 4" xfId="50317" xr:uid="{00000000-0005-0000-0000-000041C50000}"/>
    <cellStyle name="Salida 5 2 2 2 2 3 3" xfId="50318" xr:uid="{00000000-0005-0000-0000-000042C50000}"/>
    <cellStyle name="Salida 5 2 2 2 2 3 3 2" xfId="50319" xr:uid="{00000000-0005-0000-0000-000043C50000}"/>
    <cellStyle name="Salida 5 2 2 2 2 3 3 3" xfId="50320" xr:uid="{00000000-0005-0000-0000-000044C50000}"/>
    <cellStyle name="Salida 5 2 2 2 2 3 3 4" xfId="50321" xr:uid="{00000000-0005-0000-0000-000045C50000}"/>
    <cellStyle name="Salida 5 2 2 2 2 3 4" xfId="50322" xr:uid="{00000000-0005-0000-0000-000046C50000}"/>
    <cellStyle name="Salida 5 2 2 2 2 3 5" xfId="50323" xr:uid="{00000000-0005-0000-0000-000047C50000}"/>
    <cellStyle name="Salida 5 2 2 2 2 3 6" xfId="50324" xr:uid="{00000000-0005-0000-0000-000048C50000}"/>
    <cellStyle name="Salida 5 2 2 2 2 4" xfId="50325" xr:uid="{00000000-0005-0000-0000-000049C50000}"/>
    <cellStyle name="Salida 5 2 2 2 2 5" xfId="50326" xr:uid="{00000000-0005-0000-0000-00004AC50000}"/>
    <cellStyle name="Salida 5 2 2 2 2 6" xfId="50327" xr:uid="{00000000-0005-0000-0000-00004BC50000}"/>
    <cellStyle name="Salida 5 2 2 2 3" xfId="50328" xr:uid="{00000000-0005-0000-0000-00004CC50000}"/>
    <cellStyle name="Salida 5 2 2 2 4" xfId="50329" xr:uid="{00000000-0005-0000-0000-00004DC50000}"/>
    <cellStyle name="Salida 5 2 2 3" xfId="50330" xr:uid="{00000000-0005-0000-0000-00004EC50000}"/>
    <cellStyle name="Salida 5 2 2 3 2" xfId="50331" xr:uid="{00000000-0005-0000-0000-00004FC50000}"/>
    <cellStyle name="Salida 5 2 2 3 2 2" xfId="50332" xr:uid="{00000000-0005-0000-0000-000050C50000}"/>
    <cellStyle name="Salida 5 2 2 3 2 2 2" xfId="50333" xr:uid="{00000000-0005-0000-0000-000051C50000}"/>
    <cellStyle name="Salida 5 2 2 3 2 2 2 2" xfId="50334" xr:uid="{00000000-0005-0000-0000-000052C50000}"/>
    <cellStyle name="Salida 5 2 2 3 2 2 2 3" xfId="50335" xr:uid="{00000000-0005-0000-0000-000053C50000}"/>
    <cellStyle name="Salida 5 2 2 3 2 2 2 4" xfId="50336" xr:uid="{00000000-0005-0000-0000-000054C50000}"/>
    <cellStyle name="Salida 5 2 2 3 2 2 3" xfId="50337" xr:uid="{00000000-0005-0000-0000-000055C50000}"/>
    <cellStyle name="Salida 5 2 2 3 2 2 3 2" xfId="50338" xr:uid="{00000000-0005-0000-0000-000056C50000}"/>
    <cellStyle name="Salida 5 2 2 3 2 2 3 3" xfId="50339" xr:uid="{00000000-0005-0000-0000-000057C50000}"/>
    <cellStyle name="Salida 5 2 2 3 2 2 3 4" xfId="50340" xr:uid="{00000000-0005-0000-0000-000058C50000}"/>
    <cellStyle name="Salida 5 2 2 3 2 2 4" xfId="50341" xr:uid="{00000000-0005-0000-0000-000059C50000}"/>
    <cellStyle name="Salida 5 2 2 3 2 2 5" xfId="50342" xr:uid="{00000000-0005-0000-0000-00005AC50000}"/>
    <cellStyle name="Salida 5 2 2 3 2 2 6" xfId="50343" xr:uid="{00000000-0005-0000-0000-00005BC50000}"/>
    <cellStyle name="Salida 5 2 2 3 2 3" xfId="50344" xr:uid="{00000000-0005-0000-0000-00005CC50000}"/>
    <cellStyle name="Salida 5 2 2 3 2 3 2" xfId="50345" xr:uid="{00000000-0005-0000-0000-00005DC50000}"/>
    <cellStyle name="Salida 5 2 2 3 2 3 2 2" xfId="50346" xr:uid="{00000000-0005-0000-0000-00005EC50000}"/>
    <cellStyle name="Salida 5 2 2 3 2 3 2 3" xfId="50347" xr:uid="{00000000-0005-0000-0000-00005FC50000}"/>
    <cellStyle name="Salida 5 2 2 3 2 3 2 4" xfId="50348" xr:uid="{00000000-0005-0000-0000-000060C50000}"/>
    <cellStyle name="Salida 5 2 2 3 2 3 3" xfId="50349" xr:uid="{00000000-0005-0000-0000-000061C50000}"/>
    <cellStyle name="Salida 5 2 2 3 2 3 3 2" xfId="50350" xr:uid="{00000000-0005-0000-0000-000062C50000}"/>
    <cellStyle name="Salida 5 2 2 3 2 3 3 3" xfId="50351" xr:uid="{00000000-0005-0000-0000-000063C50000}"/>
    <cellStyle name="Salida 5 2 2 3 2 3 3 4" xfId="50352" xr:uid="{00000000-0005-0000-0000-000064C50000}"/>
    <cellStyle name="Salida 5 2 2 3 2 3 4" xfId="50353" xr:uid="{00000000-0005-0000-0000-000065C50000}"/>
    <cellStyle name="Salida 5 2 2 3 2 3 5" xfId="50354" xr:uid="{00000000-0005-0000-0000-000066C50000}"/>
    <cellStyle name="Salida 5 2 2 3 2 3 6" xfId="50355" xr:uid="{00000000-0005-0000-0000-000067C50000}"/>
    <cellStyle name="Salida 5 2 2 3 2 4" xfId="50356" xr:uid="{00000000-0005-0000-0000-000068C50000}"/>
    <cellStyle name="Salida 5 2 2 3 2 5" xfId="50357" xr:uid="{00000000-0005-0000-0000-000069C50000}"/>
    <cellStyle name="Salida 5 2 2 3 2 6" xfId="50358" xr:uid="{00000000-0005-0000-0000-00006AC50000}"/>
    <cellStyle name="Salida 5 2 2 3 3" xfId="50359" xr:uid="{00000000-0005-0000-0000-00006BC50000}"/>
    <cellStyle name="Salida 5 2 2 3 4" xfId="50360" xr:uid="{00000000-0005-0000-0000-00006CC50000}"/>
    <cellStyle name="Salida 5 2 2 4" xfId="50361" xr:uid="{00000000-0005-0000-0000-00006DC50000}"/>
    <cellStyle name="Salida 5 2 2 4 2" xfId="50362" xr:uid="{00000000-0005-0000-0000-00006EC50000}"/>
    <cellStyle name="Salida 5 2 2 4 2 2" xfId="50363" xr:uid="{00000000-0005-0000-0000-00006FC50000}"/>
    <cellStyle name="Salida 5 2 2 4 2 2 2" xfId="50364" xr:uid="{00000000-0005-0000-0000-000070C50000}"/>
    <cellStyle name="Salida 5 2 2 4 2 2 2 2" xfId="50365" xr:uid="{00000000-0005-0000-0000-000071C50000}"/>
    <cellStyle name="Salida 5 2 2 4 2 2 2 3" xfId="50366" xr:uid="{00000000-0005-0000-0000-000072C50000}"/>
    <cellStyle name="Salida 5 2 2 4 2 2 2 4" xfId="50367" xr:uid="{00000000-0005-0000-0000-000073C50000}"/>
    <cellStyle name="Salida 5 2 2 4 2 2 3" xfId="50368" xr:uid="{00000000-0005-0000-0000-000074C50000}"/>
    <cellStyle name="Salida 5 2 2 4 2 2 3 2" xfId="50369" xr:uid="{00000000-0005-0000-0000-000075C50000}"/>
    <cellStyle name="Salida 5 2 2 4 2 2 3 3" xfId="50370" xr:uid="{00000000-0005-0000-0000-000076C50000}"/>
    <cellStyle name="Salida 5 2 2 4 2 2 3 4" xfId="50371" xr:uid="{00000000-0005-0000-0000-000077C50000}"/>
    <cellStyle name="Salida 5 2 2 4 2 2 4" xfId="50372" xr:uid="{00000000-0005-0000-0000-000078C50000}"/>
    <cellStyle name="Salida 5 2 2 4 2 2 5" xfId="50373" xr:uid="{00000000-0005-0000-0000-000079C50000}"/>
    <cellStyle name="Salida 5 2 2 4 2 2 6" xfId="50374" xr:uid="{00000000-0005-0000-0000-00007AC50000}"/>
    <cellStyle name="Salida 5 2 2 4 2 3" xfId="50375" xr:uid="{00000000-0005-0000-0000-00007BC50000}"/>
    <cellStyle name="Salida 5 2 2 4 2 3 2" xfId="50376" xr:uid="{00000000-0005-0000-0000-00007CC50000}"/>
    <cellStyle name="Salida 5 2 2 4 2 3 2 2" xfId="50377" xr:uid="{00000000-0005-0000-0000-00007DC50000}"/>
    <cellStyle name="Salida 5 2 2 4 2 3 2 3" xfId="50378" xr:uid="{00000000-0005-0000-0000-00007EC50000}"/>
    <cellStyle name="Salida 5 2 2 4 2 3 2 4" xfId="50379" xr:uid="{00000000-0005-0000-0000-00007FC50000}"/>
    <cellStyle name="Salida 5 2 2 4 2 3 3" xfId="50380" xr:uid="{00000000-0005-0000-0000-000080C50000}"/>
    <cellStyle name="Salida 5 2 2 4 2 3 3 2" xfId="50381" xr:uid="{00000000-0005-0000-0000-000081C50000}"/>
    <cellStyle name="Salida 5 2 2 4 2 3 3 3" xfId="50382" xr:uid="{00000000-0005-0000-0000-000082C50000}"/>
    <cellStyle name="Salida 5 2 2 4 2 3 3 4" xfId="50383" xr:uid="{00000000-0005-0000-0000-000083C50000}"/>
    <cellStyle name="Salida 5 2 2 4 2 3 4" xfId="50384" xr:uid="{00000000-0005-0000-0000-000084C50000}"/>
    <cellStyle name="Salida 5 2 2 4 2 3 5" xfId="50385" xr:uid="{00000000-0005-0000-0000-000085C50000}"/>
    <cellStyle name="Salida 5 2 2 4 2 3 6" xfId="50386" xr:uid="{00000000-0005-0000-0000-000086C50000}"/>
    <cellStyle name="Salida 5 2 2 4 2 4" xfId="50387" xr:uid="{00000000-0005-0000-0000-000087C50000}"/>
    <cellStyle name="Salida 5 2 2 4 2 5" xfId="50388" xr:uid="{00000000-0005-0000-0000-000088C50000}"/>
    <cellStyle name="Salida 5 2 2 4 2 6" xfId="50389" xr:uid="{00000000-0005-0000-0000-000089C50000}"/>
    <cellStyle name="Salida 5 2 2 4 3" xfId="50390" xr:uid="{00000000-0005-0000-0000-00008AC50000}"/>
    <cellStyle name="Salida 5 2 2 4 4" xfId="50391" xr:uid="{00000000-0005-0000-0000-00008BC50000}"/>
    <cellStyle name="Salida 5 2 2 5" xfId="50392" xr:uid="{00000000-0005-0000-0000-00008CC50000}"/>
    <cellStyle name="Salida 5 2 2 5 2" xfId="50393" xr:uid="{00000000-0005-0000-0000-00008DC50000}"/>
    <cellStyle name="Salida 5 2 2 5 2 2" xfId="50394" xr:uid="{00000000-0005-0000-0000-00008EC50000}"/>
    <cellStyle name="Salida 5 2 2 5 2 3" xfId="50395" xr:uid="{00000000-0005-0000-0000-00008FC50000}"/>
    <cellStyle name="Salida 5 2 2 5 2 4" xfId="50396" xr:uid="{00000000-0005-0000-0000-000090C50000}"/>
    <cellStyle name="Salida 5 2 2 5 3" xfId="50397" xr:uid="{00000000-0005-0000-0000-000091C50000}"/>
    <cellStyle name="Salida 5 2 2 5 3 2" xfId="50398" xr:uid="{00000000-0005-0000-0000-000092C50000}"/>
    <cellStyle name="Salida 5 2 2 5 3 2 2" xfId="50399" xr:uid="{00000000-0005-0000-0000-000093C50000}"/>
    <cellStyle name="Salida 5 2 2 5 3 2 3" xfId="50400" xr:uid="{00000000-0005-0000-0000-000094C50000}"/>
    <cellStyle name="Salida 5 2 2 5 3 2 4" xfId="50401" xr:uid="{00000000-0005-0000-0000-000095C50000}"/>
    <cellStyle name="Salida 5 2 2 5 3 3" xfId="50402" xr:uid="{00000000-0005-0000-0000-000096C50000}"/>
    <cellStyle name="Salida 5 2 2 5 3 3 2" xfId="50403" xr:uid="{00000000-0005-0000-0000-000097C50000}"/>
    <cellStyle name="Salida 5 2 2 5 3 3 3" xfId="50404" xr:uid="{00000000-0005-0000-0000-000098C50000}"/>
    <cellStyle name="Salida 5 2 2 5 3 3 4" xfId="50405" xr:uid="{00000000-0005-0000-0000-000099C50000}"/>
    <cellStyle name="Salida 5 2 2 5 3 4" xfId="50406" xr:uid="{00000000-0005-0000-0000-00009AC50000}"/>
    <cellStyle name="Salida 5 2 2 5 3 5" xfId="50407" xr:uid="{00000000-0005-0000-0000-00009BC50000}"/>
    <cellStyle name="Salida 5 2 2 5 3 6" xfId="50408" xr:uid="{00000000-0005-0000-0000-00009CC50000}"/>
    <cellStyle name="Salida 5 2 2 5 4" xfId="50409" xr:uid="{00000000-0005-0000-0000-00009DC50000}"/>
    <cellStyle name="Salida 5 2 2 5 5" xfId="50410" xr:uid="{00000000-0005-0000-0000-00009EC50000}"/>
    <cellStyle name="Salida 5 2 2 6" xfId="50411" xr:uid="{00000000-0005-0000-0000-00009FC50000}"/>
    <cellStyle name="Salida 5 2 2 6 2" xfId="50412" xr:uid="{00000000-0005-0000-0000-0000A0C50000}"/>
    <cellStyle name="Salida 5 2 2 6 2 2" xfId="50413" xr:uid="{00000000-0005-0000-0000-0000A1C50000}"/>
    <cellStyle name="Salida 5 2 2 6 2 3" xfId="50414" xr:uid="{00000000-0005-0000-0000-0000A2C50000}"/>
    <cellStyle name="Salida 5 2 2 6 2 4" xfId="50415" xr:uid="{00000000-0005-0000-0000-0000A3C50000}"/>
    <cellStyle name="Salida 5 2 2 6 3" xfId="50416" xr:uid="{00000000-0005-0000-0000-0000A4C50000}"/>
    <cellStyle name="Salida 5 2 2 6 3 2" xfId="50417" xr:uid="{00000000-0005-0000-0000-0000A5C50000}"/>
    <cellStyle name="Salida 5 2 2 6 3 2 2" xfId="50418" xr:uid="{00000000-0005-0000-0000-0000A6C50000}"/>
    <cellStyle name="Salida 5 2 2 6 3 2 3" xfId="50419" xr:uid="{00000000-0005-0000-0000-0000A7C50000}"/>
    <cellStyle name="Salida 5 2 2 6 3 2 4" xfId="50420" xr:uid="{00000000-0005-0000-0000-0000A8C50000}"/>
    <cellStyle name="Salida 5 2 2 6 3 3" xfId="50421" xr:uid="{00000000-0005-0000-0000-0000A9C50000}"/>
    <cellStyle name="Salida 5 2 2 6 3 3 2" xfId="50422" xr:uid="{00000000-0005-0000-0000-0000AAC50000}"/>
    <cellStyle name="Salida 5 2 2 6 3 3 3" xfId="50423" xr:uid="{00000000-0005-0000-0000-0000ABC50000}"/>
    <cellStyle name="Salida 5 2 2 6 3 3 4" xfId="50424" xr:uid="{00000000-0005-0000-0000-0000ACC50000}"/>
    <cellStyle name="Salida 5 2 2 6 3 4" xfId="50425" xr:uid="{00000000-0005-0000-0000-0000ADC50000}"/>
    <cellStyle name="Salida 5 2 2 6 3 5" xfId="50426" xr:uid="{00000000-0005-0000-0000-0000AEC50000}"/>
    <cellStyle name="Salida 5 2 2 6 3 6" xfId="50427" xr:uid="{00000000-0005-0000-0000-0000AFC50000}"/>
    <cellStyle name="Salida 5 2 2 6 4" xfId="50428" xr:uid="{00000000-0005-0000-0000-0000B0C50000}"/>
    <cellStyle name="Salida 5 2 2 6 5" xfId="50429" xr:uid="{00000000-0005-0000-0000-0000B1C50000}"/>
    <cellStyle name="Salida 5 2 2 7" xfId="50430" xr:uid="{00000000-0005-0000-0000-0000B2C50000}"/>
    <cellStyle name="Salida 5 2 2 7 2" xfId="50431" xr:uid="{00000000-0005-0000-0000-0000B3C50000}"/>
    <cellStyle name="Salida 5 2 2 7 2 2" xfId="50432" xr:uid="{00000000-0005-0000-0000-0000B4C50000}"/>
    <cellStyle name="Salida 5 2 2 7 2 3" xfId="50433" xr:uid="{00000000-0005-0000-0000-0000B5C50000}"/>
    <cellStyle name="Salida 5 2 2 7 2 4" xfId="50434" xr:uid="{00000000-0005-0000-0000-0000B6C50000}"/>
    <cellStyle name="Salida 5 2 2 7 3" xfId="50435" xr:uid="{00000000-0005-0000-0000-0000B7C50000}"/>
    <cellStyle name="Salida 5 2 2 7 3 2" xfId="50436" xr:uid="{00000000-0005-0000-0000-0000B8C50000}"/>
    <cellStyle name="Salida 5 2 2 7 3 2 2" xfId="50437" xr:uid="{00000000-0005-0000-0000-0000B9C50000}"/>
    <cellStyle name="Salida 5 2 2 7 3 2 3" xfId="50438" xr:uid="{00000000-0005-0000-0000-0000BAC50000}"/>
    <cellStyle name="Salida 5 2 2 7 3 2 4" xfId="50439" xr:uid="{00000000-0005-0000-0000-0000BBC50000}"/>
    <cellStyle name="Salida 5 2 2 7 3 3" xfId="50440" xr:uid="{00000000-0005-0000-0000-0000BCC50000}"/>
    <cellStyle name="Salida 5 2 2 7 3 3 2" xfId="50441" xr:uid="{00000000-0005-0000-0000-0000BDC50000}"/>
    <cellStyle name="Salida 5 2 2 7 3 3 3" xfId="50442" xr:uid="{00000000-0005-0000-0000-0000BEC50000}"/>
    <cellStyle name="Salida 5 2 2 7 3 3 4" xfId="50443" xr:uid="{00000000-0005-0000-0000-0000BFC50000}"/>
    <cellStyle name="Salida 5 2 2 7 3 4" xfId="50444" xr:uid="{00000000-0005-0000-0000-0000C0C50000}"/>
    <cellStyle name="Salida 5 2 2 7 3 5" xfId="50445" xr:uid="{00000000-0005-0000-0000-0000C1C50000}"/>
    <cellStyle name="Salida 5 2 2 7 3 6" xfId="50446" xr:uid="{00000000-0005-0000-0000-0000C2C50000}"/>
    <cellStyle name="Salida 5 2 2 7 4" xfId="50447" xr:uid="{00000000-0005-0000-0000-0000C3C50000}"/>
    <cellStyle name="Salida 5 2 2 7 5" xfId="50448" xr:uid="{00000000-0005-0000-0000-0000C4C50000}"/>
    <cellStyle name="Salida 5 2 2 8" xfId="50449" xr:uid="{00000000-0005-0000-0000-0000C5C50000}"/>
    <cellStyle name="Salida 5 2 2 8 2" xfId="50450" xr:uid="{00000000-0005-0000-0000-0000C6C50000}"/>
    <cellStyle name="Salida 5 2 2 8 2 2" xfId="50451" xr:uid="{00000000-0005-0000-0000-0000C7C50000}"/>
    <cellStyle name="Salida 5 2 2 8 2 3" xfId="50452" xr:uid="{00000000-0005-0000-0000-0000C8C50000}"/>
    <cellStyle name="Salida 5 2 2 8 2 4" xfId="50453" xr:uid="{00000000-0005-0000-0000-0000C9C50000}"/>
    <cellStyle name="Salida 5 2 2 8 3" xfId="50454" xr:uid="{00000000-0005-0000-0000-0000CAC50000}"/>
    <cellStyle name="Salida 5 2 2 8 3 2" xfId="50455" xr:uid="{00000000-0005-0000-0000-0000CBC50000}"/>
    <cellStyle name="Salida 5 2 2 8 3 2 2" xfId="50456" xr:uid="{00000000-0005-0000-0000-0000CCC50000}"/>
    <cellStyle name="Salida 5 2 2 8 3 2 3" xfId="50457" xr:uid="{00000000-0005-0000-0000-0000CDC50000}"/>
    <cellStyle name="Salida 5 2 2 8 3 2 4" xfId="50458" xr:uid="{00000000-0005-0000-0000-0000CEC50000}"/>
    <cellStyle name="Salida 5 2 2 8 3 3" xfId="50459" xr:uid="{00000000-0005-0000-0000-0000CFC50000}"/>
    <cellStyle name="Salida 5 2 2 8 3 3 2" xfId="50460" xr:uid="{00000000-0005-0000-0000-0000D0C50000}"/>
    <cellStyle name="Salida 5 2 2 8 3 3 3" xfId="50461" xr:uid="{00000000-0005-0000-0000-0000D1C50000}"/>
    <cellStyle name="Salida 5 2 2 8 3 3 4" xfId="50462" xr:uid="{00000000-0005-0000-0000-0000D2C50000}"/>
    <cellStyle name="Salida 5 2 2 8 3 4" xfId="50463" xr:uid="{00000000-0005-0000-0000-0000D3C50000}"/>
    <cellStyle name="Salida 5 2 2 8 3 5" xfId="50464" xr:uid="{00000000-0005-0000-0000-0000D4C50000}"/>
    <cellStyle name="Salida 5 2 2 8 3 6" xfId="50465" xr:uid="{00000000-0005-0000-0000-0000D5C50000}"/>
    <cellStyle name="Salida 5 2 2 8 4" xfId="50466" xr:uid="{00000000-0005-0000-0000-0000D6C50000}"/>
    <cellStyle name="Salida 5 2 2 8 5" xfId="50467" xr:uid="{00000000-0005-0000-0000-0000D7C50000}"/>
    <cellStyle name="Salida 5 2 2 9" xfId="50468" xr:uid="{00000000-0005-0000-0000-0000D8C50000}"/>
    <cellStyle name="Salida 5 2 2 9 2" xfId="50469" xr:uid="{00000000-0005-0000-0000-0000D9C50000}"/>
    <cellStyle name="Salida 5 2 2 9 2 2" xfId="50470" xr:uid="{00000000-0005-0000-0000-0000DAC50000}"/>
    <cellStyle name="Salida 5 2 2 9 2 3" xfId="50471" xr:uid="{00000000-0005-0000-0000-0000DBC50000}"/>
    <cellStyle name="Salida 5 2 2 9 2 4" xfId="50472" xr:uid="{00000000-0005-0000-0000-0000DCC50000}"/>
    <cellStyle name="Salida 5 2 2 9 3" xfId="50473" xr:uid="{00000000-0005-0000-0000-0000DDC50000}"/>
    <cellStyle name="Salida 5 2 2 9 3 2" xfId="50474" xr:uid="{00000000-0005-0000-0000-0000DEC50000}"/>
    <cellStyle name="Salida 5 2 2 9 3 2 2" xfId="50475" xr:uid="{00000000-0005-0000-0000-0000DFC50000}"/>
    <cellStyle name="Salida 5 2 2 9 3 2 3" xfId="50476" xr:uid="{00000000-0005-0000-0000-0000E0C50000}"/>
    <cellStyle name="Salida 5 2 2 9 3 2 4" xfId="50477" xr:uid="{00000000-0005-0000-0000-0000E1C50000}"/>
    <cellStyle name="Salida 5 2 2 9 3 3" xfId="50478" xr:uid="{00000000-0005-0000-0000-0000E2C50000}"/>
    <cellStyle name="Salida 5 2 2 9 3 3 2" xfId="50479" xr:uid="{00000000-0005-0000-0000-0000E3C50000}"/>
    <cellStyle name="Salida 5 2 2 9 3 3 3" xfId="50480" xr:uid="{00000000-0005-0000-0000-0000E4C50000}"/>
    <cellStyle name="Salida 5 2 2 9 3 3 4" xfId="50481" xr:uid="{00000000-0005-0000-0000-0000E5C50000}"/>
    <cellStyle name="Salida 5 2 2 9 3 4" xfId="50482" xr:uid="{00000000-0005-0000-0000-0000E6C50000}"/>
    <cellStyle name="Salida 5 2 2 9 3 5" xfId="50483" xr:uid="{00000000-0005-0000-0000-0000E7C50000}"/>
    <cellStyle name="Salida 5 2 2 9 3 6" xfId="50484" xr:uid="{00000000-0005-0000-0000-0000E8C50000}"/>
    <cellStyle name="Salida 5 2 2 9 4" xfId="50485" xr:uid="{00000000-0005-0000-0000-0000E9C50000}"/>
    <cellStyle name="Salida 5 2 2 9 5" xfId="50486" xr:uid="{00000000-0005-0000-0000-0000EAC50000}"/>
    <cellStyle name="Salida 5 2 3" xfId="50487" xr:uid="{00000000-0005-0000-0000-0000EBC50000}"/>
    <cellStyle name="Salida 5 2 3 2" xfId="50488" xr:uid="{00000000-0005-0000-0000-0000ECC50000}"/>
    <cellStyle name="Salida 5 2 3 2 2" xfId="50489" xr:uid="{00000000-0005-0000-0000-0000EDC50000}"/>
    <cellStyle name="Salida 5 2 3 2 3" xfId="50490" xr:uid="{00000000-0005-0000-0000-0000EEC50000}"/>
    <cellStyle name="Salida 5 2 3 2 4" xfId="50491" xr:uid="{00000000-0005-0000-0000-0000EFC50000}"/>
    <cellStyle name="Salida 5 2 3 3" xfId="50492" xr:uid="{00000000-0005-0000-0000-0000F0C50000}"/>
    <cellStyle name="Salida 5 2 3 3 2" xfId="50493" xr:uid="{00000000-0005-0000-0000-0000F1C50000}"/>
    <cellStyle name="Salida 5 2 3 3 2 2" xfId="50494" xr:uid="{00000000-0005-0000-0000-0000F2C50000}"/>
    <cellStyle name="Salida 5 2 3 3 2 3" xfId="50495" xr:uid="{00000000-0005-0000-0000-0000F3C50000}"/>
    <cellStyle name="Salida 5 2 3 3 2 4" xfId="50496" xr:uid="{00000000-0005-0000-0000-0000F4C50000}"/>
    <cellStyle name="Salida 5 2 3 3 3" xfId="50497" xr:uid="{00000000-0005-0000-0000-0000F5C50000}"/>
    <cellStyle name="Salida 5 2 3 3 3 2" xfId="50498" xr:uid="{00000000-0005-0000-0000-0000F6C50000}"/>
    <cellStyle name="Salida 5 2 3 3 3 3" xfId="50499" xr:uid="{00000000-0005-0000-0000-0000F7C50000}"/>
    <cellStyle name="Salida 5 2 3 3 3 4" xfId="50500" xr:uid="{00000000-0005-0000-0000-0000F8C50000}"/>
    <cellStyle name="Salida 5 2 3 3 4" xfId="50501" xr:uid="{00000000-0005-0000-0000-0000F9C50000}"/>
    <cellStyle name="Salida 5 2 3 3 5" xfId="50502" xr:uid="{00000000-0005-0000-0000-0000FAC50000}"/>
    <cellStyle name="Salida 5 2 3 3 6" xfId="50503" xr:uid="{00000000-0005-0000-0000-0000FBC50000}"/>
    <cellStyle name="Salida 5 2 3 4" xfId="50504" xr:uid="{00000000-0005-0000-0000-0000FCC50000}"/>
    <cellStyle name="Salida 5 2 3 5" xfId="50505" xr:uid="{00000000-0005-0000-0000-0000FDC50000}"/>
    <cellStyle name="Salida 5 2 4" xfId="50506" xr:uid="{00000000-0005-0000-0000-0000FEC50000}"/>
    <cellStyle name="Salida 5 2 4 2" xfId="50507" xr:uid="{00000000-0005-0000-0000-0000FFC50000}"/>
    <cellStyle name="Salida 5 2 4 2 2" xfId="50508" xr:uid="{00000000-0005-0000-0000-000000C60000}"/>
    <cellStyle name="Salida 5 2 4 2 2 2" xfId="50509" xr:uid="{00000000-0005-0000-0000-000001C60000}"/>
    <cellStyle name="Salida 5 2 4 2 2 3" xfId="50510" xr:uid="{00000000-0005-0000-0000-000002C60000}"/>
    <cellStyle name="Salida 5 2 4 2 2 4" xfId="50511" xr:uid="{00000000-0005-0000-0000-000003C60000}"/>
    <cellStyle name="Salida 5 2 4 2 3" xfId="50512" xr:uid="{00000000-0005-0000-0000-000004C60000}"/>
    <cellStyle name="Salida 5 2 4 2 3 2" xfId="50513" xr:uid="{00000000-0005-0000-0000-000005C60000}"/>
    <cellStyle name="Salida 5 2 4 2 3 3" xfId="50514" xr:uid="{00000000-0005-0000-0000-000006C60000}"/>
    <cellStyle name="Salida 5 2 4 2 3 4" xfId="50515" xr:uid="{00000000-0005-0000-0000-000007C60000}"/>
    <cellStyle name="Salida 5 2 4 2 4" xfId="50516" xr:uid="{00000000-0005-0000-0000-000008C60000}"/>
    <cellStyle name="Salida 5 2 4 2 5" xfId="50517" xr:uid="{00000000-0005-0000-0000-000009C60000}"/>
    <cellStyle name="Salida 5 2 4 2 6" xfId="50518" xr:uid="{00000000-0005-0000-0000-00000AC60000}"/>
    <cellStyle name="Salida 5 2 4 3" xfId="50519" xr:uid="{00000000-0005-0000-0000-00000BC60000}"/>
    <cellStyle name="Salida 5 2 4 3 2" xfId="50520" xr:uid="{00000000-0005-0000-0000-00000CC60000}"/>
    <cellStyle name="Salida 5 2 4 3 2 2" xfId="50521" xr:uid="{00000000-0005-0000-0000-00000DC60000}"/>
    <cellStyle name="Salida 5 2 4 3 2 3" xfId="50522" xr:uid="{00000000-0005-0000-0000-00000EC60000}"/>
    <cellStyle name="Salida 5 2 4 3 2 4" xfId="50523" xr:uid="{00000000-0005-0000-0000-00000FC60000}"/>
    <cellStyle name="Salida 5 2 4 3 3" xfId="50524" xr:uid="{00000000-0005-0000-0000-000010C60000}"/>
    <cellStyle name="Salida 5 2 4 3 3 2" xfId="50525" xr:uid="{00000000-0005-0000-0000-000011C60000}"/>
    <cellStyle name="Salida 5 2 4 3 3 3" xfId="50526" xr:uid="{00000000-0005-0000-0000-000012C60000}"/>
    <cellStyle name="Salida 5 2 4 3 3 4" xfId="50527" xr:uid="{00000000-0005-0000-0000-000013C60000}"/>
    <cellStyle name="Salida 5 2 4 3 4" xfId="50528" xr:uid="{00000000-0005-0000-0000-000014C60000}"/>
    <cellStyle name="Salida 5 2 4 3 5" xfId="50529" xr:uid="{00000000-0005-0000-0000-000015C60000}"/>
    <cellStyle name="Salida 5 2 4 3 6" xfId="50530" xr:uid="{00000000-0005-0000-0000-000016C60000}"/>
    <cellStyle name="Salida 5 2 4 4" xfId="50531" xr:uid="{00000000-0005-0000-0000-000017C60000}"/>
    <cellStyle name="Salida 5 2 4 5" xfId="50532" xr:uid="{00000000-0005-0000-0000-000018C60000}"/>
    <cellStyle name="Salida 5 2 4 6" xfId="50533" xr:uid="{00000000-0005-0000-0000-000019C60000}"/>
    <cellStyle name="Salida 5 2 5" xfId="50534" xr:uid="{00000000-0005-0000-0000-00001AC60000}"/>
    <cellStyle name="Salida 5 2 6" xfId="50535" xr:uid="{00000000-0005-0000-0000-00001BC60000}"/>
    <cellStyle name="Salida 5 3" xfId="50536" xr:uid="{00000000-0005-0000-0000-00001CC60000}"/>
    <cellStyle name="Salida 5 3 10" xfId="50537" xr:uid="{00000000-0005-0000-0000-00001DC60000}"/>
    <cellStyle name="Salida 5 3 10 2" xfId="50538" xr:uid="{00000000-0005-0000-0000-00001EC60000}"/>
    <cellStyle name="Salida 5 3 10 2 2" xfId="50539" xr:uid="{00000000-0005-0000-0000-00001FC60000}"/>
    <cellStyle name="Salida 5 3 10 2 3" xfId="50540" xr:uid="{00000000-0005-0000-0000-000020C60000}"/>
    <cellStyle name="Salida 5 3 10 2 4" xfId="50541" xr:uid="{00000000-0005-0000-0000-000021C60000}"/>
    <cellStyle name="Salida 5 3 10 3" xfId="50542" xr:uid="{00000000-0005-0000-0000-000022C60000}"/>
    <cellStyle name="Salida 5 3 10 3 2" xfId="50543" xr:uid="{00000000-0005-0000-0000-000023C60000}"/>
    <cellStyle name="Salida 5 3 10 3 2 2" xfId="50544" xr:uid="{00000000-0005-0000-0000-000024C60000}"/>
    <cellStyle name="Salida 5 3 10 3 2 3" xfId="50545" xr:uid="{00000000-0005-0000-0000-000025C60000}"/>
    <cellStyle name="Salida 5 3 10 3 2 4" xfId="50546" xr:uid="{00000000-0005-0000-0000-000026C60000}"/>
    <cellStyle name="Salida 5 3 10 3 3" xfId="50547" xr:uid="{00000000-0005-0000-0000-000027C60000}"/>
    <cellStyle name="Salida 5 3 10 3 3 2" xfId="50548" xr:uid="{00000000-0005-0000-0000-000028C60000}"/>
    <cellStyle name="Salida 5 3 10 3 3 3" xfId="50549" xr:uid="{00000000-0005-0000-0000-000029C60000}"/>
    <cellStyle name="Salida 5 3 10 3 3 4" xfId="50550" xr:uid="{00000000-0005-0000-0000-00002AC60000}"/>
    <cellStyle name="Salida 5 3 10 3 4" xfId="50551" xr:uid="{00000000-0005-0000-0000-00002BC60000}"/>
    <cellStyle name="Salida 5 3 10 3 5" xfId="50552" xr:uid="{00000000-0005-0000-0000-00002CC60000}"/>
    <cellStyle name="Salida 5 3 10 3 6" xfId="50553" xr:uid="{00000000-0005-0000-0000-00002DC60000}"/>
    <cellStyle name="Salida 5 3 10 4" xfId="50554" xr:uid="{00000000-0005-0000-0000-00002EC60000}"/>
    <cellStyle name="Salida 5 3 10 5" xfId="50555" xr:uid="{00000000-0005-0000-0000-00002FC60000}"/>
    <cellStyle name="Salida 5 3 11" xfId="50556" xr:uid="{00000000-0005-0000-0000-000030C60000}"/>
    <cellStyle name="Salida 5 3 11 2" xfId="50557" xr:uid="{00000000-0005-0000-0000-000031C60000}"/>
    <cellStyle name="Salida 5 3 11 2 2" xfId="50558" xr:uid="{00000000-0005-0000-0000-000032C60000}"/>
    <cellStyle name="Salida 5 3 11 2 3" xfId="50559" xr:uid="{00000000-0005-0000-0000-000033C60000}"/>
    <cellStyle name="Salida 5 3 11 2 4" xfId="50560" xr:uid="{00000000-0005-0000-0000-000034C60000}"/>
    <cellStyle name="Salida 5 3 11 3" xfId="50561" xr:uid="{00000000-0005-0000-0000-000035C60000}"/>
    <cellStyle name="Salida 5 3 11 3 2" xfId="50562" xr:uid="{00000000-0005-0000-0000-000036C60000}"/>
    <cellStyle name="Salida 5 3 11 3 2 2" xfId="50563" xr:uid="{00000000-0005-0000-0000-000037C60000}"/>
    <cellStyle name="Salida 5 3 11 3 2 3" xfId="50564" xr:uid="{00000000-0005-0000-0000-000038C60000}"/>
    <cellStyle name="Salida 5 3 11 3 2 4" xfId="50565" xr:uid="{00000000-0005-0000-0000-000039C60000}"/>
    <cellStyle name="Salida 5 3 11 3 3" xfId="50566" xr:uid="{00000000-0005-0000-0000-00003AC60000}"/>
    <cellStyle name="Salida 5 3 11 3 3 2" xfId="50567" xr:uid="{00000000-0005-0000-0000-00003BC60000}"/>
    <cellStyle name="Salida 5 3 11 3 3 3" xfId="50568" xr:uid="{00000000-0005-0000-0000-00003CC60000}"/>
    <cellStyle name="Salida 5 3 11 3 3 4" xfId="50569" xr:uid="{00000000-0005-0000-0000-00003DC60000}"/>
    <cellStyle name="Salida 5 3 11 3 4" xfId="50570" xr:uid="{00000000-0005-0000-0000-00003EC60000}"/>
    <cellStyle name="Salida 5 3 11 3 5" xfId="50571" xr:uid="{00000000-0005-0000-0000-00003FC60000}"/>
    <cellStyle name="Salida 5 3 11 3 6" xfId="50572" xr:uid="{00000000-0005-0000-0000-000040C60000}"/>
    <cellStyle name="Salida 5 3 11 4" xfId="50573" xr:uid="{00000000-0005-0000-0000-000041C60000}"/>
    <cellStyle name="Salida 5 3 11 5" xfId="50574" xr:uid="{00000000-0005-0000-0000-000042C60000}"/>
    <cellStyle name="Salida 5 3 12" xfId="50575" xr:uid="{00000000-0005-0000-0000-000043C60000}"/>
    <cellStyle name="Salida 5 3 12 2" xfId="50576" xr:uid="{00000000-0005-0000-0000-000044C60000}"/>
    <cellStyle name="Salida 5 3 12 2 2" xfId="50577" xr:uid="{00000000-0005-0000-0000-000045C60000}"/>
    <cellStyle name="Salida 5 3 12 2 2 2" xfId="50578" xr:uid="{00000000-0005-0000-0000-000046C60000}"/>
    <cellStyle name="Salida 5 3 12 2 2 3" xfId="50579" xr:uid="{00000000-0005-0000-0000-000047C60000}"/>
    <cellStyle name="Salida 5 3 12 2 2 4" xfId="50580" xr:uid="{00000000-0005-0000-0000-000048C60000}"/>
    <cellStyle name="Salida 5 3 12 2 3" xfId="50581" xr:uid="{00000000-0005-0000-0000-000049C60000}"/>
    <cellStyle name="Salida 5 3 12 2 3 2" xfId="50582" xr:uid="{00000000-0005-0000-0000-00004AC60000}"/>
    <cellStyle name="Salida 5 3 12 2 3 3" xfId="50583" xr:uid="{00000000-0005-0000-0000-00004BC60000}"/>
    <cellStyle name="Salida 5 3 12 2 3 4" xfId="50584" xr:uid="{00000000-0005-0000-0000-00004CC60000}"/>
    <cellStyle name="Salida 5 3 12 2 4" xfId="50585" xr:uid="{00000000-0005-0000-0000-00004DC60000}"/>
    <cellStyle name="Salida 5 3 12 2 5" xfId="50586" xr:uid="{00000000-0005-0000-0000-00004EC60000}"/>
    <cellStyle name="Salida 5 3 12 2 6" xfId="50587" xr:uid="{00000000-0005-0000-0000-00004FC60000}"/>
    <cellStyle name="Salida 5 3 12 3" xfId="50588" xr:uid="{00000000-0005-0000-0000-000050C60000}"/>
    <cellStyle name="Salida 5 3 12 3 2" xfId="50589" xr:uid="{00000000-0005-0000-0000-000051C60000}"/>
    <cellStyle name="Salida 5 3 12 3 2 2" xfId="50590" xr:uid="{00000000-0005-0000-0000-000052C60000}"/>
    <cellStyle name="Salida 5 3 12 3 2 3" xfId="50591" xr:uid="{00000000-0005-0000-0000-000053C60000}"/>
    <cellStyle name="Salida 5 3 12 3 2 4" xfId="50592" xr:uid="{00000000-0005-0000-0000-000054C60000}"/>
    <cellStyle name="Salida 5 3 12 3 3" xfId="50593" xr:uid="{00000000-0005-0000-0000-000055C60000}"/>
    <cellStyle name="Salida 5 3 12 3 3 2" xfId="50594" xr:uid="{00000000-0005-0000-0000-000056C60000}"/>
    <cellStyle name="Salida 5 3 12 3 3 3" xfId="50595" xr:uid="{00000000-0005-0000-0000-000057C60000}"/>
    <cellStyle name="Salida 5 3 12 3 3 4" xfId="50596" xr:uid="{00000000-0005-0000-0000-000058C60000}"/>
    <cellStyle name="Salida 5 3 12 3 4" xfId="50597" xr:uid="{00000000-0005-0000-0000-000059C60000}"/>
    <cellStyle name="Salida 5 3 12 3 5" xfId="50598" xr:uid="{00000000-0005-0000-0000-00005AC60000}"/>
    <cellStyle name="Salida 5 3 12 3 6" xfId="50599" xr:uid="{00000000-0005-0000-0000-00005BC60000}"/>
    <cellStyle name="Salida 5 3 12 4" xfId="50600" xr:uid="{00000000-0005-0000-0000-00005CC60000}"/>
    <cellStyle name="Salida 5 3 12 5" xfId="50601" xr:uid="{00000000-0005-0000-0000-00005DC60000}"/>
    <cellStyle name="Salida 5 3 12 6" xfId="50602" xr:uid="{00000000-0005-0000-0000-00005EC60000}"/>
    <cellStyle name="Salida 5 3 13" xfId="50603" xr:uid="{00000000-0005-0000-0000-00005FC60000}"/>
    <cellStyle name="Salida 5 3 14" xfId="50604" xr:uid="{00000000-0005-0000-0000-000060C60000}"/>
    <cellStyle name="Salida 5 3 15" xfId="58795" xr:uid="{00000000-0005-0000-0000-000061C60000}"/>
    <cellStyle name="Salida 5 3 2" xfId="50605" xr:uid="{00000000-0005-0000-0000-000062C60000}"/>
    <cellStyle name="Salida 5 3 2 2" xfId="50606" xr:uid="{00000000-0005-0000-0000-000063C60000}"/>
    <cellStyle name="Salida 5 3 2 2 2" xfId="50607" xr:uid="{00000000-0005-0000-0000-000064C60000}"/>
    <cellStyle name="Salida 5 3 2 2 2 2" xfId="50608" xr:uid="{00000000-0005-0000-0000-000065C60000}"/>
    <cellStyle name="Salida 5 3 2 2 2 2 2" xfId="50609" xr:uid="{00000000-0005-0000-0000-000066C60000}"/>
    <cellStyle name="Salida 5 3 2 2 2 2 3" xfId="50610" xr:uid="{00000000-0005-0000-0000-000067C60000}"/>
    <cellStyle name="Salida 5 3 2 2 2 2 4" xfId="50611" xr:uid="{00000000-0005-0000-0000-000068C60000}"/>
    <cellStyle name="Salida 5 3 2 2 2 3" xfId="50612" xr:uid="{00000000-0005-0000-0000-000069C60000}"/>
    <cellStyle name="Salida 5 3 2 2 2 3 2" xfId="50613" xr:uid="{00000000-0005-0000-0000-00006AC60000}"/>
    <cellStyle name="Salida 5 3 2 2 2 3 3" xfId="50614" xr:uid="{00000000-0005-0000-0000-00006BC60000}"/>
    <cellStyle name="Salida 5 3 2 2 2 3 4" xfId="50615" xr:uid="{00000000-0005-0000-0000-00006CC60000}"/>
    <cellStyle name="Salida 5 3 2 2 2 4" xfId="50616" xr:uid="{00000000-0005-0000-0000-00006DC60000}"/>
    <cellStyle name="Salida 5 3 2 2 2 5" xfId="50617" xr:uid="{00000000-0005-0000-0000-00006EC60000}"/>
    <cellStyle name="Salida 5 3 2 2 2 6" xfId="50618" xr:uid="{00000000-0005-0000-0000-00006FC60000}"/>
    <cellStyle name="Salida 5 3 2 2 3" xfId="50619" xr:uid="{00000000-0005-0000-0000-000070C60000}"/>
    <cellStyle name="Salida 5 3 2 2 3 2" xfId="50620" xr:uid="{00000000-0005-0000-0000-000071C60000}"/>
    <cellStyle name="Salida 5 3 2 2 3 2 2" xfId="50621" xr:uid="{00000000-0005-0000-0000-000072C60000}"/>
    <cellStyle name="Salida 5 3 2 2 3 2 3" xfId="50622" xr:uid="{00000000-0005-0000-0000-000073C60000}"/>
    <cellStyle name="Salida 5 3 2 2 3 2 4" xfId="50623" xr:uid="{00000000-0005-0000-0000-000074C60000}"/>
    <cellStyle name="Salida 5 3 2 2 3 3" xfId="50624" xr:uid="{00000000-0005-0000-0000-000075C60000}"/>
    <cellStyle name="Salida 5 3 2 2 3 3 2" xfId="50625" xr:uid="{00000000-0005-0000-0000-000076C60000}"/>
    <cellStyle name="Salida 5 3 2 2 3 3 3" xfId="50626" xr:uid="{00000000-0005-0000-0000-000077C60000}"/>
    <cellStyle name="Salida 5 3 2 2 3 3 4" xfId="50627" xr:uid="{00000000-0005-0000-0000-000078C60000}"/>
    <cellStyle name="Salida 5 3 2 2 3 4" xfId="50628" xr:uid="{00000000-0005-0000-0000-000079C60000}"/>
    <cellStyle name="Salida 5 3 2 2 3 5" xfId="50629" xr:uid="{00000000-0005-0000-0000-00007AC60000}"/>
    <cellStyle name="Salida 5 3 2 2 3 6" xfId="50630" xr:uid="{00000000-0005-0000-0000-00007BC60000}"/>
    <cellStyle name="Salida 5 3 2 2 4" xfId="50631" xr:uid="{00000000-0005-0000-0000-00007CC60000}"/>
    <cellStyle name="Salida 5 3 2 2 5" xfId="50632" xr:uid="{00000000-0005-0000-0000-00007DC60000}"/>
    <cellStyle name="Salida 5 3 2 2 6" xfId="50633" xr:uid="{00000000-0005-0000-0000-00007EC60000}"/>
    <cellStyle name="Salida 5 3 2 3" xfId="50634" xr:uid="{00000000-0005-0000-0000-00007FC60000}"/>
    <cellStyle name="Salida 5 3 2 4" xfId="50635" xr:uid="{00000000-0005-0000-0000-000080C60000}"/>
    <cellStyle name="Salida 5 3 3" xfId="50636" xr:uid="{00000000-0005-0000-0000-000081C60000}"/>
    <cellStyle name="Salida 5 3 3 2" xfId="50637" xr:uid="{00000000-0005-0000-0000-000082C60000}"/>
    <cellStyle name="Salida 5 3 3 2 2" xfId="50638" xr:uid="{00000000-0005-0000-0000-000083C60000}"/>
    <cellStyle name="Salida 5 3 3 2 2 2" xfId="50639" xr:uid="{00000000-0005-0000-0000-000084C60000}"/>
    <cellStyle name="Salida 5 3 3 2 2 2 2" xfId="50640" xr:uid="{00000000-0005-0000-0000-000085C60000}"/>
    <cellStyle name="Salida 5 3 3 2 2 2 3" xfId="50641" xr:uid="{00000000-0005-0000-0000-000086C60000}"/>
    <cellStyle name="Salida 5 3 3 2 2 2 4" xfId="50642" xr:uid="{00000000-0005-0000-0000-000087C60000}"/>
    <cellStyle name="Salida 5 3 3 2 2 3" xfId="50643" xr:uid="{00000000-0005-0000-0000-000088C60000}"/>
    <cellStyle name="Salida 5 3 3 2 2 3 2" xfId="50644" xr:uid="{00000000-0005-0000-0000-000089C60000}"/>
    <cellStyle name="Salida 5 3 3 2 2 3 3" xfId="50645" xr:uid="{00000000-0005-0000-0000-00008AC60000}"/>
    <cellStyle name="Salida 5 3 3 2 2 3 4" xfId="50646" xr:uid="{00000000-0005-0000-0000-00008BC60000}"/>
    <cellStyle name="Salida 5 3 3 2 2 4" xfId="50647" xr:uid="{00000000-0005-0000-0000-00008CC60000}"/>
    <cellStyle name="Salida 5 3 3 2 2 5" xfId="50648" xr:uid="{00000000-0005-0000-0000-00008DC60000}"/>
    <cellStyle name="Salida 5 3 3 2 2 6" xfId="50649" xr:uid="{00000000-0005-0000-0000-00008EC60000}"/>
    <cellStyle name="Salida 5 3 3 2 3" xfId="50650" xr:uid="{00000000-0005-0000-0000-00008FC60000}"/>
    <cellStyle name="Salida 5 3 3 2 3 2" xfId="50651" xr:uid="{00000000-0005-0000-0000-000090C60000}"/>
    <cellStyle name="Salida 5 3 3 2 3 2 2" xfId="50652" xr:uid="{00000000-0005-0000-0000-000091C60000}"/>
    <cellStyle name="Salida 5 3 3 2 3 2 3" xfId="50653" xr:uid="{00000000-0005-0000-0000-000092C60000}"/>
    <cellStyle name="Salida 5 3 3 2 3 2 4" xfId="50654" xr:uid="{00000000-0005-0000-0000-000093C60000}"/>
    <cellStyle name="Salida 5 3 3 2 3 3" xfId="50655" xr:uid="{00000000-0005-0000-0000-000094C60000}"/>
    <cellStyle name="Salida 5 3 3 2 3 3 2" xfId="50656" xr:uid="{00000000-0005-0000-0000-000095C60000}"/>
    <cellStyle name="Salida 5 3 3 2 3 3 3" xfId="50657" xr:uid="{00000000-0005-0000-0000-000096C60000}"/>
    <cellStyle name="Salida 5 3 3 2 3 3 4" xfId="50658" xr:uid="{00000000-0005-0000-0000-000097C60000}"/>
    <cellStyle name="Salida 5 3 3 2 3 4" xfId="50659" xr:uid="{00000000-0005-0000-0000-000098C60000}"/>
    <cellStyle name="Salida 5 3 3 2 3 5" xfId="50660" xr:uid="{00000000-0005-0000-0000-000099C60000}"/>
    <cellStyle name="Salida 5 3 3 2 3 6" xfId="50661" xr:uid="{00000000-0005-0000-0000-00009AC60000}"/>
    <cellStyle name="Salida 5 3 3 2 4" xfId="50662" xr:uid="{00000000-0005-0000-0000-00009BC60000}"/>
    <cellStyle name="Salida 5 3 3 2 5" xfId="50663" xr:uid="{00000000-0005-0000-0000-00009CC60000}"/>
    <cellStyle name="Salida 5 3 3 2 6" xfId="50664" xr:uid="{00000000-0005-0000-0000-00009DC60000}"/>
    <cellStyle name="Salida 5 3 3 3" xfId="50665" xr:uid="{00000000-0005-0000-0000-00009EC60000}"/>
    <cellStyle name="Salida 5 3 3 4" xfId="50666" xr:uid="{00000000-0005-0000-0000-00009FC60000}"/>
    <cellStyle name="Salida 5 3 4" xfId="50667" xr:uid="{00000000-0005-0000-0000-0000A0C60000}"/>
    <cellStyle name="Salida 5 3 4 2" xfId="50668" xr:uid="{00000000-0005-0000-0000-0000A1C60000}"/>
    <cellStyle name="Salida 5 3 4 2 2" xfId="50669" xr:uid="{00000000-0005-0000-0000-0000A2C60000}"/>
    <cellStyle name="Salida 5 3 4 2 2 2" xfId="50670" xr:uid="{00000000-0005-0000-0000-0000A3C60000}"/>
    <cellStyle name="Salida 5 3 4 2 2 2 2" xfId="50671" xr:uid="{00000000-0005-0000-0000-0000A4C60000}"/>
    <cellStyle name="Salida 5 3 4 2 2 2 3" xfId="50672" xr:uid="{00000000-0005-0000-0000-0000A5C60000}"/>
    <cellStyle name="Salida 5 3 4 2 2 2 4" xfId="50673" xr:uid="{00000000-0005-0000-0000-0000A6C60000}"/>
    <cellStyle name="Salida 5 3 4 2 2 3" xfId="50674" xr:uid="{00000000-0005-0000-0000-0000A7C60000}"/>
    <cellStyle name="Salida 5 3 4 2 2 3 2" xfId="50675" xr:uid="{00000000-0005-0000-0000-0000A8C60000}"/>
    <cellStyle name="Salida 5 3 4 2 2 3 3" xfId="50676" xr:uid="{00000000-0005-0000-0000-0000A9C60000}"/>
    <cellStyle name="Salida 5 3 4 2 2 3 4" xfId="50677" xr:uid="{00000000-0005-0000-0000-0000AAC60000}"/>
    <cellStyle name="Salida 5 3 4 2 2 4" xfId="50678" xr:uid="{00000000-0005-0000-0000-0000ABC60000}"/>
    <cellStyle name="Salida 5 3 4 2 2 5" xfId="50679" xr:uid="{00000000-0005-0000-0000-0000ACC60000}"/>
    <cellStyle name="Salida 5 3 4 2 2 6" xfId="50680" xr:uid="{00000000-0005-0000-0000-0000ADC60000}"/>
    <cellStyle name="Salida 5 3 4 2 3" xfId="50681" xr:uid="{00000000-0005-0000-0000-0000AEC60000}"/>
    <cellStyle name="Salida 5 3 4 2 3 2" xfId="50682" xr:uid="{00000000-0005-0000-0000-0000AFC60000}"/>
    <cellStyle name="Salida 5 3 4 2 3 2 2" xfId="50683" xr:uid="{00000000-0005-0000-0000-0000B0C60000}"/>
    <cellStyle name="Salida 5 3 4 2 3 2 3" xfId="50684" xr:uid="{00000000-0005-0000-0000-0000B1C60000}"/>
    <cellStyle name="Salida 5 3 4 2 3 2 4" xfId="50685" xr:uid="{00000000-0005-0000-0000-0000B2C60000}"/>
    <cellStyle name="Salida 5 3 4 2 3 3" xfId="50686" xr:uid="{00000000-0005-0000-0000-0000B3C60000}"/>
    <cellStyle name="Salida 5 3 4 2 3 3 2" xfId="50687" xr:uid="{00000000-0005-0000-0000-0000B4C60000}"/>
    <cellStyle name="Salida 5 3 4 2 3 3 3" xfId="50688" xr:uid="{00000000-0005-0000-0000-0000B5C60000}"/>
    <cellStyle name="Salida 5 3 4 2 3 3 4" xfId="50689" xr:uid="{00000000-0005-0000-0000-0000B6C60000}"/>
    <cellStyle name="Salida 5 3 4 2 3 4" xfId="50690" xr:uid="{00000000-0005-0000-0000-0000B7C60000}"/>
    <cellStyle name="Salida 5 3 4 2 3 5" xfId="50691" xr:uid="{00000000-0005-0000-0000-0000B8C60000}"/>
    <cellStyle name="Salida 5 3 4 2 3 6" xfId="50692" xr:uid="{00000000-0005-0000-0000-0000B9C60000}"/>
    <cellStyle name="Salida 5 3 4 2 4" xfId="50693" xr:uid="{00000000-0005-0000-0000-0000BAC60000}"/>
    <cellStyle name="Salida 5 3 4 2 5" xfId="50694" xr:uid="{00000000-0005-0000-0000-0000BBC60000}"/>
    <cellStyle name="Salida 5 3 4 2 6" xfId="50695" xr:uid="{00000000-0005-0000-0000-0000BCC60000}"/>
    <cellStyle name="Salida 5 3 4 3" xfId="50696" xr:uid="{00000000-0005-0000-0000-0000BDC60000}"/>
    <cellStyle name="Salida 5 3 4 4" xfId="50697" xr:uid="{00000000-0005-0000-0000-0000BEC60000}"/>
    <cellStyle name="Salida 5 3 5" xfId="50698" xr:uid="{00000000-0005-0000-0000-0000BFC60000}"/>
    <cellStyle name="Salida 5 3 5 2" xfId="50699" xr:uid="{00000000-0005-0000-0000-0000C0C60000}"/>
    <cellStyle name="Salida 5 3 5 2 2" xfId="50700" xr:uid="{00000000-0005-0000-0000-0000C1C60000}"/>
    <cellStyle name="Salida 5 3 5 2 3" xfId="50701" xr:uid="{00000000-0005-0000-0000-0000C2C60000}"/>
    <cellStyle name="Salida 5 3 5 2 4" xfId="50702" xr:uid="{00000000-0005-0000-0000-0000C3C60000}"/>
    <cellStyle name="Salida 5 3 5 3" xfId="50703" xr:uid="{00000000-0005-0000-0000-0000C4C60000}"/>
    <cellStyle name="Salida 5 3 5 3 2" xfId="50704" xr:uid="{00000000-0005-0000-0000-0000C5C60000}"/>
    <cellStyle name="Salida 5 3 5 3 2 2" xfId="50705" xr:uid="{00000000-0005-0000-0000-0000C6C60000}"/>
    <cellStyle name="Salida 5 3 5 3 2 3" xfId="50706" xr:uid="{00000000-0005-0000-0000-0000C7C60000}"/>
    <cellStyle name="Salida 5 3 5 3 2 4" xfId="50707" xr:uid="{00000000-0005-0000-0000-0000C8C60000}"/>
    <cellStyle name="Salida 5 3 5 3 3" xfId="50708" xr:uid="{00000000-0005-0000-0000-0000C9C60000}"/>
    <cellStyle name="Salida 5 3 5 3 3 2" xfId="50709" xr:uid="{00000000-0005-0000-0000-0000CAC60000}"/>
    <cellStyle name="Salida 5 3 5 3 3 3" xfId="50710" xr:uid="{00000000-0005-0000-0000-0000CBC60000}"/>
    <cellStyle name="Salida 5 3 5 3 3 4" xfId="50711" xr:uid="{00000000-0005-0000-0000-0000CCC60000}"/>
    <cellStyle name="Salida 5 3 5 3 4" xfId="50712" xr:uid="{00000000-0005-0000-0000-0000CDC60000}"/>
    <cellStyle name="Salida 5 3 5 3 5" xfId="50713" xr:uid="{00000000-0005-0000-0000-0000CEC60000}"/>
    <cellStyle name="Salida 5 3 5 3 6" xfId="50714" xr:uid="{00000000-0005-0000-0000-0000CFC60000}"/>
    <cellStyle name="Salida 5 3 5 4" xfId="50715" xr:uid="{00000000-0005-0000-0000-0000D0C60000}"/>
    <cellStyle name="Salida 5 3 5 5" xfId="50716" xr:uid="{00000000-0005-0000-0000-0000D1C60000}"/>
    <cellStyle name="Salida 5 3 6" xfId="50717" xr:uid="{00000000-0005-0000-0000-0000D2C60000}"/>
    <cellStyle name="Salida 5 3 6 2" xfId="50718" xr:uid="{00000000-0005-0000-0000-0000D3C60000}"/>
    <cellStyle name="Salida 5 3 6 2 2" xfId="50719" xr:uid="{00000000-0005-0000-0000-0000D4C60000}"/>
    <cellStyle name="Salida 5 3 6 2 3" xfId="50720" xr:uid="{00000000-0005-0000-0000-0000D5C60000}"/>
    <cellStyle name="Salida 5 3 6 2 4" xfId="50721" xr:uid="{00000000-0005-0000-0000-0000D6C60000}"/>
    <cellStyle name="Salida 5 3 6 3" xfId="50722" xr:uid="{00000000-0005-0000-0000-0000D7C60000}"/>
    <cellStyle name="Salida 5 3 6 3 2" xfId="50723" xr:uid="{00000000-0005-0000-0000-0000D8C60000}"/>
    <cellStyle name="Salida 5 3 6 3 2 2" xfId="50724" xr:uid="{00000000-0005-0000-0000-0000D9C60000}"/>
    <cellStyle name="Salida 5 3 6 3 2 3" xfId="50725" xr:uid="{00000000-0005-0000-0000-0000DAC60000}"/>
    <cellStyle name="Salida 5 3 6 3 2 4" xfId="50726" xr:uid="{00000000-0005-0000-0000-0000DBC60000}"/>
    <cellStyle name="Salida 5 3 6 3 3" xfId="50727" xr:uid="{00000000-0005-0000-0000-0000DCC60000}"/>
    <cellStyle name="Salida 5 3 6 3 3 2" xfId="50728" xr:uid="{00000000-0005-0000-0000-0000DDC60000}"/>
    <cellStyle name="Salida 5 3 6 3 3 3" xfId="50729" xr:uid="{00000000-0005-0000-0000-0000DEC60000}"/>
    <cellStyle name="Salida 5 3 6 3 3 4" xfId="50730" xr:uid="{00000000-0005-0000-0000-0000DFC60000}"/>
    <cellStyle name="Salida 5 3 6 3 4" xfId="50731" xr:uid="{00000000-0005-0000-0000-0000E0C60000}"/>
    <cellStyle name="Salida 5 3 6 3 5" xfId="50732" xr:uid="{00000000-0005-0000-0000-0000E1C60000}"/>
    <cellStyle name="Salida 5 3 6 3 6" xfId="50733" xr:uid="{00000000-0005-0000-0000-0000E2C60000}"/>
    <cellStyle name="Salida 5 3 6 4" xfId="50734" xr:uid="{00000000-0005-0000-0000-0000E3C60000}"/>
    <cellStyle name="Salida 5 3 6 5" xfId="50735" xr:uid="{00000000-0005-0000-0000-0000E4C60000}"/>
    <cellStyle name="Salida 5 3 7" xfId="50736" xr:uid="{00000000-0005-0000-0000-0000E5C60000}"/>
    <cellStyle name="Salida 5 3 7 2" xfId="50737" xr:uid="{00000000-0005-0000-0000-0000E6C60000}"/>
    <cellStyle name="Salida 5 3 7 2 2" xfId="50738" xr:uid="{00000000-0005-0000-0000-0000E7C60000}"/>
    <cellStyle name="Salida 5 3 7 2 3" xfId="50739" xr:uid="{00000000-0005-0000-0000-0000E8C60000}"/>
    <cellStyle name="Salida 5 3 7 2 4" xfId="50740" xr:uid="{00000000-0005-0000-0000-0000E9C60000}"/>
    <cellStyle name="Salida 5 3 7 3" xfId="50741" xr:uid="{00000000-0005-0000-0000-0000EAC60000}"/>
    <cellStyle name="Salida 5 3 7 3 2" xfId="50742" xr:uid="{00000000-0005-0000-0000-0000EBC60000}"/>
    <cellStyle name="Salida 5 3 7 3 2 2" xfId="50743" xr:uid="{00000000-0005-0000-0000-0000ECC60000}"/>
    <cellStyle name="Salida 5 3 7 3 2 3" xfId="50744" xr:uid="{00000000-0005-0000-0000-0000EDC60000}"/>
    <cellStyle name="Salida 5 3 7 3 2 4" xfId="50745" xr:uid="{00000000-0005-0000-0000-0000EEC60000}"/>
    <cellStyle name="Salida 5 3 7 3 3" xfId="50746" xr:uid="{00000000-0005-0000-0000-0000EFC60000}"/>
    <cellStyle name="Salida 5 3 7 3 3 2" xfId="50747" xr:uid="{00000000-0005-0000-0000-0000F0C60000}"/>
    <cellStyle name="Salida 5 3 7 3 3 3" xfId="50748" xr:uid="{00000000-0005-0000-0000-0000F1C60000}"/>
    <cellStyle name="Salida 5 3 7 3 3 4" xfId="50749" xr:uid="{00000000-0005-0000-0000-0000F2C60000}"/>
    <cellStyle name="Salida 5 3 7 3 4" xfId="50750" xr:uid="{00000000-0005-0000-0000-0000F3C60000}"/>
    <cellStyle name="Salida 5 3 7 3 5" xfId="50751" xr:uid="{00000000-0005-0000-0000-0000F4C60000}"/>
    <cellStyle name="Salida 5 3 7 3 6" xfId="50752" xr:uid="{00000000-0005-0000-0000-0000F5C60000}"/>
    <cellStyle name="Salida 5 3 7 4" xfId="50753" xr:uid="{00000000-0005-0000-0000-0000F6C60000}"/>
    <cellStyle name="Salida 5 3 7 5" xfId="50754" xr:uid="{00000000-0005-0000-0000-0000F7C60000}"/>
    <cellStyle name="Salida 5 3 8" xfId="50755" xr:uid="{00000000-0005-0000-0000-0000F8C60000}"/>
    <cellStyle name="Salida 5 3 8 2" xfId="50756" xr:uid="{00000000-0005-0000-0000-0000F9C60000}"/>
    <cellStyle name="Salida 5 3 8 2 2" xfId="50757" xr:uid="{00000000-0005-0000-0000-0000FAC60000}"/>
    <cellStyle name="Salida 5 3 8 2 3" xfId="50758" xr:uid="{00000000-0005-0000-0000-0000FBC60000}"/>
    <cellStyle name="Salida 5 3 8 2 4" xfId="50759" xr:uid="{00000000-0005-0000-0000-0000FCC60000}"/>
    <cellStyle name="Salida 5 3 8 3" xfId="50760" xr:uid="{00000000-0005-0000-0000-0000FDC60000}"/>
    <cellStyle name="Salida 5 3 8 3 2" xfId="50761" xr:uid="{00000000-0005-0000-0000-0000FEC60000}"/>
    <cellStyle name="Salida 5 3 8 3 2 2" xfId="50762" xr:uid="{00000000-0005-0000-0000-0000FFC60000}"/>
    <cellStyle name="Salida 5 3 8 3 2 3" xfId="50763" xr:uid="{00000000-0005-0000-0000-000000C70000}"/>
    <cellStyle name="Salida 5 3 8 3 2 4" xfId="50764" xr:uid="{00000000-0005-0000-0000-000001C70000}"/>
    <cellStyle name="Salida 5 3 8 3 3" xfId="50765" xr:uid="{00000000-0005-0000-0000-000002C70000}"/>
    <cellStyle name="Salida 5 3 8 3 3 2" xfId="50766" xr:uid="{00000000-0005-0000-0000-000003C70000}"/>
    <cellStyle name="Salida 5 3 8 3 3 3" xfId="50767" xr:uid="{00000000-0005-0000-0000-000004C70000}"/>
    <cellStyle name="Salida 5 3 8 3 3 4" xfId="50768" xr:uid="{00000000-0005-0000-0000-000005C70000}"/>
    <cellStyle name="Salida 5 3 8 3 4" xfId="50769" xr:uid="{00000000-0005-0000-0000-000006C70000}"/>
    <cellStyle name="Salida 5 3 8 3 5" xfId="50770" xr:uid="{00000000-0005-0000-0000-000007C70000}"/>
    <cellStyle name="Salida 5 3 8 3 6" xfId="50771" xr:uid="{00000000-0005-0000-0000-000008C70000}"/>
    <cellStyle name="Salida 5 3 8 4" xfId="50772" xr:uid="{00000000-0005-0000-0000-000009C70000}"/>
    <cellStyle name="Salida 5 3 8 5" xfId="50773" xr:uid="{00000000-0005-0000-0000-00000AC70000}"/>
    <cellStyle name="Salida 5 3 9" xfId="50774" xr:uid="{00000000-0005-0000-0000-00000BC70000}"/>
    <cellStyle name="Salida 5 3 9 2" xfId="50775" xr:uid="{00000000-0005-0000-0000-00000CC70000}"/>
    <cellStyle name="Salida 5 3 9 2 2" xfId="50776" xr:uid="{00000000-0005-0000-0000-00000DC70000}"/>
    <cellStyle name="Salida 5 3 9 2 3" xfId="50777" xr:uid="{00000000-0005-0000-0000-00000EC70000}"/>
    <cellStyle name="Salida 5 3 9 2 4" xfId="50778" xr:uid="{00000000-0005-0000-0000-00000FC70000}"/>
    <cellStyle name="Salida 5 3 9 3" xfId="50779" xr:uid="{00000000-0005-0000-0000-000010C70000}"/>
    <cellStyle name="Salida 5 3 9 3 2" xfId="50780" xr:uid="{00000000-0005-0000-0000-000011C70000}"/>
    <cellStyle name="Salida 5 3 9 3 2 2" xfId="50781" xr:uid="{00000000-0005-0000-0000-000012C70000}"/>
    <cellStyle name="Salida 5 3 9 3 2 3" xfId="50782" xr:uid="{00000000-0005-0000-0000-000013C70000}"/>
    <cellStyle name="Salida 5 3 9 3 2 4" xfId="50783" xr:uid="{00000000-0005-0000-0000-000014C70000}"/>
    <cellStyle name="Salida 5 3 9 3 3" xfId="50784" xr:uid="{00000000-0005-0000-0000-000015C70000}"/>
    <cellStyle name="Salida 5 3 9 3 3 2" xfId="50785" xr:uid="{00000000-0005-0000-0000-000016C70000}"/>
    <cellStyle name="Salida 5 3 9 3 3 3" xfId="50786" xr:uid="{00000000-0005-0000-0000-000017C70000}"/>
    <cellStyle name="Salida 5 3 9 3 3 4" xfId="50787" xr:uid="{00000000-0005-0000-0000-000018C70000}"/>
    <cellStyle name="Salida 5 3 9 3 4" xfId="50788" xr:uid="{00000000-0005-0000-0000-000019C70000}"/>
    <cellStyle name="Salida 5 3 9 3 5" xfId="50789" xr:uid="{00000000-0005-0000-0000-00001AC70000}"/>
    <cellStyle name="Salida 5 3 9 3 6" xfId="50790" xr:uid="{00000000-0005-0000-0000-00001BC70000}"/>
    <cellStyle name="Salida 5 3 9 4" xfId="50791" xr:uid="{00000000-0005-0000-0000-00001CC70000}"/>
    <cellStyle name="Salida 5 3 9 5" xfId="50792" xr:uid="{00000000-0005-0000-0000-00001DC70000}"/>
    <cellStyle name="Salida 5 4" xfId="50793" xr:uid="{00000000-0005-0000-0000-00001EC70000}"/>
    <cellStyle name="Salida 5 4 10" xfId="50794" xr:uid="{00000000-0005-0000-0000-00001FC70000}"/>
    <cellStyle name="Salida 5 4 10 2" xfId="50795" xr:uid="{00000000-0005-0000-0000-000020C70000}"/>
    <cellStyle name="Salida 5 4 10 2 2" xfId="50796" xr:uid="{00000000-0005-0000-0000-000021C70000}"/>
    <cellStyle name="Salida 5 4 10 2 3" xfId="50797" xr:uid="{00000000-0005-0000-0000-000022C70000}"/>
    <cellStyle name="Salida 5 4 10 2 4" xfId="50798" xr:uid="{00000000-0005-0000-0000-000023C70000}"/>
    <cellStyle name="Salida 5 4 10 3" xfId="50799" xr:uid="{00000000-0005-0000-0000-000024C70000}"/>
    <cellStyle name="Salida 5 4 10 3 2" xfId="50800" xr:uid="{00000000-0005-0000-0000-000025C70000}"/>
    <cellStyle name="Salida 5 4 10 3 2 2" xfId="50801" xr:uid="{00000000-0005-0000-0000-000026C70000}"/>
    <cellStyle name="Salida 5 4 10 3 2 3" xfId="50802" xr:uid="{00000000-0005-0000-0000-000027C70000}"/>
    <cellStyle name="Salida 5 4 10 3 2 4" xfId="50803" xr:uid="{00000000-0005-0000-0000-000028C70000}"/>
    <cellStyle name="Salida 5 4 10 3 3" xfId="50804" xr:uid="{00000000-0005-0000-0000-000029C70000}"/>
    <cellStyle name="Salida 5 4 10 3 3 2" xfId="50805" xr:uid="{00000000-0005-0000-0000-00002AC70000}"/>
    <cellStyle name="Salida 5 4 10 3 3 3" xfId="50806" xr:uid="{00000000-0005-0000-0000-00002BC70000}"/>
    <cellStyle name="Salida 5 4 10 3 3 4" xfId="50807" xr:uid="{00000000-0005-0000-0000-00002CC70000}"/>
    <cellStyle name="Salida 5 4 10 3 4" xfId="50808" xr:uid="{00000000-0005-0000-0000-00002DC70000}"/>
    <cellStyle name="Salida 5 4 10 3 5" xfId="50809" xr:uid="{00000000-0005-0000-0000-00002EC70000}"/>
    <cellStyle name="Salida 5 4 10 3 6" xfId="50810" xr:uid="{00000000-0005-0000-0000-00002FC70000}"/>
    <cellStyle name="Salida 5 4 10 4" xfId="50811" xr:uid="{00000000-0005-0000-0000-000030C70000}"/>
    <cellStyle name="Salida 5 4 10 5" xfId="50812" xr:uid="{00000000-0005-0000-0000-000031C70000}"/>
    <cellStyle name="Salida 5 4 11" xfId="50813" xr:uid="{00000000-0005-0000-0000-000032C70000}"/>
    <cellStyle name="Salida 5 4 11 2" xfId="50814" xr:uid="{00000000-0005-0000-0000-000033C70000}"/>
    <cellStyle name="Salida 5 4 11 2 2" xfId="50815" xr:uid="{00000000-0005-0000-0000-000034C70000}"/>
    <cellStyle name="Salida 5 4 11 2 3" xfId="50816" xr:uid="{00000000-0005-0000-0000-000035C70000}"/>
    <cellStyle name="Salida 5 4 11 2 4" xfId="50817" xr:uid="{00000000-0005-0000-0000-000036C70000}"/>
    <cellStyle name="Salida 5 4 11 3" xfId="50818" xr:uid="{00000000-0005-0000-0000-000037C70000}"/>
    <cellStyle name="Salida 5 4 11 3 2" xfId="50819" xr:uid="{00000000-0005-0000-0000-000038C70000}"/>
    <cellStyle name="Salida 5 4 11 3 2 2" xfId="50820" xr:uid="{00000000-0005-0000-0000-000039C70000}"/>
    <cellStyle name="Salida 5 4 11 3 2 3" xfId="50821" xr:uid="{00000000-0005-0000-0000-00003AC70000}"/>
    <cellStyle name="Salida 5 4 11 3 2 4" xfId="50822" xr:uid="{00000000-0005-0000-0000-00003BC70000}"/>
    <cellStyle name="Salida 5 4 11 3 3" xfId="50823" xr:uid="{00000000-0005-0000-0000-00003CC70000}"/>
    <cellStyle name="Salida 5 4 11 3 3 2" xfId="50824" xr:uid="{00000000-0005-0000-0000-00003DC70000}"/>
    <cellStyle name="Salida 5 4 11 3 3 3" xfId="50825" xr:uid="{00000000-0005-0000-0000-00003EC70000}"/>
    <cellStyle name="Salida 5 4 11 3 3 4" xfId="50826" xr:uid="{00000000-0005-0000-0000-00003FC70000}"/>
    <cellStyle name="Salida 5 4 11 3 4" xfId="50827" xr:uid="{00000000-0005-0000-0000-000040C70000}"/>
    <cellStyle name="Salida 5 4 11 3 5" xfId="50828" xr:uid="{00000000-0005-0000-0000-000041C70000}"/>
    <cellStyle name="Salida 5 4 11 3 6" xfId="50829" xr:uid="{00000000-0005-0000-0000-000042C70000}"/>
    <cellStyle name="Salida 5 4 11 4" xfId="50830" xr:uid="{00000000-0005-0000-0000-000043C70000}"/>
    <cellStyle name="Salida 5 4 11 5" xfId="50831" xr:uid="{00000000-0005-0000-0000-000044C70000}"/>
    <cellStyle name="Salida 5 4 12" xfId="50832" xr:uid="{00000000-0005-0000-0000-000045C70000}"/>
    <cellStyle name="Salida 5 4 12 2" xfId="50833" xr:uid="{00000000-0005-0000-0000-000046C70000}"/>
    <cellStyle name="Salida 5 4 12 2 2" xfId="50834" xr:uid="{00000000-0005-0000-0000-000047C70000}"/>
    <cellStyle name="Salida 5 4 12 2 2 2" xfId="50835" xr:uid="{00000000-0005-0000-0000-000048C70000}"/>
    <cellStyle name="Salida 5 4 12 2 2 3" xfId="50836" xr:uid="{00000000-0005-0000-0000-000049C70000}"/>
    <cellStyle name="Salida 5 4 12 2 2 4" xfId="50837" xr:uid="{00000000-0005-0000-0000-00004AC70000}"/>
    <cellStyle name="Salida 5 4 12 2 3" xfId="50838" xr:uid="{00000000-0005-0000-0000-00004BC70000}"/>
    <cellStyle name="Salida 5 4 12 2 3 2" xfId="50839" xr:uid="{00000000-0005-0000-0000-00004CC70000}"/>
    <cellStyle name="Salida 5 4 12 2 3 3" xfId="50840" xr:uid="{00000000-0005-0000-0000-00004DC70000}"/>
    <cellStyle name="Salida 5 4 12 2 3 4" xfId="50841" xr:uid="{00000000-0005-0000-0000-00004EC70000}"/>
    <cellStyle name="Salida 5 4 12 2 4" xfId="50842" xr:uid="{00000000-0005-0000-0000-00004FC70000}"/>
    <cellStyle name="Salida 5 4 12 2 5" xfId="50843" xr:uid="{00000000-0005-0000-0000-000050C70000}"/>
    <cellStyle name="Salida 5 4 12 2 6" xfId="50844" xr:uid="{00000000-0005-0000-0000-000051C70000}"/>
    <cellStyle name="Salida 5 4 12 3" xfId="50845" xr:uid="{00000000-0005-0000-0000-000052C70000}"/>
    <cellStyle name="Salida 5 4 12 3 2" xfId="50846" xr:uid="{00000000-0005-0000-0000-000053C70000}"/>
    <cellStyle name="Salida 5 4 12 3 2 2" xfId="50847" xr:uid="{00000000-0005-0000-0000-000054C70000}"/>
    <cellStyle name="Salida 5 4 12 3 2 3" xfId="50848" xr:uid="{00000000-0005-0000-0000-000055C70000}"/>
    <cellStyle name="Salida 5 4 12 3 2 4" xfId="50849" xr:uid="{00000000-0005-0000-0000-000056C70000}"/>
    <cellStyle name="Salida 5 4 12 3 3" xfId="50850" xr:uid="{00000000-0005-0000-0000-000057C70000}"/>
    <cellStyle name="Salida 5 4 12 3 3 2" xfId="50851" xr:uid="{00000000-0005-0000-0000-000058C70000}"/>
    <cellStyle name="Salida 5 4 12 3 3 3" xfId="50852" xr:uid="{00000000-0005-0000-0000-000059C70000}"/>
    <cellStyle name="Salida 5 4 12 3 3 4" xfId="50853" xr:uid="{00000000-0005-0000-0000-00005AC70000}"/>
    <cellStyle name="Salida 5 4 12 3 4" xfId="50854" xr:uid="{00000000-0005-0000-0000-00005BC70000}"/>
    <cellStyle name="Salida 5 4 12 3 5" xfId="50855" xr:uid="{00000000-0005-0000-0000-00005CC70000}"/>
    <cellStyle name="Salida 5 4 12 3 6" xfId="50856" xr:uid="{00000000-0005-0000-0000-00005DC70000}"/>
    <cellStyle name="Salida 5 4 12 4" xfId="50857" xr:uid="{00000000-0005-0000-0000-00005EC70000}"/>
    <cellStyle name="Salida 5 4 12 5" xfId="50858" xr:uid="{00000000-0005-0000-0000-00005FC70000}"/>
    <cellStyle name="Salida 5 4 12 6" xfId="50859" xr:uid="{00000000-0005-0000-0000-000060C70000}"/>
    <cellStyle name="Salida 5 4 13" xfId="50860" xr:uid="{00000000-0005-0000-0000-000061C70000}"/>
    <cellStyle name="Salida 5 4 14" xfId="50861" xr:uid="{00000000-0005-0000-0000-000062C70000}"/>
    <cellStyle name="Salida 5 4 15" xfId="58796" xr:uid="{00000000-0005-0000-0000-000063C70000}"/>
    <cellStyle name="Salida 5 4 2" xfId="50862" xr:uid="{00000000-0005-0000-0000-000064C70000}"/>
    <cellStyle name="Salida 5 4 2 2" xfId="50863" xr:uid="{00000000-0005-0000-0000-000065C70000}"/>
    <cellStyle name="Salida 5 4 2 2 2" xfId="50864" xr:uid="{00000000-0005-0000-0000-000066C70000}"/>
    <cellStyle name="Salida 5 4 2 2 2 2" xfId="50865" xr:uid="{00000000-0005-0000-0000-000067C70000}"/>
    <cellStyle name="Salida 5 4 2 2 2 2 2" xfId="50866" xr:uid="{00000000-0005-0000-0000-000068C70000}"/>
    <cellStyle name="Salida 5 4 2 2 2 2 3" xfId="50867" xr:uid="{00000000-0005-0000-0000-000069C70000}"/>
    <cellStyle name="Salida 5 4 2 2 2 2 4" xfId="50868" xr:uid="{00000000-0005-0000-0000-00006AC70000}"/>
    <cellStyle name="Salida 5 4 2 2 2 3" xfId="50869" xr:uid="{00000000-0005-0000-0000-00006BC70000}"/>
    <cellStyle name="Salida 5 4 2 2 2 3 2" xfId="50870" xr:uid="{00000000-0005-0000-0000-00006CC70000}"/>
    <cellStyle name="Salida 5 4 2 2 2 3 3" xfId="50871" xr:uid="{00000000-0005-0000-0000-00006DC70000}"/>
    <cellStyle name="Salida 5 4 2 2 2 3 4" xfId="50872" xr:uid="{00000000-0005-0000-0000-00006EC70000}"/>
    <cellStyle name="Salida 5 4 2 2 2 4" xfId="50873" xr:uid="{00000000-0005-0000-0000-00006FC70000}"/>
    <cellStyle name="Salida 5 4 2 2 2 5" xfId="50874" xr:uid="{00000000-0005-0000-0000-000070C70000}"/>
    <cellStyle name="Salida 5 4 2 2 2 6" xfId="50875" xr:uid="{00000000-0005-0000-0000-000071C70000}"/>
    <cellStyle name="Salida 5 4 2 2 3" xfId="50876" xr:uid="{00000000-0005-0000-0000-000072C70000}"/>
    <cellStyle name="Salida 5 4 2 2 3 2" xfId="50877" xr:uid="{00000000-0005-0000-0000-000073C70000}"/>
    <cellStyle name="Salida 5 4 2 2 3 2 2" xfId="50878" xr:uid="{00000000-0005-0000-0000-000074C70000}"/>
    <cellStyle name="Salida 5 4 2 2 3 2 3" xfId="50879" xr:uid="{00000000-0005-0000-0000-000075C70000}"/>
    <cellStyle name="Salida 5 4 2 2 3 2 4" xfId="50880" xr:uid="{00000000-0005-0000-0000-000076C70000}"/>
    <cellStyle name="Salida 5 4 2 2 3 3" xfId="50881" xr:uid="{00000000-0005-0000-0000-000077C70000}"/>
    <cellStyle name="Salida 5 4 2 2 3 3 2" xfId="50882" xr:uid="{00000000-0005-0000-0000-000078C70000}"/>
    <cellStyle name="Salida 5 4 2 2 3 3 3" xfId="50883" xr:uid="{00000000-0005-0000-0000-000079C70000}"/>
    <cellStyle name="Salida 5 4 2 2 3 3 4" xfId="50884" xr:uid="{00000000-0005-0000-0000-00007AC70000}"/>
    <cellStyle name="Salida 5 4 2 2 3 4" xfId="50885" xr:uid="{00000000-0005-0000-0000-00007BC70000}"/>
    <cellStyle name="Salida 5 4 2 2 3 5" xfId="50886" xr:uid="{00000000-0005-0000-0000-00007CC70000}"/>
    <cellStyle name="Salida 5 4 2 2 3 6" xfId="50887" xr:uid="{00000000-0005-0000-0000-00007DC70000}"/>
    <cellStyle name="Salida 5 4 2 2 4" xfId="50888" xr:uid="{00000000-0005-0000-0000-00007EC70000}"/>
    <cellStyle name="Salida 5 4 2 2 5" xfId="50889" xr:uid="{00000000-0005-0000-0000-00007FC70000}"/>
    <cellStyle name="Salida 5 4 2 2 6" xfId="50890" xr:uid="{00000000-0005-0000-0000-000080C70000}"/>
    <cellStyle name="Salida 5 4 2 3" xfId="50891" xr:uid="{00000000-0005-0000-0000-000081C70000}"/>
    <cellStyle name="Salida 5 4 2 4" xfId="50892" xr:uid="{00000000-0005-0000-0000-000082C70000}"/>
    <cellStyle name="Salida 5 4 3" xfId="50893" xr:uid="{00000000-0005-0000-0000-000083C70000}"/>
    <cellStyle name="Salida 5 4 3 2" xfId="50894" xr:uid="{00000000-0005-0000-0000-000084C70000}"/>
    <cellStyle name="Salida 5 4 3 2 2" xfId="50895" xr:uid="{00000000-0005-0000-0000-000085C70000}"/>
    <cellStyle name="Salida 5 4 3 2 2 2" xfId="50896" xr:uid="{00000000-0005-0000-0000-000086C70000}"/>
    <cellStyle name="Salida 5 4 3 2 2 2 2" xfId="50897" xr:uid="{00000000-0005-0000-0000-000087C70000}"/>
    <cellStyle name="Salida 5 4 3 2 2 2 3" xfId="50898" xr:uid="{00000000-0005-0000-0000-000088C70000}"/>
    <cellStyle name="Salida 5 4 3 2 2 2 4" xfId="50899" xr:uid="{00000000-0005-0000-0000-000089C70000}"/>
    <cellStyle name="Salida 5 4 3 2 2 3" xfId="50900" xr:uid="{00000000-0005-0000-0000-00008AC70000}"/>
    <cellStyle name="Salida 5 4 3 2 2 3 2" xfId="50901" xr:uid="{00000000-0005-0000-0000-00008BC70000}"/>
    <cellStyle name="Salida 5 4 3 2 2 3 3" xfId="50902" xr:uid="{00000000-0005-0000-0000-00008CC70000}"/>
    <cellStyle name="Salida 5 4 3 2 2 3 4" xfId="50903" xr:uid="{00000000-0005-0000-0000-00008DC70000}"/>
    <cellStyle name="Salida 5 4 3 2 2 4" xfId="50904" xr:uid="{00000000-0005-0000-0000-00008EC70000}"/>
    <cellStyle name="Salida 5 4 3 2 2 5" xfId="50905" xr:uid="{00000000-0005-0000-0000-00008FC70000}"/>
    <cellStyle name="Salida 5 4 3 2 2 6" xfId="50906" xr:uid="{00000000-0005-0000-0000-000090C70000}"/>
    <cellStyle name="Salida 5 4 3 2 3" xfId="50907" xr:uid="{00000000-0005-0000-0000-000091C70000}"/>
    <cellStyle name="Salida 5 4 3 2 3 2" xfId="50908" xr:uid="{00000000-0005-0000-0000-000092C70000}"/>
    <cellStyle name="Salida 5 4 3 2 3 2 2" xfId="50909" xr:uid="{00000000-0005-0000-0000-000093C70000}"/>
    <cellStyle name="Salida 5 4 3 2 3 2 3" xfId="50910" xr:uid="{00000000-0005-0000-0000-000094C70000}"/>
    <cellStyle name="Salida 5 4 3 2 3 2 4" xfId="50911" xr:uid="{00000000-0005-0000-0000-000095C70000}"/>
    <cellStyle name="Salida 5 4 3 2 3 3" xfId="50912" xr:uid="{00000000-0005-0000-0000-000096C70000}"/>
    <cellStyle name="Salida 5 4 3 2 3 3 2" xfId="50913" xr:uid="{00000000-0005-0000-0000-000097C70000}"/>
    <cellStyle name="Salida 5 4 3 2 3 3 3" xfId="50914" xr:uid="{00000000-0005-0000-0000-000098C70000}"/>
    <cellStyle name="Salida 5 4 3 2 3 3 4" xfId="50915" xr:uid="{00000000-0005-0000-0000-000099C70000}"/>
    <cellStyle name="Salida 5 4 3 2 3 4" xfId="50916" xr:uid="{00000000-0005-0000-0000-00009AC70000}"/>
    <cellStyle name="Salida 5 4 3 2 3 5" xfId="50917" xr:uid="{00000000-0005-0000-0000-00009BC70000}"/>
    <cellStyle name="Salida 5 4 3 2 3 6" xfId="50918" xr:uid="{00000000-0005-0000-0000-00009CC70000}"/>
    <cellStyle name="Salida 5 4 3 2 4" xfId="50919" xr:uid="{00000000-0005-0000-0000-00009DC70000}"/>
    <cellStyle name="Salida 5 4 3 2 5" xfId="50920" xr:uid="{00000000-0005-0000-0000-00009EC70000}"/>
    <cellStyle name="Salida 5 4 3 2 6" xfId="50921" xr:uid="{00000000-0005-0000-0000-00009FC70000}"/>
    <cellStyle name="Salida 5 4 3 3" xfId="50922" xr:uid="{00000000-0005-0000-0000-0000A0C70000}"/>
    <cellStyle name="Salida 5 4 3 4" xfId="50923" xr:uid="{00000000-0005-0000-0000-0000A1C70000}"/>
    <cellStyle name="Salida 5 4 4" xfId="50924" xr:uid="{00000000-0005-0000-0000-0000A2C70000}"/>
    <cellStyle name="Salida 5 4 4 2" xfId="50925" xr:uid="{00000000-0005-0000-0000-0000A3C70000}"/>
    <cellStyle name="Salida 5 4 4 2 2" xfId="50926" xr:uid="{00000000-0005-0000-0000-0000A4C70000}"/>
    <cellStyle name="Salida 5 4 4 2 2 2" xfId="50927" xr:uid="{00000000-0005-0000-0000-0000A5C70000}"/>
    <cellStyle name="Salida 5 4 4 2 2 2 2" xfId="50928" xr:uid="{00000000-0005-0000-0000-0000A6C70000}"/>
    <cellStyle name="Salida 5 4 4 2 2 2 3" xfId="50929" xr:uid="{00000000-0005-0000-0000-0000A7C70000}"/>
    <cellStyle name="Salida 5 4 4 2 2 2 4" xfId="50930" xr:uid="{00000000-0005-0000-0000-0000A8C70000}"/>
    <cellStyle name="Salida 5 4 4 2 2 3" xfId="50931" xr:uid="{00000000-0005-0000-0000-0000A9C70000}"/>
    <cellStyle name="Salida 5 4 4 2 2 3 2" xfId="50932" xr:uid="{00000000-0005-0000-0000-0000AAC70000}"/>
    <cellStyle name="Salida 5 4 4 2 2 3 3" xfId="50933" xr:uid="{00000000-0005-0000-0000-0000ABC70000}"/>
    <cellStyle name="Salida 5 4 4 2 2 3 4" xfId="50934" xr:uid="{00000000-0005-0000-0000-0000ACC70000}"/>
    <cellStyle name="Salida 5 4 4 2 2 4" xfId="50935" xr:uid="{00000000-0005-0000-0000-0000ADC70000}"/>
    <cellStyle name="Salida 5 4 4 2 2 5" xfId="50936" xr:uid="{00000000-0005-0000-0000-0000AEC70000}"/>
    <cellStyle name="Salida 5 4 4 2 2 6" xfId="50937" xr:uid="{00000000-0005-0000-0000-0000AFC70000}"/>
    <cellStyle name="Salida 5 4 4 2 3" xfId="50938" xr:uid="{00000000-0005-0000-0000-0000B0C70000}"/>
    <cellStyle name="Salida 5 4 4 2 3 2" xfId="50939" xr:uid="{00000000-0005-0000-0000-0000B1C70000}"/>
    <cellStyle name="Salida 5 4 4 2 3 2 2" xfId="50940" xr:uid="{00000000-0005-0000-0000-0000B2C70000}"/>
    <cellStyle name="Salida 5 4 4 2 3 2 3" xfId="50941" xr:uid="{00000000-0005-0000-0000-0000B3C70000}"/>
    <cellStyle name="Salida 5 4 4 2 3 2 4" xfId="50942" xr:uid="{00000000-0005-0000-0000-0000B4C70000}"/>
    <cellStyle name="Salida 5 4 4 2 3 3" xfId="50943" xr:uid="{00000000-0005-0000-0000-0000B5C70000}"/>
    <cellStyle name="Salida 5 4 4 2 3 3 2" xfId="50944" xr:uid="{00000000-0005-0000-0000-0000B6C70000}"/>
    <cellStyle name="Salida 5 4 4 2 3 3 3" xfId="50945" xr:uid="{00000000-0005-0000-0000-0000B7C70000}"/>
    <cellStyle name="Salida 5 4 4 2 3 3 4" xfId="50946" xr:uid="{00000000-0005-0000-0000-0000B8C70000}"/>
    <cellStyle name="Salida 5 4 4 2 3 4" xfId="50947" xr:uid="{00000000-0005-0000-0000-0000B9C70000}"/>
    <cellStyle name="Salida 5 4 4 2 3 5" xfId="50948" xr:uid="{00000000-0005-0000-0000-0000BAC70000}"/>
    <cellStyle name="Salida 5 4 4 2 3 6" xfId="50949" xr:uid="{00000000-0005-0000-0000-0000BBC70000}"/>
    <cellStyle name="Salida 5 4 4 2 4" xfId="50950" xr:uid="{00000000-0005-0000-0000-0000BCC70000}"/>
    <cellStyle name="Salida 5 4 4 2 5" xfId="50951" xr:uid="{00000000-0005-0000-0000-0000BDC70000}"/>
    <cellStyle name="Salida 5 4 4 2 6" xfId="50952" xr:uid="{00000000-0005-0000-0000-0000BEC70000}"/>
    <cellStyle name="Salida 5 4 4 3" xfId="50953" xr:uid="{00000000-0005-0000-0000-0000BFC70000}"/>
    <cellStyle name="Salida 5 4 4 4" xfId="50954" xr:uid="{00000000-0005-0000-0000-0000C0C70000}"/>
    <cellStyle name="Salida 5 4 5" xfId="50955" xr:uid="{00000000-0005-0000-0000-0000C1C70000}"/>
    <cellStyle name="Salida 5 4 5 2" xfId="50956" xr:uid="{00000000-0005-0000-0000-0000C2C70000}"/>
    <cellStyle name="Salida 5 4 5 2 2" xfId="50957" xr:uid="{00000000-0005-0000-0000-0000C3C70000}"/>
    <cellStyle name="Salida 5 4 5 2 3" xfId="50958" xr:uid="{00000000-0005-0000-0000-0000C4C70000}"/>
    <cellStyle name="Salida 5 4 5 2 4" xfId="50959" xr:uid="{00000000-0005-0000-0000-0000C5C70000}"/>
    <cellStyle name="Salida 5 4 5 3" xfId="50960" xr:uid="{00000000-0005-0000-0000-0000C6C70000}"/>
    <cellStyle name="Salida 5 4 5 3 2" xfId="50961" xr:uid="{00000000-0005-0000-0000-0000C7C70000}"/>
    <cellStyle name="Salida 5 4 5 3 2 2" xfId="50962" xr:uid="{00000000-0005-0000-0000-0000C8C70000}"/>
    <cellStyle name="Salida 5 4 5 3 2 3" xfId="50963" xr:uid="{00000000-0005-0000-0000-0000C9C70000}"/>
    <cellStyle name="Salida 5 4 5 3 2 4" xfId="50964" xr:uid="{00000000-0005-0000-0000-0000CAC70000}"/>
    <cellStyle name="Salida 5 4 5 3 3" xfId="50965" xr:uid="{00000000-0005-0000-0000-0000CBC70000}"/>
    <cellStyle name="Salida 5 4 5 3 3 2" xfId="50966" xr:uid="{00000000-0005-0000-0000-0000CCC70000}"/>
    <cellStyle name="Salida 5 4 5 3 3 3" xfId="50967" xr:uid="{00000000-0005-0000-0000-0000CDC70000}"/>
    <cellStyle name="Salida 5 4 5 3 3 4" xfId="50968" xr:uid="{00000000-0005-0000-0000-0000CEC70000}"/>
    <cellStyle name="Salida 5 4 5 3 4" xfId="50969" xr:uid="{00000000-0005-0000-0000-0000CFC70000}"/>
    <cellStyle name="Salida 5 4 5 3 5" xfId="50970" xr:uid="{00000000-0005-0000-0000-0000D0C70000}"/>
    <cellStyle name="Salida 5 4 5 3 6" xfId="50971" xr:uid="{00000000-0005-0000-0000-0000D1C70000}"/>
    <cellStyle name="Salida 5 4 5 4" xfId="50972" xr:uid="{00000000-0005-0000-0000-0000D2C70000}"/>
    <cellStyle name="Salida 5 4 5 5" xfId="50973" xr:uid="{00000000-0005-0000-0000-0000D3C70000}"/>
    <cellStyle name="Salida 5 4 6" xfId="50974" xr:uid="{00000000-0005-0000-0000-0000D4C70000}"/>
    <cellStyle name="Salida 5 4 6 2" xfId="50975" xr:uid="{00000000-0005-0000-0000-0000D5C70000}"/>
    <cellStyle name="Salida 5 4 6 2 2" xfId="50976" xr:uid="{00000000-0005-0000-0000-0000D6C70000}"/>
    <cellStyle name="Salida 5 4 6 2 3" xfId="50977" xr:uid="{00000000-0005-0000-0000-0000D7C70000}"/>
    <cellStyle name="Salida 5 4 6 2 4" xfId="50978" xr:uid="{00000000-0005-0000-0000-0000D8C70000}"/>
    <cellStyle name="Salida 5 4 6 3" xfId="50979" xr:uid="{00000000-0005-0000-0000-0000D9C70000}"/>
    <cellStyle name="Salida 5 4 6 3 2" xfId="50980" xr:uid="{00000000-0005-0000-0000-0000DAC70000}"/>
    <cellStyle name="Salida 5 4 6 3 2 2" xfId="50981" xr:uid="{00000000-0005-0000-0000-0000DBC70000}"/>
    <cellStyle name="Salida 5 4 6 3 2 3" xfId="50982" xr:uid="{00000000-0005-0000-0000-0000DCC70000}"/>
    <cellStyle name="Salida 5 4 6 3 2 4" xfId="50983" xr:uid="{00000000-0005-0000-0000-0000DDC70000}"/>
    <cellStyle name="Salida 5 4 6 3 3" xfId="50984" xr:uid="{00000000-0005-0000-0000-0000DEC70000}"/>
    <cellStyle name="Salida 5 4 6 3 3 2" xfId="50985" xr:uid="{00000000-0005-0000-0000-0000DFC70000}"/>
    <cellStyle name="Salida 5 4 6 3 3 3" xfId="50986" xr:uid="{00000000-0005-0000-0000-0000E0C70000}"/>
    <cellStyle name="Salida 5 4 6 3 3 4" xfId="50987" xr:uid="{00000000-0005-0000-0000-0000E1C70000}"/>
    <cellStyle name="Salida 5 4 6 3 4" xfId="50988" xr:uid="{00000000-0005-0000-0000-0000E2C70000}"/>
    <cellStyle name="Salida 5 4 6 3 5" xfId="50989" xr:uid="{00000000-0005-0000-0000-0000E3C70000}"/>
    <cellStyle name="Salida 5 4 6 3 6" xfId="50990" xr:uid="{00000000-0005-0000-0000-0000E4C70000}"/>
    <cellStyle name="Salida 5 4 6 4" xfId="50991" xr:uid="{00000000-0005-0000-0000-0000E5C70000}"/>
    <cellStyle name="Salida 5 4 6 5" xfId="50992" xr:uid="{00000000-0005-0000-0000-0000E6C70000}"/>
    <cellStyle name="Salida 5 4 7" xfId="50993" xr:uid="{00000000-0005-0000-0000-0000E7C70000}"/>
    <cellStyle name="Salida 5 4 7 2" xfId="50994" xr:uid="{00000000-0005-0000-0000-0000E8C70000}"/>
    <cellStyle name="Salida 5 4 7 2 2" xfId="50995" xr:uid="{00000000-0005-0000-0000-0000E9C70000}"/>
    <cellStyle name="Salida 5 4 7 2 3" xfId="50996" xr:uid="{00000000-0005-0000-0000-0000EAC70000}"/>
    <cellStyle name="Salida 5 4 7 2 4" xfId="50997" xr:uid="{00000000-0005-0000-0000-0000EBC70000}"/>
    <cellStyle name="Salida 5 4 7 3" xfId="50998" xr:uid="{00000000-0005-0000-0000-0000ECC70000}"/>
    <cellStyle name="Salida 5 4 7 3 2" xfId="50999" xr:uid="{00000000-0005-0000-0000-0000EDC70000}"/>
    <cellStyle name="Salida 5 4 7 3 2 2" xfId="51000" xr:uid="{00000000-0005-0000-0000-0000EEC70000}"/>
    <cellStyle name="Salida 5 4 7 3 2 3" xfId="51001" xr:uid="{00000000-0005-0000-0000-0000EFC70000}"/>
    <cellStyle name="Salida 5 4 7 3 2 4" xfId="51002" xr:uid="{00000000-0005-0000-0000-0000F0C70000}"/>
    <cellStyle name="Salida 5 4 7 3 3" xfId="51003" xr:uid="{00000000-0005-0000-0000-0000F1C70000}"/>
    <cellStyle name="Salida 5 4 7 3 3 2" xfId="51004" xr:uid="{00000000-0005-0000-0000-0000F2C70000}"/>
    <cellStyle name="Salida 5 4 7 3 3 3" xfId="51005" xr:uid="{00000000-0005-0000-0000-0000F3C70000}"/>
    <cellStyle name="Salida 5 4 7 3 3 4" xfId="51006" xr:uid="{00000000-0005-0000-0000-0000F4C70000}"/>
    <cellStyle name="Salida 5 4 7 3 4" xfId="51007" xr:uid="{00000000-0005-0000-0000-0000F5C70000}"/>
    <cellStyle name="Salida 5 4 7 3 5" xfId="51008" xr:uid="{00000000-0005-0000-0000-0000F6C70000}"/>
    <cellStyle name="Salida 5 4 7 3 6" xfId="51009" xr:uid="{00000000-0005-0000-0000-0000F7C70000}"/>
    <cellStyle name="Salida 5 4 7 4" xfId="51010" xr:uid="{00000000-0005-0000-0000-0000F8C70000}"/>
    <cellStyle name="Salida 5 4 7 5" xfId="51011" xr:uid="{00000000-0005-0000-0000-0000F9C70000}"/>
    <cellStyle name="Salida 5 4 8" xfId="51012" xr:uid="{00000000-0005-0000-0000-0000FAC70000}"/>
    <cellStyle name="Salida 5 4 8 2" xfId="51013" xr:uid="{00000000-0005-0000-0000-0000FBC70000}"/>
    <cellStyle name="Salida 5 4 8 2 2" xfId="51014" xr:uid="{00000000-0005-0000-0000-0000FCC70000}"/>
    <cellStyle name="Salida 5 4 8 2 3" xfId="51015" xr:uid="{00000000-0005-0000-0000-0000FDC70000}"/>
    <cellStyle name="Salida 5 4 8 2 4" xfId="51016" xr:uid="{00000000-0005-0000-0000-0000FEC70000}"/>
    <cellStyle name="Salida 5 4 8 3" xfId="51017" xr:uid="{00000000-0005-0000-0000-0000FFC70000}"/>
    <cellStyle name="Salida 5 4 8 3 2" xfId="51018" xr:uid="{00000000-0005-0000-0000-000000C80000}"/>
    <cellStyle name="Salida 5 4 8 3 2 2" xfId="51019" xr:uid="{00000000-0005-0000-0000-000001C80000}"/>
    <cellStyle name="Salida 5 4 8 3 2 3" xfId="51020" xr:uid="{00000000-0005-0000-0000-000002C80000}"/>
    <cellStyle name="Salida 5 4 8 3 2 4" xfId="51021" xr:uid="{00000000-0005-0000-0000-000003C80000}"/>
    <cellStyle name="Salida 5 4 8 3 3" xfId="51022" xr:uid="{00000000-0005-0000-0000-000004C80000}"/>
    <cellStyle name="Salida 5 4 8 3 3 2" xfId="51023" xr:uid="{00000000-0005-0000-0000-000005C80000}"/>
    <cellStyle name="Salida 5 4 8 3 3 3" xfId="51024" xr:uid="{00000000-0005-0000-0000-000006C80000}"/>
    <cellStyle name="Salida 5 4 8 3 3 4" xfId="51025" xr:uid="{00000000-0005-0000-0000-000007C80000}"/>
    <cellStyle name="Salida 5 4 8 3 4" xfId="51026" xr:uid="{00000000-0005-0000-0000-000008C80000}"/>
    <cellStyle name="Salida 5 4 8 3 5" xfId="51027" xr:uid="{00000000-0005-0000-0000-000009C80000}"/>
    <cellStyle name="Salida 5 4 8 3 6" xfId="51028" xr:uid="{00000000-0005-0000-0000-00000AC80000}"/>
    <cellStyle name="Salida 5 4 8 4" xfId="51029" xr:uid="{00000000-0005-0000-0000-00000BC80000}"/>
    <cellStyle name="Salida 5 4 8 5" xfId="51030" xr:uid="{00000000-0005-0000-0000-00000CC80000}"/>
    <cellStyle name="Salida 5 4 9" xfId="51031" xr:uid="{00000000-0005-0000-0000-00000DC80000}"/>
    <cellStyle name="Salida 5 4 9 2" xfId="51032" xr:uid="{00000000-0005-0000-0000-00000EC80000}"/>
    <cellStyle name="Salida 5 4 9 2 2" xfId="51033" xr:uid="{00000000-0005-0000-0000-00000FC80000}"/>
    <cellStyle name="Salida 5 4 9 2 3" xfId="51034" xr:uid="{00000000-0005-0000-0000-000010C80000}"/>
    <cellStyle name="Salida 5 4 9 2 4" xfId="51035" xr:uid="{00000000-0005-0000-0000-000011C80000}"/>
    <cellStyle name="Salida 5 4 9 3" xfId="51036" xr:uid="{00000000-0005-0000-0000-000012C80000}"/>
    <cellStyle name="Salida 5 4 9 3 2" xfId="51037" xr:uid="{00000000-0005-0000-0000-000013C80000}"/>
    <cellStyle name="Salida 5 4 9 3 2 2" xfId="51038" xr:uid="{00000000-0005-0000-0000-000014C80000}"/>
    <cellStyle name="Salida 5 4 9 3 2 3" xfId="51039" xr:uid="{00000000-0005-0000-0000-000015C80000}"/>
    <cellStyle name="Salida 5 4 9 3 2 4" xfId="51040" xr:uid="{00000000-0005-0000-0000-000016C80000}"/>
    <cellStyle name="Salida 5 4 9 3 3" xfId="51041" xr:uid="{00000000-0005-0000-0000-000017C80000}"/>
    <cellStyle name="Salida 5 4 9 3 3 2" xfId="51042" xr:uid="{00000000-0005-0000-0000-000018C80000}"/>
    <cellStyle name="Salida 5 4 9 3 3 3" xfId="51043" xr:uid="{00000000-0005-0000-0000-000019C80000}"/>
    <cellStyle name="Salida 5 4 9 3 3 4" xfId="51044" xr:uid="{00000000-0005-0000-0000-00001AC80000}"/>
    <cellStyle name="Salida 5 4 9 3 4" xfId="51045" xr:uid="{00000000-0005-0000-0000-00001BC80000}"/>
    <cellStyle name="Salida 5 4 9 3 5" xfId="51046" xr:uid="{00000000-0005-0000-0000-00001CC80000}"/>
    <cellStyle name="Salida 5 4 9 3 6" xfId="51047" xr:uid="{00000000-0005-0000-0000-00001DC80000}"/>
    <cellStyle name="Salida 5 4 9 4" xfId="51048" xr:uid="{00000000-0005-0000-0000-00001EC80000}"/>
    <cellStyle name="Salida 5 4 9 5" xfId="51049" xr:uid="{00000000-0005-0000-0000-00001FC80000}"/>
    <cellStyle name="Salida 5 5" xfId="51050" xr:uid="{00000000-0005-0000-0000-000020C80000}"/>
    <cellStyle name="Salida 5 5 2" xfId="51051" xr:uid="{00000000-0005-0000-0000-000021C80000}"/>
    <cellStyle name="Salida 5 5 2 2" xfId="51052" xr:uid="{00000000-0005-0000-0000-000022C80000}"/>
    <cellStyle name="Salida 5 5 2 3" xfId="51053" xr:uid="{00000000-0005-0000-0000-000023C80000}"/>
    <cellStyle name="Salida 5 5 2 4" xfId="51054" xr:uid="{00000000-0005-0000-0000-000024C80000}"/>
    <cellStyle name="Salida 5 5 3" xfId="51055" xr:uid="{00000000-0005-0000-0000-000025C80000}"/>
    <cellStyle name="Salida 5 5 3 2" xfId="51056" xr:uid="{00000000-0005-0000-0000-000026C80000}"/>
    <cellStyle name="Salida 5 5 3 2 2" xfId="51057" xr:uid="{00000000-0005-0000-0000-000027C80000}"/>
    <cellStyle name="Salida 5 5 3 2 3" xfId="51058" xr:uid="{00000000-0005-0000-0000-000028C80000}"/>
    <cellStyle name="Salida 5 5 3 2 4" xfId="51059" xr:uid="{00000000-0005-0000-0000-000029C80000}"/>
    <cellStyle name="Salida 5 5 3 3" xfId="51060" xr:uid="{00000000-0005-0000-0000-00002AC80000}"/>
    <cellStyle name="Salida 5 5 3 3 2" xfId="51061" xr:uid="{00000000-0005-0000-0000-00002BC80000}"/>
    <cellStyle name="Salida 5 5 3 3 3" xfId="51062" xr:uid="{00000000-0005-0000-0000-00002CC80000}"/>
    <cellStyle name="Salida 5 5 3 3 4" xfId="51063" xr:uid="{00000000-0005-0000-0000-00002DC80000}"/>
    <cellStyle name="Salida 5 5 3 4" xfId="51064" xr:uid="{00000000-0005-0000-0000-00002EC80000}"/>
    <cellStyle name="Salida 5 5 3 5" xfId="51065" xr:uid="{00000000-0005-0000-0000-00002FC80000}"/>
    <cellStyle name="Salida 5 5 3 6" xfId="51066" xr:uid="{00000000-0005-0000-0000-000030C80000}"/>
    <cellStyle name="Salida 5 5 4" xfId="51067" xr:uid="{00000000-0005-0000-0000-000031C80000}"/>
    <cellStyle name="Salida 5 5 5" xfId="51068" xr:uid="{00000000-0005-0000-0000-000032C80000}"/>
    <cellStyle name="Salida 5 6" xfId="51069" xr:uid="{00000000-0005-0000-0000-000033C80000}"/>
    <cellStyle name="Salida 5 6 2" xfId="51070" xr:uid="{00000000-0005-0000-0000-000034C80000}"/>
    <cellStyle name="Salida 5 6 2 2" xfId="51071" xr:uid="{00000000-0005-0000-0000-000035C80000}"/>
    <cellStyle name="Salida 5 6 2 2 2" xfId="51072" xr:uid="{00000000-0005-0000-0000-000036C80000}"/>
    <cellStyle name="Salida 5 6 2 2 3" xfId="51073" xr:uid="{00000000-0005-0000-0000-000037C80000}"/>
    <cellStyle name="Salida 5 6 2 2 4" xfId="51074" xr:uid="{00000000-0005-0000-0000-000038C80000}"/>
    <cellStyle name="Salida 5 6 2 3" xfId="51075" xr:uid="{00000000-0005-0000-0000-000039C80000}"/>
    <cellStyle name="Salida 5 6 2 3 2" xfId="51076" xr:uid="{00000000-0005-0000-0000-00003AC80000}"/>
    <cellStyle name="Salida 5 6 2 3 3" xfId="51077" xr:uid="{00000000-0005-0000-0000-00003BC80000}"/>
    <cellStyle name="Salida 5 6 2 3 4" xfId="51078" xr:uid="{00000000-0005-0000-0000-00003CC80000}"/>
    <cellStyle name="Salida 5 6 2 4" xfId="51079" xr:uid="{00000000-0005-0000-0000-00003DC80000}"/>
    <cellStyle name="Salida 5 6 2 5" xfId="51080" xr:uid="{00000000-0005-0000-0000-00003EC80000}"/>
    <cellStyle name="Salida 5 6 2 6" xfId="51081" xr:uid="{00000000-0005-0000-0000-00003FC80000}"/>
    <cellStyle name="Salida 5 6 3" xfId="51082" xr:uid="{00000000-0005-0000-0000-000040C80000}"/>
    <cellStyle name="Salida 5 6 3 2" xfId="51083" xr:uid="{00000000-0005-0000-0000-000041C80000}"/>
    <cellStyle name="Salida 5 6 3 2 2" xfId="51084" xr:uid="{00000000-0005-0000-0000-000042C80000}"/>
    <cellStyle name="Salida 5 6 3 2 3" xfId="51085" xr:uid="{00000000-0005-0000-0000-000043C80000}"/>
    <cellStyle name="Salida 5 6 3 2 4" xfId="51086" xr:uid="{00000000-0005-0000-0000-000044C80000}"/>
    <cellStyle name="Salida 5 6 3 3" xfId="51087" xr:uid="{00000000-0005-0000-0000-000045C80000}"/>
    <cellStyle name="Salida 5 6 3 3 2" xfId="51088" xr:uid="{00000000-0005-0000-0000-000046C80000}"/>
    <cellStyle name="Salida 5 6 3 3 3" xfId="51089" xr:uid="{00000000-0005-0000-0000-000047C80000}"/>
    <cellStyle name="Salida 5 6 3 3 4" xfId="51090" xr:uid="{00000000-0005-0000-0000-000048C80000}"/>
    <cellStyle name="Salida 5 6 3 4" xfId="51091" xr:uid="{00000000-0005-0000-0000-000049C80000}"/>
    <cellStyle name="Salida 5 6 3 5" xfId="51092" xr:uid="{00000000-0005-0000-0000-00004AC80000}"/>
    <cellStyle name="Salida 5 6 3 6" xfId="51093" xr:uid="{00000000-0005-0000-0000-00004BC80000}"/>
    <cellStyle name="Salida 5 6 4" xfId="51094" xr:uid="{00000000-0005-0000-0000-00004CC80000}"/>
    <cellStyle name="Salida 5 6 5" xfId="51095" xr:uid="{00000000-0005-0000-0000-00004DC80000}"/>
    <cellStyle name="Salida 5 6 6" xfId="51096" xr:uid="{00000000-0005-0000-0000-00004EC80000}"/>
    <cellStyle name="Salida 5 7" xfId="51097" xr:uid="{00000000-0005-0000-0000-00004FC80000}"/>
    <cellStyle name="Salida 5 8" xfId="51098" xr:uid="{00000000-0005-0000-0000-000050C80000}"/>
    <cellStyle name="Salida 6" xfId="51099" xr:uid="{00000000-0005-0000-0000-000051C80000}"/>
    <cellStyle name="Salida 6 2" xfId="51100" xr:uid="{00000000-0005-0000-0000-000052C80000}"/>
    <cellStyle name="Salida 6 2 2" xfId="51101" xr:uid="{00000000-0005-0000-0000-000053C80000}"/>
    <cellStyle name="Salida 6 2 2 10" xfId="51102" xr:uid="{00000000-0005-0000-0000-000054C80000}"/>
    <cellStyle name="Salida 6 2 2 10 2" xfId="51103" xr:uid="{00000000-0005-0000-0000-000055C80000}"/>
    <cellStyle name="Salida 6 2 2 10 2 2" xfId="51104" xr:uid="{00000000-0005-0000-0000-000056C80000}"/>
    <cellStyle name="Salida 6 2 2 10 2 3" xfId="51105" xr:uid="{00000000-0005-0000-0000-000057C80000}"/>
    <cellStyle name="Salida 6 2 2 10 2 4" xfId="51106" xr:uid="{00000000-0005-0000-0000-000058C80000}"/>
    <cellStyle name="Salida 6 2 2 10 3" xfId="51107" xr:uid="{00000000-0005-0000-0000-000059C80000}"/>
    <cellStyle name="Salida 6 2 2 10 3 2" xfId="51108" xr:uid="{00000000-0005-0000-0000-00005AC80000}"/>
    <cellStyle name="Salida 6 2 2 10 3 2 2" xfId="51109" xr:uid="{00000000-0005-0000-0000-00005BC80000}"/>
    <cellStyle name="Salida 6 2 2 10 3 2 3" xfId="51110" xr:uid="{00000000-0005-0000-0000-00005CC80000}"/>
    <cellStyle name="Salida 6 2 2 10 3 2 4" xfId="51111" xr:uid="{00000000-0005-0000-0000-00005DC80000}"/>
    <cellStyle name="Salida 6 2 2 10 3 3" xfId="51112" xr:uid="{00000000-0005-0000-0000-00005EC80000}"/>
    <cellStyle name="Salida 6 2 2 10 3 3 2" xfId="51113" xr:uid="{00000000-0005-0000-0000-00005FC80000}"/>
    <cellStyle name="Salida 6 2 2 10 3 3 3" xfId="51114" xr:uid="{00000000-0005-0000-0000-000060C80000}"/>
    <cellStyle name="Salida 6 2 2 10 3 3 4" xfId="51115" xr:uid="{00000000-0005-0000-0000-000061C80000}"/>
    <cellStyle name="Salida 6 2 2 10 3 4" xfId="51116" xr:uid="{00000000-0005-0000-0000-000062C80000}"/>
    <cellStyle name="Salida 6 2 2 10 3 5" xfId="51117" xr:uid="{00000000-0005-0000-0000-000063C80000}"/>
    <cellStyle name="Salida 6 2 2 10 3 6" xfId="51118" xr:uid="{00000000-0005-0000-0000-000064C80000}"/>
    <cellStyle name="Salida 6 2 2 10 4" xfId="51119" xr:uid="{00000000-0005-0000-0000-000065C80000}"/>
    <cellStyle name="Salida 6 2 2 10 5" xfId="51120" xr:uid="{00000000-0005-0000-0000-000066C80000}"/>
    <cellStyle name="Salida 6 2 2 11" xfId="51121" xr:uid="{00000000-0005-0000-0000-000067C80000}"/>
    <cellStyle name="Salida 6 2 2 11 2" xfId="51122" xr:uid="{00000000-0005-0000-0000-000068C80000}"/>
    <cellStyle name="Salida 6 2 2 11 2 2" xfId="51123" xr:uid="{00000000-0005-0000-0000-000069C80000}"/>
    <cellStyle name="Salida 6 2 2 11 2 3" xfId="51124" xr:uid="{00000000-0005-0000-0000-00006AC80000}"/>
    <cellStyle name="Salida 6 2 2 11 2 4" xfId="51125" xr:uid="{00000000-0005-0000-0000-00006BC80000}"/>
    <cellStyle name="Salida 6 2 2 11 3" xfId="51126" xr:uid="{00000000-0005-0000-0000-00006CC80000}"/>
    <cellStyle name="Salida 6 2 2 11 3 2" xfId="51127" xr:uid="{00000000-0005-0000-0000-00006DC80000}"/>
    <cellStyle name="Salida 6 2 2 11 3 2 2" xfId="51128" xr:uid="{00000000-0005-0000-0000-00006EC80000}"/>
    <cellStyle name="Salida 6 2 2 11 3 2 3" xfId="51129" xr:uid="{00000000-0005-0000-0000-00006FC80000}"/>
    <cellStyle name="Salida 6 2 2 11 3 2 4" xfId="51130" xr:uid="{00000000-0005-0000-0000-000070C80000}"/>
    <cellStyle name="Salida 6 2 2 11 3 3" xfId="51131" xr:uid="{00000000-0005-0000-0000-000071C80000}"/>
    <cellStyle name="Salida 6 2 2 11 3 3 2" xfId="51132" xr:uid="{00000000-0005-0000-0000-000072C80000}"/>
    <cellStyle name="Salida 6 2 2 11 3 3 3" xfId="51133" xr:uid="{00000000-0005-0000-0000-000073C80000}"/>
    <cellStyle name="Salida 6 2 2 11 3 3 4" xfId="51134" xr:uid="{00000000-0005-0000-0000-000074C80000}"/>
    <cellStyle name="Salida 6 2 2 11 3 4" xfId="51135" xr:uid="{00000000-0005-0000-0000-000075C80000}"/>
    <cellStyle name="Salida 6 2 2 11 3 5" xfId="51136" xr:uid="{00000000-0005-0000-0000-000076C80000}"/>
    <cellStyle name="Salida 6 2 2 11 3 6" xfId="51137" xr:uid="{00000000-0005-0000-0000-000077C80000}"/>
    <cellStyle name="Salida 6 2 2 11 4" xfId="51138" xr:uid="{00000000-0005-0000-0000-000078C80000}"/>
    <cellStyle name="Salida 6 2 2 11 5" xfId="51139" xr:uid="{00000000-0005-0000-0000-000079C80000}"/>
    <cellStyle name="Salida 6 2 2 12" xfId="51140" xr:uid="{00000000-0005-0000-0000-00007AC80000}"/>
    <cellStyle name="Salida 6 2 2 12 2" xfId="51141" xr:uid="{00000000-0005-0000-0000-00007BC80000}"/>
    <cellStyle name="Salida 6 2 2 12 2 2" xfId="51142" xr:uid="{00000000-0005-0000-0000-00007CC80000}"/>
    <cellStyle name="Salida 6 2 2 12 2 2 2" xfId="51143" xr:uid="{00000000-0005-0000-0000-00007DC80000}"/>
    <cellStyle name="Salida 6 2 2 12 2 2 3" xfId="51144" xr:uid="{00000000-0005-0000-0000-00007EC80000}"/>
    <cellStyle name="Salida 6 2 2 12 2 2 4" xfId="51145" xr:uid="{00000000-0005-0000-0000-00007FC80000}"/>
    <cellStyle name="Salida 6 2 2 12 2 3" xfId="51146" xr:uid="{00000000-0005-0000-0000-000080C80000}"/>
    <cellStyle name="Salida 6 2 2 12 2 3 2" xfId="51147" xr:uid="{00000000-0005-0000-0000-000081C80000}"/>
    <cellStyle name="Salida 6 2 2 12 2 3 3" xfId="51148" xr:uid="{00000000-0005-0000-0000-000082C80000}"/>
    <cellStyle name="Salida 6 2 2 12 2 3 4" xfId="51149" xr:uid="{00000000-0005-0000-0000-000083C80000}"/>
    <cellStyle name="Salida 6 2 2 12 2 4" xfId="51150" xr:uid="{00000000-0005-0000-0000-000084C80000}"/>
    <cellStyle name="Salida 6 2 2 12 2 5" xfId="51151" xr:uid="{00000000-0005-0000-0000-000085C80000}"/>
    <cellStyle name="Salida 6 2 2 12 2 6" xfId="51152" xr:uid="{00000000-0005-0000-0000-000086C80000}"/>
    <cellStyle name="Salida 6 2 2 12 3" xfId="51153" xr:uid="{00000000-0005-0000-0000-000087C80000}"/>
    <cellStyle name="Salida 6 2 2 12 3 2" xfId="51154" xr:uid="{00000000-0005-0000-0000-000088C80000}"/>
    <cellStyle name="Salida 6 2 2 12 3 2 2" xfId="51155" xr:uid="{00000000-0005-0000-0000-000089C80000}"/>
    <cellStyle name="Salida 6 2 2 12 3 2 3" xfId="51156" xr:uid="{00000000-0005-0000-0000-00008AC80000}"/>
    <cellStyle name="Salida 6 2 2 12 3 2 4" xfId="51157" xr:uid="{00000000-0005-0000-0000-00008BC80000}"/>
    <cellStyle name="Salida 6 2 2 12 3 3" xfId="51158" xr:uid="{00000000-0005-0000-0000-00008CC80000}"/>
    <cellStyle name="Salida 6 2 2 12 3 3 2" xfId="51159" xr:uid="{00000000-0005-0000-0000-00008DC80000}"/>
    <cellStyle name="Salida 6 2 2 12 3 3 3" xfId="51160" xr:uid="{00000000-0005-0000-0000-00008EC80000}"/>
    <cellStyle name="Salida 6 2 2 12 3 3 4" xfId="51161" xr:uid="{00000000-0005-0000-0000-00008FC80000}"/>
    <cellStyle name="Salida 6 2 2 12 3 4" xfId="51162" xr:uid="{00000000-0005-0000-0000-000090C80000}"/>
    <cellStyle name="Salida 6 2 2 12 3 5" xfId="51163" xr:uid="{00000000-0005-0000-0000-000091C80000}"/>
    <cellStyle name="Salida 6 2 2 12 3 6" xfId="51164" xr:uid="{00000000-0005-0000-0000-000092C80000}"/>
    <cellStyle name="Salida 6 2 2 12 4" xfId="51165" xr:uid="{00000000-0005-0000-0000-000093C80000}"/>
    <cellStyle name="Salida 6 2 2 12 5" xfId="51166" xr:uid="{00000000-0005-0000-0000-000094C80000}"/>
    <cellStyle name="Salida 6 2 2 12 6" xfId="51167" xr:uid="{00000000-0005-0000-0000-000095C80000}"/>
    <cellStyle name="Salida 6 2 2 13" xfId="51168" xr:uid="{00000000-0005-0000-0000-000096C80000}"/>
    <cellStyle name="Salida 6 2 2 14" xfId="51169" xr:uid="{00000000-0005-0000-0000-000097C80000}"/>
    <cellStyle name="Salida 6 2 2 15" xfId="58797" xr:uid="{00000000-0005-0000-0000-000098C80000}"/>
    <cellStyle name="Salida 6 2 2 2" xfId="51170" xr:uid="{00000000-0005-0000-0000-000099C80000}"/>
    <cellStyle name="Salida 6 2 2 2 2" xfId="51171" xr:uid="{00000000-0005-0000-0000-00009AC80000}"/>
    <cellStyle name="Salida 6 2 2 2 2 2" xfId="51172" xr:uid="{00000000-0005-0000-0000-00009BC80000}"/>
    <cellStyle name="Salida 6 2 2 2 2 2 2" xfId="51173" xr:uid="{00000000-0005-0000-0000-00009CC80000}"/>
    <cellStyle name="Salida 6 2 2 2 2 2 2 2" xfId="51174" xr:uid="{00000000-0005-0000-0000-00009DC80000}"/>
    <cellStyle name="Salida 6 2 2 2 2 2 2 3" xfId="51175" xr:uid="{00000000-0005-0000-0000-00009EC80000}"/>
    <cellStyle name="Salida 6 2 2 2 2 2 2 4" xfId="51176" xr:uid="{00000000-0005-0000-0000-00009FC80000}"/>
    <cellStyle name="Salida 6 2 2 2 2 2 3" xfId="51177" xr:uid="{00000000-0005-0000-0000-0000A0C80000}"/>
    <cellStyle name="Salida 6 2 2 2 2 2 3 2" xfId="51178" xr:uid="{00000000-0005-0000-0000-0000A1C80000}"/>
    <cellStyle name="Salida 6 2 2 2 2 2 3 3" xfId="51179" xr:uid="{00000000-0005-0000-0000-0000A2C80000}"/>
    <cellStyle name="Salida 6 2 2 2 2 2 3 4" xfId="51180" xr:uid="{00000000-0005-0000-0000-0000A3C80000}"/>
    <cellStyle name="Salida 6 2 2 2 2 2 4" xfId="51181" xr:uid="{00000000-0005-0000-0000-0000A4C80000}"/>
    <cellStyle name="Salida 6 2 2 2 2 2 5" xfId="51182" xr:uid="{00000000-0005-0000-0000-0000A5C80000}"/>
    <cellStyle name="Salida 6 2 2 2 2 2 6" xfId="51183" xr:uid="{00000000-0005-0000-0000-0000A6C80000}"/>
    <cellStyle name="Salida 6 2 2 2 2 3" xfId="51184" xr:uid="{00000000-0005-0000-0000-0000A7C80000}"/>
    <cellStyle name="Salida 6 2 2 2 2 3 2" xfId="51185" xr:uid="{00000000-0005-0000-0000-0000A8C80000}"/>
    <cellStyle name="Salida 6 2 2 2 2 3 2 2" xfId="51186" xr:uid="{00000000-0005-0000-0000-0000A9C80000}"/>
    <cellStyle name="Salida 6 2 2 2 2 3 2 3" xfId="51187" xr:uid="{00000000-0005-0000-0000-0000AAC80000}"/>
    <cellStyle name="Salida 6 2 2 2 2 3 2 4" xfId="51188" xr:uid="{00000000-0005-0000-0000-0000ABC80000}"/>
    <cellStyle name="Salida 6 2 2 2 2 3 3" xfId="51189" xr:uid="{00000000-0005-0000-0000-0000ACC80000}"/>
    <cellStyle name="Salida 6 2 2 2 2 3 3 2" xfId="51190" xr:uid="{00000000-0005-0000-0000-0000ADC80000}"/>
    <cellStyle name="Salida 6 2 2 2 2 3 3 3" xfId="51191" xr:uid="{00000000-0005-0000-0000-0000AEC80000}"/>
    <cellStyle name="Salida 6 2 2 2 2 3 3 4" xfId="51192" xr:uid="{00000000-0005-0000-0000-0000AFC80000}"/>
    <cellStyle name="Salida 6 2 2 2 2 3 4" xfId="51193" xr:uid="{00000000-0005-0000-0000-0000B0C80000}"/>
    <cellStyle name="Salida 6 2 2 2 2 3 5" xfId="51194" xr:uid="{00000000-0005-0000-0000-0000B1C80000}"/>
    <cellStyle name="Salida 6 2 2 2 2 3 6" xfId="51195" xr:uid="{00000000-0005-0000-0000-0000B2C80000}"/>
    <cellStyle name="Salida 6 2 2 2 2 4" xfId="51196" xr:uid="{00000000-0005-0000-0000-0000B3C80000}"/>
    <cellStyle name="Salida 6 2 2 2 2 5" xfId="51197" xr:uid="{00000000-0005-0000-0000-0000B4C80000}"/>
    <cellStyle name="Salida 6 2 2 2 2 6" xfId="51198" xr:uid="{00000000-0005-0000-0000-0000B5C80000}"/>
    <cellStyle name="Salida 6 2 2 2 3" xfId="51199" xr:uid="{00000000-0005-0000-0000-0000B6C80000}"/>
    <cellStyle name="Salida 6 2 2 2 4" xfId="51200" xr:uid="{00000000-0005-0000-0000-0000B7C80000}"/>
    <cellStyle name="Salida 6 2 2 3" xfId="51201" xr:uid="{00000000-0005-0000-0000-0000B8C80000}"/>
    <cellStyle name="Salida 6 2 2 3 2" xfId="51202" xr:uid="{00000000-0005-0000-0000-0000B9C80000}"/>
    <cellStyle name="Salida 6 2 2 3 2 2" xfId="51203" xr:uid="{00000000-0005-0000-0000-0000BAC80000}"/>
    <cellStyle name="Salida 6 2 2 3 2 2 2" xfId="51204" xr:uid="{00000000-0005-0000-0000-0000BBC80000}"/>
    <cellStyle name="Salida 6 2 2 3 2 2 2 2" xfId="51205" xr:uid="{00000000-0005-0000-0000-0000BCC80000}"/>
    <cellStyle name="Salida 6 2 2 3 2 2 2 3" xfId="51206" xr:uid="{00000000-0005-0000-0000-0000BDC80000}"/>
    <cellStyle name="Salida 6 2 2 3 2 2 2 4" xfId="51207" xr:uid="{00000000-0005-0000-0000-0000BEC80000}"/>
    <cellStyle name="Salida 6 2 2 3 2 2 3" xfId="51208" xr:uid="{00000000-0005-0000-0000-0000BFC80000}"/>
    <cellStyle name="Salida 6 2 2 3 2 2 3 2" xfId="51209" xr:uid="{00000000-0005-0000-0000-0000C0C80000}"/>
    <cellStyle name="Salida 6 2 2 3 2 2 3 3" xfId="51210" xr:uid="{00000000-0005-0000-0000-0000C1C80000}"/>
    <cellStyle name="Salida 6 2 2 3 2 2 3 4" xfId="51211" xr:uid="{00000000-0005-0000-0000-0000C2C80000}"/>
    <cellStyle name="Salida 6 2 2 3 2 2 4" xfId="51212" xr:uid="{00000000-0005-0000-0000-0000C3C80000}"/>
    <cellStyle name="Salida 6 2 2 3 2 2 5" xfId="51213" xr:uid="{00000000-0005-0000-0000-0000C4C80000}"/>
    <cellStyle name="Salida 6 2 2 3 2 2 6" xfId="51214" xr:uid="{00000000-0005-0000-0000-0000C5C80000}"/>
    <cellStyle name="Salida 6 2 2 3 2 3" xfId="51215" xr:uid="{00000000-0005-0000-0000-0000C6C80000}"/>
    <cellStyle name="Salida 6 2 2 3 2 3 2" xfId="51216" xr:uid="{00000000-0005-0000-0000-0000C7C80000}"/>
    <cellStyle name="Salida 6 2 2 3 2 3 2 2" xfId="51217" xr:uid="{00000000-0005-0000-0000-0000C8C80000}"/>
    <cellStyle name="Salida 6 2 2 3 2 3 2 3" xfId="51218" xr:uid="{00000000-0005-0000-0000-0000C9C80000}"/>
    <cellStyle name="Salida 6 2 2 3 2 3 2 4" xfId="51219" xr:uid="{00000000-0005-0000-0000-0000CAC80000}"/>
    <cellStyle name="Salida 6 2 2 3 2 3 3" xfId="51220" xr:uid="{00000000-0005-0000-0000-0000CBC80000}"/>
    <cellStyle name="Salida 6 2 2 3 2 3 3 2" xfId="51221" xr:uid="{00000000-0005-0000-0000-0000CCC80000}"/>
    <cellStyle name="Salida 6 2 2 3 2 3 3 3" xfId="51222" xr:uid="{00000000-0005-0000-0000-0000CDC80000}"/>
    <cellStyle name="Salida 6 2 2 3 2 3 3 4" xfId="51223" xr:uid="{00000000-0005-0000-0000-0000CEC80000}"/>
    <cellStyle name="Salida 6 2 2 3 2 3 4" xfId="51224" xr:uid="{00000000-0005-0000-0000-0000CFC80000}"/>
    <cellStyle name="Salida 6 2 2 3 2 3 5" xfId="51225" xr:uid="{00000000-0005-0000-0000-0000D0C80000}"/>
    <cellStyle name="Salida 6 2 2 3 2 3 6" xfId="51226" xr:uid="{00000000-0005-0000-0000-0000D1C80000}"/>
    <cellStyle name="Salida 6 2 2 3 2 4" xfId="51227" xr:uid="{00000000-0005-0000-0000-0000D2C80000}"/>
    <cellStyle name="Salida 6 2 2 3 2 5" xfId="51228" xr:uid="{00000000-0005-0000-0000-0000D3C80000}"/>
    <cellStyle name="Salida 6 2 2 3 2 6" xfId="51229" xr:uid="{00000000-0005-0000-0000-0000D4C80000}"/>
    <cellStyle name="Salida 6 2 2 3 3" xfId="51230" xr:uid="{00000000-0005-0000-0000-0000D5C80000}"/>
    <cellStyle name="Salida 6 2 2 3 4" xfId="51231" xr:uid="{00000000-0005-0000-0000-0000D6C80000}"/>
    <cellStyle name="Salida 6 2 2 4" xfId="51232" xr:uid="{00000000-0005-0000-0000-0000D7C80000}"/>
    <cellStyle name="Salida 6 2 2 4 2" xfId="51233" xr:uid="{00000000-0005-0000-0000-0000D8C80000}"/>
    <cellStyle name="Salida 6 2 2 4 2 2" xfId="51234" xr:uid="{00000000-0005-0000-0000-0000D9C80000}"/>
    <cellStyle name="Salida 6 2 2 4 2 2 2" xfId="51235" xr:uid="{00000000-0005-0000-0000-0000DAC80000}"/>
    <cellStyle name="Salida 6 2 2 4 2 2 2 2" xfId="51236" xr:uid="{00000000-0005-0000-0000-0000DBC80000}"/>
    <cellStyle name="Salida 6 2 2 4 2 2 2 3" xfId="51237" xr:uid="{00000000-0005-0000-0000-0000DCC80000}"/>
    <cellStyle name="Salida 6 2 2 4 2 2 2 4" xfId="51238" xr:uid="{00000000-0005-0000-0000-0000DDC80000}"/>
    <cellStyle name="Salida 6 2 2 4 2 2 3" xfId="51239" xr:uid="{00000000-0005-0000-0000-0000DEC80000}"/>
    <cellStyle name="Salida 6 2 2 4 2 2 3 2" xfId="51240" xr:uid="{00000000-0005-0000-0000-0000DFC80000}"/>
    <cellStyle name="Salida 6 2 2 4 2 2 3 3" xfId="51241" xr:uid="{00000000-0005-0000-0000-0000E0C80000}"/>
    <cellStyle name="Salida 6 2 2 4 2 2 3 4" xfId="51242" xr:uid="{00000000-0005-0000-0000-0000E1C80000}"/>
    <cellStyle name="Salida 6 2 2 4 2 2 4" xfId="51243" xr:uid="{00000000-0005-0000-0000-0000E2C80000}"/>
    <cellStyle name="Salida 6 2 2 4 2 2 5" xfId="51244" xr:uid="{00000000-0005-0000-0000-0000E3C80000}"/>
    <cellStyle name="Salida 6 2 2 4 2 2 6" xfId="51245" xr:uid="{00000000-0005-0000-0000-0000E4C80000}"/>
    <cellStyle name="Salida 6 2 2 4 2 3" xfId="51246" xr:uid="{00000000-0005-0000-0000-0000E5C80000}"/>
    <cellStyle name="Salida 6 2 2 4 2 3 2" xfId="51247" xr:uid="{00000000-0005-0000-0000-0000E6C80000}"/>
    <cellStyle name="Salida 6 2 2 4 2 3 2 2" xfId="51248" xr:uid="{00000000-0005-0000-0000-0000E7C80000}"/>
    <cellStyle name="Salida 6 2 2 4 2 3 2 3" xfId="51249" xr:uid="{00000000-0005-0000-0000-0000E8C80000}"/>
    <cellStyle name="Salida 6 2 2 4 2 3 2 4" xfId="51250" xr:uid="{00000000-0005-0000-0000-0000E9C80000}"/>
    <cellStyle name="Salida 6 2 2 4 2 3 3" xfId="51251" xr:uid="{00000000-0005-0000-0000-0000EAC80000}"/>
    <cellStyle name="Salida 6 2 2 4 2 3 3 2" xfId="51252" xr:uid="{00000000-0005-0000-0000-0000EBC80000}"/>
    <cellStyle name="Salida 6 2 2 4 2 3 3 3" xfId="51253" xr:uid="{00000000-0005-0000-0000-0000ECC80000}"/>
    <cellStyle name="Salida 6 2 2 4 2 3 3 4" xfId="51254" xr:uid="{00000000-0005-0000-0000-0000EDC80000}"/>
    <cellStyle name="Salida 6 2 2 4 2 3 4" xfId="51255" xr:uid="{00000000-0005-0000-0000-0000EEC80000}"/>
    <cellStyle name="Salida 6 2 2 4 2 3 5" xfId="51256" xr:uid="{00000000-0005-0000-0000-0000EFC80000}"/>
    <cellStyle name="Salida 6 2 2 4 2 3 6" xfId="51257" xr:uid="{00000000-0005-0000-0000-0000F0C80000}"/>
    <cellStyle name="Salida 6 2 2 4 2 4" xfId="51258" xr:uid="{00000000-0005-0000-0000-0000F1C80000}"/>
    <cellStyle name="Salida 6 2 2 4 2 5" xfId="51259" xr:uid="{00000000-0005-0000-0000-0000F2C80000}"/>
    <cellStyle name="Salida 6 2 2 4 2 6" xfId="51260" xr:uid="{00000000-0005-0000-0000-0000F3C80000}"/>
    <cellStyle name="Salida 6 2 2 4 3" xfId="51261" xr:uid="{00000000-0005-0000-0000-0000F4C80000}"/>
    <cellStyle name="Salida 6 2 2 4 4" xfId="51262" xr:uid="{00000000-0005-0000-0000-0000F5C80000}"/>
    <cellStyle name="Salida 6 2 2 5" xfId="51263" xr:uid="{00000000-0005-0000-0000-0000F6C80000}"/>
    <cellStyle name="Salida 6 2 2 5 2" xfId="51264" xr:uid="{00000000-0005-0000-0000-0000F7C80000}"/>
    <cellStyle name="Salida 6 2 2 5 2 2" xfId="51265" xr:uid="{00000000-0005-0000-0000-0000F8C80000}"/>
    <cellStyle name="Salida 6 2 2 5 2 3" xfId="51266" xr:uid="{00000000-0005-0000-0000-0000F9C80000}"/>
    <cellStyle name="Salida 6 2 2 5 2 4" xfId="51267" xr:uid="{00000000-0005-0000-0000-0000FAC80000}"/>
    <cellStyle name="Salida 6 2 2 5 3" xfId="51268" xr:uid="{00000000-0005-0000-0000-0000FBC80000}"/>
    <cellStyle name="Salida 6 2 2 5 3 2" xfId="51269" xr:uid="{00000000-0005-0000-0000-0000FCC80000}"/>
    <cellStyle name="Salida 6 2 2 5 3 2 2" xfId="51270" xr:uid="{00000000-0005-0000-0000-0000FDC80000}"/>
    <cellStyle name="Salida 6 2 2 5 3 2 3" xfId="51271" xr:uid="{00000000-0005-0000-0000-0000FEC80000}"/>
    <cellStyle name="Salida 6 2 2 5 3 2 4" xfId="51272" xr:uid="{00000000-0005-0000-0000-0000FFC80000}"/>
    <cellStyle name="Salida 6 2 2 5 3 3" xfId="51273" xr:uid="{00000000-0005-0000-0000-000000C90000}"/>
    <cellStyle name="Salida 6 2 2 5 3 3 2" xfId="51274" xr:uid="{00000000-0005-0000-0000-000001C90000}"/>
    <cellStyle name="Salida 6 2 2 5 3 3 3" xfId="51275" xr:uid="{00000000-0005-0000-0000-000002C90000}"/>
    <cellStyle name="Salida 6 2 2 5 3 3 4" xfId="51276" xr:uid="{00000000-0005-0000-0000-000003C90000}"/>
    <cellStyle name="Salida 6 2 2 5 3 4" xfId="51277" xr:uid="{00000000-0005-0000-0000-000004C90000}"/>
    <cellStyle name="Salida 6 2 2 5 3 5" xfId="51278" xr:uid="{00000000-0005-0000-0000-000005C90000}"/>
    <cellStyle name="Salida 6 2 2 5 3 6" xfId="51279" xr:uid="{00000000-0005-0000-0000-000006C90000}"/>
    <cellStyle name="Salida 6 2 2 5 4" xfId="51280" xr:uid="{00000000-0005-0000-0000-000007C90000}"/>
    <cellStyle name="Salida 6 2 2 5 5" xfId="51281" xr:uid="{00000000-0005-0000-0000-000008C90000}"/>
    <cellStyle name="Salida 6 2 2 6" xfId="51282" xr:uid="{00000000-0005-0000-0000-000009C90000}"/>
    <cellStyle name="Salida 6 2 2 6 2" xfId="51283" xr:uid="{00000000-0005-0000-0000-00000AC90000}"/>
    <cellStyle name="Salida 6 2 2 6 2 2" xfId="51284" xr:uid="{00000000-0005-0000-0000-00000BC90000}"/>
    <cellStyle name="Salida 6 2 2 6 2 3" xfId="51285" xr:uid="{00000000-0005-0000-0000-00000CC90000}"/>
    <cellStyle name="Salida 6 2 2 6 2 4" xfId="51286" xr:uid="{00000000-0005-0000-0000-00000DC90000}"/>
    <cellStyle name="Salida 6 2 2 6 3" xfId="51287" xr:uid="{00000000-0005-0000-0000-00000EC90000}"/>
    <cellStyle name="Salida 6 2 2 6 3 2" xfId="51288" xr:uid="{00000000-0005-0000-0000-00000FC90000}"/>
    <cellStyle name="Salida 6 2 2 6 3 2 2" xfId="51289" xr:uid="{00000000-0005-0000-0000-000010C90000}"/>
    <cellStyle name="Salida 6 2 2 6 3 2 3" xfId="51290" xr:uid="{00000000-0005-0000-0000-000011C90000}"/>
    <cellStyle name="Salida 6 2 2 6 3 2 4" xfId="51291" xr:uid="{00000000-0005-0000-0000-000012C90000}"/>
    <cellStyle name="Salida 6 2 2 6 3 3" xfId="51292" xr:uid="{00000000-0005-0000-0000-000013C90000}"/>
    <cellStyle name="Salida 6 2 2 6 3 3 2" xfId="51293" xr:uid="{00000000-0005-0000-0000-000014C90000}"/>
    <cellStyle name="Salida 6 2 2 6 3 3 3" xfId="51294" xr:uid="{00000000-0005-0000-0000-000015C90000}"/>
    <cellStyle name="Salida 6 2 2 6 3 3 4" xfId="51295" xr:uid="{00000000-0005-0000-0000-000016C90000}"/>
    <cellStyle name="Salida 6 2 2 6 3 4" xfId="51296" xr:uid="{00000000-0005-0000-0000-000017C90000}"/>
    <cellStyle name="Salida 6 2 2 6 3 5" xfId="51297" xr:uid="{00000000-0005-0000-0000-000018C90000}"/>
    <cellStyle name="Salida 6 2 2 6 3 6" xfId="51298" xr:uid="{00000000-0005-0000-0000-000019C90000}"/>
    <cellStyle name="Salida 6 2 2 6 4" xfId="51299" xr:uid="{00000000-0005-0000-0000-00001AC90000}"/>
    <cellStyle name="Salida 6 2 2 6 5" xfId="51300" xr:uid="{00000000-0005-0000-0000-00001BC90000}"/>
    <cellStyle name="Salida 6 2 2 7" xfId="51301" xr:uid="{00000000-0005-0000-0000-00001CC90000}"/>
    <cellStyle name="Salida 6 2 2 7 2" xfId="51302" xr:uid="{00000000-0005-0000-0000-00001DC90000}"/>
    <cellStyle name="Salida 6 2 2 7 2 2" xfId="51303" xr:uid="{00000000-0005-0000-0000-00001EC90000}"/>
    <cellStyle name="Salida 6 2 2 7 2 3" xfId="51304" xr:uid="{00000000-0005-0000-0000-00001FC90000}"/>
    <cellStyle name="Salida 6 2 2 7 2 4" xfId="51305" xr:uid="{00000000-0005-0000-0000-000020C90000}"/>
    <cellStyle name="Salida 6 2 2 7 3" xfId="51306" xr:uid="{00000000-0005-0000-0000-000021C90000}"/>
    <cellStyle name="Salida 6 2 2 7 3 2" xfId="51307" xr:uid="{00000000-0005-0000-0000-000022C90000}"/>
    <cellStyle name="Salida 6 2 2 7 3 2 2" xfId="51308" xr:uid="{00000000-0005-0000-0000-000023C90000}"/>
    <cellStyle name="Salida 6 2 2 7 3 2 3" xfId="51309" xr:uid="{00000000-0005-0000-0000-000024C90000}"/>
    <cellStyle name="Salida 6 2 2 7 3 2 4" xfId="51310" xr:uid="{00000000-0005-0000-0000-000025C90000}"/>
    <cellStyle name="Salida 6 2 2 7 3 3" xfId="51311" xr:uid="{00000000-0005-0000-0000-000026C90000}"/>
    <cellStyle name="Salida 6 2 2 7 3 3 2" xfId="51312" xr:uid="{00000000-0005-0000-0000-000027C90000}"/>
    <cellStyle name="Salida 6 2 2 7 3 3 3" xfId="51313" xr:uid="{00000000-0005-0000-0000-000028C90000}"/>
    <cellStyle name="Salida 6 2 2 7 3 3 4" xfId="51314" xr:uid="{00000000-0005-0000-0000-000029C90000}"/>
    <cellStyle name="Salida 6 2 2 7 3 4" xfId="51315" xr:uid="{00000000-0005-0000-0000-00002AC90000}"/>
    <cellStyle name="Salida 6 2 2 7 3 5" xfId="51316" xr:uid="{00000000-0005-0000-0000-00002BC90000}"/>
    <cellStyle name="Salida 6 2 2 7 3 6" xfId="51317" xr:uid="{00000000-0005-0000-0000-00002CC90000}"/>
    <cellStyle name="Salida 6 2 2 7 4" xfId="51318" xr:uid="{00000000-0005-0000-0000-00002DC90000}"/>
    <cellStyle name="Salida 6 2 2 7 5" xfId="51319" xr:uid="{00000000-0005-0000-0000-00002EC90000}"/>
    <cellStyle name="Salida 6 2 2 8" xfId="51320" xr:uid="{00000000-0005-0000-0000-00002FC90000}"/>
    <cellStyle name="Salida 6 2 2 8 2" xfId="51321" xr:uid="{00000000-0005-0000-0000-000030C90000}"/>
    <cellStyle name="Salida 6 2 2 8 2 2" xfId="51322" xr:uid="{00000000-0005-0000-0000-000031C90000}"/>
    <cellStyle name="Salida 6 2 2 8 2 3" xfId="51323" xr:uid="{00000000-0005-0000-0000-000032C90000}"/>
    <cellStyle name="Salida 6 2 2 8 2 4" xfId="51324" xr:uid="{00000000-0005-0000-0000-000033C90000}"/>
    <cellStyle name="Salida 6 2 2 8 3" xfId="51325" xr:uid="{00000000-0005-0000-0000-000034C90000}"/>
    <cellStyle name="Salida 6 2 2 8 3 2" xfId="51326" xr:uid="{00000000-0005-0000-0000-000035C90000}"/>
    <cellStyle name="Salida 6 2 2 8 3 2 2" xfId="51327" xr:uid="{00000000-0005-0000-0000-000036C90000}"/>
    <cellStyle name="Salida 6 2 2 8 3 2 3" xfId="51328" xr:uid="{00000000-0005-0000-0000-000037C90000}"/>
    <cellStyle name="Salida 6 2 2 8 3 2 4" xfId="51329" xr:uid="{00000000-0005-0000-0000-000038C90000}"/>
    <cellStyle name="Salida 6 2 2 8 3 3" xfId="51330" xr:uid="{00000000-0005-0000-0000-000039C90000}"/>
    <cellStyle name="Salida 6 2 2 8 3 3 2" xfId="51331" xr:uid="{00000000-0005-0000-0000-00003AC90000}"/>
    <cellStyle name="Salida 6 2 2 8 3 3 3" xfId="51332" xr:uid="{00000000-0005-0000-0000-00003BC90000}"/>
    <cellStyle name="Salida 6 2 2 8 3 3 4" xfId="51333" xr:uid="{00000000-0005-0000-0000-00003CC90000}"/>
    <cellStyle name="Salida 6 2 2 8 3 4" xfId="51334" xr:uid="{00000000-0005-0000-0000-00003DC90000}"/>
    <cellStyle name="Salida 6 2 2 8 3 5" xfId="51335" xr:uid="{00000000-0005-0000-0000-00003EC90000}"/>
    <cellStyle name="Salida 6 2 2 8 3 6" xfId="51336" xr:uid="{00000000-0005-0000-0000-00003FC90000}"/>
    <cellStyle name="Salida 6 2 2 8 4" xfId="51337" xr:uid="{00000000-0005-0000-0000-000040C90000}"/>
    <cellStyle name="Salida 6 2 2 8 5" xfId="51338" xr:uid="{00000000-0005-0000-0000-000041C90000}"/>
    <cellStyle name="Salida 6 2 2 9" xfId="51339" xr:uid="{00000000-0005-0000-0000-000042C90000}"/>
    <cellStyle name="Salida 6 2 2 9 2" xfId="51340" xr:uid="{00000000-0005-0000-0000-000043C90000}"/>
    <cellStyle name="Salida 6 2 2 9 2 2" xfId="51341" xr:uid="{00000000-0005-0000-0000-000044C90000}"/>
    <cellStyle name="Salida 6 2 2 9 2 3" xfId="51342" xr:uid="{00000000-0005-0000-0000-000045C90000}"/>
    <cellStyle name="Salida 6 2 2 9 2 4" xfId="51343" xr:uid="{00000000-0005-0000-0000-000046C90000}"/>
    <cellStyle name="Salida 6 2 2 9 3" xfId="51344" xr:uid="{00000000-0005-0000-0000-000047C90000}"/>
    <cellStyle name="Salida 6 2 2 9 3 2" xfId="51345" xr:uid="{00000000-0005-0000-0000-000048C90000}"/>
    <cellStyle name="Salida 6 2 2 9 3 2 2" xfId="51346" xr:uid="{00000000-0005-0000-0000-000049C90000}"/>
    <cellStyle name="Salida 6 2 2 9 3 2 3" xfId="51347" xr:uid="{00000000-0005-0000-0000-00004AC90000}"/>
    <cellStyle name="Salida 6 2 2 9 3 2 4" xfId="51348" xr:uid="{00000000-0005-0000-0000-00004BC90000}"/>
    <cellStyle name="Salida 6 2 2 9 3 3" xfId="51349" xr:uid="{00000000-0005-0000-0000-00004CC90000}"/>
    <cellStyle name="Salida 6 2 2 9 3 3 2" xfId="51350" xr:uid="{00000000-0005-0000-0000-00004DC90000}"/>
    <cellStyle name="Salida 6 2 2 9 3 3 3" xfId="51351" xr:uid="{00000000-0005-0000-0000-00004EC90000}"/>
    <cellStyle name="Salida 6 2 2 9 3 3 4" xfId="51352" xr:uid="{00000000-0005-0000-0000-00004FC90000}"/>
    <cellStyle name="Salida 6 2 2 9 3 4" xfId="51353" xr:uid="{00000000-0005-0000-0000-000050C90000}"/>
    <cellStyle name="Salida 6 2 2 9 3 5" xfId="51354" xr:uid="{00000000-0005-0000-0000-000051C90000}"/>
    <cellStyle name="Salida 6 2 2 9 3 6" xfId="51355" xr:uid="{00000000-0005-0000-0000-000052C90000}"/>
    <cellStyle name="Salida 6 2 2 9 4" xfId="51356" xr:uid="{00000000-0005-0000-0000-000053C90000}"/>
    <cellStyle name="Salida 6 2 2 9 5" xfId="51357" xr:uid="{00000000-0005-0000-0000-000054C90000}"/>
    <cellStyle name="Salida 6 2 3" xfId="51358" xr:uid="{00000000-0005-0000-0000-000055C90000}"/>
    <cellStyle name="Salida 6 2 3 2" xfId="51359" xr:uid="{00000000-0005-0000-0000-000056C90000}"/>
    <cellStyle name="Salida 6 2 3 2 2" xfId="51360" xr:uid="{00000000-0005-0000-0000-000057C90000}"/>
    <cellStyle name="Salida 6 2 3 2 3" xfId="51361" xr:uid="{00000000-0005-0000-0000-000058C90000}"/>
    <cellStyle name="Salida 6 2 3 2 4" xfId="51362" xr:uid="{00000000-0005-0000-0000-000059C90000}"/>
    <cellStyle name="Salida 6 2 3 3" xfId="51363" xr:uid="{00000000-0005-0000-0000-00005AC90000}"/>
    <cellStyle name="Salida 6 2 3 3 2" xfId="51364" xr:uid="{00000000-0005-0000-0000-00005BC90000}"/>
    <cellStyle name="Salida 6 2 3 3 2 2" xfId="51365" xr:uid="{00000000-0005-0000-0000-00005CC90000}"/>
    <cellStyle name="Salida 6 2 3 3 2 3" xfId="51366" xr:uid="{00000000-0005-0000-0000-00005DC90000}"/>
    <cellStyle name="Salida 6 2 3 3 2 4" xfId="51367" xr:uid="{00000000-0005-0000-0000-00005EC90000}"/>
    <cellStyle name="Salida 6 2 3 3 3" xfId="51368" xr:uid="{00000000-0005-0000-0000-00005FC90000}"/>
    <cellStyle name="Salida 6 2 3 3 3 2" xfId="51369" xr:uid="{00000000-0005-0000-0000-000060C90000}"/>
    <cellStyle name="Salida 6 2 3 3 3 3" xfId="51370" xr:uid="{00000000-0005-0000-0000-000061C90000}"/>
    <cellStyle name="Salida 6 2 3 3 3 4" xfId="51371" xr:uid="{00000000-0005-0000-0000-000062C90000}"/>
    <cellStyle name="Salida 6 2 3 3 4" xfId="51372" xr:uid="{00000000-0005-0000-0000-000063C90000}"/>
    <cellStyle name="Salida 6 2 3 3 5" xfId="51373" xr:uid="{00000000-0005-0000-0000-000064C90000}"/>
    <cellStyle name="Salida 6 2 3 3 6" xfId="51374" xr:uid="{00000000-0005-0000-0000-000065C90000}"/>
    <cellStyle name="Salida 6 2 3 4" xfId="51375" xr:uid="{00000000-0005-0000-0000-000066C90000}"/>
    <cellStyle name="Salida 6 2 3 5" xfId="51376" xr:uid="{00000000-0005-0000-0000-000067C90000}"/>
    <cellStyle name="Salida 6 2 4" xfId="51377" xr:uid="{00000000-0005-0000-0000-000068C90000}"/>
    <cellStyle name="Salida 6 2 4 2" xfId="51378" xr:uid="{00000000-0005-0000-0000-000069C90000}"/>
    <cellStyle name="Salida 6 2 4 2 2" xfId="51379" xr:uid="{00000000-0005-0000-0000-00006AC90000}"/>
    <cellStyle name="Salida 6 2 4 2 2 2" xfId="51380" xr:uid="{00000000-0005-0000-0000-00006BC90000}"/>
    <cellStyle name="Salida 6 2 4 2 2 3" xfId="51381" xr:uid="{00000000-0005-0000-0000-00006CC90000}"/>
    <cellStyle name="Salida 6 2 4 2 2 4" xfId="51382" xr:uid="{00000000-0005-0000-0000-00006DC90000}"/>
    <cellStyle name="Salida 6 2 4 2 3" xfId="51383" xr:uid="{00000000-0005-0000-0000-00006EC90000}"/>
    <cellStyle name="Salida 6 2 4 2 3 2" xfId="51384" xr:uid="{00000000-0005-0000-0000-00006FC90000}"/>
    <cellStyle name="Salida 6 2 4 2 3 3" xfId="51385" xr:uid="{00000000-0005-0000-0000-000070C90000}"/>
    <cellStyle name="Salida 6 2 4 2 3 4" xfId="51386" xr:uid="{00000000-0005-0000-0000-000071C90000}"/>
    <cellStyle name="Salida 6 2 4 2 4" xfId="51387" xr:uid="{00000000-0005-0000-0000-000072C90000}"/>
    <cellStyle name="Salida 6 2 4 2 5" xfId="51388" xr:uid="{00000000-0005-0000-0000-000073C90000}"/>
    <cellStyle name="Salida 6 2 4 2 6" xfId="51389" xr:uid="{00000000-0005-0000-0000-000074C90000}"/>
    <cellStyle name="Salida 6 2 4 3" xfId="51390" xr:uid="{00000000-0005-0000-0000-000075C90000}"/>
    <cellStyle name="Salida 6 2 4 3 2" xfId="51391" xr:uid="{00000000-0005-0000-0000-000076C90000}"/>
    <cellStyle name="Salida 6 2 4 3 2 2" xfId="51392" xr:uid="{00000000-0005-0000-0000-000077C90000}"/>
    <cellStyle name="Salida 6 2 4 3 2 3" xfId="51393" xr:uid="{00000000-0005-0000-0000-000078C90000}"/>
    <cellStyle name="Salida 6 2 4 3 2 4" xfId="51394" xr:uid="{00000000-0005-0000-0000-000079C90000}"/>
    <cellStyle name="Salida 6 2 4 3 3" xfId="51395" xr:uid="{00000000-0005-0000-0000-00007AC90000}"/>
    <cellStyle name="Salida 6 2 4 3 3 2" xfId="51396" xr:uid="{00000000-0005-0000-0000-00007BC90000}"/>
    <cellStyle name="Salida 6 2 4 3 3 3" xfId="51397" xr:uid="{00000000-0005-0000-0000-00007CC90000}"/>
    <cellStyle name="Salida 6 2 4 3 3 4" xfId="51398" xr:uid="{00000000-0005-0000-0000-00007DC90000}"/>
    <cellStyle name="Salida 6 2 4 3 4" xfId="51399" xr:uid="{00000000-0005-0000-0000-00007EC90000}"/>
    <cellStyle name="Salida 6 2 4 3 5" xfId="51400" xr:uid="{00000000-0005-0000-0000-00007FC90000}"/>
    <cellStyle name="Salida 6 2 4 3 6" xfId="51401" xr:uid="{00000000-0005-0000-0000-000080C90000}"/>
    <cellStyle name="Salida 6 2 4 4" xfId="51402" xr:uid="{00000000-0005-0000-0000-000081C90000}"/>
    <cellStyle name="Salida 6 2 4 5" xfId="51403" xr:uid="{00000000-0005-0000-0000-000082C90000}"/>
    <cellStyle name="Salida 6 2 4 6" xfId="51404" xr:uid="{00000000-0005-0000-0000-000083C90000}"/>
    <cellStyle name="Salida 6 2 5" xfId="51405" xr:uid="{00000000-0005-0000-0000-000084C90000}"/>
    <cellStyle name="Salida 6 2 6" xfId="51406" xr:uid="{00000000-0005-0000-0000-000085C90000}"/>
    <cellStyle name="Salida 6 3" xfId="51407" xr:uid="{00000000-0005-0000-0000-000086C90000}"/>
    <cellStyle name="Salida 6 3 10" xfId="51408" xr:uid="{00000000-0005-0000-0000-000087C90000}"/>
    <cellStyle name="Salida 6 3 10 2" xfId="51409" xr:uid="{00000000-0005-0000-0000-000088C90000}"/>
    <cellStyle name="Salida 6 3 10 2 2" xfId="51410" xr:uid="{00000000-0005-0000-0000-000089C90000}"/>
    <cellStyle name="Salida 6 3 10 2 3" xfId="51411" xr:uid="{00000000-0005-0000-0000-00008AC90000}"/>
    <cellStyle name="Salida 6 3 10 2 4" xfId="51412" xr:uid="{00000000-0005-0000-0000-00008BC90000}"/>
    <cellStyle name="Salida 6 3 10 3" xfId="51413" xr:uid="{00000000-0005-0000-0000-00008CC90000}"/>
    <cellStyle name="Salida 6 3 10 3 2" xfId="51414" xr:uid="{00000000-0005-0000-0000-00008DC90000}"/>
    <cellStyle name="Salida 6 3 10 3 2 2" xfId="51415" xr:uid="{00000000-0005-0000-0000-00008EC90000}"/>
    <cellStyle name="Salida 6 3 10 3 2 3" xfId="51416" xr:uid="{00000000-0005-0000-0000-00008FC90000}"/>
    <cellStyle name="Salida 6 3 10 3 2 4" xfId="51417" xr:uid="{00000000-0005-0000-0000-000090C90000}"/>
    <cellStyle name="Salida 6 3 10 3 3" xfId="51418" xr:uid="{00000000-0005-0000-0000-000091C90000}"/>
    <cellStyle name="Salida 6 3 10 3 3 2" xfId="51419" xr:uid="{00000000-0005-0000-0000-000092C90000}"/>
    <cellStyle name="Salida 6 3 10 3 3 3" xfId="51420" xr:uid="{00000000-0005-0000-0000-000093C90000}"/>
    <cellStyle name="Salida 6 3 10 3 3 4" xfId="51421" xr:uid="{00000000-0005-0000-0000-000094C90000}"/>
    <cellStyle name="Salida 6 3 10 3 4" xfId="51422" xr:uid="{00000000-0005-0000-0000-000095C90000}"/>
    <cellStyle name="Salida 6 3 10 3 5" xfId="51423" xr:uid="{00000000-0005-0000-0000-000096C90000}"/>
    <cellStyle name="Salida 6 3 10 3 6" xfId="51424" xr:uid="{00000000-0005-0000-0000-000097C90000}"/>
    <cellStyle name="Salida 6 3 10 4" xfId="51425" xr:uid="{00000000-0005-0000-0000-000098C90000}"/>
    <cellStyle name="Salida 6 3 10 5" xfId="51426" xr:uid="{00000000-0005-0000-0000-000099C90000}"/>
    <cellStyle name="Salida 6 3 11" xfId="51427" xr:uid="{00000000-0005-0000-0000-00009AC90000}"/>
    <cellStyle name="Salida 6 3 11 2" xfId="51428" xr:uid="{00000000-0005-0000-0000-00009BC90000}"/>
    <cellStyle name="Salida 6 3 11 2 2" xfId="51429" xr:uid="{00000000-0005-0000-0000-00009CC90000}"/>
    <cellStyle name="Salida 6 3 11 2 3" xfId="51430" xr:uid="{00000000-0005-0000-0000-00009DC90000}"/>
    <cellStyle name="Salida 6 3 11 2 4" xfId="51431" xr:uid="{00000000-0005-0000-0000-00009EC90000}"/>
    <cellStyle name="Salida 6 3 11 3" xfId="51432" xr:uid="{00000000-0005-0000-0000-00009FC90000}"/>
    <cellStyle name="Salida 6 3 11 3 2" xfId="51433" xr:uid="{00000000-0005-0000-0000-0000A0C90000}"/>
    <cellStyle name="Salida 6 3 11 3 2 2" xfId="51434" xr:uid="{00000000-0005-0000-0000-0000A1C90000}"/>
    <cellStyle name="Salida 6 3 11 3 2 3" xfId="51435" xr:uid="{00000000-0005-0000-0000-0000A2C90000}"/>
    <cellStyle name="Salida 6 3 11 3 2 4" xfId="51436" xr:uid="{00000000-0005-0000-0000-0000A3C90000}"/>
    <cellStyle name="Salida 6 3 11 3 3" xfId="51437" xr:uid="{00000000-0005-0000-0000-0000A4C90000}"/>
    <cellStyle name="Salida 6 3 11 3 3 2" xfId="51438" xr:uid="{00000000-0005-0000-0000-0000A5C90000}"/>
    <cellStyle name="Salida 6 3 11 3 3 3" xfId="51439" xr:uid="{00000000-0005-0000-0000-0000A6C90000}"/>
    <cellStyle name="Salida 6 3 11 3 3 4" xfId="51440" xr:uid="{00000000-0005-0000-0000-0000A7C90000}"/>
    <cellStyle name="Salida 6 3 11 3 4" xfId="51441" xr:uid="{00000000-0005-0000-0000-0000A8C90000}"/>
    <cellStyle name="Salida 6 3 11 3 5" xfId="51442" xr:uid="{00000000-0005-0000-0000-0000A9C90000}"/>
    <cellStyle name="Salida 6 3 11 3 6" xfId="51443" xr:uid="{00000000-0005-0000-0000-0000AAC90000}"/>
    <cellStyle name="Salida 6 3 11 4" xfId="51444" xr:uid="{00000000-0005-0000-0000-0000ABC90000}"/>
    <cellStyle name="Salida 6 3 11 5" xfId="51445" xr:uid="{00000000-0005-0000-0000-0000ACC90000}"/>
    <cellStyle name="Salida 6 3 12" xfId="51446" xr:uid="{00000000-0005-0000-0000-0000ADC90000}"/>
    <cellStyle name="Salida 6 3 12 2" xfId="51447" xr:uid="{00000000-0005-0000-0000-0000AEC90000}"/>
    <cellStyle name="Salida 6 3 12 2 2" xfId="51448" xr:uid="{00000000-0005-0000-0000-0000AFC90000}"/>
    <cellStyle name="Salida 6 3 12 2 2 2" xfId="51449" xr:uid="{00000000-0005-0000-0000-0000B0C90000}"/>
    <cellStyle name="Salida 6 3 12 2 2 3" xfId="51450" xr:uid="{00000000-0005-0000-0000-0000B1C90000}"/>
    <cellStyle name="Salida 6 3 12 2 2 4" xfId="51451" xr:uid="{00000000-0005-0000-0000-0000B2C90000}"/>
    <cellStyle name="Salida 6 3 12 2 3" xfId="51452" xr:uid="{00000000-0005-0000-0000-0000B3C90000}"/>
    <cellStyle name="Salida 6 3 12 2 3 2" xfId="51453" xr:uid="{00000000-0005-0000-0000-0000B4C90000}"/>
    <cellStyle name="Salida 6 3 12 2 3 3" xfId="51454" xr:uid="{00000000-0005-0000-0000-0000B5C90000}"/>
    <cellStyle name="Salida 6 3 12 2 3 4" xfId="51455" xr:uid="{00000000-0005-0000-0000-0000B6C90000}"/>
    <cellStyle name="Salida 6 3 12 2 4" xfId="51456" xr:uid="{00000000-0005-0000-0000-0000B7C90000}"/>
    <cellStyle name="Salida 6 3 12 2 5" xfId="51457" xr:uid="{00000000-0005-0000-0000-0000B8C90000}"/>
    <cellStyle name="Salida 6 3 12 2 6" xfId="51458" xr:uid="{00000000-0005-0000-0000-0000B9C90000}"/>
    <cellStyle name="Salida 6 3 12 3" xfId="51459" xr:uid="{00000000-0005-0000-0000-0000BAC90000}"/>
    <cellStyle name="Salida 6 3 12 3 2" xfId="51460" xr:uid="{00000000-0005-0000-0000-0000BBC90000}"/>
    <cellStyle name="Salida 6 3 12 3 2 2" xfId="51461" xr:uid="{00000000-0005-0000-0000-0000BCC90000}"/>
    <cellStyle name="Salida 6 3 12 3 2 3" xfId="51462" xr:uid="{00000000-0005-0000-0000-0000BDC90000}"/>
    <cellStyle name="Salida 6 3 12 3 2 4" xfId="51463" xr:uid="{00000000-0005-0000-0000-0000BEC90000}"/>
    <cellStyle name="Salida 6 3 12 3 3" xfId="51464" xr:uid="{00000000-0005-0000-0000-0000BFC90000}"/>
    <cellStyle name="Salida 6 3 12 3 3 2" xfId="51465" xr:uid="{00000000-0005-0000-0000-0000C0C90000}"/>
    <cellStyle name="Salida 6 3 12 3 3 3" xfId="51466" xr:uid="{00000000-0005-0000-0000-0000C1C90000}"/>
    <cellStyle name="Salida 6 3 12 3 3 4" xfId="51467" xr:uid="{00000000-0005-0000-0000-0000C2C90000}"/>
    <cellStyle name="Salida 6 3 12 3 4" xfId="51468" xr:uid="{00000000-0005-0000-0000-0000C3C90000}"/>
    <cellStyle name="Salida 6 3 12 3 5" xfId="51469" xr:uid="{00000000-0005-0000-0000-0000C4C90000}"/>
    <cellStyle name="Salida 6 3 12 3 6" xfId="51470" xr:uid="{00000000-0005-0000-0000-0000C5C90000}"/>
    <cellStyle name="Salida 6 3 12 4" xfId="51471" xr:uid="{00000000-0005-0000-0000-0000C6C90000}"/>
    <cellStyle name="Salida 6 3 12 5" xfId="51472" xr:uid="{00000000-0005-0000-0000-0000C7C90000}"/>
    <cellStyle name="Salida 6 3 12 6" xfId="51473" xr:uid="{00000000-0005-0000-0000-0000C8C90000}"/>
    <cellStyle name="Salida 6 3 13" xfId="51474" xr:uid="{00000000-0005-0000-0000-0000C9C90000}"/>
    <cellStyle name="Salida 6 3 14" xfId="51475" xr:uid="{00000000-0005-0000-0000-0000CAC90000}"/>
    <cellStyle name="Salida 6 3 15" xfId="58798" xr:uid="{00000000-0005-0000-0000-0000CBC90000}"/>
    <cellStyle name="Salida 6 3 2" xfId="51476" xr:uid="{00000000-0005-0000-0000-0000CCC90000}"/>
    <cellStyle name="Salida 6 3 2 2" xfId="51477" xr:uid="{00000000-0005-0000-0000-0000CDC90000}"/>
    <cellStyle name="Salida 6 3 2 2 2" xfId="51478" xr:uid="{00000000-0005-0000-0000-0000CEC90000}"/>
    <cellStyle name="Salida 6 3 2 2 2 2" xfId="51479" xr:uid="{00000000-0005-0000-0000-0000CFC90000}"/>
    <cellStyle name="Salida 6 3 2 2 2 2 2" xfId="51480" xr:uid="{00000000-0005-0000-0000-0000D0C90000}"/>
    <cellStyle name="Salida 6 3 2 2 2 2 3" xfId="51481" xr:uid="{00000000-0005-0000-0000-0000D1C90000}"/>
    <cellStyle name="Salida 6 3 2 2 2 2 4" xfId="51482" xr:uid="{00000000-0005-0000-0000-0000D2C90000}"/>
    <cellStyle name="Salida 6 3 2 2 2 3" xfId="51483" xr:uid="{00000000-0005-0000-0000-0000D3C90000}"/>
    <cellStyle name="Salida 6 3 2 2 2 3 2" xfId="51484" xr:uid="{00000000-0005-0000-0000-0000D4C90000}"/>
    <cellStyle name="Salida 6 3 2 2 2 3 3" xfId="51485" xr:uid="{00000000-0005-0000-0000-0000D5C90000}"/>
    <cellStyle name="Salida 6 3 2 2 2 3 4" xfId="51486" xr:uid="{00000000-0005-0000-0000-0000D6C90000}"/>
    <cellStyle name="Salida 6 3 2 2 2 4" xfId="51487" xr:uid="{00000000-0005-0000-0000-0000D7C90000}"/>
    <cellStyle name="Salida 6 3 2 2 2 5" xfId="51488" xr:uid="{00000000-0005-0000-0000-0000D8C90000}"/>
    <cellStyle name="Salida 6 3 2 2 2 6" xfId="51489" xr:uid="{00000000-0005-0000-0000-0000D9C90000}"/>
    <cellStyle name="Salida 6 3 2 2 3" xfId="51490" xr:uid="{00000000-0005-0000-0000-0000DAC90000}"/>
    <cellStyle name="Salida 6 3 2 2 3 2" xfId="51491" xr:uid="{00000000-0005-0000-0000-0000DBC90000}"/>
    <cellStyle name="Salida 6 3 2 2 3 2 2" xfId="51492" xr:uid="{00000000-0005-0000-0000-0000DCC90000}"/>
    <cellStyle name="Salida 6 3 2 2 3 2 3" xfId="51493" xr:uid="{00000000-0005-0000-0000-0000DDC90000}"/>
    <cellStyle name="Salida 6 3 2 2 3 2 4" xfId="51494" xr:uid="{00000000-0005-0000-0000-0000DEC90000}"/>
    <cellStyle name="Salida 6 3 2 2 3 3" xfId="51495" xr:uid="{00000000-0005-0000-0000-0000DFC90000}"/>
    <cellStyle name="Salida 6 3 2 2 3 3 2" xfId="51496" xr:uid="{00000000-0005-0000-0000-0000E0C90000}"/>
    <cellStyle name="Salida 6 3 2 2 3 3 3" xfId="51497" xr:uid="{00000000-0005-0000-0000-0000E1C90000}"/>
    <cellStyle name="Salida 6 3 2 2 3 3 4" xfId="51498" xr:uid="{00000000-0005-0000-0000-0000E2C90000}"/>
    <cellStyle name="Salida 6 3 2 2 3 4" xfId="51499" xr:uid="{00000000-0005-0000-0000-0000E3C90000}"/>
    <cellStyle name="Salida 6 3 2 2 3 5" xfId="51500" xr:uid="{00000000-0005-0000-0000-0000E4C90000}"/>
    <cellStyle name="Salida 6 3 2 2 3 6" xfId="51501" xr:uid="{00000000-0005-0000-0000-0000E5C90000}"/>
    <cellStyle name="Salida 6 3 2 2 4" xfId="51502" xr:uid="{00000000-0005-0000-0000-0000E6C90000}"/>
    <cellStyle name="Salida 6 3 2 2 5" xfId="51503" xr:uid="{00000000-0005-0000-0000-0000E7C90000}"/>
    <cellStyle name="Salida 6 3 2 2 6" xfId="51504" xr:uid="{00000000-0005-0000-0000-0000E8C90000}"/>
    <cellStyle name="Salida 6 3 2 3" xfId="51505" xr:uid="{00000000-0005-0000-0000-0000E9C90000}"/>
    <cellStyle name="Salida 6 3 2 4" xfId="51506" xr:uid="{00000000-0005-0000-0000-0000EAC90000}"/>
    <cellStyle name="Salida 6 3 3" xfId="51507" xr:uid="{00000000-0005-0000-0000-0000EBC90000}"/>
    <cellStyle name="Salida 6 3 3 2" xfId="51508" xr:uid="{00000000-0005-0000-0000-0000ECC90000}"/>
    <cellStyle name="Salida 6 3 3 2 2" xfId="51509" xr:uid="{00000000-0005-0000-0000-0000EDC90000}"/>
    <cellStyle name="Salida 6 3 3 2 2 2" xfId="51510" xr:uid="{00000000-0005-0000-0000-0000EEC90000}"/>
    <cellStyle name="Salida 6 3 3 2 2 2 2" xfId="51511" xr:uid="{00000000-0005-0000-0000-0000EFC90000}"/>
    <cellStyle name="Salida 6 3 3 2 2 2 3" xfId="51512" xr:uid="{00000000-0005-0000-0000-0000F0C90000}"/>
    <cellStyle name="Salida 6 3 3 2 2 2 4" xfId="51513" xr:uid="{00000000-0005-0000-0000-0000F1C90000}"/>
    <cellStyle name="Salida 6 3 3 2 2 3" xfId="51514" xr:uid="{00000000-0005-0000-0000-0000F2C90000}"/>
    <cellStyle name="Salida 6 3 3 2 2 3 2" xfId="51515" xr:uid="{00000000-0005-0000-0000-0000F3C90000}"/>
    <cellStyle name="Salida 6 3 3 2 2 3 3" xfId="51516" xr:uid="{00000000-0005-0000-0000-0000F4C90000}"/>
    <cellStyle name="Salida 6 3 3 2 2 3 4" xfId="51517" xr:uid="{00000000-0005-0000-0000-0000F5C90000}"/>
    <cellStyle name="Salida 6 3 3 2 2 4" xfId="51518" xr:uid="{00000000-0005-0000-0000-0000F6C90000}"/>
    <cellStyle name="Salida 6 3 3 2 2 5" xfId="51519" xr:uid="{00000000-0005-0000-0000-0000F7C90000}"/>
    <cellStyle name="Salida 6 3 3 2 2 6" xfId="51520" xr:uid="{00000000-0005-0000-0000-0000F8C90000}"/>
    <cellStyle name="Salida 6 3 3 2 3" xfId="51521" xr:uid="{00000000-0005-0000-0000-0000F9C90000}"/>
    <cellStyle name="Salida 6 3 3 2 3 2" xfId="51522" xr:uid="{00000000-0005-0000-0000-0000FAC90000}"/>
    <cellStyle name="Salida 6 3 3 2 3 2 2" xfId="51523" xr:uid="{00000000-0005-0000-0000-0000FBC90000}"/>
    <cellStyle name="Salida 6 3 3 2 3 2 3" xfId="51524" xr:uid="{00000000-0005-0000-0000-0000FCC90000}"/>
    <cellStyle name="Salida 6 3 3 2 3 2 4" xfId="51525" xr:uid="{00000000-0005-0000-0000-0000FDC90000}"/>
    <cellStyle name="Salida 6 3 3 2 3 3" xfId="51526" xr:uid="{00000000-0005-0000-0000-0000FEC90000}"/>
    <cellStyle name="Salida 6 3 3 2 3 3 2" xfId="51527" xr:uid="{00000000-0005-0000-0000-0000FFC90000}"/>
    <cellStyle name="Salida 6 3 3 2 3 3 3" xfId="51528" xr:uid="{00000000-0005-0000-0000-000000CA0000}"/>
    <cellStyle name="Salida 6 3 3 2 3 3 4" xfId="51529" xr:uid="{00000000-0005-0000-0000-000001CA0000}"/>
    <cellStyle name="Salida 6 3 3 2 3 4" xfId="51530" xr:uid="{00000000-0005-0000-0000-000002CA0000}"/>
    <cellStyle name="Salida 6 3 3 2 3 5" xfId="51531" xr:uid="{00000000-0005-0000-0000-000003CA0000}"/>
    <cellStyle name="Salida 6 3 3 2 3 6" xfId="51532" xr:uid="{00000000-0005-0000-0000-000004CA0000}"/>
    <cellStyle name="Salida 6 3 3 2 4" xfId="51533" xr:uid="{00000000-0005-0000-0000-000005CA0000}"/>
    <cellStyle name="Salida 6 3 3 2 5" xfId="51534" xr:uid="{00000000-0005-0000-0000-000006CA0000}"/>
    <cellStyle name="Salida 6 3 3 2 6" xfId="51535" xr:uid="{00000000-0005-0000-0000-000007CA0000}"/>
    <cellStyle name="Salida 6 3 3 3" xfId="51536" xr:uid="{00000000-0005-0000-0000-000008CA0000}"/>
    <cellStyle name="Salida 6 3 3 4" xfId="51537" xr:uid="{00000000-0005-0000-0000-000009CA0000}"/>
    <cellStyle name="Salida 6 3 4" xfId="51538" xr:uid="{00000000-0005-0000-0000-00000ACA0000}"/>
    <cellStyle name="Salida 6 3 4 2" xfId="51539" xr:uid="{00000000-0005-0000-0000-00000BCA0000}"/>
    <cellStyle name="Salida 6 3 4 2 2" xfId="51540" xr:uid="{00000000-0005-0000-0000-00000CCA0000}"/>
    <cellStyle name="Salida 6 3 4 2 2 2" xfId="51541" xr:uid="{00000000-0005-0000-0000-00000DCA0000}"/>
    <cellStyle name="Salida 6 3 4 2 2 2 2" xfId="51542" xr:uid="{00000000-0005-0000-0000-00000ECA0000}"/>
    <cellStyle name="Salida 6 3 4 2 2 2 3" xfId="51543" xr:uid="{00000000-0005-0000-0000-00000FCA0000}"/>
    <cellStyle name="Salida 6 3 4 2 2 2 4" xfId="51544" xr:uid="{00000000-0005-0000-0000-000010CA0000}"/>
    <cellStyle name="Salida 6 3 4 2 2 3" xfId="51545" xr:uid="{00000000-0005-0000-0000-000011CA0000}"/>
    <cellStyle name="Salida 6 3 4 2 2 3 2" xfId="51546" xr:uid="{00000000-0005-0000-0000-000012CA0000}"/>
    <cellStyle name="Salida 6 3 4 2 2 3 3" xfId="51547" xr:uid="{00000000-0005-0000-0000-000013CA0000}"/>
    <cellStyle name="Salida 6 3 4 2 2 3 4" xfId="51548" xr:uid="{00000000-0005-0000-0000-000014CA0000}"/>
    <cellStyle name="Salida 6 3 4 2 2 4" xfId="51549" xr:uid="{00000000-0005-0000-0000-000015CA0000}"/>
    <cellStyle name="Salida 6 3 4 2 2 5" xfId="51550" xr:uid="{00000000-0005-0000-0000-000016CA0000}"/>
    <cellStyle name="Salida 6 3 4 2 2 6" xfId="51551" xr:uid="{00000000-0005-0000-0000-000017CA0000}"/>
    <cellStyle name="Salida 6 3 4 2 3" xfId="51552" xr:uid="{00000000-0005-0000-0000-000018CA0000}"/>
    <cellStyle name="Salida 6 3 4 2 3 2" xfId="51553" xr:uid="{00000000-0005-0000-0000-000019CA0000}"/>
    <cellStyle name="Salida 6 3 4 2 3 2 2" xfId="51554" xr:uid="{00000000-0005-0000-0000-00001ACA0000}"/>
    <cellStyle name="Salida 6 3 4 2 3 2 3" xfId="51555" xr:uid="{00000000-0005-0000-0000-00001BCA0000}"/>
    <cellStyle name="Salida 6 3 4 2 3 2 4" xfId="51556" xr:uid="{00000000-0005-0000-0000-00001CCA0000}"/>
    <cellStyle name="Salida 6 3 4 2 3 3" xfId="51557" xr:uid="{00000000-0005-0000-0000-00001DCA0000}"/>
    <cellStyle name="Salida 6 3 4 2 3 3 2" xfId="51558" xr:uid="{00000000-0005-0000-0000-00001ECA0000}"/>
    <cellStyle name="Salida 6 3 4 2 3 3 3" xfId="51559" xr:uid="{00000000-0005-0000-0000-00001FCA0000}"/>
    <cellStyle name="Salida 6 3 4 2 3 3 4" xfId="51560" xr:uid="{00000000-0005-0000-0000-000020CA0000}"/>
    <cellStyle name="Salida 6 3 4 2 3 4" xfId="51561" xr:uid="{00000000-0005-0000-0000-000021CA0000}"/>
    <cellStyle name="Salida 6 3 4 2 3 5" xfId="51562" xr:uid="{00000000-0005-0000-0000-000022CA0000}"/>
    <cellStyle name="Salida 6 3 4 2 3 6" xfId="51563" xr:uid="{00000000-0005-0000-0000-000023CA0000}"/>
    <cellStyle name="Salida 6 3 4 2 4" xfId="51564" xr:uid="{00000000-0005-0000-0000-000024CA0000}"/>
    <cellStyle name="Salida 6 3 4 2 5" xfId="51565" xr:uid="{00000000-0005-0000-0000-000025CA0000}"/>
    <cellStyle name="Salida 6 3 4 2 6" xfId="51566" xr:uid="{00000000-0005-0000-0000-000026CA0000}"/>
    <cellStyle name="Salida 6 3 4 3" xfId="51567" xr:uid="{00000000-0005-0000-0000-000027CA0000}"/>
    <cellStyle name="Salida 6 3 4 4" xfId="51568" xr:uid="{00000000-0005-0000-0000-000028CA0000}"/>
    <cellStyle name="Salida 6 3 5" xfId="51569" xr:uid="{00000000-0005-0000-0000-000029CA0000}"/>
    <cellStyle name="Salida 6 3 5 2" xfId="51570" xr:uid="{00000000-0005-0000-0000-00002ACA0000}"/>
    <cellStyle name="Salida 6 3 5 2 2" xfId="51571" xr:uid="{00000000-0005-0000-0000-00002BCA0000}"/>
    <cellStyle name="Salida 6 3 5 2 3" xfId="51572" xr:uid="{00000000-0005-0000-0000-00002CCA0000}"/>
    <cellStyle name="Salida 6 3 5 2 4" xfId="51573" xr:uid="{00000000-0005-0000-0000-00002DCA0000}"/>
    <cellStyle name="Salida 6 3 5 3" xfId="51574" xr:uid="{00000000-0005-0000-0000-00002ECA0000}"/>
    <cellStyle name="Salida 6 3 5 3 2" xfId="51575" xr:uid="{00000000-0005-0000-0000-00002FCA0000}"/>
    <cellStyle name="Salida 6 3 5 3 2 2" xfId="51576" xr:uid="{00000000-0005-0000-0000-000030CA0000}"/>
    <cellStyle name="Salida 6 3 5 3 2 3" xfId="51577" xr:uid="{00000000-0005-0000-0000-000031CA0000}"/>
    <cellStyle name="Salida 6 3 5 3 2 4" xfId="51578" xr:uid="{00000000-0005-0000-0000-000032CA0000}"/>
    <cellStyle name="Salida 6 3 5 3 3" xfId="51579" xr:uid="{00000000-0005-0000-0000-000033CA0000}"/>
    <cellStyle name="Salida 6 3 5 3 3 2" xfId="51580" xr:uid="{00000000-0005-0000-0000-000034CA0000}"/>
    <cellStyle name="Salida 6 3 5 3 3 3" xfId="51581" xr:uid="{00000000-0005-0000-0000-000035CA0000}"/>
    <cellStyle name="Salida 6 3 5 3 3 4" xfId="51582" xr:uid="{00000000-0005-0000-0000-000036CA0000}"/>
    <cellStyle name="Salida 6 3 5 3 4" xfId="51583" xr:uid="{00000000-0005-0000-0000-000037CA0000}"/>
    <cellStyle name="Salida 6 3 5 3 5" xfId="51584" xr:uid="{00000000-0005-0000-0000-000038CA0000}"/>
    <cellStyle name="Salida 6 3 5 3 6" xfId="51585" xr:uid="{00000000-0005-0000-0000-000039CA0000}"/>
    <cellStyle name="Salida 6 3 5 4" xfId="51586" xr:uid="{00000000-0005-0000-0000-00003ACA0000}"/>
    <cellStyle name="Salida 6 3 5 5" xfId="51587" xr:uid="{00000000-0005-0000-0000-00003BCA0000}"/>
    <cellStyle name="Salida 6 3 6" xfId="51588" xr:uid="{00000000-0005-0000-0000-00003CCA0000}"/>
    <cellStyle name="Salida 6 3 6 2" xfId="51589" xr:uid="{00000000-0005-0000-0000-00003DCA0000}"/>
    <cellStyle name="Salida 6 3 6 2 2" xfId="51590" xr:uid="{00000000-0005-0000-0000-00003ECA0000}"/>
    <cellStyle name="Salida 6 3 6 2 3" xfId="51591" xr:uid="{00000000-0005-0000-0000-00003FCA0000}"/>
    <cellStyle name="Salida 6 3 6 2 4" xfId="51592" xr:uid="{00000000-0005-0000-0000-000040CA0000}"/>
    <cellStyle name="Salida 6 3 6 3" xfId="51593" xr:uid="{00000000-0005-0000-0000-000041CA0000}"/>
    <cellStyle name="Salida 6 3 6 3 2" xfId="51594" xr:uid="{00000000-0005-0000-0000-000042CA0000}"/>
    <cellStyle name="Salida 6 3 6 3 2 2" xfId="51595" xr:uid="{00000000-0005-0000-0000-000043CA0000}"/>
    <cellStyle name="Salida 6 3 6 3 2 3" xfId="51596" xr:uid="{00000000-0005-0000-0000-000044CA0000}"/>
    <cellStyle name="Salida 6 3 6 3 2 4" xfId="51597" xr:uid="{00000000-0005-0000-0000-000045CA0000}"/>
    <cellStyle name="Salida 6 3 6 3 3" xfId="51598" xr:uid="{00000000-0005-0000-0000-000046CA0000}"/>
    <cellStyle name="Salida 6 3 6 3 3 2" xfId="51599" xr:uid="{00000000-0005-0000-0000-000047CA0000}"/>
    <cellStyle name="Salida 6 3 6 3 3 3" xfId="51600" xr:uid="{00000000-0005-0000-0000-000048CA0000}"/>
    <cellStyle name="Salida 6 3 6 3 3 4" xfId="51601" xr:uid="{00000000-0005-0000-0000-000049CA0000}"/>
    <cellStyle name="Salida 6 3 6 3 4" xfId="51602" xr:uid="{00000000-0005-0000-0000-00004ACA0000}"/>
    <cellStyle name="Salida 6 3 6 3 5" xfId="51603" xr:uid="{00000000-0005-0000-0000-00004BCA0000}"/>
    <cellStyle name="Salida 6 3 6 3 6" xfId="51604" xr:uid="{00000000-0005-0000-0000-00004CCA0000}"/>
    <cellStyle name="Salida 6 3 6 4" xfId="51605" xr:uid="{00000000-0005-0000-0000-00004DCA0000}"/>
    <cellStyle name="Salida 6 3 6 5" xfId="51606" xr:uid="{00000000-0005-0000-0000-00004ECA0000}"/>
    <cellStyle name="Salida 6 3 7" xfId="51607" xr:uid="{00000000-0005-0000-0000-00004FCA0000}"/>
    <cellStyle name="Salida 6 3 7 2" xfId="51608" xr:uid="{00000000-0005-0000-0000-000050CA0000}"/>
    <cellStyle name="Salida 6 3 7 2 2" xfId="51609" xr:uid="{00000000-0005-0000-0000-000051CA0000}"/>
    <cellStyle name="Salida 6 3 7 2 3" xfId="51610" xr:uid="{00000000-0005-0000-0000-000052CA0000}"/>
    <cellStyle name="Salida 6 3 7 2 4" xfId="51611" xr:uid="{00000000-0005-0000-0000-000053CA0000}"/>
    <cellStyle name="Salida 6 3 7 3" xfId="51612" xr:uid="{00000000-0005-0000-0000-000054CA0000}"/>
    <cellStyle name="Salida 6 3 7 3 2" xfId="51613" xr:uid="{00000000-0005-0000-0000-000055CA0000}"/>
    <cellStyle name="Salida 6 3 7 3 2 2" xfId="51614" xr:uid="{00000000-0005-0000-0000-000056CA0000}"/>
    <cellStyle name="Salida 6 3 7 3 2 3" xfId="51615" xr:uid="{00000000-0005-0000-0000-000057CA0000}"/>
    <cellStyle name="Salida 6 3 7 3 2 4" xfId="51616" xr:uid="{00000000-0005-0000-0000-000058CA0000}"/>
    <cellStyle name="Salida 6 3 7 3 3" xfId="51617" xr:uid="{00000000-0005-0000-0000-000059CA0000}"/>
    <cellStyle name="Salida 6 3 7 3 3 2" xfId="51618" xr:uid="{00000000-0005-0000-0000-00005ACA0000}"/>
    <cellStyle name="Salida 6 3 7 3 3 3" xfId="51619" xr:uid="{00000000-0005-0000-0000-00005BCA0000}"/>
    <cellStyle name="Salida 6 3 7 3 3 4" xfId="51620" xr:uid="{00000000-0005-0000-0000-00005CCA0000}"/>
    <cellStyle name="Salida 6 3 7 3 4" xfId="51621" xr:uid="{00000000-0005-0000-0000-00005DCA0000}"/>
    <cellStyle name="Salida 6 3 7 3 5" xfId="51622" xr:uid="{00000000-0005-0000-0000-00005ECA0000}"/>
    <cellStyle name="Salida 6 3 7 3 6" xfId="51623" xr:uid="{00000000-0005-0000-0000-00005FCA0000}"/>
    <cellStyle name="Salida 6 3 7 4" xfId="51624" xr:uid="{00000000-0005-0000-0000-000060CA0000}"/>
    <cellStyle name="Salida 6 3 7 5" xfId="51625" xr:uid="{00000000-0005-0000-0000-000061CA0000}"/>
    <cellStyle name="Salida 6 3 8" xfId="51626" xr:uid="{00000000-0005-0000-0000-000062CA0000}"/>
    <cellStyle name="Salida 6 3 8 2" xfId="51627" xr:uid="{00000000-0005-0000-0000-000063CA0000}"/>
    <cellStyle name="Salida 6 3 8 2 2" xfId="51628" xr:uid="{00000000-0005-0000-0000-000064CA0000}"/>
    <cellStyle name="Salida 6 3 8 2 3" xfId="51629" xr:uid="{00000000-0005-0000-0000-000065CA0000}"/>
    <cellStyle name="Salida 6 3 8 2 4" xfId="51630" xr:uid="{00000000-0005-0000-0000-000066CA0000}"/>
    <cellStyle name="Salida 6 3 8 3" xfId="51631" xr:uid="{00000000-0005-0000-0000-000067CA0000}"/>
    <cellStyle name="Salida 6 3 8 3 2" xfId="51632" xr:uid="{00000000-0005-0000-0000-000068CA0000}"/>
    <cellStyle name="Salida 6 3 8 3 2 2" xfId="51633" xr:uid="{00000000-0005-0000-0000-000069CA0000}"/>
    <cellStyle name="Salida 6 3 8 3 2 3" xfId="51634" xr:uid="{00000000-0005-0000-0000-00006ACA0000}"/>
    <cellStyle name="Salida 6 3 8 3 2 4" xfId="51635" xr:uid="{00000000-0005-0000-0000-00006BCA0000}"/>
    <cellStyle name="Salida 6 3 8 3 3" xfId="51636" xr:uid="{00000000-0005-0000-0000-00006CCA0000}"/>
    <cellStyle name="Salida 6 3 8 3 3 2" xfId="51637" xr:uid="{00000000-0005-0000-0000-00006DCA0000}"/>
    <cellStyle name="Salida 6 3 8 3 3 3" xfId="51638" xr:uid="{00000000-0005-0000-0000-00006ECA0000}"/>
    <cellStyle name="Salida 6 3 8 3 3 4" xfId="51639" xr:uid="{00000000-0005-0000-0000-00006FCA0000}"/>
    <cellStyle name="Salida 6 3 8 3 4" xfId="51640" xr:uid="{00000000-0005-0000-0000-000070CA0000}"/>
    <cellStyle name="Salida 6 3 8 3 5" xfId="51641" xr:uid="{00000000-0005-0000-0000-000071CA0000}"/>
    <cellStyle name="Salida 6 3 8 3 6" xfId="51642" xr:uid="{00000000-0005-0000-0000-000072CA0000}"/>
    <cellStyle name="Salida 6 3 8 4" xfId="51643" xr:uid="{00000000-0005-0000-0000-000073CA0000}"/>
    <cellStyle name="Salida 6 3 8 5" xfId="51644" xr:uid="{00000000-0005-0000-0000-000074CA0000}"/>
    <cellStyle name="Salida 6 3 9" xfId="51645" xr:uid="{00000000-0005-0000-0000-000075CA0000}"/>
    <cellStyle name="Salida 6 3 9 2" xfId="51646" xr:uid="{00000000-0005-0000-0000-000076CA0000}"/>
    <cellStyle name="Salida 6 3 9 2 2" xfId="51647" xr:uid="{00000000-0005-0000-0000-000077CA0000}"/>
    <cellStyle name="Salida 6 3 9 2 3" xfId="51648" xr:uid="{00000000-0005-0000-0000-000078CA0000}"/>
    <cellStyle name="Salida 6 3 9 2 4" xfId="51649" xr:uid="{00000000-0005-0000-0000-000079CA0000}"/>
    <cellStyle name="Salida 6 3 9 3" xfId="51650" xr:uid="{00000000-0005-0000-0000-00007ACA0000}"/>
    <cellStyle name="Salida 6 3 9 3 2" xfId="51651" xr:uid="{00000000-0005-0000-0000-00007BCA0000}"/>
    <cellStyle name="Salida 6 3 9 3 2 2" xfId="51652" xr:uid="{00000000-0005-0000-0000-00007CCA0000}"/>
    <cellStyle name="Salida 6 3 9 3 2 3" xfId="51653" xr:uid="{00000000-0005-0000-0000-00007DCA0000}"/>
    <cellStyle name="Salida 6 3 9 3 2 4" xfId="51654" xr:uid="{00000000-0005-0000-0000-00007ECA0000}"/>
    <cellStyle name="Salida 6 3 9 3 3" xfId="51655" xr:uid="{00000000-0005-0000-0000-00007FCA0000}"/>
    <cellStyle name="Salida 6 3 9 3 3 2" xfId="51656" xr:uid="{00000000-0005-0000-0000-000080CA0000}"/>
    <cellStyle name="Salida 6 3 9 3 3 3" xfId="51657" xr:uid="{00000000-0005-0000-0000-000081CA0000}"/>
    <cellStyle name="Salida 6 3 9 3 3 4" xfId="51658" xr:uid="{00000000-0005-0000-0000-000082CA0000}"/>
    <cellStyle name="Salida 6 3 9 3 4" xfId="51659" xr:uid="{00000000-0005-0000-0000-000083CA0000}"/>
    <cellStyle name="Salida 6 3 9 3 5" xfId="51660" xr:uid="{00000000-0005-0000-0000-000084CA0000}"/>
    <cellStyle name="Salida 6 3 9 3 6" xfId="51661" xr:uid="{00000000-0005-0000-0000-000085CA0000}"/>
    <cellStyle name="Salida 6 3 9 4" xfId="51662" xr:uid="{00000000-0005-0000-0000-000086CA0000}"/>
    <cellStyle name="Salida 6 3 9 5" xfId="51663" xr:uid="{00000000-0005-0000-0000-000087CA0000}"/>
    <cellStyle name="Salida 6 4" xfId="51664" xr:uid="{00000000-0005-0000-0000-000088CA0000}"/>
    <cellStyle name="Salida 6 4 10" xfId="51665" xr:uid="{00000000-0005-0000-0000-000089CA0000}"/>
    <cellStyle name="Salida 6 4 10 2" xfId="51666" xr:uid="{00000000-0005-0000-0000-00008ACA0000}"/>
    <cellStyle name="Salida 6 4 10 2 2" xfId="51667" xr:uid="{00000000-0005-0000-0000-00008BCA0000}"/>
    <cellStyle name="Salida 6 4 10 2 3" xfId="51668" xr:uid="{00000000-0005-0000-0000-00008CCA0000}"/>
    <cellStyle name="Salida 6 4 10 2 4" xfId="51669" xr:uid="{00000000-0005-0000-0000-00008DCA0000}"/>
    <cellStyle name="Salida 6 4 10 3" xfId="51670" xr:uid="{00000000-0005-0000-0000-00008ECA0000}"/>
    <cellStyle name="Salida 6 4 10 3 2" xfId="51671" xr:uid="{00000000-0005-0000-0000-00008FCA0000}"/>
    <cellStyle name="Salida 6 4 10 3 2 2" xfId="51672" xr:uid="{00000000-0005-0000-0000-000090CA0000}"/>
    <cellStyle name="Salida 6 4 10 3 2 3" xfId="51673" xr:uid="{00000000-0005-0000-0000-000091CA0000}"/>
    <cellStyle name="Salida 6 4 10 3 2 4" xfId="51674" xr:uid="{00000000-0005-0000-0000-000092CA0000}"/>
    <cellStyle name="Salida 6 4 10 3 3" xfId="51675" xr:uid="{00000000-0005-0000-0000-000093CA0000}"/>
    <cellStyle name="Salida 6 4 10 3 3 2" xfId="51676" xr:uid="{00000000-0005-0000-0000-000094CA0000}"/>
    <cellStyle name="Salida 6 4 10 3 3 3" xfId="51677" xr:uid="{00000000-0005-0000-0000-000095CA0000}"/>
    <cellStyle name="Salida 6 4 10 3 3 4" xfId="51678" xr:uid="{00000000-0005-0000-0000-000096CA0000}"/>
    <cellStyle name="Salida 6 4 10 3 4" xfId="51679" xr:uid="{00000000-0005-0000-0000-000097CA0000}"/>
    <cellStyle name="Salida 6 4 10 3 5" xfId="51680" xr:uid="{00000000-0005-0000-0000-000098CA0000}"/>
    <cellStyle name="Salida 6 4 10 3 6" xfId="51681" xr:uid="{00000000-0005-0000-0000-000099CA0000}"/>
    <cellStyle name="Salida 6 4 10 4" xfId="51682" xr:uid="{00000000-0005-0000-0000-00009ACA0000}"/>
    <cellStyle name="Salida 6 4 10 5" xfId="51683" xr:uid="{00000000-0005-0000-0000-00009BCA0000}"/>
    <cellStyle name="Salida 6 4 11" xfId="51684" xr:uid="{00000000-0005-0000-0000-00009CCA0000}"/>
    <cellStyle name="Salida 6 4 11 2" xfId="51685" xr:uid="{00000000-0005-0000-0000-00009DCA0000}"/>
    <cellStyle name="Salida 6 4 11 2 2" xfId="51686" xr:uid="{00000000-0005-0000-0000-00009ECA0000}"/>
    <cellStyle name="Salida 6 4 11 2 3" xfId="51687" xr:uid="{00000000-0005-0000-0000-00009FCA0000}"/>
    <cellStyle name="Salida 6 4 11 2 4" xfId="51688" xr:uid="{00000000-0005-0000-0000-0000A0CA0000}"/>
    <cellStyle name="Salida 6 4 11 3" xfId="51689" xr:uid="{00000000-0005-0000-0000-0000A1CA0000}"/>
    <cellStyle name="Salida 6 4 11 3 2" xfId="51690" xr:uid="{00000000-0005-0000-0000-0000A2CA0000}"/>
    <cellStyle name="Salida 6 4 11 3 2 2" xfId="51691" xr:uid="{00000000-0005-0000-0000-0000A3CA0000}"/>
    <cellStyle name="Salida 6 4 11 3 2 3" xfId="51692" xr:uid="{00000000-0005-0000-0000-0000A4CA0000}"/>
    <cellStyle name="Salida 6 4 11 3 2 4" xfId="51693" xr:uid="{00000000-0005-0000-0000-0000A5CA0000}"/>
    <cellStyle name="Salida 6 4 11 3 3" xfId="51694" xr:uid="{00000000-0005-0000-0000-0000A6CA0000}"/>
    <cellStyle name="Salida 6 4 11 3 3 2" xfId="51695" xr:uid="{00000000-0005-0000-0000-0000A7CA0000}"/>
    <cellStyle name="Salida 6 4 11 3 3 3" xfId="51696" xr:uid="{00000000-0005-0000-0000-0000A8CA0000}"/>
    <cellStyle name="Salida 6 4 11 3 3 4" xfId="51697" xr:uid="{00000000-0005-0000-0000-0000A9CA0000}"/>
    <cellStyle name="Salida 6 4 11 3 4" xfId="51698" xr:uid="{00000000-0005-0000-0000-0000AACA0000}"/>
    <cellStyle name="Salida 6 4 11 3 5" xfId="51699" xr:uid="{00000000-0005-0000-0000-0000ABCA0000}"/>
    <cellStyle name="Salida 6 4 11 3 6" xfId="51700" xr:uid="{00000000-0005-0000-0000-0000ACCA0000}"/>
    <cellStyle name="Salida 6 4 11 4" xfId="51701" xr:uid="{00000000-0005-0000-0000-0000ADCA0000}"/>
    <cellStyle name="Salida 6 4 11 5" xfId="51702" xr:uid="{00000000-0005-0000-0000-0000AECA0000}"/>
    <cellStyle name="Salida 6 4 12" xfId="51703" xr:uid="{00000000-0005-0000-0000-0000AFCA0000}"/>
    <cellStyle name="Salida 6 4 12 2" xfId="51704" xr:uid="{00000000-0005-0000-0000-0000B0CA0000}"/>
    <cellStyle name="Salida 6 4 12 2 2" xfId="51705" xr:uid="{00000000-0005-0000-0000-0000B1CA0000}"/>
    <cellStyle name="Salida 6 4 12 2 2 2" xfId="51706" xr:uid="{00000000-0005-0000-0000-0000B2CA0000}"/>
    <cellStyle name="Salida 6 4 12 2 2 3" xfId="51707" xr:uid="{00000000-0005-0000-0000-0000B3CA0000}"/>
    <cellStyle name="Salida 6 4 12 2 2 4" xfId="51708" xr:uid="{00000000-0005-0000-0000-0000B4CA0000}"/>
    <cellStyle name="Salida 6 4 12 2 3" xfId="51709" xr:uid="{00000000-0005-0000-0000-0000B5CA0000}"/>
    <cellStyle name="Salida 6 4 12 2 3 2" xfId="51710" xr:uid="{00000000-0005-0000-0000-0000B6CA0000}"/>
    <cellStyle name="Salida 6 4 12 2 3 3" xfId="51711" xr:uid="{00000000-0005-0000-0000-0000B7CA0000}"/>
    <cellStyle name="Salida 6 4 12 2 3 4" xfId="51712" xr:uid="{00000000-0005-0000-0000-0000B8CA0000}"/>
    <cellStyle name="Salida 6 4 12 2 4" xfId="51713" xr:uid="{00000000-0005-0000-0000-0000B9CA0000}"/>
    <cellStyle name="Salida 6 4 12 2 5" xfId="51714" xr:uid="{00000000-0005-0000-0000-0000BACA0000}"/>
    <cellStyle name="Salida 6 4 12 2 6" xfId="51715" xr:uid="{00000000-0005-0000-0000-0000BBCA0000}"/>
    <cellStyle name="Salida 6 4 12 3" xfId="51716" xr:uid="{00000000-0005-0000-0000-0000BCCA0000}"/>
    <cellStyle name="Salida 6 4 12 3 2" xfId="51717" xr:uid="{00000000-0005-0000-0000-0000BDCA0000}"/>
    <cellStyle name="Salida 6 4 12 3 2 2" xfId="51718" xr:uid="{00000000-0005-0000-0000-0000BECA0000}"/>
    <cellStyle name="Salida 6 4 12 3 2 3" xfId="51719" xr:uid="{00000000-0005-0000-0000-0000BFCA0000}"/>
    <cellStyle name="Salida 6 4 12 3 2 4" xfId="51720" xr:uid="{00000000-0005-0000-0000-0000C0CA0000}"/>
    <cellStyle name="Salida 6 4 12 3 3" xfId="51721" xr:uid="{00000000-0005-0000-0000-0000C1CA0000}"/>
    <cellStyle name="Salida 6 4 12 3 3 2" xfId="51722" xr:uid="{00000000-0005-0000-0000-0000C2CA0000}"/>
    <cellStyle name="Salida 6 4 12 3 3 3" xfId="51723" xr:uid="{00000000-0005-0000-0000-0000C3CA0000}"/>
    <cellStyle name="Salida 6 4 12 3 3 4" xfId="51724" xr:uid="{00000000-0005-0000-0000-0000C4CA0000}"/>
    <cellStyle name="Salida 6 4 12 3 4" xfId="51725" xr:uid="{00000000-0005-0000-0000-0000C5CA0000}"/>
    <cellStyle name="Salida 6 4 12 3 5" xfId="51726" xr:uid="{00000000-0005-0000-0000-0000C6CA0000}"/>
    <cellStyle name="Salida 6 4 12 3 6" xfId="51727" xr:uid="{00000000-0005-0000-0000-0000C7CA0000}"/>
    <cellStyle name="Salida 6 4 12 4" xfId="51728" xr:uid="{00000000-0005-0000-0000-0000C8CA0000}"/>
    <cellStyle name="Salida 6 4 12 5" xfId="51729" xr:uid="{00000000-0005-0000-0000-0000C9CA0000}"/>
    <cellStyle name="Salida 6 4 12 6" xfId="51730" xr:uid="{00000000-0005-0000-0000-0000CACA0000}"/>
    <cellStyle name="Salida 6 4 13" xfId="51731" xr:uid="{00000000-0005-0000-0000-0000CBCA0000}"/>
    <cellStyle name="Salida 6 4 14" xfId="51732" xr:uid="{00000000-0005-0000-0000-0000CCCA0000}"/>
    <cellStyle name="Salida 6 4 15" xfId="58799" xr:uid="{00000000-0005-0000-0000-0000CDCA0000}"/>
    <cellStyle name="Salida 6 4 2" xfId="51733" xr:uid="{00000000-0005-0000-0000-0000CECA0000}"/>
    <cellStyle name="Salida 6 4 2 2" xfId="51734" xr:uid="{00000000-0005-0000-0000-0000CFCA0000}"/>
    <cellStyle name="Salida 6 4 2 2 2" xfId="51735" xr:uid="{00000000-0005-0000-0000-0000D0CA0000}"/>
    <cellStyle name="Salida 6 4 2 2 2 2" xfId="51736" xr:uid="{00000000-0005-0000-0000-0000D1CA0000}"/>
    <cellStyle name="Salida 6 4 2 2 2 2 2" xfId="51737" xr:uid="{00000000-0005-0000-0000-0000D2CA0000}"/>
    <cellStyle name="Salida 6 4 2 2 2 2 3" xfId="51738" xr:uid="{00000000-0005-0000-0000-0000D3CA0000}"/>
    <cellStyle name="Salida 6 4 2 2 2 2 4" xfId="51739" xr:uid="{00000000-0005-0000-0000-0000D4CA0000}"/>
    <cellStyle name="Salida 6 4 2 2 2 3" xfId="51740" xr:uid="{00000000-0005-0000-0000-0000D5CA0000}"/>
    <cellStyle name="Salida 6 4 2 2 2 3 2" xfId="51741" xr:uid="{00000000-0005-0000-0000-0000D6CA0000}"/>
    <cellStyle name="Salida 6 4 2 2 2 3 3" xfId="51742" xr:uid="{00000000-0005-0000-0000-0000D7CA0000}"/>
    <cellStyle name="Salida 6 4 2 2 2 3 4" xfId="51743" xr:uid="{00000000-0005-0000-0000-0000D8CA0000}"/>
    <cellStyle name="Salida 6 4 2 2 2 4" xfId="51744" xr:uid="{00000000-0005-0000-0000-0000D9CA0000}"/>
    <cellStyle name="Salida 6 4 2 2 2 5" xfId="51745" xr:uid="{00000000-0005-0000-0000-0000DACA0000}"/>
    <cellStyle name="Salida 6 4 2 2 2 6" xfId="51746" xr:uid="{00000000-0005-0000-0000-0000DBCA0000}"/>
    <cellStyle name="Salida 6 4 2 2 3" xfId="51747" xr:uid="{00000000-0005-0000-0000-0000DCCA0000}"/>
    <cellStyle name="Salida 6 4 2 2 3 2" xfId="51748" xr:uid="{00000000-0005-0000-0000-0000DDCA0000}"/>
    <cellStyle name="Salida 6 4 2 2 3 2 2" xfId="51749" xr:uid="{00000000-0005-0000-0000-0000DECA0000}"/>
    <cellStyle name="Salida 6 4 2 2 3 2 3" xfId="51750" xr:uid="{00000000-0005-0000-0000-0000DFCA0000}"/>
    <cellStyle name="Salida 6 4 2 2 3 2 4" xfId="51751" xr:uid="{00000000-0005-0000-0000-0000E0CA0000}"/>
    <cellStyle name="Salida 6 4 2 2 3 3" xfId="51752" xr:uid="{00000000-0005-0000-0000-0000E1CA0000}"/>
    <cellStyle name="Salida 6 4 2 2 3 3 2" xfId="51753" xr:uid="{00000000-0005-0000-0000-0000E2CA0000}"/>
    <cellStyle name="Salida 6 4 2 2 3 3 3" xfId="51754" xr:uid="{00000000-0005-0000-0000-0000E3CA0000}"/>
    <cellStyle name="Salida 6 4 2 2 3 3 4" xfId="51755" xr:uid="{00000000-0005-0000-0000-0000E4CA0000}"/>
    <cellStyle name="Salida 6 4 2 2 3 4" xfId="51756" xr:uid="{00000000-0005-0000-0000-0000E5CA0000}"/>
    <cellStyle name="Salida 6 4 2 2 3 5" xfId="51757" xr:uid="{00000000-0005-0000-0000-0000E6CA0000}"/>
    <cellStyle name="Salida 6 4 2 2 3 6" xfId="51758" xr:uid="{00000000-0005-0000-0000-0000E7CA0000}"/>
    <cellStyle name="Salida 6 4 2 2 4" xfId="51759" xr:uid="{00000000-0005-0000-0000-0000E8CA0000}"/>
    <cellStyle name="Salida 6 4 2 2 5" xfId="51760" xr:uid="{00000000-0005-0000-0000-0000E9CA0000}"/>
    <cellStyle name="Salida 6 4 2 2 6" xfId="51761" xr:uid="{00000000-0005-0000-0000-0000EACA0000}"/>
    <cellStyle name="Salida 6 4 2 3" xfId="51762" xr:uid="{00000000-0005-0000-0000-0000EBCA0000}"/>
    <cellStyle name="Salida 6 4 2 4" xfId="51763" xr:uid="{00000000-0005-0000-0000-0000ECCA0000}"/>
    <cellStyle name="Salida 6 4 3" xfId="51764" xr:uid="{00000000-0005-0000-0000-0000EDCA0000}"/>
    <cellStyle name="Salida 6 4 3 2" xfId="51765" xr:uid="{00000000-0005-0000-0000-0000EECA0000}"/>
    <cellStyle name="Salida 6 4 3 2 2" xfId="51766" xr:uid="{00000000-0005-0000-0000-0000EFCA0000}"/>
    <cellStyle name="Salida 6 4 3 2 2 2" xfId="51767" xr:uid="{00000000-0005-0000-0000-0000F0CA0000}"/>
    <cellStyle name="Salida 6 4 3 2 2 2 2" xfId="51768" xr:uid="{00000000-0005-0000-0000-0000F1CA0000}"/>
    <cellStyle name="Salida 6 4 3 2 2 2 3" xfId="51769" xr:uid="{00000000-0005-0000-0000-0000F2CA0000}"/>
    <cellStyle name="Salida 6 4 3 2 2 2 4" xfId="51770" xr:uid="{00000000-0005-0000-0000-0000F3CA0000}"/>
    <cellStyle name="Salida 6 4 3 2 2 3" xfId="51771" xr:uid="{00000000-0005-0000-0000-0000F4CA0000}"/>
    <cellStyle name="Salida 6 4 3 2 2 3 2" xfId="51772" xr:uid="{00000000-0005-0000-0000-0000F5CA0000}"/>
    <cellStyle name="Salida 6 4 3 2 2 3 3" xfId="51773" xr:uid="{00000000-0005-0000-0000-0000F6CA0000}"/>
    <cellStyle name="Salida 6 4 3 2 2 3 4" xfId="51774" xr:uid="{00000000-0005-0000-0000-0000F7CA0000}"/>
    <cellStyle name="Salida 6 4 3 2 2 4" xfId="51775" xr:uid="{00000000-0005-0000-0000-0000F8CA0000}"/>
    <cellStyle name="Salida 6 4 3 2 2 5" xfId="51776" xr:uid="{00000000-0005-0000-0000-0000F9CA0000}"/>
    <cellStyle name="Salida 6 4 3 2 2 6" xfId="51777" xr:uid="{00000000-0005-0000-0000-0000FACA0000}"/>
    <cellStyle name="Salida 6 4 3 2 3" xfId="51778" xr:uid="{00000000-0005-0000-0000-0000FBCA0000}"/>
    <cellStyle name="Salida 6 4 3 2 3 2" xfId="51779" xr:uid="{00000000-0005-0000-0000-0000FCCA0000}"/>
    <cellStyle name="Salida 6 4 3 2 3 2 2" xfId="51780" xr:uid="{00000000-0005-0000-0000-0000FDCA0000}"/>
    <cellStyle name="Salida 6 4 3 2 3 2 3" xfId="51781" xr:uid="{00000000-0005-0000-0000-0000FECA0000}"/>
    <cellStyle name="Salida 6 4 3 2 3 2 4" xfId="51782" xr:uid="{00000000-0005-0000-0000-0000FFCA0000}"/>
    <cellStyle name="Salida 6 4 3 2 3 3" xfId="51783" xr:uid="{00000000-0005-0000-0000-000000CB0000}"/>
    <cellStyle name="Salida 6 4 3 2 3 3 2" xfId="51784" xr:uid="{00000000-0005-0000-0000-000001CB0000}"/>
    <cellStyle name="Salida 6 4 3 2 3 3 3" xfId="51785" xr:uid="{00000000-0005-0000-0000-000002CB0000}"/>
    <cellStyle name="Salida 6 4 3 2 3 3 4" xfId="51786" xr:uid="{00000000-0005-0000-0000-000003CB0000}"/>
    <cellStyle name="Salida 6 4 3 2 3 4" xfId="51787" xr:uid="{00000000-0005-0000-0000-000004CB0000}"/>
    <cellStyle name="Salida 6 4 3 2 3 5" xfId="51788" xr:uid="{00000000-0005-0000-0000-000005CB0000}"/>
    <cellStyle name="Salida 6 4 3 2 3 6" xfId="51789" xr:uid="{00000000-0005-0000-0000-000006CB0000}"/>
    <cellStyle name="Salida 6 4 3 2 4" xfId="51790" xr:uid="{00000000-0005-0000-0000-000007CB0000}"/>
    <cellStyle name="Salida 6 4 3 2 5" xfId="51791" xr:uid="{00000000-0005-0000-0000-000008CB0000}"/>
    <cellStyle name="Salida 6 4 3 2 6" xfId="51792" xr:uid="{00000000-0005-0000-0000-000009CB0000}"/>
    <cellStyle name="Salida 6 4 3 3" xfId="51793" xr:uid="{00000000-0005-0000-0000-00000ACB0000}"/>
    <cellStyle name="Salida 6 4 3 4" xfId="51794" xr:uid="{00000000-0005-0000-0000-00000BCB0000}"/>
    <cellStyle name="Salida 6 4 4" xfId="51795" xr:uid="{00000000-0005-0000-0000-00000CCB0000}"/>
    <cellStyle name="Salida 6 4 4 2" xfId="51796" xr:uid="{00000000-0005-0000-0000-00000DCB0000}"/>
    <cellStyle name="Salida 6 4 4 2 2" xfId="51797" xr:uid="{00000000-0005-0000-0000-00000ECB0000}"/>
    <cellStyle name="Salida 6 4 4 2 2 2" xfId="51798" xr:uid="{00000000-0005-0000-0000-00000FCB0000}"/>
    <cellStyle name="Salida 6 4 4 2 2 2 2" xfId="51799" xr:uid="{00000000-0005-0000-0000-000010CB0000}"/>
    <cellStyle name="Salida 6 4 4 2 2 2 3" xfId="51800" xr:uid="{00000000-0005-0000-0000-000011CB0000}"/>
    <cellStyle name="Salida 6 4 4 2 2 2 4" xfId="51801" xr:uid="{00000000-0005-0000-0000-000012CB0000}"/>
    <cellStyle name="Salida 6 4 4 2 2 3" xfId="51802" xr:uid="{00000000-0005-0000-0000-000013CB0000}"/>
    <cellStyle name="Salida 6 4 4 2 2 3 2" xfId="51803" xr:uid="{00000000-0005-0000-0000-000014CB0000}"/>
    <cellStyle name="Salida 6 4 4 2 2 3 3" xfId="51804" xr:uid="{00000000-0005-0000-0000-000015CB0000}"/>
    <cellStyle name="Salida 6 4 4 2 2 3 4" xfId="51805" xr:uid="{00000000-0005-0000-0000-000016CB0000}"/>
    <cellStyle name="Salida 6 4 4 2 2 4" xfId="51806" xr:uid="{00000000-0005-0000-0000-000017CB0000}"/>
    <cellStyle name="Salida 6 4 4 2 2 5" xfId="51807" xr:uid="{00000000-0005-0000-0000-000018CB0000}"/>
    <cellStyle name="Salida 6 4 4 2 2 6" xfId="51808" xr:uid="{00000000-0005-0000-0000-000019CB0000}"/>
    <cellStyle name="Salida 6 4 4 2 3" xfId="51809" xr:uid="{00000000-0005-0000-0000-00001ACB0000}"/>
    <cellStyle name="Salida 6 4 4 2 3 2" xfId="51810" xr:uid="{00000000-0005-0000-0000-00001BCB0000}"/>
    <cellStyle name="Salida 6 4 4 2 3 2 2" xfId="51811" xr:uid="{00000000-0005-0000-0000-00001CCB0000}"/>
    <cellStyle name="Salida 6 4 4 2 3 2 3" xfId="51812" xr:uid="{00000000-0005-0000-0000-00001DCB0000}"/>
    <cellStyle name="Salida 6 4 4 2 3 2 4" xfId="51813" xr:uid="{00000000-0005-0000-0000-00001ECB0000}"/>
    <cellStyle name="Salida 6 4 4 2 3 3" xfId="51814" xr:uid="{00000000-0005-0000-0000-00001FCB0000}"/>
    <cellStyle name="Salida 6 4 4 2 3 3 2" xfId="51815" xr:uid="{00000000-0005-0000-0000-000020CB0000}"/>
    <cellStyle name="Salida 6 4 4 2 3 3 3" xfId="51816" xr:uid="{00000000-0005-0000-0000-000021CB0000}"/>
    <cellStyle name="Salida 6 4 4 2 3 3 4" xfId="51817" xr:uid="{00000000-0005-0000-0000-000022CB0000}"/>
    <cellStyle name="Salida 6 4 4 2 3 4" xfId="51818" xr:uid="{00000000-0005-0000-0000-000023CB0000}"/>
    <cellStyle name="Salida 6 4 4 2 3 5" xfId="51819" xr:uid="{00000000-0005-0000-0000-000024CB0000}"/>
    <cellStyle name="Salida 6 4 4 2 3 6" xfId="51820" xr:uid="{00000000-0005-0000-0000-000025CB0000}"/>
    <cellStyle name="Salida 6 4 4 2 4" xfId="51821" xr:uid="{00000000-0005-0000-0000-000026CB0000}"/>
    <cellStyle name="Salida 6 4 4 2 5" xfId="51822" xr:uid="{00000000-0005-0000-0000-000027CB0000}"/>
    <cellStyle name="Salida 6 4 4 2 6" xfId="51823" xr:uid="{00000000-0005-0000-0000-000028CB0000}"/>
    <cellStyle name="Salida 6 4 4 3" xfId="51824" xr:uid="{00000000-0005-0000-0000-000029CB0000}"/>
    <cellStyle name="Salida 6 4 4 4" xfId="51825" xr:uid="{00000000-0005-0000-0000-00002ACB0000}"/>
    <cellStyle name="Salida 6 4 5" xfId="51826" xr:uid="{00000000-0005-0000-0000-00002BCB0000}"/>
    <cellStyle name="Salida 6 4 5 2" xfId="51827" xr:uid="{00000000-0005-0000-0000-00002CCB0000}"/>
    <cellStyle name="Salida 6 4 5 2 2" xfId="51828" xr:uid="{00000000-0005-0000-0000-00002DCB0000}"/>
    <cellStyle name="Salida 6 4 5 2 3" xfId="51829" xr:uid="{00000000-0005-0000-0000-00002ECB0000}"/>
    <cellStyle name="Salida 6 4 5 2 4" xfId="51830" xr:uid="{00000000-0005-0000-0000-00002FCB0000}"/>
    <cellStyle name="Salida 6 4 5 3" xfId="51831" xr:uid="{00000000-0005-0000-0000-000030CB0000}"/>
    <cellStyle name="Salida 6 4 5 3 2" xfId="51832" xr:uid="{00000000-0005-0000-0000-000031CB0000}"/>
    <cellStyle name="Salida 6 4 5 3 2 2" xfId="51833" xr:uid="{00000000-0005-0000-0000-000032CB0000}"/>
    <cellStyle name="Salida 6 4 5 3 2 3" xfId="51834" xr:uid="{00000000-0005-0000-0000-000033CB0000}"/>
    <cellStyle name="Salida 6 4 5 3 2 4" xfId="51835" xr:uid="{00000000-0005-0000-0000-000034CB0000}"/>
    <cellStyle name="Salida 6 4 5 3 3" xfId="51836" xr:uid="{00000000-0005-0000-0000-000035CB0000}"/>
    <cellStyle name="Salida 6 4 5 3 3 2" xfId="51837" xr:uid="{00000000-0005-0000-0000-000036CB0000}"/>
    <cellStyle name="Salida 6 4 5 3 3 3" xfId="51838" xr:uid="{00000000-0005-0000-0000-000037CB0000}"/>
    <cellStyle name="Salida 6 4 5 3 3 4" xfId="51839" xr:uid="{00000000-0005-0000-0000-000038CB0000}"/>
    <cellStyle name="Salida 6 4 5 3 4" xfId="51840" xr:uid="{00000000-0005-0000-0000-000039CB0000}"/>
    <cellStyle name="Salida 6 4 5 3 5" xfId="51841" xr:uid="{00000000-0005-0000-0000-00003ACB0000}"/>
    <cellStyle name="Salida 6 4 5 3 6" xfId="51842" xr:uid="{00000000-0005-0000-0000-00003BCB0000}"/>
    <cellStyle name="Salida 6 4 5 4" xfId="51843" xr:uid="{00000000-0005-0000-0000-00003CCB0000}"/>
    <cellStyle name="Salida 6 4 5 5" xfId="51844" xr:uid="{00000000-0005-0000-0000-00003DCB0000}"/>
    <cellStyle name="Salida 6 4 6" xfId="51845" xr:uid="{00000000-0005-0000-0000-00003ECB0000}"/>
    <cellStyle name="Salida 6 4 6 2" xfId="51846" xr:uid="{00000000-0005-0000-0000-00003FCB0000}"/>
    <cellStyle name="Salida 6 4 6 2 2" xfId="51847" xr:uid="{00000000-0005-0000-0000-000040CB0000}"/>
    <cellStyle name="Salida 6 4 6 2 3" xfId="51848" xr:uid="{00000000-0005-0000-0000-000041CB0000}"/>
    <cellStyle name="Salida 6 4 6 2 4" xfId="51849" xr:uid="{00000000-0005-0000-0000-000042CB0000}"/>
    <cellStyle name="Salida 6 4 6 3" xfId="51850" xr:uid="{00000000-0005-0000-0000-000043CB0000}"/>
    <cellStyle name="Salida 6 4 6 3 2" xfId="51851" xr:uid="{00000000-0005-0000-0000-000044CB0000}"/>
    <cellStyle name="Salida 6 4 6 3 2 2" xfId="51852" xr:uid="{00000000-0005-0000-0000-000045CB0000}"/>
    <cellStyle name="Salida 6 4 6 3 2 3" xfId="51853" xr:uid="{00000000-0005-0000-0000-000046CB0000}"/>
    <cellStyle name="Salida 6 4 6 3 2 4" xfId="51854" xr:uid="{00000000-0005-0000-0000-000047CB0000}"/>
    <cellStyle name="Salida 6 4 6 3 3" xfId="51855" xr:uid="{00000000-0005-0000-0000-000048CB0000}"/>
    <cellStyle name="Salida 6 4 6 3 3 2" xfId="51856" xr:uid="{00000000-0005-0000-0000-000049CB0000}"/>
    <cellStyle name="Salida 6 4 6 3 3 3" xfId="51857" xr:uid="{00000000-0005-0000-0000-00004ACB0000}"/>
    <cellStyle name="Salida 6 4 6 3 3 4" xfId="51858" xr:uid="{00000000-0005-0000-0000-00004BCB0000}"/>
    <cellStyle name="Salida 6 4 6 3 4" xfId="51859" xr:uid="{00000000-0005-0000-0000-00004CCB0000}"/>
    <cellStyle name="Salida 6 4 6 3 5" xfId="51860" xr:uid="{00000000-0005-0000-0000-00004DCB0000}"/>
    <cellStyle name="Salida 6 4 6 3 6" xfId="51861" xr:uid="{00000000-0005-0000-0000-00004ECB0000}"/>
    <cellStyle name="Salida 6 4 6 4" xfId="51862" xr:uid="{00000000-0005-0000-0000-00004FCB0000}"/>
    <cellStyle name="Salida 6 4 6 5" xfId="51863" xr:uid="{00000000-0005-0000-0000-000050CB0000}"/>
    <cellStyle name="Salida 6 4 7" xfId="51864" xr:uid="{00000000-0005-0000-0000-000051CB0000}"/>
    <cellStyle name="Salida 6 4 7 2" xfId="51865" xr:uid="{00000000-0005-0000-0000-000052CB0000}"/>
    <cellStyle name="Salida 6 4 7 2 2" xfId="51866" xr:uid="{00000000-0005-0000-0000-000053CB0000}"/>
    <cellStyle name="Salida 6 4 7 2 3" xfId="51867" xr:uid="{00000000-0005-0000-0000-000054CB0000}"/>
    <cellStyle name="Salida 6 4 7 2 4" xfId="51868" xr:uid="{00000000-0005-0000-0000-000055CB0000}"/>
    <cellStyle name="Salida 6 4 7 3" xfId="51869" xr:uid="{00000000-0005-0000-0000-000056CB0000}"/>
    <cellStyle name="Salida 6 4 7 3 2" xfId="51870" xr:uid="{00000000-0005-0000-0000-000057CB0000}"/>
    <cellStyle name="Salida 6 4 7 3 2 2" xfId="51871" xr:uid="{00000000-0005-0000-0000-000058CB0000}"/>
    <cellStyle name="Salida 6 4 7 3 2 3" xfId="51872" xr:uid="{00000000-0005-0000-0000-000059CB0000}"/>
    <cellStyle name="Salida 6 4 7 3 2 4" xfId="51873" xr:uid="{00000000-0005-0000-0000-00005ACB0000}"/>
    <cellStyle name="Salida 6 4 7 3 3" xfId="51874" xr:uid="{00000000-0005-0000-0000-00005BCB0000}"/>
    <cellStyle name="Salida 6 4 7 3 3 2" xfId="51875" xr:uid="{00000000-0005-0000-0000-00005CCB0000}"/>
    <cellStyle name="Salida 6 4 7 3 3 3" xfId="51876" xr:uid="{00000000-0005-0000-0000-00005DCB0000}"/>
    <cellStyle name="Salida 6 4 7 3 3 4" xfId="51877" xr:uid="{00000000-0005-0000-0000-00005ECB0000}"/>
    <cellStyle name="Salida 6 4 7 3 4" xfId="51878" xr:uid="{00000000-0005-0000-0000-00005FCB0000}"/>
    <cellStyle name="Salida 6 4 7 3 5" xfId="51879" xr:uid="{00000000-0005-0000-0000-000060CB0000}"/>
    <cellStyle name="Salida 6 4 7 3 6" xfId="51880" xr:uid="{00000000-0005-0000-0000-000061CB0000}"/>
    <cellStyle name="Salida 6 4 7 4" xfId="51881" xr:uid="{00000000-0005-0000-0000-000062CB0000}"/>
    <cellStyle name="Salida 6 4 7 5" xfId="51882" xr:uid="{00000000-0005-0000-0000-000063CB0000}"/>
    <cellStyle name="Salida 6 4 8" xfId="51883" xr:uid="{00000000-0005-0000-0000-000064CB0000}"/>
    <cellStyle name="Salida 6 4 8 2" xfId="51884" xr:uid="{00000000-0005-0000-0000-000065CB0000}"/>
    <cellStyle name="Salida 6 4 8 2 2" xfId="51885" xr:uid="{00000000-0005-0000-0000-000066CB0000}"/>
    <cellStyle name="Salida 6 4 8 2 3" xfId="51886" xr:uid="{00000000-0005-0000-0000-000067CB0000}"/>
    <cellStyle name="Salida 6 4 8 2 4" xfId="51887" xr:uid="{00000000-0005-0000-0000-000068CB0000}"/>
    <cellStyle name="Salida 6 4 8 3" xfId="51888" xr:uid="{00000000-0005-0000-0000-000069CB0000}"/>
    <cellStyle name="Salida 6 4 8 3 2" xfId="51889" xr:uid="{00000000-0005-0000-0000-00006ACB0000}"/>
    <cellStyle name="Salida 6 4 8 3 2 2" xfId="51890" xr:uid="{00000000-0005-0000-0000-00006BCB0000}"/>
    <cellStyle name="Salida 6 4 8 3 2 3" xfId="51891" xr:uid="{00000000-0005-0000-0000-00006CCB0000}"/>
    <cellStyle name="Salida 6 4 8 3 2 4" xfId="51892" xr:uid="{00000000-0005-0000-0000-00006DCB0000}"/>
    <cellStyle name="Salida 6 4 8 3 3" xfId="51893" xr:uid="{00000000-0005-0000-0000-00006ECB0000}"/>
    <cellStyle name="Salida 6 4 8 3 3 2" xfId="51894" xr:uid="{00000000-0005-0000-0000-00006FCB0000}"/>
    <cellStyle name="Salida 6 4 8 3 3 3" xfId="51895" xr:uid="{00000000-0005-0000-0000-000070CB0000}"/>
    <cellStyle name="Salida 6 4 8 3 3 4" xfId="51896" xr:uid="{00000000-0005-0000-0000-000071CB0000}"/>
    <cellStyle name="Salida 6 4 8 3 4" xfId="51897" xr:uid="{00000000-0005-0000-0000-000072CB0000}"/>
    <cellStyle name="Salida 6 4 8 3 5" xfId="51898" xr:uid="{00000000-0005-0000-0000-000073CB0000}"/>
    <cellStyle name="Salida 6 4 8 3 6" xfId="51899" xr:uid="{00000000-0005-0000-0000-000074CB0000}"/>
    <cellStyle name="Salida 6 4 8 4" xfId="51900" xr:uid="{00000000-0005-0000-0000-000075CB0000}"/>
    <cellStyle name="Salida 6 4 8 5" xfId="51901" xr:uid="{00000000-0005-0000-0000-000076CB0000}"/>
    <cellStyle name="Salida 6 4 9" xfId="51902" xr:uid="{00000000-0005-0000-0000-000077CB0000}"/>
    <cellStyle name="Salida 6 4 9 2" xfId="51903" xr:uid="{00000000-0005-0000-0000-000078CB0000}"/>
    <cellStyle name="Salida 6 4 9 2 2" xfId="51904" xr:uid="{00000000-0005-0000-0000-000079CB0000}"/>
    <cellStyle name="Salida 6 4 9 2 3" xfId="51905" xr:uid="{00000000-0005-0000-0000-00007ACB0000}"/>
    <cellStyle name="Salida 6 4 9 2 4" xfId="51906" xr:uid="{00000000-0005-0000-0000-00007BCB0000}"/>
    <cellStyle name="Salida 6 4 9 3" xfId="51907" xr:uid="{00000000-0005-0000-0000-00007CCB0000}"/>
    <cellStyle name="Salida 6 4 9 3 2" xfId="51908" xr:uid="{00000000-0005-0000-0000-00007DCB0000}"/>
    <cellStyle name="Salida 6 4 9 3 2 2" xfId="51909" xr:uid="{00000000-0005-0000-0000-00007ECB0000}"/>
    <cellStyle name="Salida 6 4 9 3 2 3" xfId="51910" xr:uid="{00000000-0005-0000-0000-00007FCB0000}"/>
    <cellStyle name="Salida 6 4 9 3 2 4" xfId="51911" xr:uid="{00000000-0005-0000-0000-000080CB0000}"/>
    <cellStyle name="Salida 6 4 9 3 3" xfId="51912" xr:uid="{00000000-0005-0000-0000-000081CB0000}"/>
    <cellStyle name="Salida 6 4 9 3 3 2" xfId="51913" xr:uid="{00000000-0005-0000-0000-000082CB0000}"/>
    <cellStyle name="Salida 6 4 9 3 3 3" xfId="51914" xr:uid="{00000000-0005-0000-0000-000083CB0000}"/>
    <cellStyle name="Salida 6 4 9 3 3 4" xfId="51915" xr:uid="{00000000-0005-0000-0000-000084CB0000}"/>
    <cellStyle name="Salida 6 4 9 3 4" xfId="51916" xr:uid="{00000000-0005-0000-0000-000085CB0000}"/>
    <cellStyle name="Salida 6 4 9 3 5" xfId="51917" xr:uid="{00000000-0005-0000-0000-000086CB0000}"/>
    <cellStyle name="Salida 6 4 9 3 6" xfId="51918" xr:uid="{00000000-0005-0000-0000-000087CB0000}"/>
    <cellStyle name="Salida 6 4 9 4" xfId="51919" xr:uid="{00000000-0005-0000-0000-000088CB0000}"/>
    <cellStyle name="Salida 6 4 9 5" xfId="51920" xr:uid="{00000000-0005-0000-0000-000089CB0000}"/>
    <cellStyle name="Salida 6 5" xfId="51921" xr:uid="{00000000-0005-0000-0000-00008ACB0000}"/>
    <cellStyle name="Salida 6 5 2" xfId="51922" xr:uid="{00000000-0005-0000-0000-00008BCB0000}"/>
    <cellStyle name="Salida 6 5 2 2" xfId="51923" xr:uid="{00000000-0005-0000-0000-00008CCB0000}"/>
    <cellStyle name="Salida 6 5 2 3" xfId="51924" xr:uid="{00000000-0005-0000-0000-00008DCB0000}"/>
    <cellStyle name="Salida 6 5 2 4" xfId="51925" xr:uid="{00000000-0005-0000-0000-00008ECB0000}"/>
    <cellStyle name="Salida 6 5 3" xfId="51926" xr:uid="{00000000-0005-0000-0000-00008FCB0000}"/>
    <cellStyle name="Salida 6 5 3 2" xfId="51927" xr:uid="{00000000-0005-0000-0000-000090CB0000}"/>
    <cellStyle name="Salida 6 5 3 2 2" xfId="51928" xr:uid="{00000000-0005-0000-0000-000091CB0000}"/>
    <cellStyle name="Salida 6 5 3 2 3" xfId="51929" xr:uid="{00000000-0005-0000-0000-000092CB0000}"/>
    <cellStyle name="Salida 6 5 3 2 4" xfId="51930" xr:uid="{00000000-0005-0000-0000-000093CB0000}"/>
    <cellStyle name="Salida 6 5 3 3" xfId="51931" xr:uid="{00000000-0005-0000-0000-000094CB0000}"/>
    <cellStyle name="Salida 6 5 3 3 2" xfId="51932" xr:uid="{00000000-0005-0000-0000-000095CB0000}"/>
    <cellStyle name="Salida 6 5 3 3 3" xfId="51933" xr:uid="{00000000-0005-0000-0000-000096CB0000}"/>
    <cellStyle name="Salida 6 5 3 3 4" xfId="51934" xr:uid="{00000000-0005-0000-0000-000097CB0000}"/>
    <cellStyle name="Salida 6 5 3 4" xfId="51935" xr:uid="{00000000-0005-0000-0000-000098CB0000}"/>
    <cellStyle name="Salida 6 5 3 5" xfId="51936" xr:uid="{00000000-0005-0000-0000-000099CB0000}"/>
    <cellStyle name="Salida 6 5 3 6" xfId="51937" xr:uid="{00000000-0005-0000-0000-00009ACB0000}"/>
    <cellStyle name="Salida 6 5 4" xfId="51938" xr:uid="{00000000-0005-0000-0000-00009BCB0000}"/>
    <cellStyle name="Salida 6 5 5" xfId="51939" xr:uid="{00000000-0005-0000-0000-00009CCB0000}"/>
    <cellStyle name="Salida 6 6" xfId="51940" xr:uid="{00000000-0005-0000-0000-00009DCB0000}"/>
    <cellStyle name="Salida 6 6 2" xfId="51941" xr:uid="{00000000-0005-0000-0000-00009ECB0000}"/>
    <cellStyle name="Salida 6 6 2 2" xfId="51942" xr:uid="{00000000-0005-0000-0000-00009FCB0000}"/>
    <cellStyle name="Salida 6 6 2 2 2" xfId="51943" xr:uid="{00000000-0005-0000-0000-0000A0CB0000}"/>
    <cellStyle name="Salida 6 6 2 2 3" xfId="51944" xr:uid="{00000000-0005-0000-0000-0000A1CB0000}"/>
    <cellStyle name="Salida 6 6 2 2 4" xfId="51945" xr:uid="{00000000-0005-0000-0000-0000A2CB0000}"/>
    <cellStyle name="Salida 6 6 2 3" xfId="51946" xr:uid="{00000000-0005-0000-0000-0000A3CB0000}"/>
    <cellStyle name="Salida 6 6 2 3 2" xfId="51947" xr:uid="{00000000-0005-0000-0000-0000A4CB0000}"/>
    <cellStyle name="Salida 6 6 2 3 3" xfId="51948" xr:uid="{00000000-0005-0000-0000-0000A5CB0000}"/>
    <cellStyle name="Salida 6 6 2 3 4" xfId="51949" xr:uid="{00000000-0005-0000-0000-0000A6CB0000}"/>
    <cellStyle name="Salida 6 6 2 4" xfId="51950" xr:uid="{00000000-0005-0000-0000-0000A7CB0000}"/>
    <cellStyle name="Salida 6 6 2 5" xfId="51951" xr:uid="{00000000-0005-0000-0000-0000A8CB0000}"/>
    <cellStyle name="Salida 6 6 2 6" xfId="51952" xr:uid="{00000000-0005-0000-0000-0000A9CB0000}"/>
    <cellStyle name="Salida 6 6 3" xfId="51953" xr:uid="{00000000-0005-0000-0000-0000AACB0000}"/>
    <cellStyle name="Salida 6 6 3 2" xfId="51954" xr:uid="{00000000-0005-0000-0000-0000ABCB0000}"/>
    <cellStyle name="Salida 6 6 3 2 2" xfId="51955" xr:uid="{00000000-0005-0000-0000-0000ACCB0000}"/>
    <cellStyle name="Salida 6 6 3 2 3" xfId="51956" xr:uid="{00000000-0005-0000-0000-0000ADCB0000}"/>
    <cellStyle name="Salida 6 6 3 2 4" xfId="51957" xr:uid="{00000000-0005-0000-0000-0000AECB0000}"/>
    <cellStyle name="Salida 6 6 3 3" xfId="51958" xr:uid="{00000000-0005-0000-0000-0000AFCB0000}"/>
    <cellStyle name="Salida 6 6 3 3 2" xfId="51959" xr:uid="{00000000-0005-0000-0000-0000B0CB0000}"/>
    <cellStyle name="Salida 6 6 3 3 3" xfId="51960" xr:uid="{00000000-0005-0000-0000-0000B1CB0000}"/>
    <cellStyle name="Salida 6 6 3 3 4" xfId="51961" xr:uid="{00000000-0005-0000-0000-0000B2CB0000}"/>
    <cellStyle name="Salida 6 6 3 4" xfId="51962" xr:uid="{00000000-0005-0000-0000-0000B3CB0000}"/>
    <cellStyle name="Salida 6 6 3 5" xfId="51963" xr:uid="{00000000-0005-0000-0000-0000B4CB0000}"/>
    <cellStyle name="Salida 6 6 3 6" xfId="51964" xr:uid="{00000000-0005-0000-0000-0000B5CB0000}"/>
    <cellStyle name="Salida 6 6 4" xfId="51965" xr:uid="{00000000-0005-0000-0000-0000B6CB0000}"/>
    <cellStyle name="Salida 6 6 5" xfId="51966" xr:uid="{00000000-0005-0000-0000-0000B7CB0000}"/>
    <cellStyle name="Salida 6 6 6" xfId="51967" xr:uid="{00000000-0005-0000-0000-0000B8CB0000}"/>
    <cellStyle name="Salida 6 7" xfId="51968" xr:uid="{00000000-0005-0000-0000-0000B9CB0000}"/>
    <cellStyle name="Salida 6 8" xfId="51969" xr:uid="{00000000-0005-0000-0000-0000BACB0000}"/>
    <cellStyle name="Salida 7" xfId="51970" xr:uid="{00000000-0005-0000-0000-0000BBCB0000}"/>
    <cellStyle name="Salida 7 2" xfId="51971" xr:uid="{00000000-0005-0000-0000-0000BCCB0000}"/>
    <cellStyle name="Salida 7 2 2" xfId="51972" xr:uid="{00000000-0005-0000-0000-0000BDCB0000}"/>
    <cellStyle name="Salida 7 2 2 10" xfId="51973" xr:uid="{00000000-0005-0000-0000-0000BECB0000}"/>
    <cellStyle name="Salida 7 2 2 10 2" xfId="51974" xr:uid="{00000000-0005-0000-0000-0000BFCB0000}"/>
    <cellStyle name="Salida 7 2 2 10 2 2" xfId="51975" xr:uid="{00000000-0005-0000-0000-0000C0CB0000}"/>
    <cellStyle name="Salida 7 2 2 10 2 3" xfId="51976" xr:uid="{00000000-0005-0000-0000-0000C1CB0000}"/>
    <cellStyle name="Salida 7 2 2 10 2 4" xfId="51977" xr:uid="{00000000-0005-0000-0000-0000C2CB0000}"/>
    <cellStyle name="Salida 7 2 2 10 3" xfId="51978" xr:uid="{00000000-0005-0000-0000-0000C3CB0000}"/>
    <cellStyle name="Salida 7 2 2 10 3 2" xfId="51979" xr:uid="{00000000-0005-0000-0000-0000C4CB0000}"/>
    <cellStyle name="Salida 7 2 2 10 3 2 2" xfId="51980" xr:uid="{00000000-0005-0000-0000-0000C5CB0000}"/>
    <cellStyle name="Salida 7 2 2 10 3 2 3" xfId="51981" xr:uid="{00000000-0005-0000-0000-0000C6CB0000}"/>
    <cellStyle name="Salida 7 2 2 10 3 2 4" xfId="51982" xr:uid="{00000000-0005-0000-0000-0000C7CB0000}"/>
    <cellStyle name="Salida 7 2 2 10 3 3" xfId="51983" xr:uid="{00000000-0005-0000-0000-0000C8CB0000}"/>
    <cellStyle name="Salida 7 2 2 10 3 3 2" xfId="51984" xr:uid="{00000000-0005-0000-0000-0000C9CB0000}"/>
    <cellStyle name="Salida 7 2 2 10 3 3 3" xfId="51985" xr:uid="{00000000-0005-0000-0000-0000CACB0000}"/>
    <cellStyle name="Salida 7 2 2 10 3 3 4" xfId="51986" xr:uid="{00000000-0005-0000-0000-0000CBCB0000}"/>
    <cellStyle name="Salida 7 2 2 10 3 4" xfId="51987" xr:uid="{00000000-0005-0000-0000-0000CCCB0000}"/>
    <cellStyle name="Salida 7 2 2 10 3 5" xfId="51988" xr:uid="{00000000-0005-0000-0000-0000CDCB0000}"/>
    <cellStyle name="Salida 7 2 2 10 3 6" xfId="51989" xr:uid="{00000000-0005-0000-0000-0000CECB0000}"/>
    <cellStyle name="Salida 7 2 2 10 4" xfId="51990" xr:uid="{00000000-0005-0000-0000-0000CFCB0000}"/>
    <cellStyle name="Salida 7 2 2 10 5" xfId="51991" xr:uid="{00000000-0005-0000-0000-0000D0CB0000}"/>
    <cellStyle name="Salida 7 2 2 11" xfId="51992" xr:uid="{00000000-0005-0000-0000-0000D1CB0000}"/>
    <cellStyle name="Salida 7 2 2 11 2" xfId="51993" xr:uid="{00000000-0005-0000-0000-0000D2CB0000}"/>
    <cellStyle name="Salida 7 2 2 11 2 2" xfId="51994" xr:uid="{00000000-0005-0000-0000-0000D3CB0000}"/>
    <cellStyle name="Salida 7 2 2 11 2 3" xfId="51995" xr:uid="{00000000-0005-0000-0000-0000D4CB0000}"/>
    <cellStyle name="Salida 7 2 2 11 2 4" xfId="51996" xr:uid="{00000000-0005-0000-0000-0000D5CB0000}"/>
    <cellStyle name="Salida 7 2 2 11 3" xfId="51997" xr:uid="{00000000-0005-0000-0000-0000D6CB0000}"/>
    <cellStyle name="Salida 7 2 2 11 3 2" xfId="51998" xr:uid="{00000000-0005-0000-0000-0000D7CB0000}"/>
    <cellStyle name="Salida 7 2 2 11 3 2 2" xfId="51999" xr:uid="{00000000-0005-0000-0000-0000D8CB0000}"/>
    <cellStyle name="Salida 7 2 2 11 3 2 3" xfId="52000" xr:uid="{00000000-0005-0000-0000-0000D9CB0000}"/>
    <cellStyle name="Salida 7 2 2 11 3 2 4" xfId="52001" xr:uid="{00000000-0005-0000-0000-0000DACB0000}"/>
    <cellStyle name="Salida 7 2 2 11 3 3" xfId="52002" xr:uid="{00000000-0005-0000-0000-0000DBCB0000}"/>
    <cellStyle name="Salida 7 2 2 11 3 3 2" xfId="52003" xr:uid="{00000000-0005-0000-0000-0000DCCB0000}"/>
    <cellStyle name="Salida 7 2 2 11 3 3 3" xfId="52004" xr:uid="{00000000-0005-0000-0000-0000DDCB0000}"/>
    <cellStyle name="Salida 7 2 2 11 3 3 4" xfId="52005" xr:uid="{00000000-0005-0000-0000-0000DECB0000}"/>
    <cellStyle name="Salida 7 2 2 11 3 4" xfId="52006" xr:uid="{00000000-0005-0000-0000-0000DFCB0000}"/>
    <cellStyle name="Salida 7 2 2 11 3 5" xfId="52007" xr:uid="{00000000-0005-0000-0000-0000E0CB0000}"/>
    <cellStyle name="Salida 7 2 2 11 3 6" xfId="52008" xr:uid="{00000000-0005-0000-0000-0000E1CB0000}"/>
    <cellStyle name="Salida 7 2 2 11 4" xfId="52009" xr:uid="{00000000-0005-0000-0000-0000E2CB0000}"/>
    <cellStyle name="Salida 7 2 2 11 5" xfId="52010" xr:uid="{00000000-0005-0000-0000-0000E3CB0000}"/>
    <cellStyle name="Salida 7 2 2 12" xfId="52011" xr:uid="{00000000-0005-0000-0000-0000E4CB0000}"/>
    <cellStyle name="Salida 7 2 2 12 2" xfId="52012" xr:uid="{00000000-0005-0000-0000-0000E5CB0000}"/>
    <cellStyle name="Salida 7 2 2 12 2 2" xfId="52013" xr:uid="{00000000-0005-0000-0000-0000E6CB0000}"/>
    <cellStyle name="Salida 7 2 2 12 2 2 2" xfId="52014" xr:uid="{00000000-0005-0000-0000-0000E7CB0000}"/>
    <cellStyle name="Salida 7 2 2 12 2 2 3" xfId="52015" xr:uid="{00000000-0005-0000-0000-0000E8CB0000}"/>
    <cellStyle name="Salida 7 2 2 12 2 2 4" xfId="52016" xr:uid="{00000000-0005-0000-0000-0000E9CB0000}"/>
    <cellStyle name="Salida 7 2 2 12 2 3" xfId="52017" xr:uid="{00000000-0005-0000-0000-0000EACB0000}"/>
    <cellStyle name="Salida 7 2 2 12 2 3 2" xfId="52018" xr:uid="{00000000-0005-0000-0000-0000EBCB0000}"/>
    <cellStyle name="Salida 7 2 2 12 2 3 3" xfId="52019" xr:uid="{00000000-0005-0000-0000-0000ECCB0000}"/>
    <cellStyle name="Salida 7 2 2 12 2 3 4" xfId="52020" xr:uid="{00000000-0005-0000-0000-0000EDCB0000}"/>
    <cellStyle name="Salida 7 2 2 12 2 4" xfId="52021" xr:uid="{00000000-0005-0000-0000-0000EECB0000}"/>
    <cellStyle name="Salida 7 2 2 12 2 5" xfId="52022" xr:uid="{00000000-0005-0000-0000-0000EFCB0000}"/>
    <cellStyle name="Salida 7 2 2 12 2 6" xfId="52023" xr:uid="{00000000-0005-0000-0000-0000F0CB0000}"/>
    <cellStyle name="Salida 7 2 2 12 3" xfId="52024" xr:uid="{00000000-0005-0000-0000-0000F1CB0000}"/>
    <cellStyle name="Salida 7 2 2 12 3 2" xfId="52025" xr:uid="{00000000-0005-0000-0000-0000F2CB0000}"/>
    <cellStyle name="Salida 7 2 2 12 3 2 2" xfId="52026" xr:uid="{00000000-0005-0000-0000-0000F3CB0000}"/>
    <cellStyle name="Salida 7 2 2 12 3 2 3" xfId="52027" xr:uid="{00000000-0005-0000-0000-0000F4CB0000}"/>
    <cellStyle name="Salida 7 2 2 12 3 2 4" xfId="52028" xr:uid="{00000000-0005-0000-0000-0000F5CB0000}"/>
    <cellStyle name="Salida 7 2 2 12 3 3" xfId="52029" xr:uid="{00000000-0005-0000-0000-0000F6CB0000}"/>
    <cellStyle name="Salida 7 2 2 12 3 3 2" xfId="52030" xr:uid="{00000000-0005-0000-0000-0000F7CB0000}"/>
    <cellStyle name="Salida 7 2 2 12 3 3 3" xfId="52031" xr:uid="{00000000-0005-0000-0000-0000F8CB0000}"/>
    <cellStyle name="Salida 7 2 2 12 3 3 4" xfId="52032" xr:uid="{00000000-0005-0000-0000-0000F9CB0000}"/>
    <cellStyle name="Salida 7 2 2 12 3 4" xfId="52033" xr:uid="{00000000-0005-0000-0000-0000FACB0000}"/>
    <cellStyle name="Salida 7 2 2 12 3 5" xfId="52034" xr:uid="{00000000-0005-0000-0000-0000FBCB0000}"/>
    <cellStyle name="Salida 7 2 2 12 3 6" xfId="52035" xr:uid="{00000000-0005-0000-0000-0000FCCB0000}"/>
    <cellStyle name="Salida 7 2 2 12 4" xfId="52036" xr:uid="{00000000-0005-0000-0000-0000FDCB0000}"/>
    <cellStyle name="Salida 7 2 2 12 5" xfId="52037" xr:uid="{00000000-0005-0000-0000-0000FECB0000}"/>
    <cellStyle name="Salida 7 2 2 12 6" xfId="52038" xr:uid="{00000000-0005-0000-0000-0000FFCB0000}"/>
    <cellStyle name="Salida 7 2 2 13" xfId="52039" xr:uid="{00000000-0005-0000-0000-000000CC0000}"/>
    <cellStyle name="Salida 7 2 2 14" xfId="52040" xr:uid="{00000000-0005-0000-0000-000001CC0000}"/>
    <cellStyle name="Salida 7 2 2 15" xfId="58800" xr:uid="{00000000-0005-0000-0000-000002CC0000}"/>
    <cellStyle name="Salida 7 2 2 2" xfId="52041" xr:uid="{00000000-0005-0000-0000-000003CC0000}"/>
    <cellStyle name="Salida 7 2 2 2 2" xfId="52042" xr:uid="{00000000-0005-0000-0000-000004CC0000}"/>
    <cellStyle name="Salida 7 2 2 2 2 2" xfId="52043" xr:uid="{00000000-0005-0000-0000-000005CC0000}"/>
    <cellStyle name="Salida 7 2 2 2 2 2 2" xfId="52044" xr:uid="{00000000-0005-0000-0000-000006CC0000}"/>
    <cellStyle name="Salida 7 2 2 2 2 2 2 2" xfId="52045" xr:uid="{00000000-0005-0000-0000-000007CC0000}"/>
    <cellStyle name="Salida 7 2 2 2 2 2 2 3" xfId="52046" xr:uid="{00000000-0005-0000-0000-000008CC0000}"/>
    <cellStyle name="Salida 7 2 2 2 2 2 2 4" xfId="52047" xr:uid="{00000000-0005-0000-0000-000009CC0000}"/>
    <cellStyle name="Salida 7 2 2 2 2 2 3" xfId="52048" xr:uid="{00000000-0005-0000-0000-00000ACC0000}"/>
    <cellStyle name="Salida 7 2 2 2 2 2 3 2" xfId="52049" xr:uid="{00000000-0005-0000-0000-00000BCC0000}"/>
    <cellStyle name="Salida 7 2 2 2 2 2 3 3" xfId="52050" xr:uid="{00000000-0005-0000-0000-00000CCC0000}"/>
    <cellStyle name="Salida 7 2 2 2 2 2 3 4" xfId="52051" xr:uid="{00000000-0005-0000-0000-00000DCC0000}"/>
    <cellStyle name="Salida 7 2 2 2 2 2 4" xfId="52052" xr:uid="{00000000-0005-0000-0000-00000ECC0000}"/>
    <cellStyle name="Salida 7 2 2 2 2 2 5" xfId="52053" xr:uid="{00000000-0005-0000-0000-00000FCC0000}"/>
    <cellStyle name="Salida 7 2 2 2 2 2 6" xfId="52054" xr:uid="{00000000-0005-0000-0000-000010CC0000}"/>
    <cellStyle name="Salida 7 2 2 2 2 3" xfId="52055" xr:uid="{00000000-0005-0000-0000-000011CC0000}"/>
    <cellStyle name="Salida 7 2 2 2 2 3 2" xfId="52056" xr:uid="{00000000-0005-0000-0000-000012CC0000}"/>
    <cellStyle name="Salida 7 2 2 2 2 3 2 2" xfId="52057" xr:uid="{00000000-0005-0000-0000-000013CC0000}"/>
    <cellStyle name="Salida 7 2 2 2 2 3 2 3" xfId="52058" xr:uid="{00000000-0005-0000-0000-000014CC0000}"/>
    <cellStyle name="Salida 7 2 2 2 2 3 2 4" xfId="52059" xr:uid="{00000000-0005-0000-0000-000015CC0000}"/>
    <cellStyle name="Salida 7 2 2 2 2 3 3" xfId="52060" xr:uid="{00000000-0005-0000-0000-000016CC0000}"/>
    <cellStyle name="Salida 7 2 2 2 2 3 3 2" xfId="52061" xr:uid="{00000000-0005-0000-0000-000017CC0000}"/>
    <cellStyle name="Salida 7 2 2 2 2 3 3 3" xfId="52062" xr:uid="{00000000-0005-0000-0000-000018CC0000}"/>
    <cellStyle name="Salida 7 2 2 2 2 3 3 4" xfId="52063" xr:uid="{00000000-0005-0000-0000-000019CC0000}"/>
    <cellStyle name="Salida 7 2 2 2 2 3 4" xfId="52064" xr:uid="{00000000-0005-0000-0000-00001ACC0000}"/>
    <cellStyle name="Salida 7 2 2 2 2 3 5" xfId="52065" xr:uid="{00000000-0005-0000-0000-00001BCC0000}"/>
    <cellStyle name="Salida 7 2 2 2 2 3 6" xfId="52066" xr:uid="{00000000-0005-0000-0000-00001CCC0000}"/>
    <cellStyle name="Salida 7 2 2 2 2 4" xfId="52067" xr:uid="{00000000-0005-0000-0000-00001DCC0000}"/>
    <cellStyle name="Salida 7 2 2 2 2 5" xfId="52068" xr:uid="{00000000-0005-0000-0000-00001ECC0000}"/>
    <cellStyle name="Salida 7 2 2 2 2 6" xfId="52069" xr:uid="{00000000-0005-0000-0000-00001FCC0000}"/>
    <cellStyle name="Salida 7 2 2 2 3" xfId="52070" xr:uid="{00000000-0005-0000-0000-000020CC0000}"/>
    <cellStyle name="Salida 7 2 2 2 4" xfId="52071" xr:uid="{00000000-0005-0000-0000-000021CC0000}"/>
    <cellStyle name="Salida 7 2 2 3" xfId="52072" xr:uid="{00000000-0005-0000-0000-000022CC0000}"/>
    <cellStyle name="Salida 7 2 2 3 2" xfId="52073" xr:uid="{00000000-0005-0000-0000-000023CC0000}"/>
    <cellStyle name="Salida 7 2 2 3 2 2" xfId="52074" xr:uid="{00000000-0005-0000-0000-000024CC0000}"/>
    <cellStyle name="Salida 7 2 2 3 2 2 2" xfId="52075" xr:uid="{00000000-0005-0000-0000-000025CC0000}"/>
    <cellStyle name="Salida 7 2 2 3 2 2 2 2" xfId="52076" xr:uid="{00000000-0005-0000-0000-000026CC0000}"/>
    <cellStyle name="Salida 7 2 2 3 2 2 2 3" xfId="52077" xr:uid="{00000000-0005-0000-0000-000027CC0000}"/>
    <cellStyle name="Salida 7 2 2 3 2 2 2 4" xfId="52078" xr:uid="{00000000-0005-0000-0000-000028CC0000}"/>
    <cellStyle name="Salida 7 2 2 3 2 2 3" xfId="52079" xr:uid="{00000000-0005-0000-0000-000029CC0000}"/>
    <cellStyle name="Salida 7 2 2 3 2 2 3 2" xfId="52080" xr:uid="{00000000-0005-0000-0000-00002ACC0000}"/>
    <cellStyle name="Salida 7 2 2 3 2 2 3 3" xfId="52081" xr:uid="{00000000-0005-0000-0000-00002BCC0000}"/>
    <cellStyle name="Salida 7 2 2 3 2 2 3 4" xfId="52082" xr:uid="{00000000-0005-0000-0000-00002CCC0000}"/>
    <cellStyle name="Salida 7 2 2 3 2 2 4" xfId="52083" xr:uid="{00000000-0005-0000-0000-00002DCC0000}"/>
    <cellStyle name="Salida 7 2 2 3 2 2 5" xfId="52084" xr:uid="{00000000-0005-0000-0000-00002ECC0000}"/>
    <cellStyle name="Salida 7 2 2 3 2 2 6" xfId="52085" xr:uid="{00000000-0005-0000-0000-00002FCC0000}"/>
    <cellStyle name="Salida 7 2 2 3 2 3" xfId="52086" xr:uid="{00000000-0005-0000-0000-000030CC0000}"/>
    <cellStyle name="Salida 7 2 2 3 2 3 2" xfId="52087" xr:uid="{00000000-0005-0000-0000-000031CC0000}"/>
    <cellStyle name="Salida 7 2 2 3 2 3 2 2" xfId="52088" xr:uid="{00000000-0005-0000-0000-000032CC0000}"/>
    <cellStyle name="Salida 7 2 2 3 2 3 2 3" xfId="52089" xr:uid="{00000000-0005-0000-0000-000033CC0000}"/>
    <cellStyle name="Salida 7 2 2 3 2 3 2 4" xfId="52090" xr:uid="{00000000-0005-0000-0000-000034CC0000}"/>
    <cellStyle name="Salida 7 2 2 3 2 3 3" xfId="52091" xr:uid="{00000000-0005-0000-0000-000035CC0000}"/>
    <cellStyle name="Salida 7 2 2 3 2 3 3 2" xfId="52092" xr:uid="{00000000-0005-0000-0000-000036CC0000}"/>
    <cellStyle name="Salida 7 2 2 3 2 3 3 3" xfId="52093" xr:uid="{00000000-0005-0000-0000-000037CC0000}"/>
    <cellStyle name="Salida 7 2 2 3 2 3 3 4" xfId="52094" xr:uid="{00000000-0005-0000-0000-000038CC0000}"/>
    <cellStyle name="Salida 7 2 2 3 2 3 4" xfId="52095" xr:uid="{00000000-0005-0000-0000-000039CC0000}"/>
    <cellStyle name="Salida 7 2 2 3 2 3 5" xfId="52096" xr:uid="{00000000-0005-0000-0000-00003ACC0000}"/>
    <cellStyle name="Salida 7 2 2 3 2 3 6" xfId="52097" xr:uid="{00000000-0005-0000-0000-00003BCC0000}"/>
    <cellStyle name="Salida 7 2 2 3 2 4" xfId="52098" xr:uid="{00000000-0005-0000-0000-00003CCC0000}"/>
    <cellStyle name="Salida 7 2 2 3 2 5" xfId="52099" xr:uid="{00000000-0005-0000-0000-00003DCC0000}"/>
    <cellStyle name="Salida 7 2 2 3 2 6" xfId="52100" xr:uid="{00000000-0005-0000-0000-00003ECC0000}"/>
    <cellStyle name="Salida 7 2 2 3 3" xfId="52101" xr:uid="{00000000-0005-0000-0000-00003FCC0000}"/>
    <cellStyle name="Salida 7 2 2 3 4" xfId="52102" xr:uid="{00000000-0005-0000-0000-000040CC0000}"/>
    <cellStyle name="Salida 7 2 2 4" xfId="52103" xr:uid="{00000000-0005-0000-0000-000041CC0000}"/>
    <cellStyle name="Salida 7 2 2 4 2" xfId="52104" xr:uid="{00000000-0005-0000-0000-000042CC0000}"/>
    <cellStyle name="Salida 7 2 2 4 2 2" xfId="52105" xr:uid="{00000000-0005-0000-0000-000043CC0000}"/>
    <cellStyle name="Salida 7 2 2 4 2 2 2" xfId="52106" xr:uid="{00000000-0005-0000-0000-000044CC0000}"/>
    <cellStyle name="Salida 7 2 2 4 2 2 2 2" xfId="52107" xr:uid="{00000000-0005-0000-0000-000045CC0000}"/>
    <cellStyle name="Salida 7 2 2 4 2 2 2 3" xfId="52108" xr:uid="{00000000-0005-0000-0000-000046CC0000}"/>
    <cellStyle name="Salida 7 2 2 4 2 2 2 4" xfId="52109" xr:uid="{00000000-0005-0000-0000-000047CC0000}"/>
    <cellStyle name="Salida 7 2 2 4 2 2 3" xfId="52110" xr:uid="{00000000-0005-0000-0000-000048CC0000}"/>
    <cellStyle name="Salida 7 2 2 4 2 2 3 2" xfId="52111" xr:uid="{00000000-0005-0000-0000-000049CC0000}"/>
    <cellStyle name="Salida 7 2 2 4 2 2 3 3" xfId="52112" xr:uid="{00000000-0005-0000-0000-00004ACC0000}"/>
    <cellStyle name="Salida 7 2 2 4 2 2 3 4" xfId="52113" xr:uid="{00000000-0005-0000-0000-00004BCC0000}"/>
    <cellStyle name="Salida 7 2 2 4 2 2 4" xfId="52114" xr:uid="{00000000-0005-0000-0000-00004CCC0000}"/>
    <cellStyle name="Salida 7 2 2 4 2 2 5" xfId="52115" xr:uid="{00000000-0005-0000-0000-00004DCC0000}"/>
    <cellStyle name="Salida 7 2 2 4 2 2 6" xfId="52116" xr:uid="{00000000-0005-0000-0000-00004ECC0000}"/>
    <cellStyle name="Salida 7 2 2 4 2 3" xfId="52117" xr:uid="{00000000-0005-0000-0000-00004FCC0000}"/>
    <cellStyle name="Salida 7 2 2 4 2 3 2" xfId="52118" xr:uid="{00000000-0005-0000-0000-000050CC0000}"/>
    <cellStyle name="Salida 7 2 2 4 2 3 2 2" xfId="52119" xr:uid="{00000000-0005-0000-0000-000051CC0000}"/>
    <cellStyle name="Salida 7 2 2 4 2 3 2 3" xfId="52120" xr:uid="{00000000-0005-0000-0000-000052CC0000}"/>
    <cellStyle name="Salida 7 2 2 4 2 3 2 4" xfId="52121" xr:uid="{00000000-0005-0000-0000-000053CC0000}"/>
    <cellStyle name="Salida 7 2 2 4 2 3 3" xfId="52122" xr:uid="{00000000-0005-0000-0000-000054CC0000}"/>
    <cellStyle name="Salida 7 2 2 4 2 3 3 2" xfId="52123" xr:uid="{00000000-0005-0000-0000-000055CC0000}"/>
    <cellStyle name="Salida 7 2 2 4 2 3 3 3" xfId="52124" xr:uid="{00000000-0005-0000-0000-000056CC0000}"/>
    <cellStyle name="Salida 7 2 2 4 2 3 3 4" xfId="52125" xr:uid="{00000000-0005-0000-0000-000057CC0000}"/>
    <cellStyle name="Salida 7 2 2 4 2 3 4" xfId="52126" xr:uid="{00000000-0005-0000-0000-000058CC0000}"/>
    <cellStyle name="Salida 7 2 2 4 2 3 5" xfId="52127" xr:uid="{00000000-0005-0000-0000-000059CC0000}"/>
    <cellStyle name="Salida 7 2 2 4 2 3 6" xfId="52128" xr:uid="{00000000-0005-0000-0000-00005ACC0000}"/>
    <cellStyle name="Salida 7 2 2 4 2 4" xfId="52129" xr:uid="{00000000-0005-0000-0000-00005BCC0000}"/>
    <cellStyle name="Salida 7 2 2 4 2 5" xfId="52130" xr:uid="{00000000-0005-0000-0000-00005CCC0000}"/>
    <cellStyle name="Salida 7 2 2 4 2 6" xfId="52131" xr:uid="{00000000-0005-0000-0000-00005DCC0000}"/>
    <cellStyle name="Salida 7 2 2 4 3" xfId="52132" xr:uid="{00000000-0005-0000-0000-00005ECC0000}"/>
    <cellStyle name="Salida 7 2 2 4 4" xfId="52133" xr:uid="{00000000-0005-0000-0000-00005FCC0000}"/>
    <cellStyle name="Salida 7 2 2 5" xfId="52134" xr:uid="{00000000-0005-0000-0000-000060CC0000}"/>
    <cellStyle name="Salida 7 2 2 5 2" xfId="52135" xr:uid="{00000000-0005-0000-0000-000061CC0000}"/>
    <cellStyle name="Salida 7 2 2 5 2 2" xfId="52136" xr:uid="{00000000-0005-0000-0000-000062CC0000}"/>
    <cellStyle name="Salida 7 2 2 5 2 3" xfId="52137" xr:uid="{00000000-0005-0000-0000-000063CC0000}"/>
    <cellStyle name="Salida 7 2 2 5 2 4" xfId="52138" xr:uid="{00000000-0005-0000-0000-000064CC0000}"/>
    <cellStyle name="Salida 7 2 2 5 3" xfId="52139" xr:uid="{00000000-0005-0000-0000-000065CC0000}"/>
    <cellStyle name="Salida 7 2 2 5 3 2" xfId="52140" xr:uid="{00000000-0005-0000-0000-000066CC0000}"/>
    <cellStyle name="Salida 7 2 2 5 3 2 2" xfId="52141" xr:uid="{00000000-0005-0000-0000-000067CC0000}"/>
    <cellStyle name="Salida 7 2 2 5 3 2 3" xfId="52142" xr:uid="{00000000-0005-0000-0000-000068CC0000}"/>
    <cellStyle name="Salida 7 2 2 5 3 2 4" xfId="52143" xr:uid="{00000000-0005-0000-0000-000069CC0000}"/>
    <cellStyle name="Salida 7 2 2 5 3 3" xfId="52144" xr:uid="{00000000-0005-0000-0000-00006ACC0000}"/>
    <cellStyle name="Salida 7 2 2 5 3 3 2" xfId="52145" xr:uid="{00000000-0005-0000-0000-00006BCC0000}"/>
    <cellStyle name="Salida 7 2 2 5 3 3 3" xfId="52146" xr:uid="{00000000-0005-0000-0000-00006CCC0000}"/>
    <cellStyle name="Salida 7 2 2 5 3 3 4" xfId="52147" xr:uid="{00000000-0005-0000-0000-00006DCC0000}"/>
    <cellStyle name="Salida 7 2 2 5 3 4" xfId="52148" xr:uid="{00000000-0005-0000-0000-00006ECC0000}"/>
    <cellStyle name="Salida 7 2 2 5 3 5" xfId="52149" xr:uid="{00000000-0005-0000-0000-00006FCC0000}"/>
    <cellStyle name="Salida 7 2 2 5 3 6" xfId="52150" xr:uid="{00000000-0005-0000-0000-000070CC0000}"/>
    <cellStyle name="Salida 7 2 2 5 4" xfId="52151" xr:uid="{00000000-0005-0000-0000-000071CC0000}"/>
    <cellStyle name="Salida 7 2 2 5 5" xfId="52152" xr:uid="{00000000-0005-0000-0000-000072CC0000}"/>
    <cellStyle name="Salida 7 2 2 6" xfId="52153" xr:uid="{00000000-0005-0000-0000-000073CC0000}"/>
    <cellStyle name="Salida 7 2 2 6 2" xfId="52154" xr:uid="{00000000-0005-0000-0000-000074CC0000}"/>
    <cellStyle name="Salida 7 2 2 6 2 2" xfId="52155" xr:uid="{00000000-0005-0000-0000-000075CC0000}"/>
    <cellStyle name="Salida 7 2 2 6 2 3" xfId="52156" xr:uid="{00000000-0005-0000-0000-000076CC0000}"/>
    <cellStyle name="Salida 7 2 2 6 2 4" xfId="52157" xr:uid="{00000000-0005-0000-0000-000077CC0000}"/>
    <cellStyle name="Salida 7 2 2 6 3" xfId="52158" xr:uid="{00000000-0005-0000-0000-000078CC0000}"/>
    <cellStyle name="Salida 7 2 2 6 3 2" xfId="52159" xr:uid="{00000000-0005-0000-0000-000079CC0000}"/>
    <cellStyle name="Salida 7 2 2 6 3 2 2" xfId="52160" xr:uid="{00000000-0005-0000-0000-00007ACC0000}"/>
    <cellStyle name="Salida 7 2 2 6 3 2 3" xfId="52161" xr:uid="{00000000-0005-0000-0000-00007BCC0000}"/>
    <cellStyle name="Salida 7 2 2 6 3 2 4" xfId="52162" xr:uid="{00000000-0005-0000-0000-00007CCC0000}"/>
    <cellStyle name="Salida 7 2 2 6 3 3" xfId="52163" xr:uid="{00000000-0005-0000-0000-00007DCC0000}"/>
    <cellStyle name="Salida 7 2 2 6 3 3 2" xfId="52164" xr:uid="{00000000-0005-0000-0000-00007ECC0000}"/>
    <cellStyle name="Salida 7 2 2 6 3 3 3" xfId="52165" xr:uid="{00000000-0005-0000-0000-00007FCC0000}"/>
    <cellStyle name="Salida 7 2 2 6 3 3 4" xfId="52166" xr:uid="{00000000-0005-0000-0000-000080CC0000}"/>
    <cellStyle name="Salida 7 2 2 6 3 4" xfId="52167" xr:uid="{00000000-0005-0000-0000-000081CC0000}"/>
    <cellStyle name="Salida 7 2 2 6 3 5" xfId="52168" xr:uid="{00000000-0005-0000-0000-000082CC0000}"/>
    <cellStyle name="Salida 7 2 2 6 3 6" xfId="52169" xr:uid="{00000000-0005-0000-0000-000083CC0000}"/>
    <cellStyle name="Salida 7 2 2 6 4" xfId="52170" xr:uid="{00000000-0005-0000-0000-000084CC0000}"/>
    <cellStyle name="Salida 7 2 2 6 5" xfId="52171" xr:uid="{00000000-0005-0000-0000-000085CC0000}"/>
    <cellStyle name="Salida 7 2 2 7" xfId="52172" xr:uid="{00000000-0005-0000-0000-000086CC0000}"/>
    <cellStyle name="Salida 7 2 2 7 2" xfId="52173" xr:uid="{00000000-0005-0000-0000-000087CC0000}"/>
    <cellStyle name="Salida 7 2 2 7 2 2" xfId="52174" xr:uid="{00000000-0005-0000-0000-000088CC0000}"/>
    <cellStyle name="Salida 7 2 2 7 2 3" xfId="52175" xr:uid="{00000000-0005-0000-0000-000089CC0000}"/>
    <cellStyle name="Salida 7 2 2 7 2 4" xfId="52176" xr:uid="{00000000-0005-0000-0000-00008ACC0000}"/>
    <cellStyle name="Salida 7 2 2 7 3" xfId="52177" xr:uid="{00000000-0005-0000-0000-00008BCC0000}"/>
    <cellStyle name="Salida 7 2 2 7 3 2" xfId="52178" xr:uid="{00000000-0005-0000-0000-00008CCC0000}"/>
    <cellStyle name="Salida 7 2 2 7 3 2 2" xfId="52179" xr:uid="{00000000-0005-0000-0000-00008DCC0000}"/>
    <cellStyle name="Salida 7 2 2 7 3 2 3" xfId="52180" xr:uid="{00000000-0005-0000-0000-00008ECC0000}"/>
    <cellStyle name="Salida 7 2 2 7 3 2 4" xfId="52181" xr:uid="{00000000-0005-0000-0000-00008FCC0000}"/>
    <cellStyle name="Salida 7 2 2 7 3 3" xfId="52182" xr:uid="{00000000-0005-0000-0000-000090CC0000}"/>
    <cellStyle name="Salida 7 2 2 7 3 3 2" xfId="52183" xr:uid="{00000000-0005-0000-0000-000091CC0000}"/>
    <cellStyle name="Salida 7 2 2 7 3 3 3" xfId="52184" xr:uid="{00000000-0005-0000-0000-000092CC0000}"/>
    <cellStyle name="Salida 7 2 2 7 3 3 4" xfId="52185" xr:uid="{00000000-0005-0000-0000-000093CC0000}"/>
    <cellStyle name="Salida 7 2 2 7 3 4" xfId="52186" xr:uid="{00000000-0005-0000-0000-000094CC0000}"/>
    <cellStyle name="Salida 7 2 2 7 3 5" xfId="52187" xr:uid="{00000000-0005-0000-0000-000095CC0000}"/>
    <cellStyle name="Salida 7 2 2 7 3 6" xfId="52188" xr:uid="{00000000-0005-0000-0000-000096CC0000}"/>
    <cellStyle name="Salida 7 2 2 7 4" xfId="52189" xr:uid="{00000000-0005-0000-0000-000097CC0000}"/>
    <cellStyle name="Salida 7 2 2 7 5" xfId="52190" xr:uid="{00000000-0005-0000-0000-000098CC0000}"/>
    <cellStyle name="Salida 7 2 2 8" xfId="52191" xr:uid="{00000000-0005-0000-0000-000099CC0000}"/>
    <cellStyle name="Salida 7 2 2 8 2" xfId="52192" xr:uid="{00000000-0005-0000-0000-00009ACC0000}"/>
    <cellStyle name="Salida 7 2 2 8 2 2" xfId="52193" xr:uid="{00000000-0005-0000-0000-00009BCC0000}"/>
    <cellStyle name="Salida 7 2 2 8 2 3" xfId="52194" xr:uid="{00000000-0005-0000-0000-00009CCC0000}"/>
    <cellStyle name="Salida 7 2 2 8 2 4" xfId="52195" xr:uid="{00000000-0005-0000-0000-00009DCC0000}"/>
    <cellStyle name="Salida 7 2 2 8 3" xfId="52196" xr:uid="{00000000-0005-0000-0000-00009ECC0000}"/>
    <cellStyle name="Salida 7 2 2 8 3 2" xfId="52197" xr:uid="{00000000-0005-0000-0000-00009FCC0000}"/>
    <cellStyle name="Salida 7 2 2 8 3 2 2" xfId="52198" xr:uid="{00000000-0005-0000-0000-0000A0CC0000}"/>
    <cellStyle name="Salida 7 2 2 8 3 2 3" xfId="52199" xr:uid="{00000000-0005-0000-0000-0000A1CC0000}"/>
    <cellStyle name="Salida 7 2 2 8 3 2 4" xfId="52200" xr:uid="{00000000-0005-0000-0000-0000A2CC0000}"/>
    <cellStyle name="Salida 7 2 2 8 3 3" xfId="52201" xr:uid="{00000000-0005-0000-0000-0000A3CC0000}"/>
    <cellStyle name="Salida 7 2 2 8 3 3 2" xfId="52202" xr:uid="{00000000-0005-0000-0000-0000A4CC0000}"/>
    <cellStyle name="Salida 7 2 2 8 3 3 3" xfId="52203" xr:uid="{00000000-0005-0000-0000-0000A5CC0000}"/>
    <cellStyle name="Salida 7 2 2 8 3 3 4" xfId="52204" xr:uid="{00000000-0005-0000-0000-0000A6CC0000}"/>
    <cellStyle name="Salida 7 2 2 8 3 4" xfId="52205" xr:uid="{00000000-0005-0000-0000-0000A7CC0000}"/>
    <cellStyle name="Salida 7 2 2 8 3 5" xfId="52206" xr:uid="{00000000-0005-0000-0000-0000A8CC0000}"/>
    <cellStyle name="Salida 7 2 2 8 3 6" xfId="52207" xr:uid="{00000000-0005-0000-0000-0000A9CC0000}"/>
    <cellStyle name="Salida 7 2 2 8 4" xfId="52208" xr:uid="{00000000-0005-0000-0000-0000AACC0000}"/>
    <cellStyle name="Salida 7 2 2 8 5" xfId="52209" xr:uid="{00000000-0005-0000-0000-0000ABCC0000}"/>
    <cellStyle name="Salida 7 2 2 9" xfId="52210" xr:uid="{00000000-0005-0000-0000-0000ACCC0000}"/>
    <cellStyle name="Salida 7 2 2 9 2" xfId="52211" xr:uid="{00000000-0005-0000-0000-0000ADCC0000}"/>
    <cellStyle name="Salida 7 2 2 9 2 2" xfId="52212" xr:uid="{00000000-0005-0000-0000-0000AECC0000}"/>
    <cellStyle name="Salida 7 2 2 9 2 3" xfId="52213" xr:uid="{00000000-0005-0000-0000-0000AFCC0000}"/>
    <cellStyle name="Salida 7 2 2 9 2 4" xfId="52214" xr:uid="{00000000-0005-0000-0000-0000B0CC0000}"/>
    <cellStyle name="Salida 7 2 2 9 3" xfId="52215" xr:uid="{00000000-0005-0000-0000-0000B1CC0000}"/>
    <cellStyle name="Salida 7 2 2 9 3 2" xfId="52216" xr:uid="{00000000-0005-0000-0000-0000B2CC0000}"/>
    <cellStyle name="Salida 7 2 2 9 3 2 2" xfId="52217" xr:uid="{00000000-0005-0000-0000-0000B3CC0000}"/>
    <cellStyle name="Salida 7 2 2 9 3 2 3" xfId="52218" xr:uid="{00000000-0005-0000-0000-0000B4CC0000}"/>
    <cellStyle name="Salida 7 2 2 9 3 2 4" xfId="52219" xr:uid="{00000000-0005-0000-0000-0000B5CC0000}"/>
    <cellStyle name="Salida 7 2 2 9 3 3" xfId="52220" xr:uid="{00000000-0005-0000-0000-0000B6CC0000}"/>
    <cellStyle name="Salida 7 2 2 9 3 3 2" xfId="52221" xr:uid="{00000000-0005-0000-0000-0000B7CC0000}"/>
    <cellStyle name="Salida 7 2 2 9 3 3 3" xfId="52222" xr:uid="{00000000-0005-0000-0000-0000B8CC0000}"/>
    <cellStyle name="Salida 7 2 2 9 3 3 4" xfId="52223" xr:uid="{00000000-0005-0000-0000-0000B9CC0000}"/>
    <cellStyle name="Salida 7 2 2 9 3 4" xfId="52224" xr:uid="{00000000-0005-0000-0000-0000BACC0000}"/>
    <cellStyle name="Salida 7 2 2 9 3 5" xfId="52225" xr:uid="{00000000-0005-0000-0000-0000BBCC0000}"/>
    <cellStyle name="Salida 7 2 2 9 3 6" xfId="52226" xr:uid="{00000000-0005-0000-0000-0000BCCC0000}"/>
    <cellStyle name="Salida 7 2 2 9 4" xfId="52227" xr:uid="{00000000-0005-0000-0000-0000BDCC0000}"/>
    <cellStyle name="Salida 7 2 2 9 5" xfId="52228" xr:uid="{00000000-0005-0000-0000-0000BECC0000}"/>
    <cellStyle name="Salida 7 2 3" xfId="52229" xr:uid="{00000000-0005-0000-0000-0000BFCC0000}"/>
    <cellStyle name="Salida 7 2 3 2" xfId="52230" xr:uid="{00000000-0005-0000-0000-0000C0CC0000}"/>
    <cellStyle name="Salida 7 2 3 2 2" xfId="52231" xr:uid="{00000000-0005-0000-0000-0000C1CC0000}"/>
    <cellStyle name="Salida 7 2 3 2 3" xfId="52232" xr:uid="{00000000-0005-0000-0000-0000C2CC0000}"/>
    <cellStyle name="Salida 7 2 3 2 4" xfId="52233" xr:uid="{00000000-0005-0000-0000-0000C3CC0000}"/>
    <cellStyle name="Salida 7 2 3 3" xfId="52234" xr:uid="{00000000-0005-0000-0000-0000C4CC0000}"/>
    <cellStyle name="Salida 7 2 3 3 2" xfId="52235" xr:uid="{00000000-0005-0000-0000-0000C5CC0000}"/>
    <cellStyle name="Salida 7 2 3 3 2 2" xfId="52236" xr:uid="{00000000-0005-0000-0000-0000C6CC0000}"/>
    <cellStyle name="Salida 7 2 3 3 2 3" xfId="52237" xr:uid="{00000000-0005-0000-0000-0000C7CC0000}"/>
    <cellStyle name="Salida 7 2 3 3 2 4" xfId="52238" xr:uid="{00000000-0005-0000-0000-0000C8CC0000}"/>
    <cellStyle name="Salida 7 2 3 3 3" xfId="52239" xr:uid="{00000000-0005-0000-0000-0000C9CC0000}"/>
    <cellStyle name="Salida 7 2 3 3 3 2" xfId="52240" xr:uid="{00000000-0005-0000-0000-0000CACC0000}"/>
    <cellStyle name="Salida 7 2 3 3 3 3" xfId="52241" xr:uid="{00000000-0005-0000-0000-0000CBCC0000}"/>
    <cellStyle name="Salida 7 2 3 3 3 4" xfId="52242" xr:uid="{00000000-0005-0000-0000-0000CCCC0000}"/>
    <cellStyle name="Salida 7 2 3 3 4" xfId="52243" xr:uid="{00000000-0005-0000-0000-0000CDCC0000}"/>
    <cellStyle name="Salida 7 2 3 3 5" xfId="52244" xr:uid="{00000000-0005-0000-0000-0000CECC0000}"/>
    <cellStyle name="Salida 7 2 3 3 6" xfId="52245" xr:uid="{00000000-0005-0000-0000-0000CFCC0000}"/>
    <cellStyle name="Salida 7 2 3 4" xfId="52246" xr:uid="{00000000-0005-0000-0000-0000D0CC0000}"/>
    <cellStyle name="Salida 7 2 3 5" xfId="52247" xr:uid="{00000000-0005-0000-0000-0000D1CC0000}"/>
    <cellStyle name="Salida 7 2 4" xfId="52248" xr:uid="{00000000-0005-0000-0000-0000D2CC0000}"/>
    <cellStyle name="Salida 7 2 4 2" xfId="52249" xr:uid="{00000000-0005-0000-0000-0000D3CC0000}"/>
    <cellStyle name="Salida 7 2 4 2 2" xfId="52250" xr:uid="{00000000-0005-0000-0000-0000D4CC0000}"/>
    <cellStyle name="Salida 7 2 4 2 2 2" xfId="52251" xr:uid="{00000000-0005-0000-0000-0000D5CC0000}"/>
    <cellStyle name="Salida 7 2 4 2 2 3" xfId="52252" xr:uid="{00000000-0005-0000-0000-0000D6CC0000}"/>
    <cellStyle name="Salida 7 2 4 2 2 4" xfId="52253" xr:uid="{00000000-0005-0000-0000-0000D7CC0000}"/>
    <cellStyle name="Salida 7 2 4 2 3" xfId="52254" xr:uid="{00000000-0005-0000-0000-0000D8CC0000}"/>
    <cellStyle name="Salida 7 2 4 2 3 2" xfId="52255" xr:uid="{00000000-0005-0000-0000-0000D9CC0000}"/>
    <cellStyle name="Salida 7 2 4 2 3 3" xfId="52256" xr:uid="{00000000-0005-0000-0000-0000DACC0000}"/>
    <cellStyle name="Salida 7 2 4 2 3 4" xfId="52257" xr:uid="{00000000-0005-0000-0000-0000DBCC0000}"/>
    <cellStyle name="Salida 7 2 4 2 4" xfId="52258" xr:uid="{00000000-0005-0000-0000-0000DCCC0000}"/>
    <cellStyle name="Salida 7 2 4 2 5" xfId="52259" xr:uid="{00000000-0005-0000-0000-0000DDCC0000}"/>
    <cellStyle name="Salida 7 2 4 2 6" xfId="52260" xr:uid="{00000000-0005-0000-0000-0000DECC0000}"/>
    <cellStyle name="Salida 7 2 4 3" xfId="52261" xr:uid="{00000000-0005-0000-0000-0000DFCC0000}"/>
    <cellStyle name="Salida 7 2 4 3 2" xfId="52262" xr:uid="{00000000-0005-0000-0000-0000E0CC0000}"/>
    <cellStyle name="Salida 7 2 4 3 2 2" xfId="52263" xr:uid="{00000000-0005-0000-0000-0000E1CC0000}"/>
    <cellStyle name="Salida 7 2 4 3 2 3" xfId="52264" xr:uid="{00000000-0005-0000-0000-0000E2CC0000}"/>
    <cellStyle name="Salida 7 2 4 3 2 4" xfId="52265" xr:uid="{00000000-0005-0000-0000-0000E3CC0000}"/>
    <cellStyle name="Salida 7 2 4 3 3" xfId="52266" xr:uid="{00000000-0005-0000-0000-0000E4CC0000}"/>
    <cellStyle name="Salida 7 2 4 3 3 2" xfId="52267" xr:uid="{00000000-0005-0000-0000-0000E5CC0000}"/>
    <cellStyle name="Salida 7 2 4 3 3 3" xfId="52268" xr:uid="{00000000-0005-0000-0000-0000E6CC0000}"/>
    <cellStyle name="Salida 7 2 4 3 3 4" xfId="52269" xr:uid="{00000000-0005-0000-0000-0000E7CC0000}"/>
    <cellStyle name="Salida 7 2 4 3 4" xfId="52270" xr:uid="{00000000-0005-0000-0000-0000E8CC0000}"/>
    <cellStyle name="Salida 7 2 4 3 5" xfId="52271" xr:uid="{00000000-0005-0000-0000-0000E9CC0000}"/>
    <cellStyle name="Salida 7 2 4 3 6" xfId="52272" xr:uid="{00000000-0005-0000-0000-0000EACC0000}"/>
    <cellStyle name="Salida 7 2 4 4" xfId="52273" xr:uid="{00000000-0005-0000-0000-0000EBCC0000}"/>
    <cellStyle name="Salida 7 2 4 5" xfId="52274" xr:uid="{00000000-0005-0000-0000-0000ECCC0000}"/>
    <cellStyle name="Salida 7 2 4 6" xfId="52275" xr:uid="{00000000-0005-0000-0000-0000EDCC0000}"/>
    <cellStyle name="Salida 7 2 5" xfId="52276" xr:uid="{00000000-0005-0000-0000-0000EECC0000}"/>
    <cellStyle name="Salida 7 2 6" xfId="52277" xr:uid="{00000000-0005-0000-0000-0000EFCC0000}"/>
    <cellStyle name="Salida 7 3" xfId="52278" xr:uid="{00000000-0005-0000-0000-0000F0CC0000}"/>
    <cellStyle name="Salida 7 3 10" xfId="52279" xr:uid="{00000000-0005-0000-0000-0000F1CC0000}"/>
    <cellStyle name="Salida 7 3 10 2" xfId="52280" xr:uid="{00000000-0005-0000-0000-0000F2CC0000}"/>
    <cellStyle name="Salida 7 3 10 2 2" xfId="52281" xr:uid="{00000000-0005-0000-0000-0000F3CC0000}"/>
    <cellStyle name="Salida 7 3 10 2 3" xfId="52282" xr:uid="{00000000-0005-0000-0000-0000F4CC0000}"/>
    <cellStyle name="Salida 7 3 10 2 4" xfId="52283" xr:uid="{00000000-0005-0000-0000-0000F5CC0000}"/>
    <cellStyle name="Salida 7 3 10 3" xfId="52284" xr:uid="{00000000-0005-0000-0000-0000F6CC0000}"/>
    <cellStyle name="Salida 7 3 10 3 2" xfId="52285" xr:uid="{00000000-0005-0000-0000-0000F7CC0000}"/>
    <cellStyle name="Salida 7 3 10 3 2 2" xfId="52286" xr:uid="{00000000-0005-0000-0000-0000F8CC0000}"/>
    <cellStyle name="Salida 7 3 10 3 2 3" xfId="52287" xr:uid="{00000000-0005-0000-0000-0000F9CC0000}"/>
    <cellStyle name="Salida 7 3 10 3 2 4" xfId="52288" xr:uid="{00000000-0005-0000-0000-0000FACC0000}"/>
    <cellStyle name="Salida 7 3 10 3 3" xfId="52289" xr:uid="{00000000-0005-0000-0000-0000FBCC0000}"/>
    <cellStyle name="Salida 7 3 10 3 3 2" xfId="52290" xr:uid="{00000000-0005-0000-0000-0000FCCC0000}"/>
    <cellStyle name="Salida 7 3 10 3 3 3" xfId="52291" xr:uid="{00000000-0005-0000-0000-0000FDCC0000}"/>
    <cellStyle name="Salida 7 3 10 3 3 4" xfId="52292" xr:uid="{00000000-0005-0000-0000-0000FECC0000}"/>
    <cellStyle name="Salida 7 3 10 3 4" xfId="52293" xr:uid="{00000000-0005-0000-0000-0000FFCC0000}"/>
    <cellStyle name="Salida 7 3 10 3 5" xfId="52294" xr:uid="{00000000-0005-0000-0000-000000CD0000}"/>
    <cellStyle name="Salida 7 3 10 3 6" xfId="52295" xr:uid="{00000000-0005-0000-0000-000001CD0000}"/>
    <cellStyle name="Salida 7 3 10 4" xfId="52296" xr:uid="{00000000-0005-0000-0000-000002CD0000}"/>
    <cellStyle name="Salida 7 3 10 5" xfId="52297" xr:uid="{00000000-0005-0000-0000-000003CD0000}"/>
    <cellStyle name="Salida 7 3 11" xfId="52298" xr:uid="{00000000-0005-0000-0000-000004CD0000}"/>
    <cellStyle name="Salida 7 3 11 2" xfId="52299" xr:uid="{00000000-0005-0000-0000-000005CD0000}"/>
    <cellStyle name="Salida 7 3 11 2 2" xfId="52300" xr:uid="{00000000-0005-0000-0000-000006CD0000}"/>
    <cellStyle name="Salida 7 3 11 2 3" xfId="52301" xr:uid="{00000000-0005-0000-0000-000007CD0000}"/>
    <cellStyle name="Salida 7 3 11 2 4" xfId="52302" xr:uid="{00000000-0005-0000-0000-000008CD0000}"/>
    <cellStyle name="Salida 7 3 11 3" xfId="52303" xr:uid="{00000000-0005-0000-0000-000009CD0000}"/>
    <cellStyle name="Salida 7 3 11 3 2" xfId="52304" xr:uid="{00000000-0005-0000-0000-00000ACD0000}"/>
    <cellStyle name="Salida 7 3 11 3 2 2" xfId="52305" xr:uid="{00000000-0005-0000-0000-00000BCD0000}"/>
    <cellStyle name="Salida 7 3 11 3 2 3" xfId="52306" xr:uid="{00000000-0005-0000-0000-00000CCD0000}"/>
    <cellStyle name="Salida 7 3 11 3 2 4" xfId="52307" xr:uid="{00000000-0005-0000-0000-00000DCD0000}"/>
    <cellStyle name="Salida 7 3 11 3 3" xfId="52308" xr:uid="{00000000-0005-0000-0000-00000ECD0000}"/>
    <cellStyle name="Salida 7 3 11 3 3 2" xfId="52309" xr:uid="{00000000-0005-0000-0000-00000FCD0000}"/>
    <cellStyle name="Salida 7 3 11 3 3 3" xfId="52310" xr:uid="{00000000-0005-0000-0000-000010CD0000}"/>
    <cellStyle name="Salida 7 3 11 3 3 4" xfId="52311" xr:uid="{00000000-0005-0000-0000-000011CD0000}"/>
    <cellStyle name="Salida 7 3 11 3 4" xfId="52312" xr:uid="{00000000-0005-0000-0000-000012CD0000}"/>
    <cellStyle name="Salida 7 3 11 3 5" xfId="52313" xr:uid="{00000000-0005-0000-0000-000013CD0000}"/>
    <cellStyle name="Salida 7 3 11 3 6" xfId="52314" xr:uid="{00000000-0005-0000-0000-000014CD0000}"/>
    <cellStyle name="Salida 7 3 11 4" xfId="52315" xr:uid="{00000000-0005-0000-0000-000015CD0000}"/>
    <cellStyle name="Salida 7 3 11 5" xfId="52316" xr:uid="{00000000-0005-0000-0000-000016CD0000}"/>
    <cellStyle name="Salida 7 3 12" xfId="52317" xr:uid="{00000000-0005-0000-0000-000017CD0000}"/>
    <cellStyle name="Salida 7 3 12 2" xfId="52318" xr:uid="{00000000-0005-0000-0000-000018CD0000}"/>
    <cellStyle name="Salida 7 3 12 2 2" xfId="52319" xr:uid="{00000000-0005-0000-0000-000019CD0000}"/>
    <cellStyle name="Salida 7 3 12 2 2 2" xfId="52320" xr:uid="{00000000-0005-0000-0000-00001ACD0000}"/>
    <cellStyle name="Salida 7 3 12 2 2 3" xfId="52321" xr:uid="{00000000-0005-0000-0000-00001BCD0000}"/>
    <cellStyle name="Salida 7 3 12 2 2 4" xfId="52322" xr:uid="{00000000-0005-0000-0000-00001CCD0000}"/>
    <cellStyle name="Salida 7 3 12 2 3" xfId="52323" xr:uid="{00000000-0005-0000-0000-00001DCD0000}"/>
    <cellStyle name="Salida 7 3 12 2 3 2" xfId="52324" xr:uid="{00000000-0005-0000-0000-00001ECD0000}"/>
    <cellStyle name="Salida 7 3 12 2 3 3" xfId="52325" xr:uid="{00000000-0005-0000-0000-00001FCD0000}"/>
    <cellStyle name="Salida 7 3 12 2 3 4" xfId="52326" xr:uid="{00000000-0005-0000-0000-000020CD0000}"/>
    <cellStyle name="Salida 7 3 12 2 4" xfId="52327" xr:uid="{00000000-0005-0000-0000-000021CD0000}"/>
    <cellStyle name="Salida 7 3 12 2 5" xfId="52328" xr:uid="{00000000-0005-0000-0000-000022CD0000}"/>
    <cellStyle name="Salida 7 3 12 2 6" xfId="52329" xr:uid="{00000000-0005-0000-0000-000023CD0000}"/>
    <cellStyle name="Salida 7 3 12 3" xfId="52330" xr:uid="{00000000-0005-0000-0000-000024CD0000}"/>
    <cellStyle name="Salida 7 3 12 3 2" xfId="52331" xr:uid="{00000000-0005-0000-0000-000025CD0000}"/>
    <cellStyle name="Salida 7 3 12 3 2 2" xfId="52332" xr:uid="{00000000-0005-0000-0000-000026CD0000}"/>
    <cellStyle name="Salida 7 3 12 3 2 3" xfId="52333" xr:uid="{00000000-0005-0000-0000-000027CD0000}"/>
    <cellStyle name="Salida 7 3 12 3 2 4" xfId="52334" xr:uid="{00000000-0005-0000-0000-000028CD0000}"/>
    <cellStyle name="Salida 7 3 12 3 3" xfId="52335" xr:uid="{00000000-0005-0000-0000-000029CD0000}"/>
    <cellStyle name="Salida 7 3 12 3 3 2" xfId="52336" xr:uid="{00000000-0005-0000-0000-00002ACD0000}"/>
    <cellStyle name="Salida 7 3 12 3 3 3" xfId="52337" xr:uid="{00000000-0005-0000-0000-00002BCD0000}"/>
    <cellStyle name="Salida 7 3 12 3 3 4" xfId="52338" xr:uid="{00000000-0005-0000-0000-00002CCD0000}"/>
    <cellStyle name="Salida 7 3 12 3 4" xfId="52339" xr:uid="{00000000-0005-0000-0000-00002DCD0000}"/>
    <cellStyle name="Salida 7 3 12 3 5" xfId="52340" xr:uid="{00000000-0005-0000-0000-00002ECD0000}"/>
    <cellStyle name="Salida 7 3 12 3 6" xfId="52341" xr:uid="{00000000-0005-0000-0000-00002FCD0000}"/>
    <cellStyle name="Salida 7 3 12 4" xfId="52342" xr:uid="{00000000-0005-0000-0000-000030CD0000}"/>
    <cellStyle name="Salida 7 3 12 5" xfId="52343" xr:uid="{00000000-0005-0000-0000-000031CD0000}"/>
    <cellStyle name="Salida 7 3 12 6" xfId="52344" xr:uid="{00000000-0005-0000-0000-000032CD0000}"/>
    <cellStyle name="Salida 7 3 13" xfId="52345" xr:uid="{00000000-0005-0000-0000-000033CD0000}"/>
    <cellStyle name="Salida 7 3 14" xfId="52346" xr:uid="{00000000-0005-0000-0000-000034CD0000}"/>
    <cellStyle name="Salida 7 3 15" xfId="58801" xr:uid="{00000000-0005-0000-0000-000035CD0000}"/>
    <cellStyle name="Salida 7 3 2" xfId="52347" xr:uid="{00000000-0005-0000-0000-000036CD0000}"/>
    <cellStyle name="Salida 7 3 2 2" xfId="52348" xr:uid="{00000000-0005-0000-0000-000037CD0000}"/>
    <cellStyle name="Salida 7 3 2 2 2" xfId="52349" xr:uid="{00000000-0005-0000-0000-000038CD0000}"/>
    <cellStyle name="Salida 7 3 2 2 2 2" xfId="52350" xr:uid="{00000000-0005-0000-0000-000039CD0000}"/>
    <cellStyle name="Salida 7 3 2 2 2 2 2" xfId="52351" xr:uid="{00000000-0005-0000-0000-00003ACD0000}"/>
    <cellStyle name="Salida 7 3 2 2 2 2 3" xfId="52352" xr:uid="{00000000-0005-0000-0000-00003BCD0000}"/>
    <cellStyle name="Salida 7 3 2 2 2 2 4" xfId="52353" xr:uid="{00000000-0005-0000-0000-00003CCD0000}"/>
    <cellStyle name="Salida 7 3 2 2 2 3" xfId="52354" xr:uid="{00000000-0005-0000-0000-00003DCD0000}"/>
    <cellStyle name="Salida 7 3 2 2 2 3 2" xfId="52355" xr:uid="{00000000-0005-0000-0000-00003ECD0000}"/>
    <cellStyle name="Salida 7 3 2 2 2 3 3" xfId="52356" xr:uid="{00000000-0005-0000-0000-00003FCD0000}"/>
    <cellStyle name="Salida 7 3 2 2 2 3 4" xfId="52357" xr:uid="{00000000-0005-0000-0000-000040CD0000}"/>
    <cellStyle name="Salida 7 3 2 2 2 4" xfId="52358" xr:uid="{00000000-0005-0000-0000-000041CD0000}"/>
    <cellStyle name="Salida 7 3 2 2 2 5" xfId="52359" xr:uid="{00000000-0005-0000-0000-000042CD0000}"/>
    <cellStyle name="Salida 7 3 2 2 2 6" xfId="52360" xr:uid="{00000000-0005-0000-0000-000043CD0000}"/>
    <cellStyle name="Salida 7 3 2 2 3" xfId="52361" xr:uid="{00000000-0005-0000-0000-000044CD0000}"/>
    <cellStyle name="Salida 7 3 2 2 3 2" xfId="52362" xr:uid="{00000000-0005-0000-0000-000045CD0000}"/>
    <cellStyle name="Salida 7 3 2 2 3 2 2" xfId="52363" xr:uid="{00000000-0005-0000-0000-000046CD0000}"/>
    <cellStyle name="Salida 7 3 2 2 3 2 3" xfId="52364" xr:uid="{00000000-0005-0000-0000-000047CD0000}"/>
    <cellStyle name="Salida 7 3 2 2 3 2 4" xfId="52365" xr:uid="{00000000-0005-0000-0000-000048CD0000}"/>
    <cellStyle name="Salida 7 3 2 2 3 3" xfId="52366" xr:uid="{00000000-0005-0000-0000-000049CD0000}"/>
    <cellStyle name="Salida 7 3 2 2 3 3 2" xfId="52367" xr:uid="{00000000-0005-0000-0000-00004ACD0000}"/>
    <cellStyle name="Salida 7 3 2 2 3 3 3" xfId="52368" xr:uid="{00000000-0005-0000-0000-00004BCD0000}"/>
    <cellStyle name="Salida 7 3 2 2 3 3 4" xfId="52369" xr:uid="{00000000-0005-0000-0000-00004CCD0000}"/>
    <cellStyle name="Salida 7 3 2 2 3 4" xfId="52370" xr:uid="{00000000-0005-0000-0000-00004DCD0000}"/>
    <cellStyle name="Salida 7 3 2 2 3 5" xfId="52371" xr:uid="{00000000-0005-0000-0000-00004ECD0000}"/>
    <cellStyle name="Salida 7 3 2 2 3 6" xfId="52372" xr:uid="{00000000-0005-0000-0000-00004FCD0000}"/>
    <cellStyle name="Salida 7 3 2 2 4" xfId="52373" xr:uid="{00000000-0005-0000-0000-000050CD0000}"/>
    <cellStyle name="Salida 7 3 2 2 5" xfId="52374" xr:uid="{00000000-0005-0000-0000-000051CD0000}"/>
    <cellStyle name="Salida 7 3 2 2 6" xfId="52375" xr:uid="{00000000-0005-0000-0000-000052CD0000}"/>
    <cellStyle name="Salida 7 3 2 3" xfId="52376" xr:uid="{00000000-0005-0000-0000-000053CD0000}"/>
    <cellStyle name="Salida 7 3 2 4" xfId="52377" xr:uid="{00000000-0005-0000-0000-000054CD0000}"/>
    <cellStyle name="Salida 7 3 3" xfId="52378" xr:uid="{00000000-0005-0000-0000-000055CD0000}"/>
    <cellStyle name="Salida 7 3 3 2" xfId="52379" xr:uid="{00000000-0005-0000-0000-000056CD0000}"/>
    <cellStyle name="Salida 7 3 3 2 2" xfId="52380" xr:uid="{00000000-0005-0000-0000-000057CD0000}"/>
    <cellStyle name="Salida 7 3 3 2 2 2" xfId="52381" xr:uid="{00000000-0005-0000-0000-000058CD0000}"/>
    <cellStyle name="Salida 7 3 3 2 2 2 2" xfId="52382" xr:uid="{00000000-0005-0000-0000-000059CD0000}"/>
    <cellStyle name="Salida 7 3 3 2 2 2 3" xfId="52383" xr:uid="{00000000-0005-0000-0000-00005ACD0000}"/>
    <cellStyle name="Salida 7 3 3 2 2 2 4" xfId="52384" xr:uid="{00000000-0005-0000-0000-00005BCD0000}"/>
    <cellStyle name="Salida 7 3 3 2 2 3" xfId="52385" xr:uid="{00000000-0005-0000-0000-00005CCD0000}"/>
    <cellStyle name="Salida 7 3 3 2 2 3 2" xfId="52386" xr:uid="{00000000-0005-0000-0000-00005DCD0000}"/>
    <cellStyle name="Salida 7 3 3 2 2 3 3" xfId="52387" xr:uid="{00000000-0005-0000-0000-00005ECD0000}"/>
    <cellStyle name="Salida 7 3 3 2 2 3 4" xfId="52388" xr:uid="{00000000-0005-0000-0000-00005FCD0000}"/>
    <cellStyle name="Salida 7 3 3 2 2 4" xfId="52389" xr:uid="{00000000-0005-0000-0000-000060CD0000}"/>
    <cellStyle name="Salida 7 3 3 2 2 5" xfId="52390" xr:uid="{00000000-0005-0000-0000-000061CD0000}"/>
    <cellStyle name="Salida 7 3 3 2 2 6" xfId="52391" xr:uid="{00000000-0005-0000-0000-000062CD0000}"/>
    <cellStyle name="Salida 7 3 3 2 3" xfId="52392" xr:uid="{00000000-0005-0000-0000-000063CD0000}"/>
    <cellStyle name="Salida 7 3 3 2 3 2" xfId="52393" xr:uid="{00000000-0005-0000-0000-000064CD0000}"/>
    <cellStyle name="Salida 7 3 3 2 3 2 2" xfId="52394" xr:uid="{00000000-0005-0000-0000-000065CD0000}"/>
    <cellStyle name="Salida 7 3 3 2 3 2 3" xfId="52395" xr:uid="{00000000-0005-0000-0000-000066CD0000}"/>
    <cellStyle name="Salida 7 3 3 2 3 2 4" xfId="52396" xr:uid="{00000000-0005-0000-0000-000067CD0000}"/>
    <cellStyle name="Salida 7 3 3 2 3 3" xfId="52397" xr:uid="{00000000-0005-0000-0000-000068CD0000}"/>
    <cellStyle name="Salida 7 3 3 2 3 3 2" xfId="52398" xr:uid="{00000000-0005-0000-0000-000069CD0000}"/>
    <cellStyle name="Salida 7 3 3 2 3 3 3" xfId="52399" xr:uid="{00000000-0005-0000-0000-00006ACD0000}"/>
    <cellStyle name="Salida 7 3 3 2 3 3 4" xfId="52400" xr:uid="{00000000-0005-0000-0000-00006BCD0000}"/>
    <cellStyle name="Salida 7 3 3 2 3 4" xfId="52401" xr:uid="{00000000-0005-0000-0000-00006CCD0000}"/>
    <cellStyle name="Salida 7 3 3 2 3 5" xfId="52402" xr:uid="{00000000-0005-0000-0000-00006DCD0000}"/>
    <cellStyle name="Salida 7 3 3 2 3 6" xfId="52403" xr:uid="{00000000-0005-0000-0000-00006ECD0000}"/>
    <cellStyle name="Salida 7 3 3 2 4" xfId="52404" xr:uid="{00000000-0005-0000-0000-00006FCD0000}"/>
    <cellStyle name="Salida 7 3 3 2 5" xfId="52405" xr:uid="{00000000-0005-0000-0000-000070CD0000}"/>
    <cellStyle name="Salida 7 3 3 2 6" xfId="52406" xr:uid="{00000000-0005-0000-0000-000071CD0000}"/>
    <cellStyle name="Salida 7 3 3 3" xfId="52407" xr:uid="{00000000-0005-0000-0000-000072CD0000}"/>
    <cellStyle name="Salida 7 3 3 4" xfId="52408" xr:uid="{00000000-0005-0000-0000-000073CD0000}"/>
    <cellStyle name="Salida 7 3 4" xfId="52409" xr:uid="{00000000-0005-0000-0000-000074CD0000}"/>
    <cellStyle name="Salida 7 3 4 2" xfId="52410" xr:uid="{00000000-0005-0000-0000-000075CD0000}"/>
    <cellStyle name="Salida 7 3 4 2 2" xfId="52411" xr:uid="{00000000-0005-0000-0000-000076CD0000}"/>
    <cellStyle name="Salida 7 3 4 2 2 2" xfId="52412" xr:uid="{00000000-0005-0000-0000-000077CD0000}"/>
    <cellStyle name="Salida 7 3 4 2 2 2 2" xfId="52413" xr:uid="{00000000-0005-0000-0000-000078CD0000}"/>
    <cellStyle name="Salida 7 3 4 2 2 2 3" xfId="52414" xr:uid="{00000000-0005-0000-0000-000079CD0000}"/>
    <cellStyle name="Salida 7 3 4 2 2 2 4" xfId="52415" xr:uid="{00000000-0005-0000-0000-00007ACD0000}"/>
    <cellStyle name="Salida 7 3 4 2 2 3" xfId="52416" xr:uid="{00000000-0005-0000-0000-00007BCD0000}"/>
    <cellStyle name="Salida 7 3 4 2 2 3 2" xfId="52417" xr:uid="{00000000-0005-0000-0000-00007CCD0000}"/>
    <cellStyle name="Salida 7 3 4 2 2 3 3" xfId="52418" xr:uid="{00000000-0005-0000-0000-00007DCD0000}"/>
    <cellStyle name="Salida 7 3 4 2 2 3 4" xfId="52419" xr:uid="{00000000-0005-0000-0000-00007ECD0000}"/>
    <cellStyle name="Salida 7 3 4 2 2 4" xfId="52420" xr:uid="{00000000-0005-0000-0000-00007FCD0000}"/>
    <cellStyle name="Salida 7 3 4 2 2 5" xfId="52421" xr:uid="{00000000-0005-0000-0000-000080CD0000}"/>
    <cellStyle name="Salida 7 3 4 2 2 6" xfId="52422" xr:uid="{00000000-0005-0000-0000-000081CD0000}"/>
    <cellStyle name="Salida 7 3 4 2 3" xfId="52423" xr:uid="{00000000-0005-0000-0000-000082CD0000}"/>
    <cellStyle name="Salida 7 3 4 2 3 2" xfId="52424" xr:uid="{00000000-0005-0000-0000-000083CD0000}"/>
    <cellStyle name="Salida 7 3 4 2 3 2 2" xfId="52425" xr:uid="{00000000-0005-0000-0000-000084CD0000}"/>
    <cellStyle name="Salida 7 3 4 2 3 2 3" xfId="52426" xr:uid="{00000000-0005-0000-0000-000085CD0000}"/>
    <cellStyle name="Salida 7 3 4 2 3 2 4" xfId="52427" xr:uid="{00000000-0005-0000-0000-000086CD0000}"/>
    <cellStyle name="Salida 7 3 4 2 3 3" xfId="52428" xr:uid="{00000000-0005-0000-0000-000087CD0000}"/>
    <cellStyle name="Salida 7 3 4 2 3 3 2" xfId="52429" xr:uid="{00000000-0005-0000-0000-000088CD0000}"/>
    <cellStyle name="Salida 7 3 4 2 3 3 3" xfId="52430" xr:uid="{00000000-0005-0000-0000-000089CD0000}"/>
    <cellStyle name="Salida 7 3 4 2 3 3 4" xfId="52431" xr:uid="{00000000-0005-0000-0000-00008ACD0000}"/>
    <cellStyle name="Salida 7 3 4 2 3 4" xfId="52432" xr:uid="{00000000-0005-0000-0000-00008BCD0000}"/>
    <cellStyle name="Salida 7 3 4 2 3 5" xfId="52433" xr:uid="{00000000-0005-0000-0000-00008CCD0000}"/>
    <cellStyle name="Salida 7 3 4 2 3 6" xfId="52434" xr:uid="{00000000-0005-0000-0000-00008DCD0000}"/>
    <cellStyle name="Salida 7 3 4 2 4" xfId="52435" xr:uid="{00000000-0005-0000-0000-00008ECD0000}"/>
    <cellStyle name="Salida 7 3 4 2 5" xfId="52436" xr:uid="{00000000-0005-0000-0000-00008FCD0000}"/>
    <cellStyle name="Salida 7 3 4 2 6" xfId="52437" xr:uid="{00000000-0005-0000-0000-000090CD0000}"/>
    <cellStyle name="Salida 7 3 4 3" xfId="52438" xr:uid="{00000000-0005-0000-0000-000091CD0000}"/>
    <cellStyle name="Salida 7 3 4 4" xfId="52439" xr:uid="{00000000-0005-0000-0000-000092CD0000}"/>
    <cellStyle name="Salida 7 3 5" xfId="52440" xr:uid="{00000000-0005-0000-0000-000093CD0000}"/>
    <cellStyle name="Salida 7 3 5 2" xfId="52441" xr:uid="{00000000-0005-0000-0000-000094CD0000}"/>
    <cellStyle name="Salida 7 3 5 2 2" xfId="52442" xr:uid="{00000000-0005-0000-0000-000095CD0000}"/>
    <cellStyle name="Salida 7 3 5 2 3" xfId="52443" xr:uid="{00000000-0005-0000-0000-000096CD0000}"/>
    <cellStyle name="Salida 7 3 5 2 4" xfId="52444" xr:uid="{00000000-0005-0000-0000-000097CD0000}"/>
    <cellStyle name="Salida 7 3 5 3" xfId="52445" xr:uid="{00000000-0005-0000-0000-000098CD0000}"/>
    <cellStyle name="Salida 7 3 5 3 2" xfId="52446" xr:uid="{00000000-0005-0000-0000-000099CD0000}"/>
    <cellStyle name="Salida 7 3 5 3 2 2" xfId="52447" xr:uid="{00000000-0005-0000-0000-00009ACD0000}"/>
    <cellStyle name="Salida 7 3 5 3 2 3" xfId="52448" xr:uid="{00000000-0005-0000-0000-00009BCD0000}"/>
    <cellStyle name="Salida 7 3 5 3 2 4" xfId="52449" xr:uid="{00000000-0005-0000-0000-00009CCD0000}"/>
    <cellStyle name="Salida 7 3 5 3 3" xfId="52450" xr:uid="{00000000-0005-0000-0000-00009DCD0000}"/>
    <cellStyle name="Salida 7 3 5 3 3 2" xfId="52451" xr:uid="{00000000-0005-0000-0000-00009ECD0000}"/>
    <cellStyle name="Salida 7 3 5 3 3 3" xfId="52452" xr:uid="{00000000-0005-0000-0000-00009FCD0000}"/>
    <cellStyle name="Salida 7 3 5 3 3 4" xfId="52453" xr:uid="{00000000-0005-0000-0000-0000A0CD0000}"/>
    <cellStyle name="Salida 7 3 5 3 4" xfId="52454" xr:uid="{00000000-0005-0000-0000-0000A1CD0000}"/>
    <cellStyle name="Salida 7 3 5 3 5" xfId="52455" xr:uid="{00000000-0005-0000-0000-0000A2CD0000}"/>
    <cellStyle name="Salida 7 3 5 3 6" xfId="52456" xr:uid="{00000000-0005-0000-0000-0000A3CD0000}"/>
    <cellStyle name="Salida 7 3 5 4" xfId="52457" xr:uid="{00000000-0005-0000-0000-0000A4CD0000}"/>
    <cellStyle name="Salida 7 3 5 5" xfId="52458" xr:uid="{00000000-0005-0000-0000-0000A5CD0000}"/>
    <cellStyle name="Salida 7 3 6" xfId="52459" xr:uid="{00000000-0005-0000-0000-0000A6CD0000}"/>
    <cellStyle name="Salida 7 3 6 2" xfId="52460" xr:uid="{00000000-0005-0000-0000-0000A7CD0000}"/>
    <cellStyle name="Salida 7 3 6 2 2" xfId="52461" xr:uid="{00000000-0005-0000-0000-0000A8CD0000}"/>
    <cellStyle name="Salida 7 3 6 2 3" xfId="52462" xr:uid="{00000000-0005-0000-0000-0000A9CD0000}"/>
    <cellStyle name="Salida 7 3 6 2 4" xfId="52463" xr:uid="{00000000-0005-0000-0000-0000AACD0000}"/>
    <cellStyle name="Salida 7 3 6 3" xfId="52464" xr:uid="{00000000-0005-0000-0000-0000ABCD0000}"/>
    <cellStyle name="Salida 7 3 6 3 2" xfId="52465" xr:uid="{00000000-0005-0000-0000-0000ACCD0000}"/>
    <cellStyle name="Salida 7 3 6 3 2 2" xfId="52466" xr:uid="{00000000-0005-0000-0000-0000ADCD0000}"/>
    <cellStyle name="Salida 7 3 6 3 2 3" xfId="52467" xr:uid="{00000000-0005-0000-0000-0000AECD0000}"/>
    <cellStyle name="Salida 7 3 6 3 2 4" xfId="52468" xr:uid="{00000000-0005-0000-0000-0000AFCD0000}"/>
    <cellStyle name="Salida 7 3 6 3 3" xfId="52469" xr:uid="{00000000-0005-0000-0000-0000B0CD0000}"/>
    <cellStyle name="Salida 7 3 6 3 3 2" xfId="52470" xr:uid="{00000000-0005-0000-0000-0000B1CD0000}"/>
    <cellStyle name="Salida 7 3 6 3 3 3" xfId="52471" xr:uid="{00000000-0005-0000-0000-0000B2CD0000}"/>
    <cellStyle name="Salida 7 3 6 3 3 4" xfId="52472" xr:uid="{00000000-0005-0000-0000-0000B3CD0000}"/>
    <cellStyle name="Salida 7 3 6 3 4" xfId="52473" xr:uid="{00000000-0005-0000-0000-0000B4CD0000}"/>
    <cellStyle name="Salida 7 3 6 3 5" xfId="52474" xr:uid="{00000000-0005-0000-0000-0000B5CD0000}"/>
    <cellStyle name="Salida 7 3 6 3 6" xfId="52475" xr:uid="{00000000-0005-0000-0000-0000B6CD0000}"/>
    <cellStyle name="Salida 7 3 6 4" xfId="52476" xr:uid="{00000000-0005-0000-0000-0000B7CD0000}"/>
    <cellStyle name="Salida 7 3 6 5" xfId="52477" xr:uid="{00000000-0005-0000-0000-0000B8CD0000}"/>
    <cellStyle name="Salida 7 3 7" xfId="52478" xr:uid="{00000000-0005-0000-0000-0000B9CD0000}"/>
    <cellStyle name="Salida 7 3 7 2" xfId="52479" xr:uid="{00000000-0005-0000-0000-0000BACD0000}"/>
    <cellStyle name="Salida 7 3 7 2 2" xfId="52480" xr:uid="{00000000-0005-0000-0000-0000BBCD0000}"/>
    <cellStyle name="Salida 7 3 7 2 3" xfId="52481" xr:uid="{00000000-0005-0000-0000-0000BCCD0000}"/>
    <cellStyle name="Salida 7 3 7 2 4" xfId="52482" xr:uid="{00000000-0005-0000-0000-0000BDCD0000}"/>
    <cellStyle name="Salida 7 3 7 3" xfId="52483" xr:uid="{00000000-0005-0000-0000-0000BECD0000}"/>
    <cellStyle name="Salida 7 3 7 3 2" xfId="52484" xr:uid="{00000000-0005-0000-0000-0000BFCD0000}"/>
    <cellStyle name="Salida 7 3 7 3 2 2" xfId="52485" xr:uid="{00000000-0005-0000-0000-0000C0CD0000}"/>
    <cellStyle name="Salida 7 3 7 3 2 3" xfId="52486" xr:uid="{00000000-0005-0000-0000-0000C1CD0000}"/>
    <cellStyle name="Salida 7 3 7 3 2 4" xfId="52487" xr:uid="{00000000-0005-0000-0000-0000C2CD0000}"/>
    <cellStyle name="Salida 7 3 7 3 3" xfId="52488" xr:uid="{00000000-0005-0000-0000-0000C3CD0000}"/>
    <cellStyle name="Salida 7 3 7 3 3 2" xfId="52489" xr:uid="{00000000-0005-0000-0000-0000C4CD0000}"/>
    <cellStyle name="Salida 7 3 7 3 3 3" xfId="52490" xr:uid="{00000000-0005-0000-0000-0000C5CD0000}"/>
    <cellStyle name="Salida 7 3 7 3 3 4" xfId="52491" xr:uid="{00000000-0005-0000-0000-0000C6CD0000}"/>
    <cellStyle name="Salida 7 3 7 3 4" xfId="52492" xr:uid="{00000000-0005-0000-0000-0000C7CD0000}"/>
    <cellStyle name="Salida 7 3 7 3 5" xfId="52493" xr:uid="{00000000-0005-0000-0000-0000C8CD0000}"/>
    <cellStyle name="Salida 7 3 7 3 6" xfId="52494" xr:uid="{00000000-0005-0000-0000-0000C9CD0000}"/>
    <cellStyle name="Salida 7 3 7 4" xfId="52495" xr:uid="{00000000-0005-0000-0000-0000CACD0000}"/>
    <cellStyle name="Salida 7 3 7 5" xfId="52496" xr:uid="{00000000-0005-0000-0000-0000CBCD0000}"/>
    <cellStyle name="Salida 7 3 8" xfId="52497" xr:uid="{00000000-0005-0000-0000-0000CCCD0000}"/>
    <cellStyle name="Salida 7 3 8 2" xfId="52498" xr:uid="{00000000-0005-0000-0000-0000CDCD0000}"/>
    <cellStyle name="Salida 7 3 8 2 2" xfId="52499" xr:uid="{00000000-0005-0000-0000-0000CECD0000}"/>
    <cellStyle name="Salida 7 3 8 2 3" xfId="52500" xr:uid="{00000000-0005-0000-0000-0000CFCD0000}"/>
    <cellStyle name="Salida 7 3 8 2 4" xfId="52501" xr:uid="{00000000-0005-0000-0000-0000D0CD0000}"/>
    <cellStyle name="Salida 7 3 8 3" xfId="52502" xr:uid="{00000000-0005-0000-0000-0000D1CD0000}"/>
    <cellStyle name="Salida 7 3 8 3 2" xfId="52503" xr:uid="{00000000-0005-0000-0000-0000D2CD0000}"/>
    <cellStyle name="Salida 7 3 8 3 2 2" xfId="52504" xr:uid="{00000000-0005-0000-0000-0000D3CD0000}"/>
    <cellStyle name="Salida 7 3 8 3 2 3" xfId="52505" xr:uid="{00000000-0005-0000-0000-0000D4CD0000}"/>
    <cellStyle name="Salida 7 3 8 3 2 4" xfId="52506" xr:uid="{00000000-0005-0000-0000-0000D5CD0000}"/>
    <cellStyle name="Salida 7 3 8 3 3" xfId="52507" xr:uid="{00000000-0005-0000-0000-0000D6CD0000}"/>
    <cellStyle name="Salida 7 3 8 3 3 2" xfId="52508" xr:uid="{00000000-0005-0000-0000-0000D7CD0000}"/>
    <cellStyle name="Salida 7 3 8 3 3 3" xfId="52509" xr:uid="{00000000-0005-0000-0000-0000D8CD0000}"/>
    <cellStyle name="Salida 7 3 8 3 3 4" xfId="52510" xr:uid="{00000000-0005-0000-0000-0000D9CD0000}"/>
    <cellStyle name="Salida 7 3 8 3 4" xfId="52511" xr:uid="{00000000-0005-0000-0000-0000DACD0000}"/>
    <cellStyle name="Salida 7 3 8 3 5" xfId="52512" xr:uid="{00000000-0005-0000-0000-0000DBCD0000}"/>
    <cellStyle name="Salida 7 3 8 3 6" xfId="52513" xr:uid="{00000000-0005-0000-0000-0000DCCD0000}"/>
    <cellStyle name="Salida 7 3 8 4" xfId="52514" xr:uid="{00000000-0005-0000-0000-0000DDCD0000}"/>
    <cellStyle name="Salida 7 3 8 5" xfId="52515" xr:uid="{00000000-0005-0000-0000-0000DECD0000}"/>
    <cellStyle name="Salida 7 3 9" xfId="52516" xr:uid="{00000000-0005-0000-0000-0000DFCD0000}"/>
    <cellStyle name="Salida 7 3 9 2" xfId="52517" xr:uid="{00000000-0005-0000-0000-0000E0CD0000}"/>
    <cellStyle name="Salida 7 3 9 2 2" xfId="52518" xr:uid="{00000000-0005-0000-0000-0000E1CD0000}"/>
    <cellStyle name="Salida 7 3 9 2 3" xfId="52519" xr:uid="{00000000-0005-0000-0000-0000E2CD0000}"/>
    <cellStyle name="Salida 7 3 9 2 4" xfId="52520" xr:uid="{00000000-0005-0000-0000-0000E3CD0000}"/>
    <cellStyle name="Salida 7 3 9 3" xfId="52521" xr:uid="{00000000-0005-0000-0000-0000E4CD0000}"/>
    <cellStyle name="Salida 7 3 9 3 2" xfId="52522" xr:uid="{00000000-0005-0000-0000-0000E5CD0000}"/>
    <cellStyle name="Salida 7 3 9 3 2 2" xfId="52523" xr:uid="{00000000-0005-0000-0000-0000E6CD0000}"/>
    <cellStyle name="Salida 7 3 9 3 2 3" xfId="52524" xr:uid="{00000000-0005-0000-0000-0000E7CD0000}"/>
    <cellStyle name="Salida 7 3 9 3 2 4" xfId="52525" xr:uid="{00000000-0005-0000-0000-0000E8CD0000}"/>
    <cellStyle name="Salida 7 3 9 3 3" xfId="52526" xr:uid="{00000000-0005-0000-0000-0000E9CD0000}"/>
    <cellStyle name="Salida 7 3 9 3 3 2" xfId="52527" xr:uid="{00000000-0005-0000-0000-0000EACD0000}"/>
    <cellStyle name="Salida 7 3 9 3 3 3" xfId="52528" xr:uid="{00000000-0005-0000-0000-0000EBCD0000}"/>
    <cellStyle name="Salida 7 3 9 3 3 4" xfId="52529" xr:uid="{00000000-0005-0000-0000-0000ECCD0000}"/>
    <cellStyle name="Salida 7 3 9 3 4" xfId="52530" xr:uid="{00000000-0005-0000-0000-0000EDCD0000}"/>
    <cellStyle name="Salida 7 3 9 3 5" xfId="52531" xr:uid="{00000000-0005-0000-0000-0000EECD0000}"/>
    <cellStyle name="Salida 7 3 9 3 6" xfId="52532" xr:uid="{00000000-0005-0000-0000-0000EFCD0000}"/>
    <cellStyle name="Salida 7 3 9 4" xfId="52533" xr:uid="{00000000-0005-0000-0000-0000F0CD0000}"/>
    <cellStyle name="Salida 7 3 9 5" xfId="52534" xr:uid="{00000000-0005-0000-0000-0000F1CD0000}"/>
    <cellStyle name="Salida 7 4" xfId="52535" xr:uid="{00000000-0005-0000-0000-0000F2CD0000}"/>
    <cellStyle name="Salida 7 4 10" xfId="52536" xr:uid="{00000000-0005-0000-0000-0000F3CD0000}"/>
    <cellStyle name="Salida 7 4 10 2" xfId="52537" xr:uid="{00000000-0005-0000-0000-0000F4CD0000}"/>
    <cellStyle name="Salida 7 4 10 2 2" xfId="52538" xr:uid="{00000000-0005-0000-0000-0000F5CD0000}"/>
    <cellStyle name="Salida 7 4 10 2 3" xfId="52539" xr:uid="{00000000-0005-0000-0000-0000F6CD0000}"/>
    <cellStyle name="Salida 7 4 10 2 4" xfId="52540" xr:uid="{00000000-0005-0000-0000-0000F7CD0000}"/>
    <cellStyle name="Salida 7 4 10 3" xfId="52541" xr:uid="{00000000-0005-0000-0000-0000F8CD0000}"/>
    <cellStyle name="Salida 7 4 10 3 2" xfId="52542" xr:uid="{00000000-0005-0000-0000-0000F9CD0000}"/>
    <cellStyle name="Salida 7 4 10 3 2 2" xfId="52543" xr:uid="{00000000-0005-0000-0000-0000FACD0000}"/>
    <cellStyle name="Salida 7 4 10 3 2 3" xfId="52544" xr:uid="{00000000-0005-0000-0000-0000FBCD0000}"/>
    <cellStyle name="Salida 7 4 10 3 2 4" xfId="52545" xr:uid="{00000000-0005-0000-0000-0000FCCD0000}"/>
    <cellStyle name="Salida 7 4 10 3 3" xfId="52546" xr:uid="{00000000-0005-0000-0000-0000FDCD0000}"/>
    <cellStyle name="Salida 7 4 10 3 3 2" xfId="52547" xr:uid="{00000000-0005-0000-0000-0000FECD0000}"/>
    <cellStyle name="Salida 7 4 10 3 3 3" xfId="52548" xr:uid="{00000000-0005-0000-0000-0000FFCD0000}"/>
    <cellStyle name="Salida 7 4 10 3 3 4" xfId="52549" xr:uid="{00000000-0005-0000-0000-000000CE0000}"/>
    <cellStyle name="Salida 7 4 10 3 4" xfId="52550" xr:uid="{00000000-0005-0000-0000-000001CE0000}"/>
    <cellStyle name="Salida 7 4 10 3 5" xfId="52551" xr:uid="{00000000-0005-0000-0000-000002CE0000}"/>
    <cellStyle name="Salida 7 4 10 3 6" xfId="52552" xr:uid="{00000000-0005-0000-0000-000003CE0000}"/>
    <cellStyle name="Salida 7 4 10 4" xfId="52553" xr:uid="{00000000-0005-0000-0000-000004CE0000}"/>
    <cellStyle name="Salida 7 4 10 5" xfId="52554" xr:uid="{00000000-0005-0000-0000-000005CE0000}"/>
    <cellStyle name="Salida 7 4 11" xfId="52555" xr:uid="{00000000-0005-0000-0000-000006CE0000}"/>
    <cellStyle name="Salida 7 4 11 2" xfId="52556" xr:uid="{00000000-0005-0000-0000-000007CE0000}"/>
    <cellStyle name="Salida 7 4 11 2 2" xfId="52557" xr:uid="{00000000-0005-0000-0000-000008CE0000}"/>
    <cellStyle name="Salida 7 4 11 2 3" xfId="52558" xr:uid="{00000000-0005-0000-0000-000009CE0000}"/>
    <cellStyle name="Salida 7 4 11 2 4" xfId="52559" xr:uid="{00000000-0005-0000-0000-00000ACE0000}"/>
    <cellStyle name="Salida 7 4 11 3" xfId="52560" xr:uid="{00000000-0005-0000-0000-00000BCE0000}"/>
    <cellStyle name="Salida 7 4 11 3 2" xfId="52561" xr:uid="{00000000-0005-0000-0000-00000CCE0000}"/>
    <cellStyle name="Salida 7 4 11 3 2 2" xfId="52562" xr:uid="{00000000-0005-0000-0000-00000DCE0000}"/>
    <cellStyle name="Salida 7 4 11 3 2 3" xfId="52563" xr:uid="{00000000-0005-0000-0000-00000ECE0000}"/>
    <cellStyle name="Salida 7 4 11 3 2 4" xfId="52564" xr:uid="{00000000-0005-0000-0000-00000FCE0000}"/>
    <cellStyle name="Salida 7 4 11 3 3" xfId="52565" xr:uid="{00000000-0005-0000-0000-000010CE0000}"/>
    <cellStyle name="Salida 7 4 11 3 3 2" xfId="52566" xr:uid="{00000000-0005-0000-0000-000011CE0000}"/>
    <cellStyle name="Salida 7 4 11 3 3 3" xfId="52567" xr:uid="{00000000-0005-0000-0000-000012CE0000}"/>
    <cellStyle name="Salida 7 4 11 3 3 4" xfId="52568" xr:uid="{00000000-0005-0000-0000-000013CE0000}"/>
    <cellStyle name="Salida 7 4 11 3 4" xfId="52569" xr:uid="{00000000-0005-0000-0000-000014CE0000}"/>
    <cellStyle name="Salida 7 4 11 3 5" xfId="52570" xr:uid="{00000000-0005-0000-0000-000015CE0000}"/>
    <cellStyle name="Salida 7 4 11 3 6" xfId="52571" xr:uid="{00000000-0005-0000-0000-000016CE0000}"/>
    <cellStyle name="Salida 7 4 11 4" xfId="52572" xr:uid="{00000000-0005-0000-0000-000017CE0000}"/>
    <cellStyle name="Salida 7 4 11 5" xfId="52573" xr:uid="{00000000-0005-0000-0000-000018CE0000}"/>
    <cellStyle name="Salida 7 4 12" xfId="52574" xr:uid="{00000000-0005-0000-0000-000019CE0000}"/>
    <cellStyle name="Salida 7 4 12 2" xfId="52575" xr:uid="{00000000-0005-0000-0000-00001ACE0000}"/>
    <cellStyle name="Salida 7 4 12 2 2" xfId="52576" xr:uid="{00000000-0005-0000-0000-00001BCE0000}"/>
    <cellStyle name="Salida 7 4 12 2 2 2" xfId="52577" xr:uid="{00000000-0005-0000-0000-00001CCE0000}"/>
    <cellStyle name="Salida 7 4 12 2 2 3" xfId="52578" xr:uid="{00000000-0005-0000-0000-00001DCE0000}"/>
    <cellStyle name="Salida 7 4 12 2 2 4" xfId="52579" xr:uid="{00000000-0005-0000-0000-00001ECE0000}"/>
    <cellStyle name="Salida 7 4 12 2 3" xfId="52580" xr:uid="{00000000-0005-0000-0000-00001FCE0000}"/>
    <cellStyle name="Salida 7 4 12 2 3 2" xfId="52581" xr:uid="{00000000-0005-0000-0000-000020CE0000}"/>
    <cellStyle name="Salida 7 4 12 2 3 3" xfId="52582" xr:uid="{00000000-0005-0000-0000-000021CE0000}"/>
    <cellStyle name="Salida 7 4 12 2 3 4" xfId="52583" xr:uid="{00000000-0005-0000-0000-000022CE0000}"/>
    <cellStyle name="Salida 7 4 12 2 4" xfId="52584" xr:uid="{00000000-0005-0000-0000-000023CE0000}"/>
    <cellStyle name="Salida 7 4 12 2 5" xfId="52585" xr:uid="{00000000-0005-0000-0000-000024CE0000}"/>
    <cellStyle name="Salida 7 4 12 2 6" xfId="52586" xr:uid="{00000000-0005-0000-0000-000025CE0000}"/>
    <cellStyle name="Salida 7 4 12 3" xfId="52587" xr:uid="{00000000-0005-0000-0000-000026CE0000}"/>
    <cellStyle name="Salida 7 4 12 3 2" xfId="52588" xr:uid="{00000000-0005-0000-0000-000027CE0000}"/>
    <cellStyle name="Salida 7 4 12 3 2 2" xfId="52589" xr:uid="{00000000-0005-0000-0000-000028CE0000}"/>
    <cellStyle name="Salida 7 4 12 3 2 3" xfId="52590" xr:uid="{00000000-0005-0000-0000-000029CE0000}"/>
    <cellStyle name="Salida 7 4 12 3 2 4" xfId="52591" xr:uid="{00000000-0005-0000-0000-00002ACE0000}"/>
    <cellStyle name="Salida 7 4 12 3 3" xfId="52592" xr:uid="{00000000-0005-0000-0000-00002BCE0000}"/>
    <cellStyle name="Salida 7 4 12 3 3 2" xfId="52593" xr:uid="{00000000-0005-0000-0000-00002CCE0000}"/>
    <cellStyle name="Salida 7 4 12 3 3 3" xfId="52594" xr:uid="{00000000-0005-0000-0000-00002DCE0000}"/>
    <cellStyle name="Salida 7 4 12 3 3 4" xfId="52595" xr:uid="{00000000-0005-0000-0000-00002ECE0000}"/>
    <cellStyle name="Salida 7 4 12 3 4" xfId="52596" xr:uid="{00000000-0005-0000-0000-00002FCE0000}"/>
    <cellStyle name="Salida 7 4 12 3 5" xfId="52597" xr:uid="{00000000-0005-0000-0000-000030CE0000}"/>
    <cellStyle name="Salida 7 4 12 3 6" xfId="52598" xr:uid="{00000000-0005-0000-0000-000031CE0000}"/>
    <cellStyle name="Salida 7 4 12 4" xfId="52599" xr:uid="{00000000-0005-0000-0000-000032CE0000}"/>
    <cellStyle name="Salida 7 4 12 5" xfId="52600" xr:uid="{00000000-0005-0000-0000-000033CE0000}"/>
    <cellStyle name="Salida 7 4 12 6" xfId="52601" xr:uid="{00000000-0005-0000-0000-000034CE0000}"/>
    <cellStyle name="Salida 7 4 13" xfId="52602" xr:uid="{00000000-0005-0000-0000-000035CE0000}"/>
    <cellStyle name="Salida 7 4 14" xfId="52603" xr:uid="{00000000-0005-0000-0000-000036CE0000}"/>
    <cellStyle name="Salida 7 4 15" xfId="58802" xr:uid="{00000000-0005-0000-0000-000037CE0000}"/>
    <cellStyle name="Salida 7 4 2" xfId="52604" xr:uid="{00000000-0005-0000-0000-000038CE0000}"/>
    <cellStyle name="Salida 7 4 2 2" xfId="52605" xr:uid="{00000000-0005-0000-0000-000039CE0000}"/>
    <cellStyle name="Salida 7 4 2 2 2" xfId="52606" xr:uid="{00000000-0005-0000-0000-00003ACE0000}"/>
    <cellStyle name="Salida 7 4 2 2 2 2" xfId="52607" xr:uid="{00000000-0005-0000-0000-00003BCE0000}"/>
    <cellStyle name="Salida 7 4 2 2 2 2 2" xfId="52608" xr:uid="{00000000-0005-0000-0000-00003CCE0000}"/>
    <cellStyle name="Salida 7 4 2 2 2 2 3" xfId="52609" xr:uid="{00000000-0005-0000-0000-00003DCE0000}"/>
    <cellStyle name="Salida 7 4 2 2 2 2 4" xfId="52610" xr:uid="{00000000-0005-0000-0000-00003ECE0000}"/>
    <cellStyle name="Salida 7 4 2 2 2 3" xfId="52611" xr:uid="{00000000-0005-0000-0000-00003FCE0000}"/>
    <cellStyle name="Salida 7 4 2 2 2 3 2" xfId="52612" xr:uid="{00000000-0005-0000-0000-000040CE0000}"/>
    <cellStyle name="Salida 7 4 2 2 2 3 3" xfId="52613" xr:uid="{00000000-0005-0000-0000-000041CE0000}"/>
    <cellStyle name="Salida 7 4 2 2 2 3 4" xfId="52614" xr:uid="{00000000-0005-0000-0000-000042CE0000}"/>
    <cellStyle name="Salida 7 4 2 2 2 4" xfId="52615" xr:uid="{00000000-0005-0000-0000-000043CE0000}"/>
    <cellStyle name="Salida 7 4 2 2 2 5" xfId="52616" xr:uid="{00000000-0005-0000-0000-000044CE0000}"/>
    <cellStyle name="Salida 7 4 2 2 2 6" xfId="52617" xr:uid="{00000000-0005-0000-0000-000045CE0000}"/>
    <cellStyle name="Salida 7 4 2 2 3" xfId="52618" xr:uid="{00000000-0005-0000-0000-000046CE0000}"/>
    <cellStyle name="Salida 7 4 2 2 3 2" xfId="52619" xr:uid="{00000000-0005-0000-0000-000047CE0000}"/>
    <cellStyle name="Salida 7 4 2 2 3 2 2" xfId="52620" xr:uid="{00000000-0005-0000-0000-000048CE0000}"/>
    <cellStyle name="Salida 7 4 2 2 3 2 3" xfId="52621" xr:uid="{00000000-0005-0000-0000-000049CE0000}"/>
    <cellStyle name="Salida 7 4 2 2 3 2 4" xfId="52622" xr:uid="{00000000-0005-0000-0000-00004ACE0000}"/>
    <cellStyle name="Salida 7 4 2 2 3 3" xfId="52623" xr:uid="{00000000-0005-0000-0000-00004BCE0000}"/>
    <cellStyle name="Salida 7 4 2 2 3 3 2" xfId="52624" xr:uid="{00000000-0005-0000-0000-00004CCE0000}"/>
    <cellStyle name="Salida 7 4 2 2 3 3 3" xfId="52625" xr:uid="{00000000-0005-0000-0000-00004DCE0000}"/>
    <cellStyle name="Salida 7 4 2 2 3 3 4" xfId="52626" xr:uid="{00000000-0005-0000-0000-00004ECE0000}"/>
    <cellStyle name="Salida 7 4 2 2 3 4" xfId="52627" xr:uid="{00000000-0005-0000-0000-00004FCE0000}"/>
    <cellStyle name="Salida 7 4 2 2 3 5" xfId="52628" xr:uid="{00000000-0005-0000-0000-000050CE0000}"/>
    <cellStyle name="Salida 7 4 2 2 3 6" xfId="52629" xr:uid="{00000000-0005-0000-0000-000051CE0000}"/>
    <cellStyle name="Salida 7 4 2 2 4" xfId="52630" xr:uid="{00000000-0005-0000-0000-000052CE0000}"/>
    <cellStyle name="Salida 7 4 2 2 5" xfId="52631" xr:uid="{00000000-0005-0000-0000-000053CE0000}"/>
    <cellStyle name="Salida 7 4 2 2 6" xfId="52632" xr:uid="{00000000-0005-0000-0000-000054CE0000}"/>
    <cellStyle name="Salida 7 4 2 3" xfId="52633" xr:uid="{00000000-0005-0000-0000-000055CE0000}"/>
    <cellStyle name="Salida 7 4 2 4" xfId="52634" xr:uid="{00000000-0005-0000-0000-000056CE0000}"/>
    <cellStyle name="Salida 7 4 3" xfId="52635" xr:uid="{00000000-0005-0000-0000-000057CE0000}"/>
    <cellStyle name="Salida 7 4 3 2" xfId="52636" xr:uid="{00000000-0005-0000-0000-000058CE0000}"/>
    <cellStyle name="Salida 7 4 3 2 2" xfId="52637" xr:uid="{00000000-0005-0000-0000-000059CE0000}"/>
    <cellStyle name="Salida 7 4 3 2 2 2" xfId="52638" xr:uid="{00000000-0005-0000-0000-00005ACE0000}"/>
    <cellStyle name="Salida 7 4 3 2 2 2 2" xfId="52639" xr:uid="{00000000-0005-0000-0000-00005BCE0000}"/>
    <cellStyle name="Salida 7 4 3 2 2 2 3" xfId="52640" xr:uid="{00000000-0005-0000-0000-00005CCE0000}"/>
    <cellStyle name="Salida 7 4 3 2 2 2 4" xfId="52641" xr:uid="{00000000-0005-0000-0000-00005DCE0000}"/>
    <cellStyle name="Salida 7 4 3 2 2 3" xfId="52642" xr:uid="{00000000-0005-0000-0000-00005ECE0000}"/>
    <cellStyle name="Salida 7 4 3 2 2 3 2" xfId="52643" xr:uid="{00000000-0005-0000-0000-00005FCE0000}"/>
    <cellStyle name="Salida 7 4 3 2 2 3 3" xfId="52644" xr:uid="{00000000-0005-0000-0000-000060CE0000}"/>
    <cellStyle name="Salida 7 4 3 2 2 3 4" xfId="52645" xr:uid="{00000000-0005-0000-0000-000061CE0000}"/>
    <cellStyle name="Salida 7 4 3 2 2 4" xfId="52646" xr:uid="{00000000-0005-0000-0000-000062CE0000}"/>
    <cellStyle name="Salida 7 4 3 2 2 5" xfId="52647" xr:uid="{00000000-0005-0000-0000-000063CE0000}"/>
    <cellStyle name="Salida 7 4 3 2 2 6" xfId="52648" xr:uid="{00000000-0005-0000-0000-000064CE0000}"/>
    <cellStyle name="Salida 7 4 3 2 3" xfId="52649" xr:uid="{00000000-0005-0000-0000-000065CE0000}"/>
    <cellStyle name="Salida 7 4 3 2 3 2" xfId="52650" xr:uid="{00000000-0005-0000-0000-000066CE0000}"/>
    <cellStyle name="Salida 7 4 3 2 3 2 2" xfId="52651" xr:uid="{00000000-0005-0000-0000-000067CE0000}"/>
    <cellStyle name="Salida 7 4 3 2 3 2 3" xfId="52652" xr:uid="{00000000-0005-0000-0000-000068CE0000}"/>
    <cellStyle name="Salida 7 4 3 2 3 2 4" xfId="52653" xr:uid="{00000000-0005-0000-0000-000069CE0000}"/>
    <cellStyle name="Salida 7 4 3 2 3 3" xfId="52654" xr:uid="{00000000-0005-0000-0000-00006ACE0000}"/>
    <cellStyle name="Salida 7 4 3 2 3 3 2" xfId="52655" xr:uid="{00000000-0005-0000-0000-00006BCE0000}"/>
    <cellStyle name="Salida 7 4 3 2 3 3 3" xfId="52656" xr:uid="{00000000-0005-0000-0000-00006CCE0000}"/>
    <cellStyle name="Salida 7 4 3 2 3 3 4" xfId="52657" xr:uid="{00000000-0005-0000-0000-00006DCE0000}"/>
    <cellStyle name="Salida 7 4 3 2 3 4" xfId="52658" xr:uid="{00000000-0005-0000-0000-00006ECE0000}"/>
    <cellStyle name="Salida 7 4 3 2 3 5" xfId="52659" xr:uid="{00000000-0005-0000-0000-00006FCE0000}"/>
    <cellStyle name="Salida 7 4 3 2 3 6" xfId="52660" xr:uid="{00000000-0005-0000-0000-000070CE0000}"/>
    <cellStyle name="Salida 7 4 3 2 4" xfId="52661" xr:uid="{00000000-0005-0000-0000-000071CE0000}"/>
    <cellStyle name="Salida 7 4 3 2 5" xfId="52662" xr:uid="{00000000-0005-0000-0000-000072CE0000}"/>
    <cellStyle name="Salida 7 4 3 2 6" xfId="52663" xr:uid="{00000000-0005-0000-0000-000073CE0000}"/>
    <cellStyle name="Salida 7 4 3 3" xfId="52664" xr:uid="{00000000-0005-0000-0000-000074CE0000}"/>
    <cellStyle name="Salida 7 4 3 4" xfId="52665" xr:uid="{00000000-0005-0000-0000-000075CE0000}"/>
    <cellStyle name="Salida 7 4 4" xfId="52666" xr:uid="{00000000-0005-0000-0000-000076CE0000}"/>
    <cellStyle name="Salida 7 4 4 2" xfId="52667" xr:uid="{00000000-0005-0000-0000-000077CE0000}"/>
    <cellStyle name="Salida 7 4 4 2 2" xfId="52668" xr:uid="{00000000-0005-0000-0000-000078CE0000}"/>
    <cellStyle name="Salida 7 4 4 2 2 2" xfId="52669" xr:uid="{00000000-0005-0000-0000-000079CE0000}"/>
    <cellStyle name="Salida 7 4 4 2 2 2 2" xfId="52670" xr:uid="{00000000-0005-0000-0000-00007ACE0000}"/>
    <cellStyle name="Salida 7 4 4 2 2 2 3" xfId="52671" xr:uid="{00000000-0005-0000-0000-00007BCE0000}"/>
    <cellStyle name="Salida 7 4 4 2 2 2 4" xfId="52672" xr:uid="{00000000-0005-0000-0000-00007CCE0000}"/>
    <cellStyle name="Salida 7 4 4 2 2 3" xfId="52673" xr:uid="{00000000-0005-0000-0000-00007DCE0000}"/>
    <cellStyle name="Salida 7 4 4 2 2 3 2" xfId="52674" xr:uid="{00000000-0005-0000-0000-00007ECE0000}"/>
    <cellStyle name="Salida 7 4 4 2 2 3 3" xfId="52675" xr:uid="{00000000-0005-0000-0000-00007FCE0000}"/>
    <cellStyle name="Salida 7 4 4 2 2 3 4" xfId="52676" xr:uid="{00000000-0005-0000-0000-000080CE0000}"/>
    <cellStyle name="Salida 7 4 4 2 2 4" xfId="52677" xr:uid="{00000000-0005-0000-0000-000081CE0000}"/>
    <cellStyle name="Salida 7 4 4 2 2 5" xfId="52678" xr:uid="{00000000-0005-0000-0000-000082CE0000}"/>
    <cellStyle name="Salida 7 4 4 2 2 6" xfId="52679" xr:uid="{00000000-0005-0000-0000-000083CE0000}"/>
    <cellStyle name="Salida 7 4 4 2 3" xfId="52680" xr:uid="{00000000-0005-0000-0000-000084CE0000}"/>
    <cellStyle name="Salida 7 4 4 2 3 2" xfId="52681" xr:uid="{00000000-0005-0000-0000-000085CE0000}"/>
    <cellStyle name="Salida 7 4 4 2 3 2 2" xfId="52682" xr:uid="{00000000-0005-0000-0000-000086CE0000}"/>
    <cellStyle name="Salida 7 4 4 2 3 2 3" xfId="52683" xr:uid="{00000000-0005-0000-0000-000087CE0000}"/>
    <cellStyle name="Salida 7 4 4 2 3 2 4" xfId="52684" xr:uid="{00000000-0005-0000-0000-000088CE0000}"/>
    <cellStyle name="Salida 7 4 4 2 3 3" xfId="52685" xr:uid="{00000000-0005-0000-0000-000089CE0000}"/>
    <cellStyle name="Salida 7 4 4 2 3 3 2" xfId="52686" xr:uid="{00000000-0005-0000-0000-00008ACE0000}"/>
    <cellStyle name="Salida 7 4 4 2 3 3 3" xfId="52687" xr:uid="{00000000-0005-0000-0000-00008BCE0000}"/>
    <cellStyle name="Salida 7 4 4 2 3 3 4" xfId="52688" xr:uid="{00000000-0005-0000-0000-00008CCE0000}"/>
    <cellStyle name="Salida 7 4 4 2 3 4" xfId="52689" xr:uid="{00000000-0005-0000-0000-00008DCE0000}"/>
    <cellStyle name="Salida 7 4 4 2 3 5" xfId="52690" xr:uid="{00000000-0005-0000-0000-00008ECE0000}"/>
    <cellStyle name="Salida 7 4 4 2 3 6" xfId="52691" xr:uid="{00000000-0005-0000-0000-00008FCE0000}"/>
    <cellStyle name="Salida 7 4 4 2 4" xfId="52692" xr:uid="{00000000-0005-0000-0000-000090CE0000}"/>
    <cellStyle name="Salida 7 4 4 2 5" xfId="52693" xr:uid="{00000000-0005-0000-0000-000091CE0000}"/>
    <cellStyle name="Salida 7 4 4 2 6" xfId="52694" xr:uid="{00000000-0005-0000-0000-000092CE0000}"/>
    <cellStyle name="Salida 7 4 4 3" xfId="52695" xr:uid="{00000000-0005-0000-0000-000093CE0000}"/>
    <cellStyle name="Salida 7 4 4 4" xfId="52696" xr:uid="{00000000-0005-0000-0000-000094CE0000}"/>
    <cellStyle name="Salida 7 4 5" xfId="52697" xr:uid="{00000000-0005-0000-0000-000095CE0000}"/>
    <cellStyle name="Salida 7 4 5 2" xfId="52698" xr:uid="{00000000-0005-0000-0000-000096CE0000}"/>
    <cellStyle name="Salida 7 4 5 2 2" xfId="52699" xr:uid="{00000000-0005-0000-0000-000097CE0000}"/>
    <cellStyle name="Salida 7 4 5 2 3" xfId="52700" xr:uid="{00000000-0005-0000-0000-000098CE0000}"/>
    <cellStyle name="Salida 7 4 5 2 4" xfId="52701" xr:uid="{00000000-0005-0000-0000-000099CE0000}"/>
    <cellStyle name="Salida 7 4 5 3" xfId="52702" xr:uid="{00000000-0005-0000-0000-00009ACE0000}"/>
    <cellStyle name="Salida 7 4 5 3 2" xfId="52703" xr:uid="{00000000-0005-0000-0000-00009BCE0000}"/>
    <cellStyle name="Salida 7 4 5 3 2 2" xfId="52704" xr:uid="{00000000-0005-0000-0000-00009CCE0000}"/>
    <cellStyle name="Salida 7 4 5 3 2 3" xfId="52705" xr:uid="{00000000-0005-0000-0000-00009DCE0000}"/>
    <cellStyle name="Salida 7 4 5 3 2 4" xfId="52706" xr:uid="{00000000-0005-0000-0000-00009ECE0000}"/>
    <cellStyle name="Salida 7 4 5 3 3" xfId="52707" xr:uid="{00000000-0005-0000-0000-00009FCE0000}"/>
    <cellStyle name="Salida 7 4 5 3 3 2" xfId="52708" xr:uid="{00000000-0005-0000-0000-0000A0CE0000}"/>
    <cellStyle name="Salida 7 4 5 3 3 3" xfId="52709" xr:uid="{00000000-0005-0000-0000-0000A1CE0000}"/>
    <cellStyle name="Salida 7 4 5 3 3 4" xfId="52710" xr:uid="{00000000-0005-0000-0000-0000A2CE0000}"/>
    <cellStyle name="Salida 7 4 5 3 4" xfId="52711" xr:uid="{00000000-0005-0000-0000-0000A3CE0000}"/>
    <cellStyle name="Salida 7 4 5 3 5" xfId="52712" xr:uid="{00000000-0005-0000-0000-0000A4CE0000}"/>
    <cellStyle name="Salida 7 4 5 3 6" xfId="52713" xr:uid="{00000000-0005-0000-0000-0000A5CE0000}"/>
    <cellStyle name="Salida 7 4 5 4" xfId="52714" xr:uid="{00000000-0005-0000-0000-0000A6CE0000}"/>
    <cellStyle name="Salida 7 4 5 5" xfId="52715" xr:uid="{00000000-0005-0000-0000-0000A7CE0000}"/>
    <cellStyle name="Salida 7 4 6" xfId="52716" xr:uid="{00000000-0005-0000-0000-0000A8CE0000}"/>
    <cellStyle name="Salida 7 4 6 2" xfId="52717" xr:uid="{00000000-0005-0000-0000-0000A9CE0000}"/>
    <cellStyle name="Salida 7 4 6 2 2" xfId="52718" xr:uid="{00000000-0005-0000-0000-0000AACE0000}"/>
    <cellStyle name="Salida 7 4 6 2 3" xfId="52719" xr:uid="{00000000-0005-0000-0000-0000ABCE0000}"/>
    <cellStyle name="Salida 7 4 6 2 4" xfId="52720" xr:uid="{00000000-0005-0000-0000-0000ACCE0000}"/>
    <cellStyle name="Salida 7 4 6 3" xfId="52721" xr:uid="{00000000-0005-0000-0000-0000ADCE0000}"/>
    <cellStyle name="Salida 7 4 6 3 2" xfId="52722" xr:uid="{00000000-0005-0000-0000-0000AECE0000}"/>
    <cellStyle name="Salida 7 4 6 3 2 2" xfId="52723" xr:uid="{00000000-0005-0000-0000-0000AFCE0000}"/>
    <cellStyle name="Salida 7 4 6 3 2 3" xfId="52724" xr:uid="{00000000-0005-0000-0000-0000B0CE0000}"/>
    <cellStyle name="Salida 7 4 6 3 2 4" xfId="52725" xr:uid="{00000000-0005-0000-0000-0000B1CE0000}"/>
    <cellStyle name="Salida 7 4 6 3 3" xfId="52726" xr:uid="{00000000-0005-0000-0000-0000B2CE0000}"/>
    <cellStyle name="Salida 7 4 6 3 3 2" xfId="52727" xr:uid="{00000000-0005-0000-0000-0000B3CE0000}"/>
    <cellStyle name="Salida 7 4 6 3 3 3" xfId="52728" xr:uid="{00000000-0005-0000-0000-0000B4CE0000}"/>
    <cellStyle name="Salida 7 4 6 3 3 4" xfId="52729" xr:uid="{00000000-0005-0000-0000-0000B5CE0000}"/>
    <cellStyle name="Salida 7 4 6 3 4" xfId="52730" xr:uid="{00000000-0005-0000-0000-0000B6CE0000}"/>
    <cellStyle name="Salida 7 4 6 3 5" xfId="52731" xr:uid="{00000000-0005-0000-0000-0000B7CE0000}"/>
    <cellStyle name="Salida 7 4 6 3 6" xfId="52732" xr:uid="{00000000-0005-0000-0000-0000B8CE0000}"/>
    <cellStyle name="Salida 7 4 6 4" xfId="52733" xr:uid="{00000000-0005-0000-0000-0000B9CE0000}"/>
    <cellStyle name="Salida 7 4 6 5" xfId="52734" xr:uid="{00000000-0005-0000-0000-0000BACE0000}"/>
    <cellStyle name="Salida 7 4 7" xfId="52735" xr:uid="{00000000-0005-0000-0000-0000BBCE0000}"/>
    <cellStyle name="Salida 7 4 7 2" xfId="52736" xr:uid="{00000000-0005-0000-0000-0000BCCE0000}"/>
    <cellStyle name="Salida 7 4 7 2 2" xfId="52737" xr:uid="{00000000-0005-0000-0000-0000BDCE0000}"/>
    <cellStyle name="Salida 7 4 7 2 3" xfId="52738" xr:uid="{00000000-0005-0000-0000-0000BECE0000}"/>
    <cellStyle name="Salida 7 4 7 2 4" xfId="52739" xr:uid="{00000000-0005-0000-0000-0000BFCE0000}"/>
    <cellStyle name="Salida 7 4 7 3" xfId="52740" xr:uid="{00000000-0005-0000-0000-0000C0CE0000}"/>
    <cellStyle name="Salida 7 4 7 3 2" xfId="52741" xr:uid="{00000000-0005-0000-0000-0000C1CE0000}"/>
    <cellStyle name="Salida 7 4 7 3 2 2" xfId="52742" xr:uid="{00000000-0005-0000-0000-0000C2CE0000}"/>
    <cellStyle name="Salida 7 4 7 3 2 3" xfId="52743" xr:uid="{00000000-0005-0000-0000-0000C3CE0000}"/>
    <cellStyle name="Salida 7 4 7 3 2 4" xfId="52744" xr:uid="{00000000-0005-0000-0000-0000C4CE0000}"/>
    <cellStyle name="Salida 7 4 7 3 3" xfId="52745" xr:uid="{00000000-0005-0000-0000-0000C5CE0000}"/>
    <cellStyle name="Salida 7 4 7 3 3 2" xfId="52746" xr:uid="{00000000-0005-0000-0000-0000C6CE0000}"/>
    <cellStyle name="Salida 7 4 7 3 3 3" xfId="52747" xr:uid="{00000000-0005-0000-0000-0000C7CE0000}"/>
    <cellStyle name="Salida 7 4 7 3 3 4" xfId="52748" xr:uid="{00000000-0005-0000-0000-0000C8CE0000}"/>
    <cellStyle name="Salida 7 4 7 3 4" xfId="52749" xr:uid="{00000000-0005-0000-0000-0000C9CE0000}"/>
    <cellStyle name="Salida 7 4 7 3 5" xfId="52750" xr:uid="{00000000-0005-0000-0000-0000CACE0000}"/>
    <cellStyle name="Salida 7 4 7 3 6" xfId="52751" xr:uid="{00000000-0005-0000-0000-0000CBCE0000}"/>
    <cellStyle name="Salida 7 4 7 4" xfId="52752" xr:uid="{00000000-0005-0000-0000-0000CCCE0000}"/>
    <cellStyle name="Salida 7 4 7 5" xfId="52753" xr:uid="{00000000-0005-0000-0000-0000CDCE0000}"/>
    <cellStyle name="Salida 7 4 8" xfId="52754" xr:uid="{00000000-0005-0000-0000-0000CECE0000}"/>
    <cellStyle name="Salida 7 4 8 2" xfId="52755" xr:uid="{00000000-0005-0000-0000-0000CFCE0000}"/>
    <cellStyle name="Salida 7 4 8 2 2" xfId="52756" xr:uid="{00000000-0005-0000-0000-0000D0CE0000}"/>
    <cellStyle name="Salida 7 4 8 2 3" xfId="52757" xr:uid="{00000000-0005-0000-0000-0000D1CE0000}"/>
    <cellStyle name="Salida 7 4 8 2 4" xfId="52758" xr:uid="{00000000-0005-0000-0000-0000D2CE0000}"/>
    <cellStyle name="Salida 7 4 8 3" xfId="52759" xr:uid="{00000000-0005-0000-0000-0000D3CE0000}"/>
    <cellStyle name="Salida 7 4 8 3 2" xfId="52760" xr:uid="{00000000-0005-0000-0000-0000D4CE0000}"/>
    <cellStyle name="Salida 7 4 8 3 2 2" xfId="52761" xr:uid="{00000000-0005-0000-0000-0000D5CE0000}"/>
    <cellStyle name="Salida 7 4 8 3 2 3" xfId="52762" xr:uid="{00000000-0005-0000-0000-0000D6CE0000}"/>
    <cellStyle name="Salida 7 4 8 3 2 4" xfId="52763" xr:uid="{00000000-0005-0000-0000-0000D7CE0000}"/>
    <cellStyle name="Salida 7 4 8 3 3" xfId="52764" xr:uid="{00000000-0005-0000-0000-0000D8CE0000}"/>
    <cellStyle name="Salida 7 4 8 3 3 2" xfId="52765" xr:uid="{00000000-0005-0000-0000-0000D9CE0000}"/>
    <cellStyle name="Salida 7 4 8 3 3 3" xfId="52766" xr:uid="{00000000-0005-0000-0000-0000DACE0000}"/>
    <cellStyle name="Salida 7 4 8 3 3 4" xfId="52767" xr:uid="{00000000-0005-0000-0000-0000DBCE0000}"/>
    <cellStyle name="Salida 7 4 8 3 4" xfId="52768" xr:uid="{00000000-0005-0000-0000-0000DCCE0000}"/>
    <cellStyle name="Salida 7 4 8 3 5" xfId="52769" xr:uid="{00000000-0005-0000-0000-0000DDCE0000}"/>
    <cellStyle name="Salida 7 4 8 3 6" xfId="52770" xr:uid="{00000000-0005-0000-0000-0000DECE0000}"/>
    <cellStyle name="Salida 7 4 8 4" xfId="52771" xr:uid="{00000000-0005-0000-0000-0000DFCE0000}"/>
    <cellStyle name="Salida 7 4 8 5" xfId="52772" xr:uid="{00000000-0005-0000-0000-0000E0CE0000}"/>
    <cellStyle name="Salida 7 4 9" xfId="52773" xr:uid="{00000000-0005-0000-0000-0000E1CE0000}"/>
    <cellStyle name="Salida 7 4 9 2" xfId="52774" xr:uid="{00000000-0005-0000-0000-0000E2CE0000}"/>
    <cellStyle name="Salida 7 4 9 2 2" xfId="52775" xr:uid="{00000000-0005-0000-0000-0000E3CE0000}"/>
    <cellStyle name="Salida 7 4 9 2 3" xfId="52776" xr:uid="{00000000-0005-0000-0000-0000E4CE0000}"/>
    <cellStyle name="Salida 7 4 9 2 4" xfId="52777" xr:uid="{00000000-0005-0000-0000-0000E5CE0000}"/>
    <cellStyle name="Salida 7 4 9 3" xfId="52778" xr:uid="{00000000-0005-0000-0000-0000E6CE0000}"/>
    <cellStyle name="Salida 7 4 9 3 2" xfId="52779" xr:uid="{00000000-0005-0000-0000-0000E7CE0000}"/>
    <cellStyle name="Salida 7 4 9 3 2 2" xfId="52780" xr:uid="{00000000-0005-0000-0000-0000E8CE0000}"/>
    <cellStyle name="Salida 7 4 9 3 2 3" xfId="52781" xr:uid="{00000000-0005-0000-0000-0000E9CE0000}"/>
    <cellStyle name="Salida 7 4 9 3 2 4" xfId="52782" xr:uid="{00000000-0005-0000-0000-0000EACE0000}"/>
    <cellStyle name="Salida 7 4 9 3 3" xfId="52783" xr:uid="{00000000-0005-0000-0000-0000EBCE0000}"/>
    <cellStyle name="Salida 7 4 9 3 3 2" xfId="52784" xr:uid="{00000000-0005-0000-0000-0000ECCE0000}"/>
    <cellStyle name="Salida 7 4 9 3 3 3" xfId="52785" xr:uid="{00000000-0005-0000-0000-0000EDCE0000}"/>
    <cellStyle name="Salida 7 4 9 3 3 4" xfId="52786" xr:uid="{00000000-0005-0000-0000-0000EECE0000}"/>
    <cellStyle name="Salida 7 4 9 3 4" xfId="52787" xr:uid="{00000000-0005-0000-0000-0000EFCE0000}"/>
    <cellStyle name="Salida 7 4 9 3 5" xfId="52788" xr:uid="{00000000-0005-0000-0000-0000F0CE0000}"/>
    <cellStyle name="Salida 7 4 9 3 6" xfId="52789" xr:uid="{00000000-0005-0000-0000-0000F1CE0000}"/>
    <cellStyle name="Salida 7 4 9 4" xfId="52790" xr:uid="{00000000-0005-0000-0000-0000F2CE0000}"/>
    <cellStyle name="Salida 7 4 9 5" xfId="52791" xr:uid="{00000000-0005-0000-0000-0000F3CE0000}"/>
    <cellStyle name="Salida 7 5" xfId="52792" xr:uid="{00000000-0005-0000-0000-0000F4CE0000}"/>
    <cellStyle name="Salida 7 5 2" xfId="52793" xr:uid="{00000000-0005-0000-0000-0000F5CE0000}"/>
    <cellStyle name="Salida 7 5 2 2" xfId="52794" xr:uid="{00000000-0005-0000-0000-0000F6CE0000}"/>
    <cellStyle name="Salida 7 5 2 3" xfId="52795" xr:uid="{00000000-0005-0000-0000-0000F7CE0000}"/>
    <cellStyle name="Salida 7 5 2 4" xfId="52796" xr:uid="{00000000-0005-0000-0000-0000F8CE0000}"/>
    <cellStyle name="Salida 7 5 3" xfId="52797" xr:uid="{00000000-0005-0000-0000-0000F9CE0000}"/>
    <cellStyle name="Salida 7 5 3 2" xfId="52798" xr:uid="{00000000-0005-0000-0000-0000FACE0000}"/>
    <cellStyle name="Salida 7 5 3 2 2" xfId="52799" xr:uid="{00000000-0005-0000-0000-0000FBCE0000}"/>
    <cellStyle name="Salida 7 5 3 2 3" xfId="52800" xr:uid="{00000000-0005-0000-0000-0000FCCE0000}"/>
    <cellStyle name="Salida 7 5 3 2 4" xfId="52801" xr:uid="{00000000-0005-0000-0000-0000FDCE0000}"/>
    <cellStyle name="Salida 7 5 3 3" xfId="52802" xr:uid="{00000000-0005-0000-0000-0000FECE0000}"/>
    <cellStyle name="Salida 7 5 3 3 2" xfId="52803" xr:uid="{00000000-0005-0000-0000-0000FFCE0000}"/>
    <cellStyle name="Salida 7 5 3 3 3" xfId="52804" xr:uid="{00000000-0005-0000-0000-000000CF0000}"/>
    <cellStyle name="Salida 7 5 3 3 4" xfId="52805" xr:uid="{00000000-0005-0000-0000-000001CF0000}"/>
    <cellStyle name="Salida 7 5 3 4" xfId="52806" xr:uid="{00000000-0005-0000-0000-000002CF0000}"/>
    <cellStyle name="Salida 7 5 3 5" xfId="52807" xr:uid="{00000000-0005-0000-0000-000003CF0000}"/>
    <cellStyle name="Salida 7 5 3 6" xfId="52808" xr:uid="{00000000-0005-0000-0000-000004CF0000}"/>
    <cellStyle name="Salida 7 5 4" xfId="52809" xr:uid="{00000000-0005-0000-0000-000005CF0000}"/>
    <cellStyle name="Salida 7 5 5" xfId="52810" xr:uid="{00000000-0005-0000-0000-000006CF0000}"/>
    <cellStyle name="Salida 7 6" xfId="52811" xr:uid="{00000000-0005-0000-0000-000007CF0000}"/>
    <cellStyle name="Salida 7 6 2" xfId="52812" xr:uid="{00000000-0005-0000-0000-000008CF0000}"/>
    <cellStyle name="Salida 7 6 2 2" xfId="52813" xr:uid="{00000000-0005-0000-0000-000009CF0000}"/>
    <cellStyle name="Salida 7 6 2 2 2" xfId="52814" xr:uid="{00000000-0005-0000-0000-00000ACF0000}"/>
    <cellStyle name="Salida 7 6 2 2 3" xfId="52815" xr:uid="{00000000-0005-0000-0000-00000BCF0000}"/>
    <cellStyle name="Salida 7 6 2 2 4" xfId="52816" xr:uid="{00000000-0005-0000-0000-00000CCF0000}"/>
    <cellStyle name="Salida 7 6 2 3" xfId="52817" xr:uid="{00000000-0005-0000-0000-00000DCF0000}"/>
    <cellStyle name="Salida 7 6 2 3 2" xfId="52818" xr:uid="{00000000-0005-0000-0000-00000ECF0000}"/>
    <cellStyle name="Salida 7 6 2 3 3" xfId="52819" xr:uid="{00000000-0005-0000-0000-00000FCF0000}"/>
    <cellStyle name="Salida 7 6 2 3 4" xfId="52820" xr:uid="{00000000-0005-0000-0000-000010CF0000}"/>
    <cellStyle name="Salida 7 6 2 4" xfId="52821" xr:uid="{00000000-0005-0000-0000-000011CF0000}"/>
    <cellStyle name="Salida 7 6 2 5" xfId="52822" xr:uid="{00000000-0005-0000-0000-000012CF0000}"/>
    <cellStyle name="Salida 7 6 2 6" xfId="52823" xr:uid="{00000000-0005-0000-0000-000013CF0000}"/>
    <cellStyle name="Salida 7 6 3" xfId="52824" xr:uid="{00000000-0005-0000-0000-000014CF0000}"/>
    <cellStyle name="Salida 7 6 3 2" xfId="52825" xr:uid="{00000000-0005-0000-0000-000015CF0000}"/>
    <cellStyle name="Salida 7 6 3 2 2" xfId="52826" xr:uid="{00000000-0005-0000-0000-000016CF0000}"/>
    <cellStyle name="Salida 7 6 3 2 3" xfId="52827" xr:uid="{00000000-0005-0000-0000-000017CF0000}"/>
    <cellStyle name="Salida 7 6 3 2 4" xfId="52828" xr:uid="{00000000-0005-0000-0000-000018CF0000}"/>
    <cellStyle name="Salida 7 6 3 3" xfId="52829" xr:uid="{00000000-0005-0000-0000-000019CF0000}"/>
    <cellStyle name="Salida 7 6 3 3 2" xfId="52830" xr:uid="{00000000-0005-0000-0000-00001ACF0000}"/>
    <cellStyle name="Salida 7 6 3 3 3" xfId="52831" xr:uid="{00000000-0005-0000-0000-00001BCF0000}"/>
    <cellStyle name="Salida 7 6 3 3 4" xfId="52832" xr:uid="{00000000-0005-0000-0000-00001CCF0000}"/>
    <cellStyle name="Salida 7 6 3 4" xfId="52833" xr:uid="{00000000-0005-0000-0000-00001DCF0000}"/>
    <cellStyle name="Salida 7 6 3 5" xfId="52834" xr:uid="{00000000-0005-0000-0000-00001ECF0000}"/>
    <cellStyle name="Salida 7 6 3 6" xfId="52835" xr:uid="{00000000-0005-0000-0000-00001FCF0000}"/>
    <cellStyle name="Salida 7 6 4" xfId="52836" xr:uid="{00000000-0005-0000-0000-000020CF0000}"/>
    <cellStyle name="Salida 7 6 5" xfId="52837" xr:uid="{00000000-0005-0000-0000-000021CF0000}"/>
    <cellStyle name="Salida 7 6 6" xfId="52838" xr:uid="{00000000-0005-0000-0000-000022CF0000}"/>
    <cellStyle name="Salida 7 7" xfId="52839" xr:uid="{00000000-0005-0000-0000-000023CF0000}"/>
    <cellStyle name="Salida 7 8" xfId="52840" xr:uid="{00000000-0005-0000-0000-000024CF0000}"/>
    <cellStyle name="Separador de milhares 2" xfId="52841" xr:uid="{00000000-0005-0000-0000-000025CF0000}"/>
    <cellStyle name="Shade" xfId="58922" xr:uid="{00000000-0005-0000-0000-000026CF0000}"/>
    <cellStyle name="Small 6" xfId="58852" xr:uid="{00000000-0005-0000-0000-000027CF0000}"/>
    <cellStyle name="Soles" xfId="58853" xr:uid="{00000000-0005-0000-0000-000028CF0000}"/>
    <cellStyle name="Source Hed" xfId="52842" xr:uid="{00000000-0005-0000-0000-000029CF0000}"/>
    <cellStyle name="Source Letter" xfId="52843" xr:uid="{00000000-0005-0000-0000-00002ACF0000}"/>
    <cellStyle name="Source Superscript" xfId="52844" xr:uid="{00000000-0005-0000-0000-00002BCF0000}"/>
    <cellStyle name="Source Text" xfId="52845" xr:uid="{00000000-0005-0000-0000-00002CCF0000}"/>
    <cellStyle name="Standard_CRF Inventar" xfId="52846" xr:uid="{00000000-0005-0000-0000-00002DCF0000}"/>
    <cellStyle name="State" xfId="52847" xr:uid="{00000000-0005-0000-0000-00002ECF0000}"/>
    <cellStyle name="Style 1" xfId="52848" xr:uid="{00000000-0005-0000-0000-00002FCF0000}"/>
    <cellStyle name="Subscript" xfId="58854" xr:uid="{00000000-0005-0000-0000-000030CF0000}"/>
    <cellStyle name="Subtotal" xfId="52849" xr:uid="{00000000-0005-0000-0000-000031CF0000}"/>
    <cellStyle name="Subtotal 10" xfId="52850" xr:uid="{00000000-0005-0000-0000-000032CF0000}"/>
    <cellStyle name="Subtotal 11" xfId="52851" xr:uid="{00000000-0005-0000-0000-000033CF0000}"/>
    <cellStyle name="Subtotal 12" xfId="52852" xr:uid="{00000000-0005-0000-0000-000034CF0000}"/>
    <cellStyle name="Subtotal 13" xfId="52853" xr:uid="{00000000-0005-0000-0000-000035CF0000}"/>
    <cellStyle name="Subtotal 14" xfId="52854" xr:uid="{00000000-0005-0000-0000-000036CF0000}"/>
    <cellStyle name="Subtotal 15" xfId="52855" xr:uid="{00000000-0005-0000-0000-000037CF0000}"/>
    <cellStyle name="Subtotal 16" xfId="52856" xr:uid="{00000000-0005-0000-0000-000038CF0000}"/>
    <cellStyle name="Subtotal 17" xfId="52857" xr:uid="{00000000-0005-0000-0000-000039CF0000}"/>
    <cellStyle name="Subtotal 18" xfId="52858" xr:uid="{00000000-0005-0000-0000-00003ACF0000}"/>
    <cellStyle name="Subtotal 19" xfId="52859" xr:uid="{00000000-0005-0000-0000-00003BCF0000}"/>
    <cellStyle name="Subtotal 2" xfId="52860" xr:uid="{00000000-0005-0000-0000-00003CCF0000}"/>
    <cellStyle name="Subtotal 20" xfId="52861" xr:uid="{00000000-0005-0000-0000-00003DCF0000}"/>
    <cellStyle name="Subtotal 21" xfId="52862" xr:uid="{00000000-0005-0000-0000-00003ECF0000}"/>
    <cellStyle name="Subtotal 3" xfId="52863" xr:uid="{00000000-0005-0000-0000-00003FCF0000}"/>
    <cellStyle name="Subtotal 4" xfId="52864" xr:uid="{00000000-0005-0000-0000-000040CF0000}"/>
    <cellStyle name="Subtotal 5" xfId="52865" xr:uid="{00000000-0005-0000-0000-000041CF0000}"/>
    <cellStyle name="Subtotal 6" xfId="52866" xr:uid="{00000000-0005-0000-0000-000042CF0000}"/>
    <cellStyle name="Subtotal 7" xfId="52867" xr:uid="{00000000-0005-0000-0000-000043CF0000}"/>
    <cellStyle name="Subtotal 8" xfId="52868" xr:uid="{00000000-0005-0000-0000-000044CF0000}"/>
    <cellStyle name="Subtotal 9" xfId="52869" xr:uid="{00000000-0005-0000-0000-000045CF0000}"/>
    <cellStyle name="Superscript" xfId="52870" xr:uid="{00000000-0005-0000-0000-000046CF0000}"/>
    <cellStyle name="Superscript- regular" xfId="52871" xr:uid="{00000000-0005-0000-0000-000047CF0000}"/>
    <cellStyle name="Superscript_1-1A-Regular" xfId="52872" xr:uid="{00000000-0005-0000-0000-000048CF0000}"/>
    <cellStyle name="Table Data" xfId="52873" xr:uid="{00000000-0005-0000-0000-000049CF0000}"/>
    <cellStyle name="Table Head Top" xfId="52874" xr:uid="{00000000-0005-0000-0000-00004ACF0000}"/>
    <cellStyle name="Table Hed Side" xfId="52875" xr:uid="{00000000-0005-0000-0000-00004BCF0000}"/>
    <cellStyle name="Table Title" xfId="52876" xr:uid="{00000000-0005-0000-0000-00004CCF0000}"/>
    <cellStyle name="Teléfono" xfId="58855" xr:uid="{00000000-0005-0000-0000-00004DCF0000}"/>
    <cellStyle name="Text" xfId="58856" xr:uid="{00000000-0005-0000-0000-00004ECF0000}"/>
    <cellStyle name="Texto de advertencia" xfId="58700" builtinId="11" customBuiltin="1"/>
    <cellStyle name="Texto de advertencia 2" xfId="52877" xr:uid="{00000000-0005-0000-0000-000050CF0000}"/>
    <cellStyle name="Texto de advertencia 3" xfId="52878" xr:uid="{00000000-0005-0000-0000-000051CF0000}"/>
    <cellStyle name="Texto de advertencia 4" xfId="52879" xr:uid="{00000000-0005-0000-0000-000052CF0000}"/>
    <cellStyle name="Texto de advertencia 5" xfId="52880" xr:uid="{00000000-0005-0000-0000-000053CF0000}"/>
    <cellStyle name="Texto de advertencia 6" xfId="52881" xr:uid="{00000000-0005-0000-0000-000054CF0000}"/>
    <cellStyle name="Texto de advertencia 7" xfId="52882" xr:uid="{00000000-0005-0000-0000-000055CF0000}"/>
    <cellStyle name="Texto explicativo 2" xfId="52883" xr:uid="{00000000-0005-0000-0000-000056CF0000}"/>
    <cellStyle name="Texto explicativo 3" xfId="52884" xr:uid="{00000000-0005-0000-0000-000057CF0000}"/>
    <cellStyle name="Texto explicativo 4" xfId="52885" xr:uid="{00000000-0005-0000-0000-000058CF0000}"/>
    <cellStyle name="Texto explicativo 5" xfId="52886" xr:uid="{00000000-0005-0000-0000-000059CF0000}"/>
    <cellStyle name="Texto explicativo 6" xfId="52887" xr:uid="{00000000-0005-0000-0000-00005ACF0000}"/>
    <cellStyle name="Texto explicativo 7" xfId="52888" xr:uid="{00000000-0005-0000-0000-00005BCF0000}"/>
    <cellStyle name="TEXTO NORMAL" xfId="58899" xr:uid="{00000000-0005-0000-0000-00005CCF0000}"/>
    <cellStyle name="Time" xfId="58857" xr:uid="{00000000-0005-0000-0000-00005DCF0000}"/>
    <cellStyle name="Title" xfId="27" xr:uid="{00000000-0005-0000-0000-00005ECF0000}"/>
    <cellStyle name="Title 10" xfId="58858" xr:uid="{00000000-0005-0000-0000-00005FCF0000}"/>
    <cellStyle name="Title 2" xfId="52889" xr:uid="{00000000-0005-0000-0000-000060CF0000}"/>
    <cellStyle name="Title Text" xfId="52890" xr:uid="{00000000-0005-0000-0000-000061CF0000}"/>
    <cellStyle name="Title Text 1" xfId="52891" xr:uid="{00000000-0005-0000-0000-000062CF0000}"/>
    <cellStyle name="Title Text 2" xfId="52892" xr:uid="{00000000-0005-0000-0000-000063CF0000}"/>
    <cellStyle name="Title-1" xfId="52893" xr:uid="{00000000-0005-0000-0000-000064CF0000}"/>
    <cellStyle name="Title-2" xfId="52894" xr:uid="{00000000-0005-0000-0000-000065CF0000}"/>
    <cellStyle name="Title-3" xfId="52895" xr:uid="{00000000-0005-0000-0000-000066CF0000}"/>
    <cellStyle name="Título 1 2" xfId="52896" xr:uid="{00000000-0005-0000-0000-000067CF0000}"/>
    <cellStyle name="Título 1 3" xfId="52897" xr:uid="{00000000-0005-0000-0000-000068CF0000}"/>
    <cellStyle name="Título 1 4" xfId="52898" xr:uid="{00000000-0005-0000-0000-000069CF0000}"/>
    <cellStyle name="Título 1 5" xfId="52899" xr:uid="{00000000-0005-0000-0000-00006ACF0000}"/>
    <cellStyle name="Título 1 6" xfId="52900" xr:uid="{00000000-0005-0000-0000-00006BCF0000}"/>
    <cellStyle name="Título 1 7" xfId="52901" xr:uid="{00000000-0005-0000-0000-00006CCF0000}"/>
    <cellStyle name="Título 2 2" xfId="52902" xr:uid="{00000000-0005-0000-0000-00006DCF0000}"/>
    <cellStyle name="Título 2 3" xfId="52903" xr:uid="{00000000-0005-0000-0000-00006ECF0000}"/>
    <cellStyle name="Título 2 4" xfId="52904" xr:uid="{00000000-0005-0000-0000-00006FCF0000}"/>
    <cellStyle name="Título 2 5" xfId="52905" xr:uid="{00000000-0005-0000-0000-000070CF0000}"/>
    <cellStyle name="Título 2 6" xfId="52906" xr:uid="{00000000-0005-0000-0000-000071CF0000}"/>
    <cellStyle name="Título 2 7" xfId="52907" xr:uid="{00000000-0005-0000-0000-000072CF0000}"/>
    <cellStyle name="Título 3 2" xfId="52908" xr:uid="{00000000-0005-0000-0000-000073CF0000}"/>
    <cellStyle name="Título 3 3" xfId="52909" xr:uid="{00000000-0005-0000-0000-000074CF0000}"/>
    <cellStyle name="Título 3 4" xfId="52910" xr:uid="{00000000-0005-0000-0000-000075CF0000}"/>
    <cellStyle name="Título 3 5" xfId="52911" xr:uid="{00000000-0005-0000-0000-000076CF0000}"/>
    <cellStyle name="Título 3 6" xfId="52912" xr:uid="{00000000-0005-0000-0000-000077CF0000}"/>
    <cellStyle name="Título 3 7" xfId="52913" xr:uid="{00000000-0005-0000-0000-000078CF0000}"/>
    <cellStyle name="Título 4" xfId="52914" xr:uid="{00000000-0005-0000-0000-000079CF0000}"/>
    <cellStyle name="Título 5" xfId="52915" xr:uid="{00000000-0005-0000-0000-00007ACF0000}"/>
    <cellStyle name="Título 6" xfId="52916" xr:uid="{00000000-0005-0000-0000-00007BCF0000}"/>
    <cellStyle name="Título 7" xfId="52917" xr:uid="{00000000-0005-0000-0000-00007CCF0000}"/>
    <cellStyle name="Título 8" xfId="52918" xr:uid="{00000000-0005-0000-0000-00007DCF0000}"/>
    <cellStyle name="Título 9" xfId="52919" xr:uid="{00000000-0005-0000-0000-00007ECF0000}"/>
    <cellStyle name="Titulo1" xfId="52920" xr:uid="{00000000-0005-0000-0000-00007FCF0000}"/>
    <cellStyle name="Titulo2" xfId="52921" xr:uid="{00000000-0005-0000-0000-000080CF0000}"/>
    <cellStyle name="Ton" xfId="58859" xr:uid="{00000000-0005-0000-0000-000081CF0000}"/>
    <cellStyle name="Total" xfId="35" builtinId="25" customBuiltin="1"/>
    <cellStyle name="Total 2" xfId="52922" xr:uid="{00000000-0005-0000-0000-000083CF0000}"/>
    <cellStyle name="Total 2 2" xfId="52923" xr:uid="{00000000-0005-0000-0000-000084CF0000}"/>
    <cellStyle name="Total 2 2 2" xfId="52924" xr:uid="{00000000-0005-0000-0000-000085CF0000}"/>
    <cellStyle name="Total 2 2 2 10" xfId="52925" xr:uid="{00000000-0005-0000-0000-000086CF0000}"/>
    <cellStyle name="Total 2 2 2 10 2" xfId="52926" xr:uid="{00000000-0005-0000-0000-000087CF0000}"/>
    <cellStyle name="Total 2 2 2 10 2 2" xfId="52927" xr:uid="{00000000-0005-0000-0000-000088CF0000}"/>
    <cellStyle name="Total 2 2 2 10 2 2 2" xfId="52928" xr:uid="{00000000-0005-0000-0000-000089CF0000}"/>
    <cellStyle name="Total 2 2 2 10 2 2 3" xfId="52929" xr:uid="{00000000-0005-0000-0000-00008ACF0000}"/>
    <cellStyle name="Total 2 2 2 10 2 2 4" xfId="52930" xr:uid="{00000000-0005-0000-0000-00008BCF0000}"/>
    <cellStyle name="Total 2 2 2 10 2 3" xfId="52931" xr:uid="{00000000-0005-0000-0000-00008CCF0000}"/>
    <cellStyle name="Total 2 2 2 10 2 4" xfId="52932" xr:uid="{00000000-0005-0000-0000-00008DCF0000}"/>
    <cellStyle name="Total 2 2 2 10 2 5" xfId="52933" xr:uid="{00000000-0005-0000-0000-00008ECF0000}"/>
    <cellStyle name="Total 2 2 2 10 3" xfId="52934" xr:uid="{00000000-0005-0000-0000-00008FCF0000}"/>
    <cellStyle name="Total 2 2 2 10 3 2" xfId="52935" xr:uid="{00000000-0005-0000-0000-000090CF0000}"/>
    <cellStyle name="Total 2 2 2 10 3 2 2" xfId="52936" xr:uid="{00000000-0005-0000-0000-000091CF0000}"/>
    <cellStyle name="Total 2 2 2 10 3 2 3" xfId="52937" xr:uid="{00000000-0005-0000-0000-000092CF0000}"/>
    <cellStyle name="Total 2 2 2 10 3 2 4" xfId="52938" xr:uid="{00000000-0005-0000-0000-000093CF0000}"/>
    <cellStyle name="Total 2 2 2 10 3 3" xfId="52939" xr:uid="{00000000-0005-0000-0000-000094CF0000}"/>
    <cellStyle name="Total 2 2 2 10 3 3 2" xfId="52940" xr:uid="{00000000-0005-0000-0000-000095CF0000}"/>
    <cellStyle name="Total 2 2 2 10 3 3 3" xfId="52941" xr:uid="{00000000-0005-0000-0000-000096CF0000}"/>
    <cellStyle name="Total 2 2 2 10 3 3 4" xfId="52942" xr:uid="{00000000-0005-0000-0000-000097CF0000}"/>
    <cellStyle name="Total 2 2 2 10 3 4" xfId="52943" xr:uid="{00000000-0005-0000-0000-000098CF0000}"/>
    <cellStyle name="Total 2 2 2 10 3 5" xfId="52944" xr:uid="{00000000-0005-0000-0000-000099CF0000}"/>
    <cellStyle name="Total 2 2 2 10 3 6" xfId="52945" xr:uid="{00000000-0005-0000-0000-00009ACF0000}"/>
    <cellStyle name="Total 2 2 2 10 4" xfId="52946" xr:uid="{00000000-0005-0000-0000-00009BCF0000}"/>
    <cellStyle name="Total 2 2 2 10 5" xfId="52947" xr:uid="{00000000-0005-0000-0000-00009CCF0000}"/>
    <cellStyle name="Total 2 2 2 11" xfId="52948" xr:uid="{00000000-0005-0000-0000-00009DCF0000}"/>
    <cellStyle name="Total 2 2 2 11 2" xfId="52949" xr:uid="{00000000-0005-0000-0000-00009ECF0000}"/>
    <cellStyle name="Total 2 2 2 11 2 2" xfId="52950" xr:uid="{00000000-0005-0000-0000-00009FCF0000}"/>
    <cellStyle name="Total 2 2 2 11 2 2 2" xfId="52951" xr:uid="{00000000-0005-0000-0000-0000A0CF0000}"/>
    <cellStyle name="Total 2 2 2 11 2 2 3" xfId="52952" xr:uid="{00000000-0005-0000-0000-0000A1CF0000}"/>
    <cellStyle name="Total 2 2 2 11 2 2 4" xfId="52953" xr:uid="{00000000-0005-0000-0000-0000A2CF0000}"/>
    <cellStyle name="Total 2 2 2 11 2 3" xfId="52954" xr:uid="{00000000-0005-0000-0000-0000A3CF0000}"/>
    <cellStyle name="Total 2 2 2 11 2 4" xfId="52955" xr:uid="{00000000-0005-0000-0000-0000A4CF0000}"/>
    <cellStyle name="Total 2 2 2 11 2 5" xfId="52956" xr:uid="{00000000-0005-0000-0000-0000A5CF0000}"/>
    <cellStyle name="Total 2 2 2 11 3" xfId="52957" xr:uid="{00000000-0005-0000-0000-0000A6CF0000}"/>
    <cellStyle name="Total 2 2 2 11 3 2" xfId="52958" xr:uid="{00000000-0005-0000-0000-0000A7CF0000}"/>
    <cellStyle name="Total 2 2 2 11 3 2 2" xfId="52959" xr:uid="{00000000-0005-0000-0000-0000A8CF0000}"/>
    <cellStyle name="Total 2 2 2 11 3 2 3" xfId="52960" xr:uid="{00000000-0005-0000-0000-0000A9CF0000}"/>
    <cellStyle name="Total 2 2 2 11 3 2 4" xfId="52961" xr:uid="{00000000-0005-0000-0000-0000AACF0000}"/>
    <cellStyle name="Total 2 2 2 11 3 3" xfId="52962" xr:uid="{00000000-0005-0000-0000-0000ABCF0000}"/>
    <cellStyle name="Total 2 2 2 11 3 3 2" xfId="52963" xr:uid="{00000000-0005-0000-0000-0000ACCF0000}"/>
    <cellStyle name="Total 2 2 2 11 3 3 3" xfId="52964" xr:uid="{00000000-0005-0000-0000-0000ADCF0000}"/>
    <cellStyle name="Total 2 2 2 11 3 3 4" xfId="52965" xr:uid="{00000000-0005-0000-0000-0000AECF0000}"/>
    <cellStyle name="Total 2 2 2 11 3 4" xfId="52966" xr:uid="{00000000-0005-0000-0000-0000AFCF0000}"/>
    <cellStyle name="Total 2 2 2 11 3 5" xfId="52967" xr:uid="{00000000-0005-0000-0000-0000B0CF0000}"/>
    <cellStyle name="Total 2 2 2 11 3 6" xfId="52968" xr:uid="{00000000-0005-0000-0000-0000B1CF0000}"/>
    <cellStyle name="Total 2 2 2 11 4" xfId="52969" xr:uid="{00000000-0005-0000-0000-0000B2CF0000}"/>
    <cellStyle name="Total 2 2 2 11 5" xfId="52970" xr:uid="{00000000-0005-0000-0000-0000B3CF0000}"/>
    <cellStyle name="Total 2 2 2 12" xfId="52971" xr:uid="{00000000-0005-0000-0000-0000B4CF0000}"/>
    <cellStyle name="Total 2 2 2 12 2" xfId="52972" xr:uid="{00000000-0005-0000-0000-0000B5CF0000}"/>
    <cellStyle name="Total 2 2 2 12 2 2" xfId="52973" xr:uid="{00000000-0005-0000-0000-0000B6CF0000}"/>
    <cellStyle name="Total 2 2 2 12 2 2 2" xfId="52974" xr:uid="{00000000-0005-0000-0000-0000B7CF0000}"/>
    <cellStyle name="Total 2 2 2 12 2 2 3" xfId="52975" xr:uid="{00000000-0005-0000-0000-0000B8CF0000}"/>
    <cellStyle name="Total 2 2 2 12 2 2 4" xfId="52976" xr:uid="{00000000-0005-0000-0000-0000B9CF0000}"/>
    <cellStyle name="Total 2 2 2 12 2 3" xfId="52977" xr:uid="{00000000-0005-0000-0000-0000BACF0000}"/>
    <cellStyle name="Total 2 2 2 12 2 3 2" xfId="52978" xr:uid="{00000000-0005-0000-0000-0000BBCF0000}"/>
    <cellStyle name="Total 2 2 2 12 2 3 3" xfId="52979" xr:uid="{00000000-0005-0000-0000-0000BCCF0000}"/>
    <cellStyle name="Total 2 2 2 12 2 3 4" xfId="52980" xr:uid="{00000000-0005-0000-0000-0000BDCF0000}"/>
    <cellStyle name="Total 2 2 2 12 2 4" xfId="52981" xr:uid="{00000000-0005-0000-0000-0000BECF0000}"/>
    <cellStyle name="Total 2 2 2 12 2 5" xfId="52982" xr:uid="{00000000-0005-0000-0000-0000BFCF0000}"/>
    <cellStyle name="Total 2 2 2 12 2 6" xfId="52983" xr:uid="{00000000-0005-0000-0000-0000C0CF0000}"/>
    <cellStyle name="Total 2 2 2 12 3" xfId="52984" xr:uid="{00000000-0005-0000-0000-0000C1CF0000}"/>
    <cellStyle name="Total 2 2 2 12 3 2" xfId="52985" xr:uid="{00000000-0005-0000-0000-0000C2CF0000}"/>
    <cellStyle name="Total 2 2 2 12 3 2 2" xfId="52986" xr:uid="{00000000-0005-0000-0000-0000C3CF0000}"/>
    <cellStyle name="Total 2 2 2 12 3 2 3" xfId="52987" xr:uid="{00000000-0005-0000-0000-0000C4CF0000}"/>
    <cellStyle name="Total 2 2 2 12 3 2 4" xfId="52988" xr:uid="{00000000-0005-0000-0000-0000C5CF0000}"/>
    <cellStyle name="Total 2 2 2 12 3 3" xfId="52989" xr:uid="{00000000-0005-0000-0000-0000C6CF0000}"/>
    <cellStyle name="Total 2 2 2 12 3 3 2" xfId="52990" xr:uid="{00000000-0005-0000-0000-0000C7CF0000}"/>
    <cellStyle name="Total 2 2 2 12 3 3 3" xfId="52991" xr:uid="{00000000-0005-0000-0000-0000C8CF0000}"/>
    <cellStyle name="Total 2 2 2 12 3 3 4" xfId="52992" xr:uid="{00000000-0005-0000-0000-0000C9CF0000}"/>
    <cellStyle name="Total 2 2 2 12 3 4" xfId="52993" xr:uid="{00000000-0005-0000-0000-0000CACF0000}"/>
    <cellStyle name="Total 2 2 2 12 3 5" xfId="52994" xr:uid="{00000000-0005-0000-0000-0000CBCF0000}"/>
    <cellStyle name="Total 2 2 2 12 3 6" xfId="52995" xr:uid="{00000000-0005-0000-0000-0000CCCF0000}"/>
    <cellStyle name="Total 2 2 2 12 4" xfId="52996" xr:uid="{00000000-0005-0000-0000-0000CDCF0000}"/>
    <cellStyle name="Total 2 2 2 12 5" xfId="52997" xr:uid="{00000000-0005-0000-0000-0000CECF0000}"/>
    <cellStyle name="Total 2 2 2 12 6" xfId="52998" xr:uid="{00000000-0005-0000-0000-0000CFCF0000}"/>
    <cellStyle name="Total 2 2 2 13" xfId="52999" xr:uid="{00000000-0005-0000-0000-0000D0CF0000}"/>
    <cellStyle name="Total 2 2 2 14" xfId="53000" xr:uid="{00000000-0005-0000-0000-0000D1CF0000}"/>
    <cellStyle name="Total 2 2 2 15" xfId="58803" xr:uid="{00000000-0005-0000-0000-0000D2CF0000}"/>
    <cellStyle name="Total 2 2 2 2" xfId="53001" xr:uid="{00000000-0005-0000-0000-0000D3CF0000}"/>
    <cellStyle name="Total 2 2 2 2 2" xfId="53002" xr:uid="{00000000-0005-0000-0000-0000D4CF0000}"/>
    <cellStyle name="Total 2 2 2 2 2 2" xfId="53003" xr:uid="{00000000-0005-0000-0000-0000D5CF0000}"/>
    <cellStyle name="Total 2 2 2 2 2 2 2" xfId="53004" xr:uid="{00000000-0005-0000-0000-0000D6CF0000}"/>
    <cellStyle name="Total 2 2 2 2 2 2 2 2" xfId="53005" xr:uid="{00000000-0005-0000-0000-0000D7CF0000}"/>
    <cellStyle name="Total 2 2 2 2 2 2 2 3" xfId="53006" xr:uid="{00000000-0005-0000-0000-0000D8CF0000}"/>
    <cellStyle name="Total 2 2 2 2 2 2 2 4" xfId="53007" xr:uid="{00000000-0005-0000-0000-0000D9CF0000}"/>
    <cellStyle name="Total 2 2 2 2 2 2 3" xfId="53008" xr:uid="{00000000-0005-0000-0000-0000DACF0000}"/>
    <cellStyle name="Total 2 2 2 2 2 2 3 2" xfId="53009" xr:uid="{00000000-0005-0000-0000-0000DBCF0000}"/>
    <cellStyle name="Total 2 2 2 2 2 2 3 3" xfId="53010" xr:uid="{00000000-0005-0000-0000-0000DCCF0000}"/>
    <cellStyle name="Total 2 2 2 2 2 2 3 4" xfId="53011" xr:uid="{00000000-0005-0000-0000-0000DDCF0000}"/>
    <cellStyle name="Total 2 2 2 2 2 2 4" xfId="53012" xr:uid="{00000000-0005-0000-0000-0000DECF0000}"/>
    <cellStyle name="Total 2 2 2 2 2 2 5" xfId="53013" xr:uid="{00000000-0005-0000-0000-0000DFCF0000}"/>
    <cellStyle name="Total 2 2 2 2 2 2 6" xfId="53014" xr:uid="{00000000-0005-0000-0000-0000E0CF0000}"/>
    <cellStyle name="Total 2 2 2 2 2 3" xfId="53015" xr:uid="{00000000-0005-0000-0000-0000E1CF0000}"/>
    <cellStyle name="Total 2 2 2 2 2 3 2" xfId="53016" xr:uid="{00000000-0005-0000-0000-0000E2CF0000}"/>
    <cellStyle name="Total 2 2 2 2 2 3 2 2" xfId="53017" xr:uid="{00000000-0005-0000-0000-0000E3CF0000}"/>
    <cellStyle name="Total 2 2 2 2 2 3 2 3" xfId="53018" xr:uid="{00000000-0005-0000-0000-0000E4CF0000}"/>
    <cellStyle name="Total 2 2 2 2 2 3 2 4" xfId="53019" xr:uid="{00000000-0005-0000-0000-0000E5CF0000}"/>
    <cellStyle name="Total 2 2 2 2 2 3 3" xfId="53020" xr:uid="{00000000-0005-0000-0000-0000E6CF0000}"/>
    <cellStyle name="Total 2 2 2 2 2 3 3 2" xfId="53021" xr:uid="{00000000-0005-0000-0000-0000E7CF0000}"/>
    <cellStyle name="Total 2 2 2 2 2 3 3 3" xfId="53022" xr:uid="{00000000-0005-0000-0000-0000E8CF0000}"/>
    <cellStyle name="Total 2 2 2 2 2 3 3 4" xfId="53023" xr:uid="{00000000-0005-0000-0000-0000E9CF0000}"/>
    <cellStyle name="Total 2 2 2 2 2 3 4" xfId="53024" xr:uid="{00000000-0005-0000-0000-0000EACF0000}"/>
    <cellStyle name="Total 2 2 2 2 2 3 5" xfId="53025" xr:uid="{00000000-0005-0000-0000-0000EBCF0000}"/>
    <cellStyle name="Total 2 2 2 2 2 3 6" xfId="53026" xr:uid="{00000000-0005-0000-0000-0000ECCF0000}"/>
    <cellStyle name="Total 2 2 2 2 2 4" xfId="53027" xr:uid="{00000000-0005-0000-0000-0000EDCF0000}"/>
    <cellStyle name="Total 2 2 2 2 2 5" xfId="53028" xr:uid="{00000000-0005-0000-0000-0000EECF0000}"/>
    <cellStyle name="Total 2 2 2 2 2 6" xfId="53029" xr:uid="{00000000-0005-0000-0000-0000EFCF0000}"/>
    <cellStyle name="Total 2 2 2 2 3" xfId="53030" xr:uid="{00000000-0005-0000-0000-0000F0CF0000}"/>
    <cellStyle name="Total 2 2 2 2 4" xfId="53031" xr:uid="{00000000-0005-0000-0000-0000F1CF0000}"/>
    <cellStyle name="Total 2 2 2 3" xfId="53032" xr:uid="{00000000-0005-0000-0000-0000F2CF0000}"/>
    <cellStyle name="Total 2 2 2 3 2" xfId="53033" xr:uid="{00000000-0005-0000-0000-0000F3CF0000}"/>
    <cellStyle name="Total 2 2 2 3 2 2" xfId="53034" xr:uid="{00000000-0005-0000-0000-0000F4CF0000}"/>
    <cellStyle name="Total 2 2 2 3 2 2 2" xfId="53035" xr:uid="{00000000-0005-0000-0000-0000F5CF0000}"/>
    <cellStyle name="Total 2 2 2 3 2 2 2 2" xfId="53036" xr:uid="{00000000-0005-0000-0000-0000F6CF0000}"/>
    <cellStyle name="Total 2 2 2 3 2 2 2 3" xfId="53037" xr:uid="{00000000-0005-0000-0000-0000F7CF0000}"/>
    <cellStyle name="Total 2 2 2 3 2 2 2 4" xfId="53038" xr:uid="{00000000-0005-0000-0000-0000F8CF0000}"/>
    <cellStyle name="Total 2 2 2 3 2 2 3" xfId="53039" xr:uid="{00000000-0005-0000-0000-0000F9CF0000}"/>
    <cellStyle name="Total 2 2 2 3 2 2 3 2" xfId="53040" xr:uid="{00000000-0005-0000-0000-0000FACF0000}"/>
    <cellStyle name="Total 2 2 2 3 2 2 3 3" xfId="53041" xr:uid="{00000000-0005-0000-0000-0000FBCF0000}"/>
    <cellStyle name="Total 2 2 2 3 2 2 3 4" xfId="53042" xr:uid="{00000000-0005-0000-0000-0000FCCF0000}"/>
    <cellStyle name="Total 2 2 2 3 2 2 4" xfId="53043" xr:uid="{00000000-0005-0000-0000-0000FDCF0000}"/>
    <cellStyle name="Total 2 2 2 3 2 2 5" xfId="53044" xr:uid="{00000000-0005-0000-0000-0000FECF0000}"/>
    <cellStyle name="Total 2 2 2 3 2 2 6" xfId="53045" xr:uid="{00000000-0005-0000-0000-0000FFCF0000}"/>
    <cellStyle name="Total 2 2 2 3 2 3" xfId="53046" xr:uid="{00000000-0005-0000-0000-000000D00000}"/>
    <cellStyle name="Total 2 2 2 3 2 3 2" xfId="53047" xr:uid="{00000000-0005-0000-0000-000001D00000}"/>
    <cellStyle name="Total 2 2 2 3 2 3 2 2" xfId="53048" xr:uid="{00000000-0005-0000-0000-000002D00000}"/>
    <cellStyle name="Total 2 2 2 3 2 3 2 3" xfId="53049" xr:uid="{00000000-0005-0000-0000-000003D00000}"/>
    <cellStyle name="Total 2 2 2 3 2 3 2 4" xfId="53050" xr:uid="{00000000-0005-0000-0000-000004D00000}"/>
    <cellStyle name="Total 2 2 2 3 2 3 3" xfId="53051" xr:uid="{00000000-0005-0000-0000-000005D00000}"/>
    <cellStyle name="Total 2 2 2 3 2 3 3 2" xfId="53052" xr:uid="{00000000-0005-0000-0000-000006D00000}"/>
    <cellStyle name="Total 2 2 2 3 2 3 3 3" xfId="53053" xr:uid="{00000000-0005-0000-0000-000007D00000}"/>
    <cellStyle name="Total 2 2 2 3 2 3 3 4" xfId="53054" xr:uid="{00000000-0005-0000-0000-000008D00000}"/>
    <cellStyle name="Total 2 2 2 3 2 3 4" xfId="53055" xr:uid="{00000000-0005-0000-0000-000009D00000}"/>
    <cellStyle name="Total 2 2 2 3 2 3 5" xfId="53056" xr:uid="{00000000-0005-0000-0000-00000AD00000}"/>
    <cellStyle name="Total 2 2 2 3 2 3 6" xfId="53057" xr:uid="{00000000-0005-0000-0000-00000BD00000}"/>
    <cellStyle name="Total 2 2 2 3 2 4" xfId="53058" xr:uid="{00000000-0005-0000-0000-00000CD00000}"/>
    <cellStyle name="Total 2 2 2 3 2 5" xfId="53059" xr:uid="{00000000-0005-0000-0000-00000DD00000}"/>
    <cellStyle name="Total 2 2 2 3 2 6" xfId="53060" xr:uid="{00000000-0005-0000-0000-00000ED00000}"/>
    <cellStyle name="Total 2 2 2 3 3" xfId="53061" xr:uid="{00000000-0005-0000-0000-00000FD00000}"/>
    <cellStyle name="Total 2 2 2 3 4" xfId="53062" xr:uid="{00000000-0005-0000-0000-000010D00000}"/>
    <cellStyle name="Total 2 2 2 4" xfId="53063" xr:uid="{00000000-0005-0000-0000-000011D00000}"/>
    <cellStyle name="Total 2 2 2 4 2" xfId="53064" xr:uid="{00000000-0005-0000-0000-000012D00000}"/>
    <cellStyle name="Total 2 2 2 4 2 2" xfId="53065" xr:uid="{00000000-0005-0000-0000-000013D00000}"/>
    <cellStyle name="Total 2 2 2 4 2 2 2" xfId="53066" xr:uid="{00000000-0005-0000-0000-000014D00000}"/>
    <cellStyle name="Total 2 2 2 4 2 2 2 2" xfId="53067" xr:uid="{00000000-0005-0000-0000-000015D00000}"/>
    <cellStyle name="Total 2 2 2 4 2 2 2 3" xfId="53068" xr:uid="{00000000-0005-0000-0000-000016D00000}"/>
    <cellStyle name="Total 2 2 2 4 2 2 2 4" xfId="53069" xr:uid="{00000000-0005-0000-0000-000017D00000}"/>
    <cellStyle name="Total 2 2 2 4 2 2 3" xfId="53070" xr:uid="{00000000-0005-0000-0000-000018D00000}"/>
    <cellStyle name="Total 2 2 2 4 2 2 3 2" xfId="53071" xr:uid="{00000000-0005-0000-0000-000019D00000}"/>
    <cellStyle name="Total 2 2 2 4 2 2 3 3" xfId="53072" xr:uid="{00000000-0005-0000-0000-00001AD00000}"/>
    <cellStyle name="Total 2 2 2 4 2 2 3 4" xfId="53073" xr:uid="{00000000-0005-0000-0000-00001BD00000}"/>
    <cellStyle name="Total 2 2 2 4 2 2 4" xfId="53074" xr:uid="{00000000-0005-0000-0000-00001CD00000}"/>
    <cellStyle name="Total 2 2 2 4 2 2 5" xfId="53075" xr:uid="{00000000-0005-0000-0000-00001DD00000}"/>
    <cellStyle name="Total 2 2 2 4 2 2 6" xfId="53076" xr:uid="{00000000-0005-0000-0000-00001ED00000}"/>
    <cellStyle name="Total 2 2 2 4 2 3" xfId="53077" xr:uid="{00000000-0005-0000-0000-00001FD00000}"/>
    <cellStyle name="Total 2 2 2 4 2 3 2" xfId="53078" xr:uid="{00000000-0005-0000-0000-000020D00000}"/>
    <cellStyle name="Total 2 2 2 4 2 3 2 2" xfId="53079" xr:uid="{00000000-0005-0000-0000-000021D00000}"/>
    <cellStyle name="Total 2 2 2 4 2 3 2 3" xfId="53080" xr:uid="{00000000-0005-0000-0000-000022D00000}"/>
    <cellStyle name="Total 2 2 2 4 2 3 2 4" xfId="53081" xr:uid="{00000000-0005-0000-0000-000023D00000}"/>
    <cellStyle name="Total 2 2 2 4 2 3 3" xfId="53082" xr:uid="{00000000-0005-0000-0000-000024D00000}"/>
    <cellStyle name="Total 2 2 2 4 2 3 3 2" xfId="53083" xr:uid="{00000000-0005-0000-0000-000025D00000}"/>
    <cellStyle name="Total 2 2 2 4 2 3 3 3" xfId="53084" xr:uid="{00000000-0005-0000-0000-000026D00000}"/>
    <cellStyle name="Total 2 2 2 4 2 3 3 4" xfId="53085" xr:uid="{00000000-0005-0000-0000-000027D00000}"/>
    <cellStyle name="Total 2 2 2 4 2 3 4" xfId="53086" xr:uid="{00000000-0005-0000-0000-000028D00000}"/>
    <cellStyle name="Total 2 2 2 4 2 3 5" xfId="53087" xr:uid="{00000000-0005-0000-0000-000029D00000}"/>
    <cellStyle name="Total 2 2 2 4 2 3 6" xfId="53088" xr:uid="{00000000-0005-0000-0000-00002AD00000}"/>
    <cellStyle name="Total 2 2 2 4 2 4" xfId="53089" xr:uid="{00000000-0005-0000-0000-00002BD00000}"/>
    <cellStyle name="Total 2 2 2 4 2 5" xfId="53090" xr:uid="{00000000-0005-0000-0000-00002CD00000}"/>
    <cellStyle name="Total 2 2 2 4 2 6" xfId="53091" xr:uid="{00000000-0005-0000-0000-00002DD00000}"/>
    <cellStyle name="Total 2 2 2 4 3" xfId="53092" xr:uid="{00000000-0005-0000-0000-00002ED00000}"/>
    <cellStyle name="Total 2 2 2 4 4" xfId="53093" xr:uid="{00000000-0005-0000-0000-00002FD00000}"/>
    <cellStyle name="Total 2 2 2 5" xfId="53094" xr:uid="{00000000-0005-0000-0000-000030D00000}"/>
    <cellStyle name="Total 2 2 2 5 2" xfId="53095" xr:uid="{00000000-0005-0000-0000-000031D00000}"/>
    <cellStyle name="Total 2 2 2 5 2 2" xfId="53096" xr:uid="{00000000-0005-0000-0000-000032D00000}"/>
    <cellStyle name="Total 2 2 2 5 2 2 2" xfId="53097" xr:uid="{00000000-0005-0000-0000-000033D00000}"/>
    <cellStyle name="Total 2 2 2 5 2 2 3" xfId="53098" xr:uid="{00000000-0005-0000-0000-000034D00000}"/>
    <cellStyle name="Total 2 2 2 5 2 2 4" xfId="53099" xr:uid="{00000000-0005-0000-0000-000035D00000}"/>
    <cellStyle name="Total 2 2 2 5 2 3" xfId="53100" xr:uid="{00000000-0005-0000-0000-000036D00000}"/>
    <cellStyle name="Total 2 2 2 5 2 4" xfId="53101" xr:uid="{00000000-0005-0000-0000-000037D00000}"/>
    <cellStyle name="Total 2 2 2 5 2 5" xfId="53102" xr:uid="{00000000-0005-0000-0000-000038D00000}"/>
    <cellStyle name="Total 2 2 2 5 3" xfId="53103" xr:uid="{00000000-0005-0000-0000-000039D00000}"/>
    <cellStyle name="Total 2 2 2 5 3 2" xfId="53104" xr:uid="{00000000-0005-0000-0000-00003AD00000}"/>
    <cellStyle name="Total 2 2 2 5 3 2 2" xfId="53105" xr:uid="{00000000-0005-0000-0000-00003BD00000}"/>
    <cellStyle name="Total 2 2 2 5 3 2 3" xfId="53106" xr:uid="{00000000-0005-0000-0000-00003CD00000}"/>
    <cellStyle name="Total 2 2 2 5 3 2 4" xfId="53107" xr:uid="{00000000-0005-0000-0000-00003DD00000}"/>
    <cellStyle name="Total 2 2 2 5 3 3" xfId="53108" xr:uid="{00000000-0005-0000-0000-00003ED00000}"/>
    <cellStyle name="Total 2 2 2 5 3 3 2" xfId="53109" xr:uid="{00000000-0005-0000-0000-00003FD00000}"/>
    <cellStyle name="Total 2 2 2 5 3 3 3" xfId="53110" xr:uid="{00000000-0005-0000-0000-000040D00000}"/>
    <cellStyle name="Total 2 2 2 5 3 3 4" xfId="53111" xr:uid="{00000000-0005-0000-0000-000041D00000}"/>
    <cellStyle name="Total 2 2 2 5 3 4" xfId="53112" xr:uid="{00000000-0005-0000-0000-000042D00000}"/>
    <cellStyle name="Total 2 2 2 5 3 5" xfId="53113" xr:uid="{00000000-0005-0000-0000-000043D00000}"/>
    <cellStyle name="Total 2 2 2 5 3 6" xfId="53114" xr:uid="{00000000-0005-0000-0000-000044D00000}"/>
    <cellStyle name="Total 2 2 2 5 4" xfId="53115" xr:uid="{00000000-0005-0000-0000-000045D00000}"/>
    <cellStyle name="Total 2 2 2 5 5" xfId="53116" xr:uid="{00000000-0005-0000-0000-000046D00000}"/>
    <cellStyle name="Total 2 2 2 6" xfId="53117" xr:uid="{00000000-0005-0000-0000-000047D00000}"/>
    <cellStyle name="Total 2 2 2 6 2" xfId="53118" xr:uid="{00000000-0005-0000-0000-000048D00000}"/>
    <cellStyle name="Total 2 2 2 6 2 2" xfId="53119" xr:uid="{00000000-0005-0000-0000-000049D00000}"/>
    <cellStyle name="Total 2 2 2 6 2 2 2" xfId="53120" xr:uid="{00000000-0005-0000-0000-00004AD00000}"/>
    <cellStyle name="Total 2 2 2 6 2 2 3" xfId="53121" xr:uid="{00000000-0005-0000-0000-00004BD00000}"/>
    <cellStyle name="Total 2 2 2 6 2 2 4" xfId="53122" xr:uid="{00000000-0005-0000-0000-00004CD00000}"/>
    <cellStyle name="Total 2 2 2 6 2 3" xfId="53123" xr:uid="{00000000-0005-0000-0000-00004DD00000}"/>
    <cellStyle name="Total 2 2 2 6 2 4" xfId="53124" xr:uid="{00000000-0005-0000-0000-00004ED00000}"/>
    <cellStyle name="Total 2 2 2 6 2 5" xfId="53125" xr:uid="{00000000-0005-0000-0000-00004FD00000}"/>
    <cellStyle name="Total 2 2 2 6 3" xfId="53126" xr:uid="{00000000-0005-0000-0000-000050D00000}"/>
    <cellStyle name="Total 2 2 2 6 3 2" xfId="53127" xr:uid="{00000000-0005-0000-0000-000051D00000}"/>
    <cellStyle name="Total 2 2 2 6 3 2 2" xfId="53128" xr:uid="{00000000-0005-0000-0000-000052D00000}"/>
    <cellStyle name="Total 2 2 2 6 3 2 3" xfId="53129" xr:uid="{00000000-0005-0000-0000-000053D00000}"/>
    <cellStyle name="Total 2 2 2 6 3 2 4" xfId="53130" xr:uid="{00000000-0005-0000-0000-000054D00000}"/>
    <cellStyle name="Total 2 2 2 6 3 3" xfId="53131" xr:uid="{00000000-0005-0000-0000-000055D00000}"/>
    <cellStyle name="Total 2 2 2 6 3 3 2" xfId="53132" xr:uid="{00000000-0005-0000-0000-000056D00000}"/>
    <cellStyle name="Total 2 2 2 6 3 3 3" xfId="53133" xr:uid="{00000000-0005-0000-0000-000057D00000}"/>
    <cellStyle name="Total 2 2 2 6 3 3 4" xfId="53134" xr:uid="{00000000-0005-0000-0000-000058D00000}"/>
    <cellStyle name="Total 2 2 2 6 3 4" xfId="53135" xr:uid="{00000000-0005-0000-0000-000059D00000}"/>
    <cellStyle name="Total 2 2 2 6 3 5" xfId="53136" xr:uid="{00000000-0005-0000-0000-00005AD00000}"/>
    <cellStyle name="Total 2 2 2 6 3 6" xfId="53137" xr:uid="{00000000-0005-0000-0000-00005BD00000}"/>
    <cellStyle name="Total 2 2 2 6 4" xfId="53138" xr:uid="{00000000-0005-0000-0000-00005CD00000}"/>
    <cellStyle name="Total 2 2 2 6 5" xfId="53139" xr:uid="{00000000-0005-0000-0000-00005DD00000}"/>
    <cellStyle name="Total 2 2 2 7" xfId="53140" xr:uid="{00000000-0005-0000-0000-00005ED00000}"/>
    <cellStyle name="Total 2 2 2 7 2" xfId="53141" xr:uid="{00000000-0005-0000-0000-00005FD00000}"/>
    <cellStyle name="Total 2 2 2 7 2 2" xfId="53142" xr:uid="{00000000-0005-0000-0000-000060D00000}"/>
    <cellStyle name="Total 2 2 2 7 2 2 2" xfId="53143" xr:uid="{00000000-0005-0000-0000-000061D00000}"/>
    <cellStyle name="Total 2 2 2 7 2 2 3" xfId="53144" xr:uid="{00000000-0005-0000-0000-000062D00000}"/>
    <cellStyle name="Total 2 2 2 7 2 2 4" xfId="53145" xr:uid="{00000000-0005-0000-0000-000063D00000}"/>
    <cellStyle name="Total 2 2 2 7 2 3" xfId="53146" xr:uid="{00000000-0005-0000-0000-000064D00000}"/>
    <cellStyle name="Total 2 2 2 7 2 4" xfId="53147" xr:uid="{00000000-0005-0000-0000-000065D00000}"/>
    <cellStyle name="Total 2 2 2 7 2 5" xfId="53148" xr:uid="{00000000-0005-0000-0000-000066D00000}"/>
    <cellStyle name="Total 2 2 2 7 3" xfId="53149" xr:uid="{00000000-0005-0000-0000-000067D00000}"/>
    <cellStyle name="Total 2 2 2 7 3 2" xfId="53150" xr:uid="{00000000-0005-0000-0000-000068D00000}"/>
    <cellStyle name="Total 2 2 2 7 3 2 2" xfId="53151" xr:uid="{00000000-0005-0000-0000-000069D00000}"/>
    <cellStyle name="Total 2 2 2 7 3 2 3" xfId="53152" xr:uid="{00000000-0005-0000-0000-00006AD00000}"/>
    <cellStyle name="Total 2 2 2 7 3 2 4" xfId="53153" xr:uid="{00000000-0005-0000-0000-00006BD00000}"/>
    <cellStyle name="Total 2 2 2 7 3 3" xfId="53154" xr:uid="{00000000-0005-0000-0000-00006CD00000}"/>
    <cellStyle name="Total 2 2 2 7 3 3 2" xfId="53155" xr:uid="{00000000-0005-0000-0000-00006DD00000}"/>
    <cellStyle name="Total 2 2 2 7 3 3 3" xfId="53156" xr:uid="{00000000-0005-0000-0000-00006ED00000}"/>
    <cellStyle name="Total 2 2 2 7 3 3 4" xfId="53157" xr:uid="{00000000-0005-0000-0000-00006FD00000}"/>
    <cellStyle name="Total 2 2 2 7 3 4" xfId="53158" xr:uid="{00000000-0005-0000-0000-000070D00000}"/>
    <cellStyle name="Total 2 2 2 7 3 5" xfId="53159" xr:uid="{00000000-0005-0000-0000-000071D00000}"/>
    <cellStyle name="Total 2 2 2 7 3 6" xfId="53160" xr:uid="{00000000-0005-0000-0000-000072D00000}"/>
    <cellStyle name="Total 2 2 2 7 4" xfId="53161" xr:uid="{00000000-0005-0000-0000-000073D00000}"/>
    <cellStyle name="Total 2 2 2 7 5" xfId="53162" xr:uid="{00000000-0005-0000-0000-000074D00000}"/>
    <cellStyle name="Total 2 2 2 8" xfId="53163" xr:uid="{00000000-0005-0000-0000-000075D00000}"/>
    <cellStyle name="Total 2 2 2 8 2" xfId="53164" xr:uid="{00000000-0005-0000-0000-000076D00000}"/>
    <cellStyle name="Total 2 2 2 8 2 2" xfId="53165" xr:uid="{00000000-0005-0000-0000-000077D00000}"/>
    <cellStyle name="Total 2 2 2 8 2 2 2" xfId="53166" xr:uid="{00000000-0005-0000-0000-000078D00000}"/>
    <cellStyle name="Total 2 2 2 8 2 2 3" xfId="53167" xr:uid="{00000000-0005-0000-0000-000079D00000}"/>
    <cellStyle name="Total 2 2 2 8 2 2 4" xfId="53168" xr:uid="{00000000-0005-0000-0000-00007AD00000}"/>
    <cellStyle name="Total 2 2 2 8 2 3" xfId="53169" xr:uid="{00000000-0005-0000-0000-00007BD00000}"/>
    <cellStyle name="Total 2 2 2 8 2 4" xfId="53170" xr:uid="{00000000-0005-0000-0000-00007CD00000}"/>
    <cellStyle name="Total 2 2 2 8 2 5" xfId="53171" xr:uid="{00000000-0005-0000-0000-00007DD00000}"/>
    <cellStyle name="Total 2 2 2 8 3" xfId="53172" xr:uid="{00000000-0005-0000-0000-00007ED00000}"/>
    <cellStyle name="Total 2 2 2 8 3 2" xfId="53173" xr:uid="{00000000-0005-0000-0000-00007FD00000}"/>
    <cellStyle name="Total 2 2 2 8 3 2 2" xfId="53174" xr:uid="{00000000-0005-0000-0000-000080D00000}"/>
    <cellStyle name="Total 2 2 2 8 3 2 3" xfId="53175" xr:uid="{00000000-0005-0000-0000-000081D00000}"/>
    <cellStyle name="Total 2 2 2 8 3 2 4" xfId="53176" xr:uid="{00000000-0005-0000-0000-000082D00000}"/>
    <cellStyle name="Total 2 2 2 8 3 3" xfId="53177" xr:uid="{00000000-0005-0000-0000-000083D00000}"/>
    <cellStyle name="Total 2 2 2 8 3 3 2" xfId="53178" xr:uid="{00000000-0005-0000-0000-000084D00000}"/>
    <cellStyle name="Total 2 2 2 8 3 3 3" xfId="53179" xr:uid="{00000000-0005-0000-0000-000085D00000}"/>
    <cellStyle name="Total 2 2 2 8 3 3 4" xfId="53180" xr:uid="{00000000-0005-0000-0000-000086D00000}"/>
    <cellStyle name="Total 2 2 2 8 3 4" xfId="53181" xr:uid="{00000000-0005-0000-0000-000087D00000}"/>
    <cellStyle name="Total 2 2 2 8 3 5" xfId="53182" xr:uid="{00000000-0005-0000-0000-000088D00000}"/>
    <cellStyle name="Total 2 2 2 8 3 6" xfId="53183" xr:uid="{00000000-0005-0000-0000-000089D00000}"/>
    <cellStyle name="Total 2 2 2 8 4" xfId="53184" xr:uid="{00000000-0005-0000-0000-00008AD00000}"/>
    <cellStyle name="Total 2 2 2 8 5" xfId="53185" xr:uid="{00000000-0005-0000-0000-00008BD00000}"/>
    <cellStyle name="Total 2 2 2 9" xfId="53186" xr:uid="{00000000-0005-0000-0000-00008CD00000}"/>
    <cellStyle name="Total 2 2 2 9 2" xfId="53187" xr:uid="{00000000-0005-0000-0000-00008DD00000}"/>
    <cellStyle name="Total 2 2 2 9 2 2" xfId="53188" xr:uid="{00000000-0005-0000-0000-00008ED00000}"/>
    <cellStyle name="Total 2 2 2 9 2 2 2" xfId="53189" xr:uid="{00000000-0005-0000-0000-00008FD00000}"/>
    <cellStyle name="Total 2 2 2 9 2 2 3" xfId="53190" xr:uid="{00000000-0005-0000-0000-000090D00000}"/>
    <cellStyle name="Total 2 2 2 9 2 2 4" xfId="53191" xr:uid="{00000000-0005-0000-0000-000091D00000}"/>
    <cellStyle name="Total 2 2 2 9 2 3" xfId="53192" xr:uid="{00000000-0005-0000-0000-000092D00000}"/>
    <cellStyle name="Total 2 2 2 9 2 4" xfId="53193" xr:uid="{00000000-0005-0000-0000-000093D00000}"/>
    <cellStyle name="Total 2 2 2 9 2 5" xfId="53194" xr:uid="{00000000-0005-0000-0000-000094D00000}"/>
    <cellStyle name="Total 2 2 2 9 3" xfId="53195" xr:uid="{00000000-0005-0000-0000-000095D00000}"/>
    <cellStyle name="Total 2 2 2 9 3 2" xfId="53196" xr:uid="{00000000-0005-0000-0000-000096D00000}"/>
    <cellStyle name="Total 2 2 2 9 3 2 2" xfId="53197" xr:uid="{00000000-0005-0000-0000-000097D00000}"/>
    <cellStyle name="Total 2 2 2 9 3 2 3" xfId="53198" xr:uid="{00000000-0005-0000-0000-000098D00000}"/>
    <cellStyle name="Total 2 2 2 9 3 2 4" xfId="53199" xr:uid="{00000000-0005-0000-0000-000099D00000}"/>
    <cellStyle name="Total 2 2 2 9 3 3" xfId="53200" xr:uid="{00000000-0005-0000-0000-00009AD00000}"/>
    <cellStyle name="Total 2 2 2 9 3 3 2" xfId="53201" xr:uid="{00000000-0005-0000-0000-00009BD00000}"/>
    <cellStyle name="Total 2 2 2 9 3 3 3" xfId="53202" xr:uid="{00000000-0005-0000-0000-00009CD00000}"/>
    <cellStyle name="Total 2 2 2 9 3 3 4" xfId="53203" xr:uid="{00000000-0005-0000-0000-00009DD00000}"/>
    <cellStyle name="Total 2 2 2 9 3 4" xfId="53204" xr:uid="{00000000-0005-0000-0000-00009ED00000}"/>
    <cellStyle name="Total 2 2 2 9 3 5" xfId="53205" xr:uid="{00000000-0005-0000-0000-00009FD00000}"/>
    <cellStyle name="Total 2 2 2 9 3 6" xfId="53206" xr:uid="{00000000-0005-0000-0000-0000A0D00000}"/>
    <cellStyle name="Total 2 2 2 9 4" xfId="53207" xr:uid="{00000000-0005-0000-0000-0000A1D00000}"/>
    <cellStyle name="Total 2 2 2 9 5" xfId="53208" xr:uid="{00000000-0005-0000-0000-0000A2D00000}"/>
    <cellStyle name="Total 2 2 3" xfId="53209" xr:uid="{00000000-0005-0000-0000-0000A3D00000}"/>
    <cellStyle name="Total 2 2 3 2" xfId="53210" xr:uid="{00000000-0005-0000-0000-0000A4D00000}"/>
    <cellStyle name="Total 2 2 3 2 2" xfId="53211" xr:uid="{00000000-0005-0000-0000-0000A5D00000}"/>
    <cellStyle name="Total 2 2 3 2 2 2" xfId="53212" xr:uid="{00000000-0005-0000-0000-0000A6D00000}"/>
    <cellStyle name="Total 2 2 3 2 2 3" xfId="53213" xr:uid="{00000000-0005-0000-0000-0000A7D00000}"/>
    <cellStyle name="Total 2 2 3 2 2 4" xfId="53214" xr:uid="{00000000-0005-0000-0000-0000A8D00000}"/>
    <cellStyle name="Total 2 2 3 2 3" xfId="53215" xr:uid="{00000000-0005-0000-0000-0000A9D00000}"/>
    <cellStyle name="Total 2 2 3 2 4" xfId="53216" xr:uid="{00000000-0005-0000-0000-0000AAD00000}"/>
    <cellStyle name="Total 2 2 3 2 5" xfId="53217" xr:uid="{00000000-0005-0000-0000-0000ABD00000}"/>
    <cellStyle name="Total 2 2 3 3" xfId="53218" xr:uid="{00000000-0005-0000-0000-0000ACD00000}"/>
    <cellStyle name="Total 2 2 3 3 2" xfId="53219" xr:uid="{00000000-0005-0000-0000-0000ADD00000}"/>
    <cellStyle name="Total 2 2 3 3 2 2" xfId="53220" xr:uid="{00000000-0005-0000-0000-0000AED00000}"/>
    <cellStyle name="Total 2 2 3 3 2 3" xfId="53221" xr:uid="{00000000-0005-0000-0000-0000AFD00000}"/>
    <cellStyle name="Total 2 2 3 3 2 4" xfId="53222" xr:uid="{00000000-0005-0000-0000-0000B0D00000}"/>
    <cellStyle name="Total 2 2 3 3 3" xfId="53223" xr:uid="{00000000-0005-0000-0000-0000B1D00000}"/>
    <cellStyle name="Total 2 2 3 3 3 2" xfId="53224" xr:uid="{00000000-0005-0000-0000-0000B2D00000}"/>
    <cellStyle name="Total 2 2 3 3 3 3" xfId="53225" xr:uid="{00000000-0005-0000-0000-0000B3D00000}"/>
    <cellStyle name="Total 2 2 3 3 3 4" xfId="53226" xr:uid="{00000000-0005-0000-0000-0000B4D00000}"/>
    <cellStyle name="Total 2 2 3 3 4" xfId="53227" xr:uid="{00000000-0005-0000-0000-0000B5D00000}"/>
    <cellStyle name="Total 2 2 3 3 5" xfId="53228" xr:uid="{00000000-0005-0000-0000-0000B6D00000}"/>
    <cellStyle name="Total 2 2 3 3 6" xfId="53229" xr:uid="{00000000-0005-0000-0000-0000B7D00000}"/>
    <cellStyle name="Total 2 2 3 4" xfId="53230" xr:uid="{00000000-0005-0000-0000-0000B8D00000}"/>
    <cellStyle name="Total 2 2 3 5" xfId="53231" xr:uid="{00000000-0005-0000-0000-0000B9D00000}"/>
    <cellStyle name="Total 2 2 4" xfId="53232" xr:uid="{00000000-0005-0000-0000-0000BAD00000}"/>
    <cellStyle name="Total 2 2 4 2" xfId="53233" xr:uid="{00000000-0005-0000-0000-0000BBD00000}"/>
    <cellStyle name="Total 2 2 4 2 2" xfId="53234" xr:uid="{00000000-0005-0000-0000-0000BCD00000}"/>
    <cellStyle name="Total 2 2 4 2 2 2" xfId="53235" xr:uid="{00000000-0005-0000-0000-0000BDD00000}"/>
    <cellStyle name="Total 2 2 4 2 2 3" xfId="53236" xr:uid="{00000000-0005-0000-0000-0000BED00000}"/>
    <cellStyle name="Total 2 2 4 2 2 4" xfId="53237" xr:uid="{00000000-0005-0000-0000-0000BFD00000}"/>
    <cellStyle name="Total 2 2 4 2 3" xfId="53238" xr:uid="{00000000-0005-0000-0000-0000C0D00000}"/>
    <cellStyle name="Total 2 2 4 2 3 2" xfId="53239" xr:uid="{00000000-0005-0000-0000-0000C1D00000}"/>
    <cellStyle name="Total 2 2 4 2 3 3" xfId="53240" xr:uid="{00000000-0005-0000-0000-0000C2D00000}"/>
    <cellStyle name="Total 2 2 4 2 3 4" xfId="53241" xr:uid="{00000000-0005-0000-0000-0000C3D00000}"/>
    <cellStyle name="Total 2 2 4 2 4" xfId="53242" xr:uid="{00000000-0005-0000-0000-0000C4D00000}"/>
    <cellStyle name="Total 2 2 4 2 5" xfId="53243" xr:uid="{00000000-0005-0000-0000-0000C5D00000}"/>
    <cellStyle name="Total 2 2 4 2 6" xfId="53244" xr:uid="{00000000-0005-0000-0000-0000C6D00000}"/>
    <cellStyle name="Total 2 2 4 3" xfId="53245" xr:uid="{00000000-0005-0000-0000-0000C7D00000}"/>
    <cellStyle name="Total 2 2 4 3 2" xfId="53246" xr:uid="{00000000-0005-0000-0000-0000C8D00000}"/>
    <cellStyle name="Total 2 2 4 3 2 2" xfId="53247" xr:uid="{00000000-0005-0000-0000-0000C9D00000}"/>
    <cellStyle name="Total 2 2 4 3 2 3" xfId="53248" xr:uid="{00000000-0005-0000-0000-0000CAD00000}"/>
    <cellStyle name="Total 2 2 4 3 2 4" xfId="53249" xr:uid="{00000000-0005-0000-0000-0000CBD00000}"/>
    <cellStyle name="Total 2 2 4 3 3" xfId="53250" xr:uid="{00000000-0005-0000-0000-0000CCD00000}"/>
    <cellStyle name="Total 2 2 4 3 3 2" xfId="53251" xr:uid="{00000000-0005-0000-0000-0000CDD00000}"/>
    <cellStyle name="Total 2 2 4 3 3 3" xfId="53252" xr:uid="{00000000-0005-0000-0000-0000CED00000}"/>
    <cellStyle name="Total 2 2 4 3 3 4" xfId="53253" xr:uid="{00000000-0005-0000-0000-0000CFD00000}"/>
    <cellStyle name="Total 2 2 4 3 4" xfId="53254" xr:uid="{00000000-0005-0000-0000-0000D0D00000}"/>
    <cellStyle name="Total 2 2 4 3 5" xfId="53255" xr:uid="{00000000-0005-0000-0000-0000D1D00000}"/>
    <cellStyle name="Total 2 2 4 3 6" xfId="53256" xr:uid="{00000000-0005-0000-0000-0000D2D00000}"/>
    <cellStyle name="Total 2 2 4 4" xfId="53257" xr:uid="{00000000-0005-0000-0000-0000D3D00000}"/>
    <cellStyle name="Total 2 2 4 5" xfId="53258" xr:uid="{00000000-0005-0000-0000-0000D4D00000}"/>
    <cellStyle name="Total 2 2 4 6" xfId="53259" xr:uid="{00000000-0005-0000-0000-0000D5D00000}"/>
    <cellStyle name="Total 2 2 5" xfId="53260" xr:uid="{00000000-0005-0000-0000-0000D6D00000}"/>
    <cellStyle name="Total 2 2 6" xfId="53261" xr:uid="{00000000-0005-0000-0000-0000D7D00000}"/>
    <cellStyle name="Total 2 3" xfId="53262" xr:uid="{00000000-0005-0000-0000-0000D8D00000}"/>
    <cellStyle name="Total 2 3 10" xfId="53263" xr:uid="{00000000-0005-0000-0000-0000D9D00000}"/>
    <cellStyle name="Total 2 3 10 2" xfId="53264" xr:uid="{00000000-0005-0000-0000-0000DAD00000}"/>
    <cellStyle name="Total 2 3 10 2 2" xfId="53265" xr:uid="{00000000-0005-0000-0000-0000DBD00000}"/>
    <cellStyle name="Total 2 3 10 2 2 2" xfId="53266" xr:uid="{00000000-0005-0000-0000-0000DCD00000}"/>
    <cellStyle name="Total 2 3 10 2 2 3" xfId="53267" xr:uid="{00000000-0005-0000-0000-0000DDD00000}"/>
    <cellStyle name="Total 2 3 10 2 2 4" xfId="53268" xr:uid="{00000000-0005-0000-0000-0000DED00000}"/>
    <cellStyle name="Total 2 3 10 2 3" xfId="53269" xr:uid="{00000000-0005-0000-0000-0000DFD00000}"/>
    <cellStyle name="Total 2 3 10 2 4" xfId="53270" xr:uid="{00000000-0005-0000-0000-0000E0D00000}"/>
    <cellStyle name="Total 2 3 10 2 5" xfId="53271" xr:uid="{00000000-0005-0000-0000-0000E1D00000}"/>
    <cellStyle name="Total 2 3 10 3" xfId="53272" xr:uid="{00000000-0005-0000-0000-0000E2D00000}"/>
    <cellStyle name="Total 2 3 10 3 2" xfId="53273" xr:uid="{00000000-0005-0000-0000-0000E3D00000}"/>
    <cellStyle name="Total 2 3 10 3 2 2" xfId="53274" xr:uid="{00000000-0005-0000-0000-0000E4D00000}"/>
    <cellStyle name="Total 2 3 10 3 2 3" xfId="53275" xr:uid="{00000000-0005-0000-0000-0000E5D00000}"/>
    <cellStyle name="Total 2 3 10 3 2 4" xfId="53276" xr:uid="{00000000-0005-0000-0000-0000E6D00000}"/>
    <cellStyle name="Total 2 3 10 3 3" xfId="53277" xr:uid="{00000000-0005-0000-0000-0000E7D00000}"/>
    <cellStyle name="Total 2 3 10 3 3 2" xfId="53278" xr:uid="{00000000-0005-0000-0000-0000E8D00000}"/>
    <cellStyle name="Total 2 3 10 3 3 3" xfId="53279" xr:uid="{00000000-0005-0000-0000-0000E9D00000}"/>
    <cellStyle name="Total 2 3 10 3 3 4" xfId="53280" xr:uid="{00000000-0005-0000-0000-0000EAD00000}"/>
    <cellStyle name="Total 2 3 10 3 4" xfId="53281" xr:uid="{00000000-0005-0000-0000-0000EBD00000}"/>
    <cellStyle name="Total 2 3 10 3 5" xfId="53282" xr:uid="{00000000-0005-0000-0000-0000ECD00000}"/>
    <cellStyle name="Total 2 3 10 3 6" xfId="53283" xr:uid="{00000000-0005-0000-0000-0000EDD00000}"/>
    <cellStyle name="Total 2 3 10 4" xfId="53284" xr:uid="{00000000-0005-0000-0000-0000EED00000}"/>
    <cellStyle name="Total 2 3 10 5" xfId="53285" xr:uid="{00000000-0005-0000-0000-0000EFD00000}"/>
    <cellStyle name="Total 2 3 11" xfId="53286" xr:uid="{00000000-0005-0000-0000-0000F0D00000}"/>
    <cellStyle name="Total 2 3 11 2" xfId="53287" xr:uid="{00000000-0005-0000-0000-0000F1D00000}"/>
    <cellStyle name="Total 2 3 11 2 2" xfId="53288" xr:uid="{00000000-0005-0000-0000-0000F2D00000}"/>
    <cellStyle name="Total 2 3 11 2 2 2" xfId="53289" xr:uid="{00000000-0005-0000-0000-0000F3D00000}"/>
    <cellStyle name="Total 2 3 11 2 2 3" xfId="53290" xr:uid="{00000000-0005-0000-0000-0000F4D00000}"/>
    <cellStyle name="Total 2 3 11 2 2 4" xfId="53291" xr:uid="{00000000-0005-0000-0000-0000F5D00000}"/>
    <cellStyle name="Total 2 3 11 2 3" xfId="53292" xr:uid="{00000000-0005-0000-0000-0000F6D00000}"/>
    <cellStyle name="Total 2 3 11 2 4" xfId="53293" xr:uid="{00000000-0005-0000-0000-0000F7D00000}"/>
    <cellStyle name="Total 2 3 11 2 5" xfId="53294" xr:uid="{00000000-0005-0000-0000-0000F8D00000}"/>
    <cellStyle name="Total 2 3 11 3" xfId="53295" xr:uid="{00000000-0005-0000-0000-0000F9D00000}"/>
    <cellStyle name="Total 2 3 11 3 2" xfId="53296" xr:uid="{00000000-0005-0000-0000-0000FAD00000}"/>
    <cellStyle name="Total 2 3 11 3 2 2" xfId="53297" xr:uid="{00000000-0005-0000-0000-0000FBD00000}"/>
    <cellStyle name="Total 2 3 11 3 2 3" xfId="53298" xr:uid="{00000000-0005-0000-0000-0000FCD00000}"/>
    <cellStyle name="Total 2 3 11 3 2 4" xfId="53299" xr:uid="{00000000-0005-0000-0000-0000FDD00000}"/>
    <cellStyle name="Total 2 3 11 3 3" xfId="53300" xr:uid="{00000000-0005-0000-0000-0000FED00000}"/>
    <cellStyle name="Total 2 3 11 3 3 2" xfId="53301" xr:uid="{00000000-0005-0000-0000-0000FFD00000}"/>
    <cellStyle name="Total 2 3 11 3 3 3" xfId="53302" xr:uid="{00000000-0005-0000-0000-000000D10000}"/>
    <cellStyle name="Total 2 3 11 3 3 4" xfId="53303" xr:uid="{00000000-0005-0000-0000-000001D10000}"/>
    <cellStyle name="Total 2 3 11 3 4" xfId="53304" xr:uid="{00000000-0005-0000-0000-000002D10000}"/>
    <cellStyle name="Total 2 3 11 3 5" xfId="53305" xr:uid="{00000000-0005-0000-0000-000003D10000}"/>
    <cellStyle name="Total 2 3 11 3 6" xfId="53306" xr:uid="{00000000-0005-0000-0000-000004D10000}"/>
    <cellStyle name="Total 2 3 11 4" xfId="53307" xr:uid="{00000000-0005-0000-0000-000005D10000}"/>
    <cellStyle name="Total 2 3 11 5" xfId="53308" xr:uid="{00000000-0005-0000-0000-000006D10000}"/>
    <cellStyle name="Total 2 3 12" xfId="53309" xr:uid="{00000000-0005-0000-0000-000007D10000}"/>
    <cellStyle name="Total 2 3 12 2" xfId="53310" xr:uid="{00000000-0005-0000-0000-000008D10000}"/>
    <cellStyle name="Total 2 3 12 2 2" xfId="53311" xr:uid="{00000000-0005-0000-0000-000009D10000}"/>
    <cellStyle name="Total 2 3 12 2 2 2" xfId="53312" xr:uid="{00000000-0005-0000-0000-00000AD10000}"/>
    <cellStyle name="Total 2 3 12 2 2 3" xfId="53313" xr:uid="{00000000-0005-0000-0000-00000BD10000}"/>
    <cellStyle name="Total 2 3 12 2 2 4" xfId="53314" xr:uid="{00000000-0005-0000-0000-00000CD10000}"/>
    <cellStyle name="Total 2 3 12 2 3" xfId="53315" xr:uid="{00000000-0005-0000-0000-00000DD10000}"/>
    <cellStyle name="Total 2 3 12 2 3 2" xfId="53316" xr:uid="{00000000-0005-0000-0000-00000ED10000}"/>
    <cellStyle name="Total 2 3 12 2 3 3" xfId="53317" xr:uid="{00000000-0005-0000-0000-00000FD10000}"/>
    <cellStyle name="Total 2 3 12 2 3 4" xfId="53318" xr:uid="{00000000-0005-0000-0000-000010D10000}"/>
    <cellStyle name="Total 2 3 12 2 4" xfId="53319" xr:uid="{00000000-0005-0000-0000-000011D10000}"/>
    <cellStyle name="Total 2 3 12 2 5" xfId="53320" xr:uid="{00000000-0005-0000-0000-000012D10000}"/>
    <cellStyle name="Total 2 3 12 2 6" xfId="53321" xr:uid="{00000000-0005-0000-0000-000013D10000}"/>
    <cellStyle name="Total 2 3 12 3" xfId="53322" xr:uid="{00000000-0005-0000-0000-000014D10000}"/>
    <cellStyle name="Total 2 3 12 3 2" xfId="53323" xr:uid="{00000000-0005-0000-0000-000015D10000}"/>
    <cellStyle name="Total 2 3 12 3 2 2" xfId="53324" xr:uid="{00000000-0005-0000-0000-000016D10000}"/>
    <cellStyle name="Total 2 3 12 3 2 3" xfId="53325" xr:uid="{00000000-0005-0000-0000-000017D10000}"/>
    <cellStyle name="Total 2 3 12 3 2 4" xfId="53326" xr:uid="{00000000-0005-0000-0000-000018D10000}"/>
    <cellStyle name="Total 2 3 12 3 3" xfId="53327" xr:uid="{00000000-0005-0000-0000-000019D10000}"/>
    <cellStyle name="Total 2 3 12 3 3 2" xfId="53328" xr:uid="{00000000-0005-0000-0000-00001AD10000}"/>
    <cellStyle name="Total 2 3 12 3 3 3" xfId="53329" xr:uid="{00000000-0005-0000-0000-00001BD10000}"/>
    <cellStyle name="Total 2 3 12 3 3 4" xfId="53330" xr:uid="{00000000-0005-0000-0000-00001CD10000}"/>
    <cellStyle name="Total 2 3 12 3 4" xfId="53331" xr:uid="{00000000-0005-0000-0000-00001DD10000}"/>
    <cellStyle name="Total 2 3 12 3 5" xfId="53332" xr:uid="{00000000-0005-0000-0000-00001ED10000}"/>
    <cellStyle name="Total 2 3 12 3 6" xfId="53333" xr:uid="{00000000-0005-0000-0000-00001FD10000}"/>
    <cellStyle name="Total 2 3 12 4" xfId="53334" xr:uid="{00000000-0005-0000-0000-000020D10000}"/>
    <cellStyle name="Total 2 3 12 5" xfId="53335" xr:uid="{00000000-0005-0000-0000-000021D10000}"/>
    <cellStyle name="Total 2 3 12 6" xfId="53336" xr:uid="{00000000-0005-0000-0000-000022D10000}"/>
    <cellStyle name="Total 2 3 13" xfId="53337" xr:uid="{00000000-0005-0000-0000-000023D10000}"/>
    <cellStyle name="Total 2 3 14" xfId="53338" xr:uid="{00000000-0005-0000-0000-000024D10000}"/>
    <cellStyle name="Total 2 3 15" xfId="58804" xr:uid="{00000000-0005-0000-0000-000025D10000}"/>
    <cellStyle name="Total 2 3 2" xfId="53339" xr:uid="{00000000-0005-0000-0000-000026D10000}"/>
    <cellStyle name="Total 2 3 2 2" xfId="53340" xr:uid="{00000000-0005-0000-0000-000027D10000}"/>
    <cellStyle name="Total 2 3 2 2 2" xfId="53341" xr:uid="{00000000-0005-0000-0000-000028D10000}"/>
    <cellStyle name="Total 2 3 2 2 2 2" xfId="53342" xr:uid="{00000000-0005-0000-0000-000029D10000}"/>
    <cellStyle name="Total 2 3 2 2 2 2 2" xfId="53343" xr:uid="{00000000-0005-0000-0000-00002AD10000}"/>
    <cellStyle name="Total 2 3 2 2 2 2 3" xfId="53344" xr:uid="{00000000-0005-0000-0000-00002BD10000}"/>
    <cellStyle name="Total 2 3 2 2 2 2 4" xfId="53345" xr:uid="{00000000-0005-0000-0000-00002CD10000}"/>
    <cellStyle name="Total 2 3 2 2 2 3" xfId="53346" xr:uid="{00000000-0005-0000-0000-00002DD10000}"/>
    <cellStyle name="Total 2 3 2 2 2 3 2" xfId="53347" xr:uid="{00000000-0005-0000-0000-00002ED10000}"/>
    <cellStyle name="Total 2 3 2 2 2 3 3" xfId="53348" xr:uid="{00000000-0005-0000-0000-00002FD10000}"/>
    <cellStyle name="Total 2 3 2 2 2 3 4" xfId="53349" xr:uid="{00000000-0005-0000-0000-000030D10000}"/>
    <cellStyle name="Total 2 3 2 2 2 4" xfId="53350" xr:uid="{00000000-0005-0000-0000-000031D10000}"/>
    <cellStyle name="Total 2 3 2 2 2 5" xfId="53351" xr:uid="{00000000-0005-0000-0000-000032D10000}"/>
    <cellStyle name="Total 2 3 2 2 2 6" xfId="53352" xr:uid="{00000000-0005-0000-0000-000033D10000}"/>
    <cellStyle name="Total 2 3 2 2 3" xfId="53353" xr:uid="{00000000-0005-0000-0000-000034D10000}"/>
    <cellStyle name="Total 2 3 2 2 3 2" xfId="53354" xr:uid="{00000000-0005-0000-0000-000035D10000}"/>
    <cellStyle name="Total 2 3 2 2 3 2 2" xfId="53355" xr:uid="{00000000-0005-0000-0000-000036D10000}"/>
    <cellStyle name="Total 2 3 2 2 3 2 3" xfId="53356" xr:uid="{00000000-0005-0000-0000-000037D10000}"/>
    <cellStyle name="Total 2 3 2 2 3 2 4" xfId="53357" xr:uid="{00000000-0005-0000-0000-000038D10000}"/>
    <cellStyle name="Total 2 3 2 2 3 3" xfId="53358" xr:uid="{00000000-0005-0000-0000-000039D10000}"/>
    <cellStyle name="Total 2 3 2 2 3 3 2" xfId="53359" xr:uid="{00000000-0005-0000-0000-00003AD10000}"/>
    <cellStyle name="Total 2 3 2 2 3 3 3" xfId="53360" xr:uid="{00000000-0005-0000-0000-00003BD10000}"/>
    <cellStyle name="Total 2 3 2 2 3 3 4" xfId="53361" xr:uid="{00000000-0005-0000-0000-00003CD10000}"/>
    <cellStyle name="Total 2 3 2 2 3 4" xfId="53362" xr:uid="{00000000-0005-0000-0000-00003DD10000}"/>
    <cellStyle name="Total 2 3 2 2 3 5" xfId="53363" xr:uid="{00000000-0005-0000-0000-00003ED10000}"/>
    <cellStyle name="Total 2 3 2 2 3 6" xfId="53364" xr:uid="{00000000-0005-0000-0000-00003FD10000}"/>
    <cellStyle name="Total 2 3 2 2 4" xfId="53365" xr:uid="{00000000-0005-0000-0000-000040D10000}"/>
    <cellStyle name="Total 2 3 2 2 5" xfId="53366" xr:uid="{00000000-0005-0000-0000-000041D10000}"/>
    <cellStyle name="Total 2 3 2 2 6" xfId="53367" xr:uid="{00000000-0005-0000-0000-000042D10000}"/>
    <cellStyle name="Total 2 3 2 3" xfId="53368" xr:uid="{00000000-0005-0000-0000-000043D10000}"/>
    <cellStyle name="Total 2 3 2 4" xfId="53369" xr:uid="{00000000-0005-0000-0000-000044D10000}"/>
    <cellStyle name="Total 2 3 3" xfId="53370" xr:uid="{00000000-0005-0000-0000-000045D10000}"/>
    <cellStyle name="Total 2 3 3 2" xfId="53371" xr:uid="{00000000-0005-0000-0000-000046D10000}"/>
    <cellStyle name="Total 2 3 3 2 2" xfId="53372" xr:uid="{00000000-0005-0000-0000-000047D10000}"/>
    <cellStyle name="Total 2 3 3 2 2 2" xfId="53373" xr:uid="{00000000-0005-0000-0000-000048D10000}"/>
    <cellStyle name="Total 2 3 3 2 2 2 2" xfId="53374" xr:uid="{00000000-0005-0000-0000-000049D10000}"/>
    <cellStyle name="Total 2 3 3 2 2 2 3" xfId="53375" xr:uid="{00000000-0005-0000-0000-00004AD10000}"/>
    <cellStyle name="Total 2 3 3 2 2 2 4" xfId="53376" xr:uid="{00000000-0005-0000-0000-00004BD10000}"/>
    <cellStyle name="Total 2 3 3 2 2 3" xfId="53377" xr:uid="{00000000-0005-0000-0000-00004CD10000}"/>
    <cellStyle name="Total 2 3 3 2 2 3 2" xfId="53378" xr:uid="{00000000-0005-0000-0000-00004DD10000}"/>
    <cellStyle name="Total 2 3 3 2 2 3 3" xfId="53379" xr:uid="{00000000-0005-0000-0000-00004ED10000}"/>
    <cellStyle name="Total 2 3 3 2 2 3 4" xfId="53380" xr:uid="{00000000-0005-0000-0000-00004FD10000}"/>
    <cellStyle name="Total 2 3 3 2 2 4" xfId="53381" xr:uid="{00000000-0005-0000-0000-000050D10000}"/>
    <cellStyle name="Total 2 3 3 2 2 5" xfId="53382" xr:uid="{00000000-0005-0000-0000-000051D10000}"/>
    <cellStyle name="Total 2 3 3 2 2 6" xfId="53383" xr:uid="{00000000-0005-0000-0000-000052D10000}"/>
    <cellStyle name="Total 2 3 3 2 3" xfId="53384" xr:uid="{00000000-0005-0000-0000-000053D10000}"/>
    <cellStyle name="Total 2 3 3 2 3 2" xfId="53385" xr:uid="{00000000-0005-0000-0000-000054D10000}"/>
    <cellStyle name="Total 2 3 3 2 3 2 2" xfId="53386" xr:uid="{00000000-0005-0000-0000-000055D10000}"/>
    <cellStyle name="Total 2 3 3 2 3 2 3" xfId="53387" xr:uid="{00000000-0005-0000-0000-000056D10000}"/>
    <cellStyle name="Total 2 3 3 2 3 2 4" xfId="53388" xr:uid="{00000000-0005-0000-0000-000057D10000}"/>
    <cellStyle name="Total 2 3 3 2 3 3" xfId="53389" xr:uid="{00000000-0005-0000-0000-000058D10000}"/>
    <cellStyle name="Total 2 3 3 2 3 3 2" xfId="53390" xr:uid="{00000000-0005-0000-0000-000059D10000}"/>
    <cellStyle name="Total 2 3 3 2 3 3 3" xfId="53391" xr:uid="{00000000-0005-0000-0000-00005AD10000}"/>
    <cellStyle name="Total 2 3 3 2 3 3 4" xfId="53392" xr:uid="{00000000-0005-0000-0000-00005BD10000}"/>
    <cellStyle name="Total 2 3 3 2 3 4" xfId="53393" xr:uid="{00000000-0005-0000-0000-00005CD10000}"/>
    <cellStyle name="Total 2 3 3 2 3 5" xfId="53394" xr:uid="{00000000-0005-0000-0000-00005DD10000}"/>
    <cellStyle name="Total 2 3 3 2 3 6" xfId="53395" xr:uid="{00000000-0005-0000-0000-00005ED10000}"/>
    <cellStyle name="Total 2 3 3 2 4" xfId="53396" xr:uid="{00000000-0005-0000-0000-00005FD10000}"/>
    <cellStyle name="Total 2 3 3 2 5" xfId="53397" xr:uid="{00000000-0005-0000-0000-000060D10000}"/>
    <cellStyle name="Total 2 3 3 2 6" xfId="53398" xr:uid="{00000000-0005-0000-0000-000061D10000}"/>
    <cellStyle name="Total 2 3 3 3" xfId="53399" xr:uid="{00000000-0005-0000-0000-000062D10000}"/>
    <cellStyle name="Total 2 3 3 4" xfId="53400" xr:uid="{00000000-0005-0000-0000-000063D10000}"/>
    <cellStyle name="Total 2 3 4" xfId="53401" xr:uid="{00000000-0005-0000-0000-000064D10000}"/>
    <cellStyle name="Total 2 3 4 2" xfId="53402" xr:uid="{00000000-0005-0000-0000-000065D10000}"/>
    <cellStyle name="Total 2 3 4 2 2" xfId="53403" xr:uid="{00000000-0005-0000-0000-000066D10000}"/>
    <cellStyle name="Total 2 3 4 2 2 2" xfId="53404" xr:uid="{00000000-0005-0000-0000-000067D10000}"/>
    <cellStyle name="Total 2 3 4 2 2 2 2" xfId="53405" xr:uid="{00000000-0005-0000-0000-000068D10000}"/>
    <cellStyle name="Total 2 3 4 2 2 2 3" xfId="53406" xr:uid="{00000000-0005-0000-0000-000069D10000}"/>
    <cellStyle name="Total 2 3 4 2 2 2 4" xfId="53407" xr:uid="{00000000-0005-0000-0000-00006AD10000}"/>
    <cellStyle name="Total 2 3 4 2 2 3" xfId="53408" xr:uid="{00000000-0005-0000-0000-00006BD10000}"/>
    <cellStyle name="Total 2 3 4 2 2 3 2" xfId="53409" xr:uid="{00000000-0005-0000-0000-00006CD10000}"/>
    <cellStyle name="Total 2 3 4 2 2 3 3" xfId="53410" xr:uid="{00000000-0005-0000-0000-00006DD10000}"/>
    <cellStyle name="Total 2 3 4 2 2 3 4" xfId="53411" xr:uid="{00000000-0005-0000-0000-00006ED10000}"/>
    <cellStyle name="Total 2 3 4 2 2 4" xfId="53412" xr:uid="{00000000-0005-0000-0000-00006FD10000}"/>
    <cellStyle name="Total 2 3 4 2 2 5" xfId="53413" xr:uid="{00000000-0005-0000-0000-000070D10000}"/>
    <cellStyle name="Total 2 3 4 2 2 6" xfId="53414" xr:uid="{00000000-0005-0000-0000-000071D10000}"/>
    <cellStyle name="Total 2 3 4 2 3" xfId="53415" xr:uid="{00000000-0005-0000-0000-000072D10000}"/>
    <cellStyle name="Total 2 3 4 2 3 2" xfId="53416" xr:uid="{00000000-0005-0000-0000-000073D10000}"/>
    <cellStyle name="Total 2 3 4 2 3 2 2" xfId="53417" xr:uid="{00000000-0005-0000-0000-000074D10000}"/>
    <cellStyle name="Total 2 3 4 2 3 2 3" xfId="53418" xr:uid="{00000000-0005-0000-0000-000075D10000}"/>
    <cellStyle name="Total 2 3 4 2 3 2 4" xfId="53419" xr:uid="{00000000-0005-0000-0000-000076D10000}"/>
    <cellStyle name="Total 2 3 4 2 3 3" xfId="53420" xr:uid="{00000000-0005-0000-0000-000077D10000}"/>
    <cellStyle name="Total 2 3 4 2 3 3 2" xfId="53421" xr:uid="{00000000-0005-0000-0000-000078D10000}"/>
    <cellStyle name="Total 2 3 4 2 3 3 3" xfId="53422" xr:uid="{00000000-0005-0000-0000-000079D10000}"/>
    <cellStyle name="Total 2 3 4 2 3 3 4" xfId="53423" xr:uid="{00000000-0005-0000-0000-00007AD10000}"/>
    <cellStyle name="Total 2 3 4 2 3 4" xfId="53424" xr:uid="{00000000-0005-0000-0000-00007BD10000}"/>
    <cellStyle name="Total 2 3 4 2 3 5" xfId="53425" xr:uid="{00000000-0005-0000-0000-00007CD10000}"/>
    <cellStyle name="Total 2 3 4 2 3 6" xfId="53426" xr:uid="{00000000-0005-0000-0000-00007DD10000}"/>
    <cellStyle name="Total 2 3 4 2 4" xfId="53427" xr:uid="{00000000-0005-0000-0000-00007ED10000}"/>
    <cellStyle name="Total 2 3 4 2 5" xfId="53428" xr:uid="{00000000-0005-0000-0000-00007FD10000}"/>
    <cellStyle name="Total 2 3 4 2 6" xfId="53429" xr:uid="{00000000-0005-0000-0000-000080D10000}"/>
    <cellStyle name="Total 2 3 4 3" xfId="53430" xr:uid="{00000000-0005-0000-0000-000081D10000}"/>
    <cellStyle name="Total 2 3 4 4" xfId="53431" xr:uid="{00000000-0005-0000-0000-000082D10000}"/>
    <cellStyle name="Total 2 3 5" xfId="53432" xr:uid="{00000000-0005-0000-0000-000083D10000}"/>
    <cellStyle name="Total 2 3 5 2" xfId="53433" xr:uid="{00000000-0005-0000-0000-000084D10000}"/>
    <cellStyle name="Total 2 3 5 2 2" xfId="53434" xr:uid="{00000000-0005-0000-0000-000085D10000}"/>
    <cellStyle name="Total 2 3 5 2 2 2" xfId="53435" xr:uid="{00000000-0005-0000-0000-000086D10000}"/>
    <cellStyle name="Total 2 3 5 2 2 3" xfId="53436" xr:uid="{00000000-0005-0000-0000-000087D10000}"/>
    <cellStyle name="Total 2 3 5 2 2 4" xfId="53437" xr:uid="{00000000-0005-0000-0000-000088D10000}"/>
    <cellStyle name="Total 2 3 5 2 3" xfId="53438" xr:uid="{00000000-0005-0000-0000-000089D10000}"/>
    <cellStyle name="Total 2 3 5 2 4" xfId="53439" xr:uid="{00000000-0005-0000-0000-00008AD10000}"/>
    <cellStyle name="Total 2 3 5 2 5" xfId="53440" xr:uid="{00000000-0005-0000-0000-00008BD10000}"/>
    <cellStyle name="Total 2 3 5 3" xfId="53441" xr:uid="{00000000-0005-0000-0000-00008CD10000}"/>
    <cellStyle name="Total 2 3 5 3 2" xfId="53442" xr:uid="{00000000-0005-0000-0000-00008DD10000}"/>
    <cellStyle name="Total 2 3 5 3 2 2" xfId="53443" xr:uid="{00000000-0005-0000-0000-00008ED10000}"/>
    <cellStyle name="Total 2 3 5 3 2 3" xfId="53444" xr:uid="{00000000-0005-0000-0000-00008FD10000}"/>
    <cellStyle name="Total 2 3 5 3 2 4" xfId="53445" xr:uid="{00000000-0005-0000-0000-000090D10000}"/>
    <cellStyle name="Total 2 3 5 3 3" xfId="53446" xr:uid="{00000000-0005-0000-0000-000091D10000}"/>
    <cellStyle name="Total 2 3 5 3 3 2" xfId="53447" xr:uid="{00000000-0005-0000-0000-000092D10000}"/>
    <cellStyle name="Total 2 3 5 3 3 3" xfId="53448" xr:uid="{00000000-0005-0000-0000-000093D10000}"/>
    <cellStyle name="Total 2 3 5 3 3 4" xfId="53449" xr:uid="{00000000-0005-0000-0000-000094D10000}"/>
    <cellStyle name="Total 2 3 5 3 4" xfId="53450" xr:uid="{00000000-0005-0000-0000-000095D10000}"/>
    <cellStyle name="Total 2 3 5 3 5" xfId="53451" xr:uid="{00000000-0005-0000-0000-000096D10000}"/>
    <cellStyle name="Total 2 3 5 3 6" xfId="53452" xr:uid="{00000000-0005-0000-0000-000097D10000}"/>
    <cellStyle name="Total 2 3 5 4" xfId="53453" xr:uid="{00000000-0005-0000-0000-000098D10000}"/>
    <cellStyle name="Total 2 3 5 5" xfId="53454" xr:uid="{00000000-0005-0000-0000-000099D10000}"/>
    <cellStyle name="Total 2 3 6" xfId="53455" xr:uid="{00000000-0005-0000-0000-00009AD10000}"/>
    <cellStyle name="Total 2 3 6 2" xfId="53456" xr:uid="{00000000-0005-0000-0000-00009BD10000}"/>
    <cellStyle name="Total 2 3 6 2 2" xfId="53457" xr:uid="{00000000-0005-0000-0000-00009CD10000}"/>
    <cellStyle name="Total 2 3 6 2 2 2" xfId="53458" xr:uid="{00000000-0005-0000-0000-00009DD10000}"/>
    <cellStyle name="Total 2 3 6 2 2 3" xfId="53459" xr:uid="{00000000-0005-0000-0000-00009ED10000}"/>
    <cellStyle name="Total 2 3 6 2 2 4" xfId="53460" xr:uid="{00000000-0005-0000-0000-00009FD10000}"/>
    <cellStyle name="Total 2 3 6 2 3" xfId="53461" xr:uid="{00000000-0005-0000-0000-0000A0D10000}"/>
    <cellStyle name="Total 2 3 6 2 4" xfId="53462" xr:uid="{00000000-0005-0000-0000-0000A1D10000}"/>
    <cellStyle name="Total 2 3 6 2 5" xfId="53463" xr:uid="{00000000-0005-0000-0000-0000A2D10000}"/>
    <cellStyle name="Total 2 3 6 3" xfId="53464" xr:uid="{00000000-0005-0000-0000-0000A3D10000}"/>
    <cellStyle name="Total 2 3 6 3 2" xfId="53465" xr:uid="{00000000-0005-0000-0000-0000A4D10000}"/>
    <cellStyle name="Total 2 3 6 3 2 2" xfId="53466" xr:uid="{00000000-0005-0000-0000-0000A5D10000}"/>
    <cellStyle name="Total 2 3 6 3 2 3" xfId="53467" xr:uid="{00000000-0005-0000-0000-0000A6D10000}"/>
    <cellStyle name="Total 2 3 6 3 2 4" xfId="53468" xr:uid="{00000000-0005-0000-0000-0000A7D10000}"/>
    <cellStyle name="Total 2 3 6 3 3" xfId="53469" xr:uid="{00000000-0005-0000-0000-0000A8D10000}"/>
    <cellStyle name="Total 2 3 6 3 3 2" xfId="53470" xr:uid="{00000000-0005-0000-0000-0000A9D10000}"/>
    <cellStyle name="Total 2 3 6 3 3 3" xfId="53471" xr:uid="{00000000-0005-0000-0000-0000AAD10000}"/>
    <cellStyle name="Total 2 3 6 3 3 4" xfId="53472" xr:uid="{00000000-0005-0000-0000-0000ABD10000}"/>
    <cellStyle name="Total 2 3 6 3 4" xfId="53473" xr:uid="{00000000-0005-0000-0000-0000ACD10000}"/>
    <cellStyle name="Total 2 3 6 3 5" xfId="53474" xr:uid="{00000000-0005-0000-0000-0000ADD10000}"/>
    <cellStyle name="Total 2 3 6 3 6" xfId="53475" xr:uid="{00000000-0005-0000-0000-0000AED10000}"/>
    <cellStyle name="Total 2 3 6 4" xfId="53476" xr:uid="{00000000-0005-0000-0000-0000AFD10000}"/>
    <cellStyle name="Total 2 3 6 5" xfId="53477" xr:uid="{00000000-0005-0000-0000-0000B0D10000}"/>
    <cellStyle name="Total 2 3 7" xfId="53478" xr:uid="{00000000-0005-0000-0000-0000B1D10000}"/>
    <cellStyle name="Total 2 3 7 2" xfId="53479" xr:uid="{00000000-0005-0000-0000-0000B2D10000}"/>
    <cellStyle name="Total 2 3 7 2 2" xfId="53480" xr:uid="{00000000-0005-0000-0000-0000B3D10000}"/>
    <cellStyle name="Total 2 3 7 2 2 2" xfId="53481" xr:uid="{00000000-0005-0000-0000-0000B4D10000}"/>
    <cellStyle name="Total 2 3 7 2 2 3" xfId="53482" xr:uid="{00000000-0005-0000-0000-0000B5D10000}"/>
    <cellStyle name="Total 2 3 7 2 2 4" xfId="53483" xr:uid="{00000000-0005-0000-0000-0000B6D10000}"/>
    <cellStyle name="Total 2 3 7 2 3" xfId="53484" xr:uid="{00000000-0005-0000-0000-0000B7D10000}"/>
    <cellStyle name="Total 2 3 7 2 4" xfId="53485" xr:uid="{00000000-0005-0000-0000-0000B8D10000}"/>
    <cellStyle name="Total 2 3 7 2 5" xfId="53486" xr:uid="{00000000-0005-0000-0000-0000B9D10000}"/>
    <cellStyle name="Total 2 3 7 3" xfId="53487" xr:uid="{00000000-0005-0000-0000-0000BAD10000}"/>
    <cellStyle name="Total 2 3 7 3 2" xfId="53488" xr:uid="{00000000-0005-0000-0000-0000BBD10000}"/>
    <cellStyle name="Total 2 3 7 3 2 2" xfId="53489" xr:uid="{00000000-0005-0000-0000-0000BCD10000}"/>
    <cellStyle name="Total 2 3 7 3 2 3" xfId="53490" xr:uid="{00000000-0005-0000-0000-0000BDD10000}"/>
    <cellStyle name="Total 2 3 7 3 2 4" xfId="53491" xr:uid="{00000000-0005-0000-0000-0000BED10000}"/>
    <cellStyle name="Total 2 3 7 3 3" xfId="53492" xr:uid="{00000000-0005-0000-0000-0000BFD10000}"/>
    <cellStyle name="Total 2 3 7 3 3 2" xfId="53493" xr:uid="{00000000-0005-0000-0000-0000C0D10000}"/>
    <cellStyle name="Total 2 3 7 3 3 3" xfId="53494" xr:uid="{00000000-0005-0000-0000-0000C1D10000}"/>
    <cellStyle name="Total 2 3 7 3 3 4" xfId="53495" xr:uid="{00000000-0005-0000-0000-0000C2D10000}"/>
    <cellStyle name="Total 2 3 7 3 4" xfId="53496" xr:uid="{00000000-0005-0000-0000-0000C3D10000}"/>
    <cellStyle name="Total 2 3 7 3 5" xfId="53497" xr:uid="{00000000-0005-0000-0000-0000C4D10000}"/>
    <cellStyle name="Total 2 3 7 3 6" xfId="53498" xr:uid="{00000000-0005-0000-0000-0000C5D10000}"/>
    <cellStyle name="Total 2 3 7 4" xfId="53499" xr:uid="{00000000-0005-0000-0000-0000C6D10000}"/>
    <cellStyle name="Total 2 3 7 5" xfId="53500" xr:uid="{00000000-0005-0000-0000-0000C7D10000}"/>
    <cellStyle name="Total 2 3 8" xfId="53501" xr:uid="{00000000-0005-0000-0000-0000C8D10000}"/>
    <cellStyle name="Total 2 3 8 2" xfId="53502" xr:uid="{00000000-0005-0000-0000-0000C9D10000}"/>
    <cellStyle name="Total 2 3 8 2 2" xfId="53503" xr:uid="{00000000-0005-0000-0000-0000CAD10000}"/>
    <cellStyle name="Total 2 3 8 2 2 2" xfId="53504" xr:uid="{00000000-0005-0000-0000-0000CBD10000}"/>
    <cellStyle name="Total 2 3 8 2 2 3" xfId="53505" xr:uid="{00000000-0005-0000-0000-0000CCD10000}"/>
    <cellStyle name="Total 2 3 8 2 2 4" xfId="53506" xr:uid="{00000000-0005-0000-0000-0000CDD10000}"/>
    <cellStyle name="Total 2 3 8 2 3" xfId="53507" xr:uid="{00000000-0005-0000-0000-0000CED10000}"/>
    <cellStyle name="Total 2 3 8 2 4" xfId="53508" xr:uid="{00000000-0005-0000-0000-0000CFD10000}"/>
    <cellStyle name="Total 2 3 8 2 5" xfId="53509" xr:uid="{00000000-0005-0000-0000-0000D0D10000}"/>
    <cellStyle name="Total 2 3 8 3" xfId="53510" xr:uid="{00000000-0005-0000-0000-0000D1D10000}"/>
    <cellStyle name="Total 2 3 8 3 2" xfId="53511" xr:uid="{00000000-0005-0000-0000-0000D2D10000}"/>
    <cellStyle name="Total 2 3 8 3 2 2" xfId="53512" xr:uid="{00000000-0005-0000-0000-0000D3D10000}"/>
    <cellStyle name="Total 2 3 8 3 2 3" xfId="53513" xr:uid="{00000000-0005-0000-0000-0000D4D10000}"/>
    <cellStyle name="Total 2 3 8 3 2 4" xfId="53514" xr:uid="{00000000-0005-0000-0000-0000D5D10000}"/>
    <cellStyle name="Total 2 3 8 3 3" xfId="53515" xr:uid="{00000000-0005-0000-0000-0000D6D10000}"/>
    <cellStyle name="Total 2 3 8 3 3 2" xfId="53516" xr:uid="{00000000-0005-0000-0000-0000D7D10000}"/>
    <cellStyle name="Total 2 3 8 3 3 3" xfId="53517" xr:uid="{00000000-0005-0000-0000-0000D8D10000}"/>
    <cellStyle name="Total 2 3 8 3 3 4" xfId="53518" xr:uid="{00000000-0005-0000-0000-0000D9D10000}"/>
    <cellStyle name="Total 2 3 8 3 4" xfId="53519" xr:uid="{00000000-0005-0000-0000-0000DAD10000}"/>
    <cellStyle name="Total 2 3 8 3 5" xfId="53520" xr:uid="{00000000-0005-0000-0000-0000DBD10000}"/>
    <cellStyle name="Total 2 3 8 3 6" xfId="53521" xr:uid="{00000000-0005-0000-0000-0000DCD10000}"/>
    <cellStyle name="Total 2 3 8 4" xfId="53522" xr:uid="{00000000-0005-0000-0000-0000DDD10000}"/>
    <cellStyle name="Total 2 3 8 5" xfId="53523" xr:uid="{00000000-0005-0000-0000-0000DED10000}"/>
    <cellStyle name="Total 2 3 9" xfId="53524" xr:uid="{00000000-0005-0000-0000-0000DFD10000}"/>
    <cellStyle name="Total 2 3 9 2" xfId="53525" xr:uid="{00000000-0005-0000-0000-0000E0D10000}"/>
    <cellStyle name="Total 2 3 9 2 2" xfId="53526" xr:uid="{00000000-0005-0000-0000-0000E1D10000}"/>
    <cellStyle name="Total 2 3 9 2 2 2" xfId="53527" xr:uid="{00000000-0005-0000-0000-0000E2D10000}"/>
    <cellStyle name="Total 2 3 9 2 2 3" xfId="53528" xr:uid="{00000000-0005-0000-0000-0000E3D10000}"/>
    <cellStyle name="Total 2 3 9 2 2 4" xfId="53529" xr:uid="{00000000-0005-0000-0000-0000E4D10000}"/>
    <cellStyle name="Total 2 3 9 2 3" xfId="53530" xr:uid="{00000000-0005-0000-0000-0000E5D10000}"/>
    <cellStyle name="Total 2 3 9 2 4" xfId="53531" xr:uid="{00000000-0005-0000-0000-0000E6D10000}"/>
    <cellStyle name="Total 2 3 9 2 5" xfId="53532" xr:uid="{00000000-0005-0000-0000-0000E7D10000}"/>
    <cellStyle name="Total 2 3 9 3" xfId="53533" xr:uid="{00000000-0005-0000-0000-0000E8D10000}"/>
    <cellStyle name="Total 2 3 9 3 2" xfId="53534" xr:uid="{00000000-0005-0000-0000-0000E9D10000}"/>
    <cellStyle name="Total 2 3 9 3 2 2" xfId="53535" xr:uid="{00000000-0005-0000-0000-0000EAD10000}"/>
    <cellStyle name="Total 2 3 9 3 2 3" xfId="53536" xr:uid="{00000000-0005-0000-0000-0000EBD10000}"/>
    <cellStyle name="Total 2 3 9 3 2 4" xfId="53537" xr:uid="{00000000-0005-0000-0000-0000ECD10000}"/>
    <cellStyle name="Total 2 3 9 3 3" xfId="53538" xr:uid="{00000000-0005-0000-0000-0000EDD10000}"/>
    <cellStyle name="Total 2 3 9 3 3 2" xfId="53539" xr:uid="{00000000-0005-0000-0000-0000EED10000}"/>
    <cellStyle name="Total 2 3 9 3 3 3" xfId="53540" xr:uid="{00000000-0005-0000-0000-0000EFD10000}"/>
    <cellStyle name="Total 2 3 9 3 3 4" xfId="53541" xr:uid="{00000000-0005-0000-0000-0000F0D10000}"/>
    <cellStyle name="Total 2 3 9 3 4" xfId="53542" xr:uid="{00000000-0005-0000-0000-0000F1D10000}"/>
    <cellStyle name="Total 2 3 9 3 5" xfId="53543" xr:uid="{00000000-0005-0000-0000-0000F2D10000}"/>
    <cellStyle name="Total 2 3 9 3 6" xfId="53544" xr:uid="{00000000-0005-0000-0000-0000F3D10000}"/>
    <cellStyle name="Total 2 3 9 4" xfId="53545" xr:uid="{00000000-0005-0000-0000-0000F4D10000}"/>
    <cellStyle name="Total 2 3 9 5" xfId="53546" xr:uid="{00000000-0005-0000-0000-0000F5D10000}"/>
    <cellStyle name="Total 2 4" xfId="53547" xr:uid="{00000000-0005-0000-0000-0000F6D10000}"/>
    <cellStyle name="Total 2 4 10" xfId="53548" xr:uid="{00000000-0005-0000-0000-0000F7D10000}"/>
    <cellStyle name="Total 2 4 10 2" xfId="53549" xr:uid="{00000000-0005-0000-0000-0000F8D10000}"/>
    <cellStyle name="Total 2 4 10 2 2" xfId="53550" xr:uid="{00000000-0005-0000-0000-0000F9D10000}"/>
    <cellStyle name="Total 2 4 10 2 2 2" xfId="53551" xr:uid="{00000000-0005-0000-0000-0000FAD10000}"/>
    <cellStyle name="Total 2 4 10 2 2 3" xfId="53552" xr:uid="{00000000-0005-0000-0000-0000FBD10000}"/>
    <cellStyle name="Total 2 4 10 2 2 4" xfId="53553" xr:uid="{00000000-0005-0000-0000-0000FCD10000}"/>
    <cellStyle name="Total 2 4 10 2 3" xfId="53554" xr:uid="{00000000-0005-0000-0000-0000FDD10000}"/>
    <cellStyle name="Total 2 4 10 2 4" xfId="53555" xr:uid="{00000000-0005-0000-0000-0000FED10000}"/>
    <cellStyle name="Total 2 4 10 2 5" xfId="53556" xr:uid="{00000000-0005-0000-0000-0000FFD10000}"/>
    <cellStyle name="Total 2 4 10 3" xfId="53557" xr:uid="{00000000-0005-0000-0000-000000D20000}"/>
    <cellStyle name="Total 2 4 10 3 2" xfId="53558" xr:uid="{00000000-0005-0000-0000-000001D20000}"/>
    <cellStyle name="Total 2 4 10 3 2 2" xfId="53559" xr:uid="{00000000-0005-0000-0000-000002D20000}"/>
    <cellStyle name="Total 2 4 10 3 2 3" xfId="53560" xr:uid="{00000000-0005-0000-0000-000003D20000}"/>
    <cellStyle name="Total 2 4 10 3 2 4" xfId="53561" xr:uid="{00000000-0005-0000-0000-000004D20000}"/>
    <cellStyle name="Total 2 4 10 3 3" xfId="53562" xr:uid="{00000000-0005-0000-0000-000005D20000}"/>
    <cellStyle name="Total 2 4 10 3 3 2" xfId="53563" xr:uid="{00000000-0005-0000-0000-000006D20000}"/>
    <cellStyle name="Total 2 4 10 3 3 3" xfId="53564" xr:uid="{00000000-0005-0000-0000-000007D20000}"/>
    <cellStyle name="Total 2 4 10 3 3 4" xfId="53565" xr:uid="{00000000-0005-0000-0000-000008D20000}"/>
    <cellStyle name="Total 2 4 10 3 4" xfId="53566" xr:uid="{00000000-0005-0000-0000-000009D20000}"/>
    <cellStyle name="Total 2 4 10 3 5" xfId="53567" xr:uid="{00000000-0005-0000-0000-00000AD20000}"/>
    <cellStyle name="Total 2 4 10 3 6" xfId="53568" xr:uid="{00000000-0005-0000-0000-00000BD20000}"/>
    <cellStyle name="Total 2 4 10 4" xfId="53569" xr:uid="{00000000-0005-0000-0000-00000CD20000}"/>
    <cellStyle name="Total 2 4 10 5" xfId="53570" xr:uid="{00000000-0005-0000-0000-00000DD20000}"/>
    <cellStyle name="Total 2 4 11" xfId="53571" xr:uid="{00000000-0005-0000-0000-00000ED20000}"/>
    <cellStyle name="Total 2 4 11 2" xfId="53572" xr:uid="{00000000-0005-0000-0000-00000FD20000}"/>
    <cellStyle name="Total 2 4 11 2 2" xfId="53573" xr:uid="{00000000-0005-0000-0000-000010D20000}"/>
    <cellStyle name="Total 2 4 11 2 2 2" xfId="53574" xr:uid="{00000000-0005-0000-0000-000011D20000}"/>
    <cellStyle name="Total 2 4 11 2 2 3" xfId="53575" xr:uid="{00000000-0005-0000-0000-000012D20000}"/>
    <cellStyle name="Total 2 4 11 2 2 4" xfId="53576" xr:uid="{00000000-0005-0000-0000-000013D20000}"/>
    <cellStyle name="Total 2 4 11 2 3" xfId="53577" xr:uid="{00000000-0005-0000-0000-000014D20000}"/>
    <cellStyle name="Total 2 4 11 2 4" xfId="53578" xr:uid="{00000000-0005-0000-0000-000015D20000}"/>
    <cellStyle name="Total 2 4 11 2 5" xfId="53579" xr:uid="{00000000-0005-0000-0000-000016D20000}"/>
    <cellStyle name="Total 2 4 11 3" xfId="53580" xr:uid="{00000000-0005-0000-0000-000017D20000}"/>
    <cellStyle name="Total 2 4 11 3 2" xfId="53581" xr:uid="{00000000-0005-0000-0000-000018D20000}"/>
    <cellStyle name="Total 2 4 11 3 2 2" xfId="53582" xr:uid="{00000000-0005-0000-0000-000019D20000}"/>
    <cellStyle name="Total 2 4 11 3 2 3" xfId="53583" xr:uid="{00000000-0005-0000-0000-00001AD20000}"/>
    <cellStyle name="Total 2 4 11 3 2 4" xfId="53584" xr:uid="{00000000-0005-0000-0000-00001BD20000}"/>
    <cellStyle name="Total 2 4 11 3 3" xfId="53585" xr:uid="{00000000-0005-0000-0000-00001CD20000}"/>
    <cellStyle name="Total 2 4 11 3 3 2" xfId="53586" xr:uid="{00000000-0005-0000-0000-00001DD20000}"/>
    <cellStyle name="Total 2 4 11 3 3 3" xfId="53587" xr:uid="{00000000-0005-0000-0000-00001ED20000}"/>
    <cellStyle name="Total 2 4 11 3 3 4" xfId="53588" xr:uid="{00000000-0005-0000-0000-00001FD20000}"/>
    <cellStyle name="Total 2 4 11 3 4" xfId="53589" xr:uid="{00000000-0005-0000-0000-000020D20000}"/>
    <cellStyle name="Total 2 4 11 3 5" xfId="53590" xr:uid="{00000000-0005-0000-0000-000021D20000}"/>
    <cellStyle name="Total 2 4 11 3 6" xfId="53591" xr:uid="{00000000-0005-0000-0000-000022D20000}"/>
    <cellStyle name="Total 2 4 11 4" xfId="53592" xr:uid="{00000000-0005-0000-0000-000023D20000}"/>
    <cellStyle name="Total 2 4 11 5" xfId="53593" xr:uid="{00000000-0005-0000-0000-000024D20000}"/>
    <cellStyle name="Total 2 4 12" xfId="53594" xr:uid="{00000000-0005-0000-0000-000025D20000}"/>
    <cellStyle name="Total 2 4 12 2" xfId="53595" xr:uid="{00000000-0005-0000-0000-000026D20000}"/>
    <cellStyle name="Total 2 4 12 2 2" xfId="53596" xr:uid="{00000000-0005-0000-0000-000027D20000}"/>
    <cellStyle name="Total 2 4 12 2 2 2" xfId="53597" xr:uid="{00000000-0005-0000-0000-000028D20000}"/>
    <cellStyle name="Total 2 4 12 2 2 3" xfId="53598" xr:uid="{00000000-0005-0000-0000-000029D20000}"/>
    <cellStyle name="Total 2 4 12 2 2 4" xfId="53599" xr:uid="{00000000-0005-0000-0000-00002AD20000}"/>
    <cellStyle name="Total 2 4 12 2 3" xfId="53600" xr:uid="{00000000-0005-0000-0000-00002BD20000}"/>
    <cellStyle name="Total 2 4 12 2 3 2" xfId="53601" xr:uid="{00000000-0005-0000-0000-00002CD20000}"/>
    <cellStyle name="Total 2 4 12 2 3 3" xfId="53602" xr:uid="{00000000-0005-0000-0000-00002DD20000}"/>
    <cellStyle name="Total 2 4 12 2 3 4" xfId="53603" xr:uid="{00000000-0005-0000-0000-00002ED20000}"/>
    <cellStyle name="Total 2 4 12 2 4" xfId="53604" xr:uid="{00000000-0005-0000-0000-00002FD20000}"/>
    <cellStyle name="Total 2 4 12 2 5" xfId="53605" xr:uid="{00000000-0005-0000-0000-000030D20000}"/>
    <cellStyle name="Total 2 4 12 2 6" xfId="53606" xr:uid="{00000000-0005-0000-0000-000031D20000}"/>
    <cellStyle name="Total 2 4 12 3" xfId="53607" xr:uid="{00000000-0005-0000-0000-000032D20000}"/>
    <cellStyle name="Total 2 4 12 3 2" xfId="53608" xr:uid="{00000000-0005-0000-0000-000033D20000}"/>
    <cellStyle name="Total 2 4 12 3 2 2" xfId="53609" xr:uid="{00000000-0005-0000-0000-000034D20000}"/>
    <cellStyle name="Total 2 4 12 3 2 3" xfId="53610" xr:uid="{00000000-0005-0000-0000-000035D20000}"/>
    <cellStyle name="Total 2 4 12 3 2 4" xfId="53611" xr:uid="{00000000-0005-0000-0000-000036D20000}"/>
    <cellStyle name="Total 2 4 12 3 3" xfId="53612" xr:uid="{00000000-0005-0000-0000-000037D20000}"/>
    <cellStyle name="Total 2 4 12 3 3 2" xfId="53613" xr:uid="{00000000-0005-0000-0000-000038D20000}"/>
    <cellStyle name="Total 2 4 12 3 3 3" xfId="53614" xr:uid="{00000000-0005-0000-0000-000039D20000}"/>
    <cellStyle name="Total 2 4 12 3 3 4" xfId="53615" xr:uid="{00000000-0005-0000-0000-00003AD20000}"/>
    <cellStyle name="Total 2 4 12 3 4" xfId="53616" xr:uid="{00000000-0005-0000-0000-00003BD20000}"/>
    <cellStyle name="Total 2 4 12 3 5" xfId="53617" xr:uid="{00000000-0005-0000-0000-00003CD20000}"/>
    <cellStyle name="Total 2 4 12 3 6" xfId="53618" xr:uid="{00000000-0005-0000-0000-00003DD20000}"/>
    <cellStyle name="Total 2 4 12 4" xfId="53619" xr:uid="{00000000-0005-0000-0000-00003ED20000}"/>
    <cellStyle name="Total 2 4 12 5" xfId="53620" xr:uid="{00000000-0005-0000-0000-00003FD20000}"/>
    <cellStyle name="Total 2 4 12 6" xfId="53621" xr:uid="{00000000-0005-0000-0000-000040D20000}"/>
    <cellStyle name="Total 2 4 13" xfId="53622" xr:uid="{00000000-0005-0000-0000-000041D20000}"/>
    <cellStyle name="Total 2 4 14" xfId="53623" xr:uid="{00000000-0005-0000-0000-000042D20000}"/>
    <cellStyle name="Total 2 4 15" xfId="58805" xr:uid="{00000000-0005-0000-0000-000043D20000}"/>
    <cellStyle name="Total 2 4 2" xfId="53624" xr:uid="{00000000-0005-0000-0000-000044D20000}"/>
    <cellStyle name="Total 2 4 2 2" xfId="53625" xr:uid="{00000000-0005-0000-0000-000045D20000}"/>
    <cellStyle name="Total 2 4 2 2 2" xfId="53626" xr:uid="{00000000-0005-0000-0000-000046D20000}"/>
    <cellStyle name="Total 2 4 2 2 2 2" xfId="53627" xr:uid="{00000000-0005-0000-0000-000047D20000}"/>
    <cellStyle name="Total 2 4 2 2 2 2 2" xfId="53628" xr:uid="{00000000-0005-0000-0000-000048D20000}"/>
    <cellStyle name="Total 2 4 2 2 2 2 3" xfId="53629" xr:uid="{00000000-0005-0000-0000-000049D20000}"/>
    <cellStyle name="Total 2 4 2 2 2 2 4" xfId="53630" xr:uid="{00000000-0005-0000-0000-00004AD20000}"/>
    <cellStyle name="Total 2 4 2 2 2 3" xfId="53631" xr:uid="{00000000-0005-0000-0000-00004BD20000}"/>
    <cellStyle name="Total 2 4 2 2 2 3 2" xfId="53632" xr:uid="{00000000-0005-0000-0000-00004CD20000}"/>
    <cellStyle name="Total 2 4 2 2 2 3 3" xfId="53633" xr:uid="{00000000-0005-0000-0000-00004DD20000}"/>
    <cellStyle name="Total 2 4 2 2 2 3 4" xfId="53634" xr:uid="{00000000-0005-0000-0000-00004ED20000}"/>
    <cellStyle name="Total 2 4 2 2 2 4" xfId="53635" xr:uid="{00000000-0005-0000-0000-00004FD20000}"/>
    <cellStyle name="Total 2 4 2 2 2 5" xfId="53636" xr:uid="{00000000-0005-0000-0000-000050D20000}"/>
    <cellStyle name="Total 2 4 2 2 2 6" xfId="53637" xr:uid="{00000000-0005-0000-0000-000051D20000}"/>
    <cellStyle name="Total 2 4 2 2 3" xfId="53638" xr:uid="{00000000-0005-0000-0000-000052D20000}"/>
    <cellStyle name="Total 2 4 2 2 3 2" xfId="53639" xr:uid="{00000000-0005-0000-0000-000053D20000}"/>
    <cellStyle name="Total 2 4 2 2 3 2 2" xfId="53640" xr:uid="{00000000-0005-0000-0000-000054D20000}"/>
    <cellStyle name="Total 2 4 2 2 3 2 3" xfId="53641" xr:uid="{00000000-0005-0000-0000-000055D20000}"/>
    <cellStyle name="Total 2 4 2 2 3 2 4" xfId="53642" xr:uid="{00000000-0005-0000-0000-000056D20000}"/>
    <cellStyle name="Total 2 4 2 2 3 3" xfId="53643" xr:uid="{00000000-0005-0000-0000-000057D20000}"/>
    <cellStyle name="Total 2 4 2 2 3 3 2" xfId="53644" xr:uid="{00000000-0005-0000-0000-000058D20000}"/>
    <cellStyle name="Total 2 4 2 2 3 3 3" xfId="53645" xr:uid="{00000000-0005-0000-0000-000059D20000}"/>
    <cellStyle name="Total 2 4 2 2 3 3 4" xfId="53646" xr:uid="{00000000-0005-0000-0000-00005AD20000}"/>
    <cellStyle name="Total 2 4 2 2 3 4" xfId="53647" xr:uid="{00000000-0005-0000-0000-00005BD20000}"/>
    <cellStyle name="Total 2 4 2 2 3 5" xfId="53648" xr:uid="{00000000-0005-0000-0000-00005CD20000}"/>
    <cellStyle name="Total 2 4 2 2 3 6" xfId="53649" xr:uid="{00000000-0005-0000-0000-00005DD20000}"/>
    <cellStyle name="Total 2 4 2 2 4" xfId="53650" xr:uid="{00000000-0005-0000-0000-00005ED20000}"/>
    <cellStyle name="Total 2 4 2 2 5" xfId="53651" xr:uid="{00000000-0005-0000-0000-00005FD20000}"/>
    <cellStyle name="Total 2 4 2 2 6" xfId="53652" xr:uid="{00000000-0005-0000-0000-000060D20000}"/>
    <cellStyle name="Total 2 4 2 3" xfId="53653" xr:uid="{00000000-0005-0000-0000-000061D20000}"/>
    <cellStyle name="Total 2 4 2 4" xfId="53654" xr:uid="{00000000-0005-0000-0000-000062D20000}"/>
    <cellStyle name="Total 2 4 3" xfId="53655" xr:uid="{00000000-0005-0000-0000-000063D20000}"/>
    <cellStyle name="Total 2 4 3 2" xfId="53656" xr:uid="{00000000-0005-0000-0000-000064D20000}"/>
    <cellStyle name="Total 2 4 3 2 2" xfId="53657" xr:uid="{00000000-0005-0000-0000-000065D20000}"/>
    <cellStyle name="Total 2 4 3 2 2 2" xfId="53658" xr:uid="{00000000-0005-0000-0000-000066D20000}"/>
    <cellStyle name="Total 2 4 3 2 2 2 2" xfId="53659" xr:uid="{00000000-0005-0000-0000-000067D20000}"/>
    <cellStyle name="Total 2 4 3 2 2 2 3" xfId="53660" xr:uid="{00000000-0005-0000-0000-000068D20000}"/>
    <cellStyle name="Total 2 4 3 2 2 2 4" xfId="53661" xr:uid="{00000000-0005-0000-0000-000069D20000}"/>
    <cellStyle name="Total 2 4 3 2 2 3" xfId="53662" xr:uid="{00000000-0005-0000-0000-00006AD20000}"/>
    <cellStyle name="Total 2 4 3 2 2 3 2" xfId="53663" xr:uid="{00000000-0005-0000-0000-00006BD20000}"/>
    <cellStyle name="Total 2 4 3 2 2 3 3" xfId="53664" xr:uid="{00000000-0005-0000-0000-00006CD20000}"/>
    <cellStyle name="Total 2 4 3 2 2 3 4" xfId="53665" xr:uid="{00000000-0005-0000-0000-00006DD20000}"/>
    <cellStyle name="Total 2 4 3 2 2 4" xfId="53666" xr:uid="{00000000-0005-0000-0000-00006ED20000}"/>
    <cellStyle name="Total 2 4 3 2 2 5" xfId="53667" xr:uid="{00000000-0005-0000-0000-00006FD20000}"/>
    <cellStyle name="Total 2 4 3 2 2 6" xfId="53668" xr:uid="{00000000-0005-0000-0000-000070D20000}"/>
    <cellStyle name="Total 2 4 3 2 3" xfId="53669" xr:uid="{00000000-0005-0000-0000-000071D20000}"/>
    <cellStyle name="Total 2 4 3 2 3 2" xfId="53670" xr:uid="{00000000-0005-0000-0000-000072D20000}"/>
    <cellStyle name="Total 2 4 3 2 3 2 2" xfId="53671" xr:uid="{00000000-0005-0000-0000-000073D20000}"/>
    <cellStyle name="Total 2 4 3 2 3 2 3" xfId="53672" xr:uid="{00000000-0005-0000-0000-000074D20000}"/>
    <cellStyle name="Total 2 4 3 2 3 2 4" xfId="53673" xr:uid="{00000000-0005-0000-0000-000075D20000}"/>
    <cellStyle name="Total 2 4 3 2 3 3" xfId="53674" xr:uid="{00000000-0005-0000-0000-000076D20000}"/>
    <cellStyle name="Total 2 4 3 2 3 3 2" xfId="53675" xr:uid="{00000000-0005-0000-0000-000077D20000}"/>
    <cellStyle name="Total 2 4 3 2 3 3 3" xfId="53676" xr:uid="{00000000-0005-0000-0000-000078D20000}"/>
    <cellStyle name="Total 2 4 3 2 3 3 4" xfId="53677" xr:uid="{00000000-0005-0000-0000-000079D20000}"/>
    <cellStyle name="Total 2 4 3 2 3 4" xfId="53678" xr:uid="{00000000-0005-0000-0000-00007AD20000}"/>
    <cellStyle name="Total 2 4 3 2 3 5" xfId="53679" xr:uid="{00000000-0005-0000-0000-00007BD20000}"/>
    <cellStyle name="Total 2 4 3 2 3 6" xfId="53680" xr:uid="{00000000-0005-0000-0000-00007CD20000}"/>
    <cellStyle name="Total 2 4 3 2 4" xfId="53681" xr:uid="{00000000-0005-0000-0000-00007DD20000}"/>
    <cellStyle name="Total 2 4 3 2 5" xfId="53682" xr:uid="{00000000-0005-0000-0000-00007ED20000}"/>
    <cellStyle name="Total 2 4 3 2 6" xfId="53683" xr:uid="{00000000-0005-0000-0000-00007FD20000}"/>
    <cellStyle name="Total 2 4 3 3" xfId="53684" xr:uid="{00000000-0005-0000-0000-000080D20000}"/>
    <cellStyle name="Total 2 4 3 4" xfId="53685" xr:uid="{00000000-0005-0000-0000-000081D20000}"/>
    <cellStyle name="Total 2 4 4" xfId="53686" xr:uid="{00000000-0005-0000-0000-000082D20000}"/>
    <cellStyle name="Total 2 4 4 2" xfId="53687" xr:uid="{00000000-0005-0000-0000-000083D20000}"/>
    <cellStyle name="Total 2 4 4 2 2" xfId="53688" xr:uid="{00000000-0005-0000-0000-000084D20000}"/>
    <cellStyle name="Total 2 4 4 2 2 2" xfId="53689" xr:uid="{00000000-0005-0000-0000-000085D20000}"/>
    <cellStyle name="Total 2 4 4 2 2 2 2" xfId="53690" xr:uid="{00000000-0005-0000-0000-000086D20000}"/>
    <cellStyle name="Total 2 4 4 2 2 2 3" xfId="53691" xr:uid="{00000000-0005-0000-0000-000087D20000}"/>
    <cellStyle name="Total 2 4 4 2 2 2 4" xfId="53692" xr:uid="{00000000-0005-0000-0000-000088D20000}"/>
    <cellStyle name="Total 2 4 4 2 2 3" xfId="53693" xr:uid="{00000000-0005-0000-0000-000089D20000}"/>
    <cellStyle name="Total 2 4 4 2 2 3 2" xfId="53694" xr:uid="{00000000-0005-0000-0000-00008AD20000}"/>
    <cellStyle name="Total 2 4 4 2 2 3 3" xfId="53695" xr:uid="{00000000-0005-0000-0000-00008BD20000}"/>
    <cellStyle name="Total 2 4 4 2 2 3 4" xfId="53696" xr:uid="{00000000-0005-0000-0000-00008CD20000}"/>
    <cellStyle name="Total 2 4 4 2 2 4" xfId="53697" xr:uid="{00000000-0005-0000-0000-00008DD20000}"/>
    <cellStyle name="Total 2 4 4 2 2 5" xfId="53698" xr:uid="{00000000-0005-0000-0000-00008ED20000}"/>
    <cellStyle name="Total 2 4 4 2 2 6" xfId="53699" xr:uid="{00000000-0005-0000-0000-00008FD20000}"/>
    <cellStyle name="Total 2 4 4 2 3" xfId="53700" xr:uid="{00000000-0005-0000-0000-000090D20000}"/>
    <cellStyle name="Total 2 4 4 2 3 2" xfId="53701" xr:uid="{00000000-0005-0000-0000-000091D20000}"/>
    <cellStyle name="Total 2 4 4 2 3 2 2" xfId="53702" xr:uid="{00000000-0005-0000-0000-000092D20000}"/>
    <cellStyle name="Total 2 4 4 2 3 2 3" xfId="53703" xr:uid="{00000000-0005-0000-0000-000093D20000}"/>
    <cellStyle name="Total 2 4 4 2 3 2 4" xfId="53704" xr:uid="{00000000-0005-0000-0000-000094D20000}"/>
    <cellStyle name="Total 2 4 4 2 3 3" xfId="53705" xr:uid="{00000000-0005-0000-0000-000095D20000}"/>
    <cellStyle name="Total 2 4 4 2 3 3 2" xfId="53706" xr:uid="{00000000-0005-0000-0000-000096D20000}"/>
    <cellStyle name="Total 2 4 4 2 3 3 3" xfId="53707" xr:uid="{00000000-0005-0000-0000-000097D20000}"/>
    <cellStyle name="Total 2 4 4 2 3 3 4" xfId="53708" xr:uid="{00000000-0005-0000-0000-000098D20000}"/>
    <cellStyle name="Total 2 4 4 2 3 4" xfId="53709" xr:uid="{00000000-0005-0000-0000-000099D20000}"/>
    <cellStyle name="Total 2 4 4 2 3 5" xfId="53710" xr:uid="{00000000-0005-0000-0000-00009AD20000}"/>
    <cellStyle name="Total 2 4 4 2 3 6" xfId="53711" xr:uid="{00000000-0005-0000-0000-00009BD20000}"/>
    <cellStyle name="Total 2 4 4 2 4" xfId="53712" xr:uid="{00000000-0005-0000-0000-00009CD20000}"/>
    <cellStyle name="Total 2 4 4 2 5" xfId="53713" xr:uid="{00000000-0005-0000-0000-00009DD20000}"/>
    <cellStyle name="Total 2 4 4 2 6" xfId="53714" xr:uid="{00000000-0005-0000-0000-00009ED20000}"/>
    <cellStyle name="Total 2 4 4 3" xfId="53715" xr:uid="{00000000-0005-0000-0000-00009FD20000}"/>
    <cellStyle name="Total 2 4 4 4" xfId="53716" xr:uid="{00000000-0005-0000-0000-0000A0D20000}"/>
    <cellStyle name="Total 2 4 5" xfId="53717" xr:uid="{00000000-0005-0000-0000-0000A1D20000}"/>
    <cellStyle name="Total 2 4 5 2" xfId="53718" xr:uid="{00000000-0005-0000-0000-0000A2D20000}"/>
    <cellStyle name="Total 2 4 5 2 2" xfId="53719" xr:uid="{00000000-0005-0000-0000-0000A3D20000}"/>
    <cellStyle name="Total 2 4 5 2 2 2" xfId="53720" xr:uid="{00000000-0005-0000-0000-0000A4D20000}"/>
    <cellStyle name="Total 2 4 5 2 2 3" xfId="53721" xr:uid="{00000000-0005-0000-0000-0000A5D20000}"/>
    <cellStyle name="Total 2 4 5 2 2 4" xfId="53722" xr:uid="{00000000-0005-0000-0000-0000A6D20000}"/>
    <cellStyle name="Total 2 4 5 2 3" xfId="53723" xr:uid="{00000000-0005-0000-0000-0000A7D20000}"/>
    <cellStyle name="Total 2 4 5 2 4" xfId="53724" xr:uid="{00000000-0005-0000-0000-0000A8D20000}"/>
    <cellStyle name="Total 2 4 5 2 5" xfId="53725" xr:uid="{00000000-0005-0000-0000-0000A9D20000}"/>
    <cellStyle name="Total 2 4 5 3" xfId="53726" xr:uid="{00000000-0005-0000-0000-0000AAD20000}"/>
    <cellStyle name="Total 2 4 5 3 2" xfId="53727" xr:uid="{00000000-0005-0000-0000-0000ABD20000}"/>
    <cellStyle name="Total 2 4 5 3 2 2" xfId="53728" xr:uid="{00000000-0005-0000-0000-0000ACD20000}"/>
    <cellStyle name="Total 2 4 5 3 2 3" xfId="53729" xr:uid="{00000000-0005-0000-0000-0000ADD20000}"/>
    <cellStyle name="Total 2 4 5 3 2 4" xfId="53730" xr:uid="{00000000-0005-0000-0000-0000AED20000}"/>
    <cellStyle name="Total 2 4 5 3 3" xfId="53731" xr:uid="{00000000-0005-0000-0000-0000AFD20000}"/>
    <cellStyle name="Total 2 4 5 3 3 2" xfId="53732" xr:uid="{00000000-0005-0000-0000-0000B0D20000}"/>
    <cellStyle name="Total 2 4 5 3 3 3" xfId="53733" xr:uid="{00000000-0005-0000-0000-0000B1D20000}"/>
    <cellStyle name="Total 2 4 5 3 3 4" xfId="53734" xr:uid="{00000000-0005-0000-0000-0000B2D20000}"/>
    <cellStyle name="Total 2 4 5 3 4" xfId="53735" xr:uid="{00000000-0005-0000-0000-0000B3D20000}"/>
    <cellStyle name="Total 2 4 5 3 5" xfId="53736" xr:uid="{00000000-0005-0000-0000-0000B4D20000}"/>
    <cellStyle name="Total 2 4 5 3 6" xfId="53737" xr:uid="{00000000-0005-0000-0000-0000B5D20000}"/>
    <cellStyle name="Total 2 4 5 4" xfId="53738" xr:uid="{00000000-0005-0000-0000-0000B6D20000}"/>
    <cellStyle name="Total 2 4 5 5" xfId="53739" xr:uid="{00000000-0005-0000-0000-0000B7D20000}"/>
    <cellStyle name="Total 2 4 6" xfId="53740" xr:uid="{00000000-0005-0000-0000-0000B8D20000}"/>
    <cellStyle name="Total 2 4 6 2" xfId="53741" xr:uid="{00000000-0005-0000-0000-0000B9D20000}"/>
    <cellStyle name="Total 2 4 6 2 2" xfId="53742" xr:uid="{00000000-0005-0000-0000-0000BAD20000}"/>
    <cellStyle name="Total 2 4 6 2 2 2" xfId="53743" xr:uid="{00000000-0005-0000-0000-0000BBD20000}"/>
    <cellStyle name="Total 2 4 6 2 2 3" xfId="53744" xr:uid="{00000000-0005-0000-0000-0000BCD20000}"/>
    <cellStyle name="Total 2 4 6 2 2 4" xfId="53745" xr:uid="{00000000-0005-0000-0000-0000BDD20000}"/>
    <cellStyle name="Total 2 4 6 2 3" xfId="53746" xr:uid="{00000000-0005-0000-0000-0000BED20000}"/>
    <cellStyle name="Total 2 4 6 2 4" xfId="53747" xr:uid="{00000000-0005-0000-0000-0000BFD20000}"/>
    <cellStyle name="Total 2 4 6 2 5" xfId="53748" xr:uid="{00000000-0005-0000-0000-0000C0D20000}"/>
    <cellStyle name="Total 2 4 6 3" xfId="53749" xr:uid="{00000000-0005-0000-0000-0000C1D20000}"/>
    <cellStyle name="Total 2 4 6 3 2" xfId="53750" xr:uid="{00000000-0005-0000-0000-0000C2D20000}"/>
    <cellStyle name="Total 2 4 6 3 2 2" xfId="53751" xr:uid="{00000000-0005-0000-0000-0000C3D20000}"/>
    <cellStyle name="Total 2 4 6 3 2 3" xfId="53752" xr:uid="{00000000-0005-0000-0000-0000C4D20000}"/>
    <cellStyle name="Total 2 4 6 3 2 4" xfId="53753" xr:uid="{00000000-0005-0000-0000-0000C5D20000}"/>
    <cellStyle name="Total 2 4 6 3 3" xfId="53754" xr:uid="{00000000-0005-0000-0000-0000C6D20000}"/>
    <cellStyle name="Total 2 4 6 3 3 2" xfId="53755" xr:uid="{00000000-0005-0000-0000-0000C7D20000}"/>
    <cellStyle name="Total 2 4 6 3 3 3" xfId="53756" xr:uid="{00000000-0005-0000-0000-0000C8D20000}"/>
    <cellStyle name="Total 2 4 6 3 3 4" xfId="53757" xr:uid="{00000000-0005-0000-0000-0000C9D20000}"/>
    <cellStyle name="Total 2 4 6 3 4" xfId="53758" xr:uid="{00000000-0005-0000-0000-0000CAD20000}"/>
    <cellStyle name="Total 2 4 6 3 5" xfId="53759" xr:uid="{00000000-0005-0000-0000-0000CBD20000}"/>
    <cellStyle name="Total 2 4 6 3 6" xfId="53760" xr:uid="{00000000-0005-0000-0000-0000CCD20000}"/>
    <cellStyle name="Total 2 4 6 4" xfId="53761" xr:uid="{00000000-0005-0000-0000-0000CDD20000}"/>
    <cellStyle name="Total 2 4 6 5" xfId="53762" xr:uid="{00000000-0005-0000-0000-0000CED20000}"/>
    <cellStyle name="Total 2 4 7" xfId="53763" xr:uid="{00000000-0005-0000-0000-0000CFD20000}"/>
    <cellStyle name="Total 2 4 7 2" xfId="53764" xr:uid="{00000000-0005-0000-0000-0000D0D20000}"/>
    <cellStyle name="Total 2 4 7 2 2" xfId="53765" xr:uid="{00000000-0005-0000-0000-0000D1D20000}"/>
    <cellStyle name="Total 2 4 7 2 2 2" xfId="53766" xr:uid="{00000000-0005-0000-0000-0000D2D20000}"/>
    <cellStyle name="Total 2 4 7 2 2 3" xfId="53767" xr:uid="{00000000-0005-0000-0000-0000D3D20000}"/>
    <cellStyle name="Total 2 4 7 2 2 4" xfId="53768" xr:uid="{00000000-0005-0000-0000-0000D4D20000}"/>
    <cellStyle name="Total 2 4 7 2 3" xfId="53769" xr:uid="{00000000-0005-0000-0000-0000D5D20000}"/>
    <cellStyle name="Total 2 4 7 2 4" xfId="53770" xr:uid="{00000000-0005-0000-0000-0000D6D20000}"/>
    <cellStyle name="Total 2 4 7 2 5" xfId="53771" xr:uid="{00000000-0005-0000-0000-0000D7D20000}"/>
    <cellStyle name="Total 2 4 7 3" xfId="53772" xr:uid="{00000000-0005-0000-0000-0000D8D20000}"/>
    <cellStyle name="Total 2 4 7 3 2" xfId="53773" xr:uid="{00000000-0005-0000-0000-0000D9D20000}"/>
    <cellStyle name="Total 2 4 7 3 2 2" xfId="53774" xr:uid="{00000000-0005-0000-0000-0000DAD20000}"/>
    <cellStyle name="Total 2 4 7 3 2 3" xfId="53775" xr:uid="{00000000-0005-0000-0000-0000DBD20000}"/>
    <cellStyle name="Total 2 4 7 3 2 4" xfId="53776" xr:uid="{00000000-0005-0000-0000-0000DCD20000}"/>
    <cellStyle name="Total 2 4 7 3 3" xfId="53777" xr:uid="{00000000-0005-0000-0000-0000DDD20000}"/>
    <cellStyle name="Total 2 4 7 3 3 2" xfId="53778" xr:uid="{00000000-0005-0000-0000-0000DED20000}"/>
    <cellStyle name="Total 2 4 7 3 3 3" xfId="53779" xr:uid="{00000000-0005-0000-0000-0000DFD20000}"/>
    <cellStyle name="Total 2 4 7 3 3 4" xfId="53780" xr:uid="{00000000-0005-0000-0000-0000E0D20000}"/>
    <cellStyle name="Total 2 4 7 3 4" xfId="53781" xr:uid="{00000000-0005-0000-0000-0000E1D20000}"/>
    <cellStyle name="Total 2 4 7 3 5" xfId="53782" xr:uid="{00000000-0005-0000-0000-0000E2D20000}"/>
    <cellStyle name="Total 2 4 7 3 6" xfId="53783" xr:uid="{00000000-0005-0000-0000-0000E3D20000}"/>
    <cellStyle name="Total 2 4 7 4" xfId="53784" xr:uid="{00000000-0005-0000-0000-0000E4D20000}"/>
    <cellStyle name="Total 2 4 7 5" xfId="53785" xr:uid="{00000000-0005-0000-0000-0000E5D20000}"/>
    <cellStyle name="Total 2 4 8" xfId="53786" xr:uid="{00000000-0005-0000-0000-0000E6D20000}"/>
    <cellStyle name="Total 2 4 8 2" xfId="53787" xr:uid="{00000000-0005-0000-0000-0000E7D20000}"/>
    <cellStyle name="Total 2 4 8 2 2" xfId="53788" xr:uid="{00000000-0005-0000-0000-0000E8D20000}"/>
    <cellStyle name="Total 2 4 8 2 2 2" xfId="53789" xr:uid="{00000000-0005-0000-0000-0000E9D20000}"/>
    <cellStyle name="Total 2 4 8 2 2 3" xfId="53790" xr:uid="{00000000-0005-0000-0000-0000EAD20000}"/>
    <cellStyle name="Total 2 4 8 2 2 4" xfId="53791" xr:uid="{00000000-0005-0000-0000-0000EBD20000}"/>
    <cellStyle name="Total 2 4 8 2 3" xfId="53792" xr:uid="{00000000-0005-0000-0000-0000ECD20000}"/>
    <cellStyle name="Total 2 4 8 2 4" xfId="53793" xr:uid="{00000000-0005-0000-0000-0000EDD20000}"/>
    <cellStyle name="Total 2 4 8 2 5" xfId="53794" xr:uid="{00000000-0005-0000-0000-0000EED20000}"/>
    <cellStyle name="Total 2 4 8 3" xfId="53795" xr:uid="{00000000-0005-0000-0000-0000EFD20000}"/>
    <cellStyle name="Total 2 4 8 3 2" xfId="53796" xr:uid="{00000000-0005-0000-0000-0000F0D20000}"/>
    <cellStyle name="Total 2 4 8 3 2 2" xfId="53797" xr:uid="{00000000-0005-0000-0000-0000F1D20000}"/>
    <cellStyle name="Total 2 4 8 3 2 3" xfId="53798" xr:uid="{00000000-0005-0000-0000-0000F2D20000}"/>
    <cellStyle name="Total 2 4 8 3 2 4" xfId="53799" xr:uid="{00000000-0005-0000-0000-0000F3D20000}"/>
    <cellStyle name="Total 2 4 8 3 3" xfId="53800" xr:uid="{00000000-0005-0000-0000-0000F4D20000}"/>
    <cellStyle name="Total 2 4 8 3 3 2" xfId="53801" xr:uid="{00000000-0005-0000-0000-0000F5D20000}"/>
    <cellStyle name="Total 2 4 8 3 3 3" xfId="53802" xr:uid="{00000000-0005-0000-0000-0000F6D20000}"/>
    <cellStyle name="Total 2 4 8 3 3 4" xfId="53803" xr:uid="{00000000-0005-0000-0000-0000F7D20000}"/>
    <cellStyle name="Total 2 4 8 3 4" xfId="53804" xr:uid="{00000000-0005-0000-0000-0000F8D20000}"/>
    <cellStyle name="Total 2 4 8 3 5" xfId="53805" xr:uid="{00000000-0005-0000-0000-0000F9D20000}"/>
    <cellStyle name="Total 2 4 8 3 6" xfId="53806" xr:uid="{00000000-0005-0000-0000-0000FAD20000}"/>
    <cellStyle name="Total 2 4 8 4" xfId="53807" xr:uid="{00000000-0005-0000-0000-0000FBD20000}"/>
    <cellStyle name="Total 2 4 8 5" xfId="53808" xr:uid="{00000000-0005-0000-0000-0000FCD20000}"/>
    <cellStyle name="Total 2 4 9" xfId="53809" xr:uid="{00000000-0005-0000-0000-0000FDD20000}"/>
    <cellStyle name="Total 2 4 9 2" xfId="53810" xr:uid="{00000000-0005-0000-0000-0000FED20000}"/>
    <cellStyle name="Total 2 4 9 2 2" xfId="53811" xr:uid="{00000000-0005-0000-0000-0000FFD20000}"/>
    <cellStyle name="Total 2 4 9 2 2 2" xfId="53812" xr:uid="{00000000-0005-0000-0000-000000D30000}"/>
    <cellStyle name="Total 2 4 9 2 2 3" xfId="53813" xr:uid="{00000000-0005-0000-0000-000001D30000}"/>
    <cellStyle name="Total 2 4 9 2 2 4" xfId="53814" xr:uid="{00000000-0005-0000-0000-000002D30000}"/>
    <cellStyle name="Total 2 4 9 2 3" xfId="53815" xr:uid="{00000000-0005-0000-0000-000003D30000}"/>
    <cellStyle name="Total 2 4 9 2 4" xfId="53816" xr:uid="{00000000-0005-0000-0000-000004D30000}"/>
    <cellStyle name="Total 2 4 9 2 5" xfId="53817" xr:uid="{00000000-0005-0000-0000-000005D30000}"/>
    <cellStyle name="Total 2 4 9 3" xfId="53818" xr:uid="{00000000-0005-0000-0000-000006D30000}"/>
    <cellStyle name="Total 2 4 9 3 2" xfId="53819" xr:uid="{00000000-0005-0000-0000-000007D30000}"/>
    <cellStyle name="Total 2 4 9 3 2 2" xfId="53820" xr:uid="{00000000-0005-0000-0000-000008D30000}"/>
    <cellStyle name="Total 2 4 9 3 2 3" xfId="53821" xr:uid="{00000000-0005-0000-0000-000009D30000}"/>
    <cellStyle name="Total 2 4 9 3 2 4" xfId="53822" xr:uid="{00000000-0005-0000-0000-00000AD30000}"/>
    <cellStyle name="Total 2 4 9 3 3" xfId="53823" xr:uid="{00000000-0005-0000-0000-00000BD30000}"/>
    <cellStyle name="Total 2 4 9 3 3 2" xfId="53824" xr:uid="{00000000-0005-0000-0000-00000CD30000}"/>
    <cellStyle name="Total 2 4 9 3 3 3" xfId="53825" xr:uid="{00000000-0005-0000-0000-00000DD30000}"/>
    <cellStyle name="Total 2 4 9 3 3 4" xfId="53826" xr:uid="{00000000-0005-0000-0000-00000ED30000}"/>
    <cellStyle name="Total 2 4 9 3 4" xfId="53827" xr:uid="{00000000-0005-0000-0000-00000FD30000}"/>
    <cellStyle name="Total 2 4 9 3 5" xfId="53828" xr:uid="{00000000-0005-0000-0000-000010D30000}"/>
    <cellStyle name="Total 2 4 9 3 6" xfId="53829" xr:uid="{00000000-0005-0000-0000-000011D30000}"/>
    <cellStyle name="Total 2 4 9 4" xfId="53830" xr:uid="{00000000-0005-0000-0000-000012D30000}"/>
    <cellStyle name="Total 2 4 9 5" xfId="53831" xr:uid="{00000000-0005-0000-0000-000013D30000}"/>
    <cellStyle name="Total 2 5" xfId="53832" xr:uid="{00000000-0005-0000-0000-000014D30000}"/>
    <cellStyle name="Total 2 5 2" xfId="53833" xr:uid="{00000000-0005-0000-0000-000015D30000}"/>
    <cellStyle name="Total 2 5 2 2" xfId="53834" xr:uid="{00000000-0005-0000-0000-000016D30000}"/>
    <cellStyle name="Total 2 5 2 2 2" xfId="53835" xr:uid="{00000000-0005-0000-0000-000017D30000}"/>
    <cellStyle name="Total 2 5 2 2 3" xfId="53836" xr:uid="{00000000-0005-0000-0000-000018D30000}"/>
    <cellStyle name="Total 2 5 2 2 4" xfId="53837" xr:uid="{00000000-0005-0000-0000-000019D30000}"/>
    <cellStyle name="Total 2 5 2 3" xfId="53838" xr:uid="{00000000-0005-0000-0000-00001AD30000}"/>
    <cellStyle name="Total 2 5 2 4" xfId="53839" xr:uid="{00000000-0005-0000-0000-00001BD30000}"/>
    <cellStyle name="Total 2 5 2 5" xfId="53840" xr:uid="{00000000-0005-0000-0000-00001CD30000}"/>
    <cellStyle name="Total 2 5 3" xfId="53841" xr:uid="{00000000-0005-0000-0000-00001DD30000}"/>
    <cellStyle name="Total 2 5 3 2" xfId="53842" xr:uid="{00000000-0005-0000-0000-00001ED30000}"/>
    <cellStyle name="Total 2 5 3 2 2" xfId="53843" xr:uid="{00000000-0005-0000-0000-00001FD30000}"/>
    <cellStyle name="Total 2 5 3 2 3" xfId="53844" xr:uid="{00000000-0005-0000-0000-000020D30000}"/>
    <cellStyle name="Total 2 5 3 2 4" xfId="53845" xr:uid="{00000000-0005-0000-0000-000021D30000}"/>
    <cellStyle name="Total 2 5 3 3" xfId="53846" xr:uid="{00000000-0005-0000-0000-000022D30000}"/>
    <cellStyle name="Total 2 5 3 3 2" xfId="53847" xr:uid="{00000000-0005-0000-0000-000023D30000}"/>
    <cellStyle name="Total 2 5 3 3 3" xfId="53848" xr:uid="{00000000-0005-0000-0000-000024D30000}"/>
    <cellStyle name="Total 2 5 3 3 4" xfId="53849" xr:uid="{00000000-0005-0000-0000-000025D30000}"/>
    <cellStyle name="Total 2 5 3 4" xfId="53850" xr:uid="{00000000-0005-0000-0000-000026D30000}"/>
    <cellStyle name="Total 2 5 3 5" xfId="53851" xr:uid="{00000000-0005-0000-0000-000027D30000}"/>
    <cellStyle name="Total 2 5 3 6" xfId="53852" xr:uid="{00000000-0005-0000-0000-000028D30000}"/>
    <cellStyle name="Total 2 5 4" xfId="53853" xr:uid="{00000000-0005-0000-0000-000029D30000}"/>
    <cellStyle name="Total 2 5 5" xfId="53854" xr:uid="{00000000-0005-0000-0000-00002AD30000}"/>
    <cellStyle name="Total 2 6" xfId="53855" xr:uid="{00000000-0005-0000-0000-00002BD30000}"/>
    <cellStyle name="Total 2 6 2" xfId="53856" xr:uid="{00000000-0005-0000-0000-00002CD30000}"/>
    <cellStyle name="Total 2 6 2 2" xfId="53857" xr:uid="{00000000-0005-0000-0000-00002DD30000}"/>
    <cellStyle name="Total 2 6 2 2 2" xfId="53858" xr:uid="{00000000-0005-0000-0000-00002ED30000}"/>
    <cellStyle name="Total 2 6 2 2 3" xfId="53859" xr:uid="{00000000-0005-0000-0000-00002FD30000}"/>
    <cellStyle name="Total 2 6 2 2 4" xfId="53860" xr:uid="{00000000-0005-0000-0000-000030D30000}"/>
    <cellStyle name="Total 2 6 2 3" xfId="53861" xr:uid="{00000000-0005-0000-0000-000031D30000}"/>
    <cellStyle name="Total 2 6 2 3 2" xfId="53862" xr:uid="{00000000-0005-0000-0000-000032D30000}"/>
    <cellStyle name="Total 2 6 2 3 3" xfId="53863" xr:uid="{00000000-0005-0000-0000-000033D30000}"/>
    <cellStyle name="Total 2 6 2 3 4" xfId="53864" xr:uid="{00000000-0005-0000-0000-000034D30000}"/>
    <cellStyle name="Total 2 6 2 4" xfId="53865" xr:uid="{00000000-0005-0000-0000-000035D30000}"/>
    <cellStyle name="Total 2 6 2 5" xfId="53866" xr:uid="{00000000-0005-0000-0000-000036D30000}"/>
    <cellStyle name="Total 2 6 2 6" xfId="53867" xr:uid="{00000000-0005-0000-0000-000037D30000}"/>
    <cellStyle name="Total 2 6 3" xfId="53868" xr:uid="{00000000-0005-0000-0000-000038D30000}"/>
    <cellStyle name="Total 2 6 3 2" xfId="53869" xr:uid="{00000000-0005-0000-0000-000039D30000}"/>
    <cellStyle name="Total 2 6 3 2 2" xfId="53870" xr:uid="{00000000-0005-0000-0000-00003AD30000}"/>
    <cellStyle name="Total 2 6 3 2 3" xfId="53871" xr:uid="{00000000-0005-0000-0000-00003BD30000}"/>
    <cellStyle name="Total 2 6 3 2 4" xfId="53872" xr:uid="{00000000-0005-0000-0000-00003CD30000}"/>
    <cellStyle name="Total 2 6 3 3" xfId="53873" xr:uid="{00000000-0005-0000-0000-00003DD30000}"/>
    <cellStyle name="Total 2 6 3 3 2" xfId="53874" xr:uid="{00000000-0005-0000-0000-00003ED30000}"/>
    <cellStyle name="Total 2 6 3 3 3" xfId="53875" xr:uid="{00000000-0005-0000-0000-00003FD30000}"/>
    <cellStyle name="Total 2 6 3 3 4" xfId="53876" xr:uid="{00000000-0005-0000-0000-000040D30000}"/>
    <cellStyle name="Total 2 6 3 4" xfId="53877" xr:uid="{00000000-0005-0000-0000-000041D30000}"/>
    <cellStyle name="Total 2 6 3 5" xfId="53878" xr:uid="{00000000-0005-0000-0000-000042D30000}"/>
    <cellStyle name="Total 2 6 3 6" xfId="53879" xr:uid="{00000000-0005-0000-0000-000043D30000}"/>
    <cellStyle name="Total 2 6 4" xfId="53880" xr:uid="{00000000-0005-0000-0000-000044D30000}"/>
    <cellStyle name="Total 2 6 5" xfId="53881" xr:uid="{00000000-0005-0000-0000-000045D30000}"/>
    <cellStyle name="Total 2 6 6" xfId="53882" xr:uid="{00000000-0005-0000-0000-000046D30000}"/>
    <cellStyle name="Total 2 7" xfId="53883" xr:uid="{00000000-0005-0000-0000-000047D30000}"/>
    <cellStyle name="Total 2 8" xfId="53884" xr:uid="{00000000-0005-0000-0000-000048D30000}"/>
    <cellStyle name="Total 3" xfId="53885" xr:uid="{00000000-0005-0000-0000-000049D30000}"/>
    <cellStyle name="Total 3 2" xfId="53886" xr:uid="{00000000-0005-0000-0000-00004AD30000}"/>
    <cellStyle name="Total 3 2 2" xfId="53887" xr:uid="{00000000-0005-0000-0000-00004BD30000}"/>
    <cellStyle name="Total 3 2 2 10" xfId="53888" xr:uid="{00000000-0005-0000-0000-00004CD30000}"/>
    <cellStyle name="Total 3 2 2 10 2" xfId="53889" xr:uid="{00000000-0005-0000-0000-00004DD30000}"/>
    <cellStyle name="Total 3 2 2 10 2 2" xfId="53890" xr:uid="{00000000-0005-0000-0000-00004ED30000}"/>
    <cellStyle name="Total 3 2 2 10 2 2 2" xfId="53891" xr:uid="{00000000-0005-0000-0000-00004FD30000}"/>
    <cellStyle name="Total 3 2 2 10 2 2 3" xfId="53892" xr:uid="{00000000-0005-0000-0000-000050D30000}"/>
    <cellStyle name="Total 3 2 2 10 2 2 4" xfId="53893" xr:uid="{00000000-0005-0000-0000-000051D30000}"/>
    <cellStyle name="Total 3 2 2 10 2 3" xfId="53894" xr:uid="{00000000-0005-0000-0000-000052D30000}"/>
    <cellStyle name="Total 3 2 2 10 2 4" xfId="53895" xr:uid="{00000000-0005-0000-0000-000053D30000}"/>
    <cellStyle name="Total 3 2 2 10 2 5" xfId="53896" xr:uid="{00000000-0005-0000-0000-000054D30000}"/>
    <cellStyle name="Total 3 2 2 10 3" xfId="53897" xr:uid="{00000000-0005-0000-0000-000055D30000}"/>
    <cellStyle name="Total 3 2 2 10 3 2" xfId="53898" xr:uid="{00000000-0005-0000-0000-000056D30000}"/>
    <cellStyle name="Total 3 2 2 10 3 2 2" xfId="53899" xr:uid="{00000000-0005-0000-0000-000057D30000}"/>
    <cellStyle name="Total 3 2 2 10 3 2 3" xfId="53900" xr:uid="{00000000-0005-0000-0000-000058D30000}"/>
    <cellStyle name="Total 3 2 2 10 3 2 4" xfId="53901" xr:uid="{00000000-0005-0000-0000-000059D30000}"/>
    <cellStyle name="Total 3 2 2 10 3 3" xfId="53902" xr:uid="{00000000-0005-0000-0000-00005AD30000}"/>
    <cellStyle name="Total 3 2 2 10 3 3 2" xfId="53903" xr:uid="{00000000-0005-0000-0000-00005BD30000}"/>
    <cellStyle name="Total 3 2 2 10 3 3 3" xfId="53904" xr:uid="{00000000-0005-0000-0000-00005CD30000}"/>
    <cellStyle name="Total 3 2 2 10 3 3 4" xfId="53905" xr:uid="{00000000-0005-0000-0000-00005DD30000}"/>
    <cellStyle name="Total 3 2 2 10 3 4" xfId="53906" xr:uid="{00000000-0005-0000-0000-00005ED30000}"/>
    <cellStyle name="Total 3 2 2 10 3 5" xfId="53907" xr:uid="{00000000-0005-0000-0000-00005FD30000}"/>
    <cellStyle name="Total 3 2 2 10 3 6" xfId="53908" xr:uid="{00000000-0005-0000-0000-000060D30000}"/>
    <cellStyle name="Total 3 2 2 10 4" xfId="53909" xr:uid="{00000000-0005-0000-0000-000061D30000}"/>
    <cellStyle name="Total 3 2 2 10 5" xfId="53910" xr:uid="{00000000-0005-0000-0000-000062D30000}"/>
    <cellStyle name="Total 3 2 2 11" xfId="53911" xr:uid="{00000000-0005-0000-0000-000063D30000}"/>
    <cellStyle name="Total 3 2 2 11 2" xfId="53912" xr:uid="{00000000-0005-0000-0000-000064D30000}"/>
    <cellStyle name="Total 3 2 2 11 2 2" xfId="53913" xr:uid="{00000000-0005-0000-0000-000065D30000}"/>
    <cellStyle name="Total 3 2 2 11 2 2 2" xfId="53914" xr:uid="{00000000-0005-0000-0000-000066D30000}"/>
    <cellStyle name="Total 3 2 2 11 2 2 3" xfId="53915" xr:uid="{00000000-0005-0000-0000-000067D30000}"/>
    <cellStyle name="Total 3 2 2 11 2 2 4" xfId="53916" xr:uid="{00000000-0005-0000-0000-000068D30000}"/>
    <cellStyle name="Total 3 2 2 11 2 3" xfId="53917" xr:uid="{00000000-0005-0000-0000-000069D30000}"/>
    <cellStyle name="Total 3 2 2 11 2 4" xfId="53918" xr:uid="{00000000-0005-0000-0000-00006AD30000}"/>
    <cellStyle name="Total 3 2 2 11 2 5" xfId="53919" xr:uid="{00000000-0005-0000-0000-00006BD30000}"/>
    <cellStyle name="Total 3 2 2 11 3" xfId="53920" xr:uid="{00000000-0005-0000-0000-00006CD30000}"/>
    <cellStyle name="Total 3 2 2 11 3 2" xfId="53921" xr:uid="{00000000-0005-0000-0000-00006DD30000}"/>
    <cellStyle name="Total 3 2 2 11 3 2 2" xfId="53922" xr:uid="{00000000-0005-0000-0000-00006ED30000}"/>
    <cellStyle name="Total 3 2 2 11 3 2 3" xfId="53923" xr:uid="{00000000-0005-0000-0000-00006FD30000}"/>
    <cellStyle name="Total 3 2 2 11 3 2 4" xfId="53924" xr:uid="{00000000-0005-0000-0000-000070D30000}"/>
    <cellStyle name="Total 3 2 2 11 3 3" xfId="53925" xr:uid="{00000000-0005-0000-0000-000071D30000}"/>
    <cellStyle name="Total 3 2 2 11 3 3 2" xfId="53926" xr:uid="{00000000-0005-0000-0000-000072D30000}"/>
    <cellStyle name="Total 3 2 2 11 3 3 3" xfId="53927" xr:uid="{00000000-0005-0000-0000-000073D30000}"/>
    <cellStyle name="Total 3 2 2 11 3 3 4" xfId="53928" xr:uid="{00000000-0005-0000-0000-000074D30000}"/>
    <cellStyle name="Total 3 2 2 11 3 4" xfId="53929" xr:uid="{00000000-0005-0000-0000-000075D30000}"/>
    <cellStyle name="Total 3 2 2 11 3 5" xfId="53930" xr:uid="{00000000-0005-0000-0000-000076D30000}"/>
    <cellStyle name="Total 3 2 2 11 3 6" xfId="53931" xr:uid="{00000000-0005-0000-0000-000077D30000}"/>
    <cellStyle name="Total 3 2 2 11 4" xfId="53932" xr:uid="{00000000-0005-0000-0000-000078D30000}"/>
    <cellStyle name="Total 3 2 2 11 5" xfId="53933" xr:uid="{00000000-0005-0000-0000-000079D30000}"/>
    <cellStyle name="Total 3 2 2 12" xfId="53934" xr:uid="{00000000-0005-0000-0000-00007AD30000}"/>
    <cellStyle name="Total 3 2 2 12 2" xfId="53935" xr:uid="{00000000-0005-0000-0000-00007BD30000}"/>
    <cellStyle name="Total 3 2 2 12 2 2" xfId="53936" xr:uid="{00000000-0005-0000-0000-00007CD30000}"/>
    <cellStyle name="Total 3 2 2 12 2 2 2" xfId="53937" xr:uid="{00000000-0005-0000-0000-00007DD30000}"/>
    <cellStyle name="Total 3 2 2 12 2 2 3" xfId="53938" xr:uid="{00000000-0005-0000-0000-00007ED30000}"/>
    <cellStyle name="Total 3 2 2 12 2 2 4" xfId="53939" xr:uid="{00000000-0005-0000-0000-00007FD30000}"/>
    <cellStyle name="Total 3 2 2 12 2 3" xfId="53940" xr:uid="{00000000-0005-0000-0000-000080D30000}"/>
    <cellStyle name="Total 3 2 2 12 2 3 2" xfId="53941" xr:uid="{00000000-0005-0000-0000-000081D30000}"/>
    <cellStyle name="Total 3 2 2 12 2 3 3" xfId="53942" xr:uid="{00000000-0005-0000-0000-000082D30000}"/>
    <cellStyle name="Total 3 2 2 12 2 3 4" xfId="53943" xr:uid="{00000000-0005-0000-0000-000083D30000}"/>
    <cellStyle name="Total 3 2 2 12 2 4" xfId="53944" xr:uid="{00000000-0005-0000-0000-000084D30000}"/>
    <cellStyle name="Total 3 2 2 12 2 5" xfId="53945" xr:uid="{00000000-0005-0000-0000-000085D30000}"/>
    <cellStyle name="Total 3 2 2 12 2 6" xfId="53946" xr:uid="{00000000-0005-0000-0000-000086D30000}"/>
    <cellStyle name="Total 3 2 2 12 3" xfId="53947" xr:uid="{00000000-0005-0000-0000-000087D30000}"/>
    <cellStyle name="Total 3 2 2 12 3 2" xfId="53948" xr:uid="{00000000-0005-0000-0000-000088D30000}"/>
    <cellStyle name="Total 3 2 2 12 3 2 2" xfId="53949" xr:uid="{00000000-0005-0000-0000-000089D30000}"/>
    <cellStyle name="Total 3 2 2 12 3 2 3" xfId="53950" xr:uid="{00000000-0005-0000-0000-00008AD30000}"/>
    <cellStyle name="Total 3 2 2 12 3 2 4" xfId="53951" xr:uid="{00000000-0005-0000-0000-00008BD30000}"/>
    <cellStyle name="Total 3 2 2 12 3 3" xfId="53952" xr:uid="{00000000-0005-0000-0000-00008CD30000}"/>
    <cellStyle name="Total 3 2 2 12 3 3 2" xfId="53953" xr:uid="{00000000-0005-0000-0000-00008DD30000}"/>
    <cellStyle name="Total 3 2 2 12 3 3 3" xfId="53954" xr:uid="{00000000-0005-0000-0000-00008ED30000}"/>
    <cellStyle name="Total 3 2 2 12 3 3 4" xfId="53955" xr:uid="{00000000-0005-0000-0000-00008FD30000}"/>
    <cellStyle name="Total 3 2 2 12 3 4" xfId="53956" xr:uid="{00000000-0005-0000-0000-000090D30000}"/>
    <cellStyle name="Total 3 2 2 12 3 5" xfId="53957" xr:uid="{00000000-0005-0000-0000-000091D30000}"/>
    <cellStyle name="Total 3 2 2 12 3 6" xfId="53958" xr:uid="{00000000-0005-0000-0000-000092D30000}"/>
    <cellStyle name="Total 3 2 2 12 4" xfId="53959" xr:uid="{00000000-0005-0000-0000-000093D30000}"/>
    <cellStyle name="Total 3 2 2 12 5" xfId="53960" xr:uid="{00000000-0005-0000-0000-000094D30000}"/>
    <cellStyle name="Total 3 2 2 12 6" xfId="53961" xr:uid="{00000000-0005-0000-0000-000095D30000}"/>
    <cellStyle name="Total 3 2 2 13" xfId="53962" xr:uid="{00000000-0005-0000-0000-000096D30000}"/>
    <cellStyle name="Total 3 2 2 14" xfId="53963" xr:uid="{00000000-0005-0000-0000-000097D30000}"/>
    <cellStyle name="Total 3 2 2 15" xfId="58806" xr:uid="{00000000-0005-0000-0000-000098D30000}"/>
    <cellStyle name="Total 3 2 2 2" xfId="53964" xr:uid="{00000000-0005-0000-0000-000099D30000}"/>
    <cellStyle name="Total 3 2 2 2 2" xfId="53965" xr:uid="{00000000-0005-0000-0000-00009AD30000}"/>
    <cellStyle name="Total 3 2 2 2 2 2" xfId="53966" xr:uid="{00000000-0005-0000-0000-00009BD30000}"/>
    <cellStyle name="Total 3 2 2 2 2 2 2" xfId="53967" xr:uid="{00000000-0005-0000-0000-00009CD30000}"/>
    <cellStyle name="Total 3 2 2 2 2 2 2 2" xfId="53968" xr:uid="{00000000-0005-0000-0000-00009DD30000}"/>
    <cellStyle name="Total 3 2 2 2 2 2 2 3" xfId="53969" xr:uid="{00000000-0005-0000-0000-00009ED30000}"/>
    <cellStyle name="Total 3 2 2 2 2 2 2 4" xfId="53970" xr:uid="{00000000-0005-0000-0000-00009FD30000}"/>
    <cellStyle name="Total 3 2 2 2 2 2 3" xfId="53971" xr:uid="{00000000-0005-0000-0000-0000A0D30000}"/>
    <cellStyle name="Total 3 2 2 2 2 2 3 2" xfId="53972" xr:uid="{00000000-0005-0000-0000-0000A1D30000}"/>
    <cellStyle name="Total 3 2 2 2 2 2 3 3" xfId="53973" xr:uid="{00000000-0005-0000-0000-0000A2D30000}"/>
    <cellStyle name="Total 3 2 2 2 2 2 3 4" xfId="53974" xr:uid="{00000000-0005-0000-0000-0000A3D30000}"/>
    <cellStyle name="Total 3 2 2 2 2 2 4" xfId="53975" xr:uid="{00000000-0005-0000-0000-0000A4D30000}"/>
    <cellStyle name="Total 3 2 2 2 2 2 5" xfId="53976" xr:uid="{00000000-0005-0000-0000-0000A5D30000}"/>
    <cellStyle name="Total 3 2 2 2 2 2 6" xfId="53977" xr:uid="{00000000-0005-0000-0000-0000A6D30000}"/>
    <cellStyle name="Total 3 2 2 2 2 3" xfId="53978" xr:uid="{00000000-0005-0000-0000-0000A7D30000}"/>
    <cellStyle name="Total 3 2 2 2 2 3 2" xfId="53979" xr:uid="{00000000-0005-0000-0000-0000A8D30000}"/>
    <cellStyle name="Total 3 2 2 2 2 3 2 2" xfId="53980" xr:uid="{00000000-0005-0000-0000-0000A9D30000}"/>
    <cellStyle name="Total 3 2 2 2 2 3 2 3" xfId="53981" xr:uid="{00000000-0005-0000-0000-0000AAD30000}"/>
    <cellStyle name="Total 3 2 2 2 2 3 2 4" xfId="53982" xr:uid="{00000000-0005-0000-0000-0000ABD30000}"/>
    <cellStyle name="Total 3 2 2 2 2 3 3" xfId="53983" xr:uid="{00000000-0005-0000-0000-0000ACD30000}"/>
    <cellStyle name="Total 3 2 2 2 2 3 3 2" xfId="53984" xr:uid="{00000000-0005-0000-0000-0000ADD30000}"/>
    <cellStyle name="Total 3 2 2 2 2 3 3 3" xfId="53985" xr:uid="{00000000-0005-0000-0000-0000AED30000}"/>
    <cellStyle name="Total 3 2 2 2 2 3 3 4" xfId="53986" xr:uid="{00000000-0005-0000-0000-0000AFD30000}"/>
    <cellStyle name="Total 3 2 2 2 2 3 4" xfId="53987" xr:uid="{00000000-0005-0000-0000-0000B0D30000}"/>
    <cellStyle name="Total 3 2 2 2 2 3 5" xfId="53988" xr:uid="{00000000-0005-0000-0000-0000B1D30000}"/>
    <cellStyle name="Total 3 2 2 2 2 3 6" xfId="53989" xr:uid="{00000000-0005-0000-0000-0000B2D30000}"/>
    <cellStyle name="Total 3 2 2 2 2 4" xfId="53990" xr:uid="{00000000-0005-0000-0000-0000B3D30000}"/>
    <cellStyle name="Total 3 2 2 2 2 5" xfId="53991" xr:uid="{00000000-0005-0000-0000-0000B4D30000}"/>
    <cellStyle name="Total 3 2 2 2 2 6" xfId="53992" xr:uid="{00000000-0005-0000-0000-0000B5D30000}"/>
    <cellStyle name="Total 3 2 2 2 3" xfId="53993" xr:uid="{00000000-0005-0000-0000-0000B6D30000}"/>
    <cellStyle name="Total 3 2 2 2 4" xfId="53994" xr:uid="{00000000-0005-0000-0000-0000B7D30000}"/>
    <cellStyle name="Total 3 2 2 3" xfId="53995" xr:uid="{00000000-0005-0000-0000-0000B8D30000}"/>
    <cellStyle name="Total 3 2 2 3 2" xfId="53996" xr:uid="{00000000-0005-0000-0000-0000B9D30000}"/>
    <cellStyle name="Total 3 2 2 3 2 2" xfId="53997" xr:uid="{00000000-0005-0000-0000-0000BAD30000}"/>
    <cellStyle name="Total 3 2 2 3 2 2 2" xfId="53998" xr:uid="{00000000-0005-0000-0000-0000BBD30000}"/>
    <cellStyle name="Total 3 2 2 3 2 2 2 2" xfId="53999" xr:uid="{00000000-0005-0000-0000-0000BCD30000}"/>
    <cellStyle name="Total 3 2 2 3 2 2 2 3" xfId="54000" xr:uid="{00000000-0005-0000-0000-0000BDD30000}"/>
    <cellStyle name="Total 3 2 2 3 2 2 2 4" xfId="54001" xr:uid="{00000000-0005-0000-0000-0000BED30000}"/>
    <cellStyle name="Total 3 2 2 3 2 2 3" xfId="54002" xr:uid="{00000000-0005-0000-0000-0000BFD30000}"/>
    <cellStyle name="Total 3 2 2 3 2 2 3 2" xfId="54003" xr:uid="{00000000-0005-0000-0000-0000C0D30000}"/>
    <cellStyle name="Total 3 2 2 3 2 2 3 3" xfId="54004" xr:uid="{00000000-0005-0000-0000-0000C1D30000}"/>
    <cellStyle name="Total 3 2 2 3 2 2 3 4" xfId="54005" xr:uid="{00000000-0005-0000-0000-0000C2D30000}"/>
    <cellStyle name="Total 3 2 2 3 2 2 4" xfId="54006" xr:uid="{00000000-0005-0000-0000-0000C3D30000}"/>
    <cellStyle name="Total 3 2 2 3 2 2 5" xfId="54007" xr:uid="{00000000-0005-0000-0000-0000C4D30000}"/>
    <cellStyle name="Total 3 2 2 3 2 2 6" xfId="54008" xr:uid="{00000000-0005-0000-0000-0000C5D30000}"/>
    <cellStyle name="Total 3 2 2 3 2 3" xfId="54009" xr:uid="{00000000-0005-0000-0000-0000C6D30000}"/>
    <cellStyle name="Total 3 2 2 3 2 3 2" xfId="54010" xr:uid="{00000000-0005-0000-0000-0000C7D30000}"/>
    <cellStyle name="Total 3 2 2 3 2 3 2 2" xfId="54011" xr:uid="{00000000-0005-0000-0000-0000C8D30000}"/>
    <cellStyle name="Total 3 2 2 3 2 3 2 3" xfId="54012" xr:uid="{00000000-0005-0000-0000-0000C9D30000}"/>
    <cellStyle name="Total 3 2 2 3 2 3 2 4" xfId="54013" xr:uid="{00000000-0005-0000-0000-0000CAD30000}"/>
    <cellStyle name="Total 3 2 2 3 2 3 3" xfId="54014" xr:uid="{00000000-0005-0000-0000-0000CBD30000}"/>
    <cellStyle name="Total 3 2 2 3 2 3 3 2" xfId="54015" xr:uid="{00000000-0005-0000-0000-0000CCD30000}"/>
    <cellStyle name="Total 3 2 2 3 2 3 3 3" xfId="54016" xr:uid="{00000000-0005-0000-0000-0000CDD30000}"/>
    <cellStyle name="Total 3 2 2 3 2 3 3 4" xfId="54017" xr:uid="{00000000-0005-0000-0000-0000CED30000}"/>
    <cellStyle name="Total 3 2 2 3 2 3 4" xfId="54018" xr:uid="{00000000-0005-0000-0000-0000CFD30000}"/>
    <cellStyle name="Total 3 2 2 3 2 3 5" xfId="54019" xr:uid="{00000000-0005-0000-0000-0000D0D30000}"/>
    <cellStyle name="Total 3 2 2 3 2 3 6" xfId="54020" xr:uid="{00000000-0005-0000-0000-0000D1D30000}"/>
    <cellStyle name="Total 3 2 2 3 2 4" xfId="54021" xr:uid="{00000000-0005-0000-0000-0000D2D30000}"/>
    <cellStyle name="Total 3 2 2 3 2 5" xfId="54022" xr:uid="{00000000-0005-0000-0000-0000D3D30000}"/>
    <cellStyle name="Total 3 2 2 3 2 6" xfId="54023" xr:uid="{00000000-0005-0000-0000-0000D4D30000}"/>
    <cellStyle name="Total 3 2 2 3 3" xfId="54024" xr:uid="{00000000-0005-0000-0000-0000D5D30000}"/>
    <cellStyle name="Total 3 2 2 3 4" xfId="54025" xr:uid="{00000000-0005-0000-0000-0000D6D30000}"/>
    <cellStyle name="Total 3 2 2 4" xfId="54026" xr:uid="{00000000-0005-0000-0000-0000D7D30000}"/>
    <cellStyle name="Total 3 2 2 4 2" xfId="54027" xr:uid="{00000000-0005-0000-0000-0000D8D30000}"/>
    <cellStyle name="Total 3 2 2 4 2 2" xfId="54028" xr:uid="{00000000-0005-0000-0000-0000D9D30000}"/>
    <cellStyle name="Total 3 2 2 4 2 2 2" xfId="54029" xr:uid="{00000000-0005-0000-0000-0000DAD30000}"/>
    <cellStyle name="Total 3 2 2 4 2 2 2 2" xfId="54030" xr:uid="{00000000-0005-0000-0000-0000DBD30000}"/>
    <cellStyle name="Total 3 2 2 4 2 2 2 3" xfId="54031" xr:uid="{00000000-0005-0000-0000-0000DCD30000}"/>
    <cellStyle name="Total 3 2 2 4 2 2 2 4" xfId="54032" xr:uid="{00000000-0005-0000-0000-0000DDD30000}"/>
    <cellStyle name="Total 3 2 2 4 2 2 3" xfId="54033" xr:uid="{00000000-0005-0000-0000-0000DED30000}"/>
    <cellStyle name="Total 3 2 2 4 2 2 3 2" xfId="54034" xr:uid="{00000000-0005-0000-0000-0000DFD30000}"/>
    <cellStyle name="Total 3 2 2 4 2 2 3 3" xfId="54035" xr:uid="{00000000-0005-0000-0000-0000E0D30000}"/>
    <cellStyle name="Total 3 2 2 4 2 2 3 4" xfId="54036" xr:uid="{00000000-0005-0000-0000-0000E1D30000}"/>
    <cellStyle name="Total 3 2 2 4 2 2 4" xfId="54037" xr:uid="{00000000-0005-0000-0000-0000E2D30000}"/>
    <cellStyle name="Total 3 2 2 4 2 2 5" xfId="54038" xr:uid="{00000000-0005-0000-0000-0000E3D30000}"/>
    <cellStyle name="Total 3 2 2 4 2 2 6" xfId="54039" xr:uid="{00000000-0005-0000-0000-0000E4D30000}"/>
    <cellStyle name="Total 3 2 2 4 2 3" xfId="54040" xr:uid="{00000000-0005-0000-0000-0000E5D30000}"/>
    <cellStyle name="Total 3 2 2 4 2 3 2" xfId="54041" xr:uid="{00000000-0005-0000-0000-0000E6D30000}"/>
    <cellStyle name="Total 3 2 2 4 2 3 2 2" xfId="54042" xr:uid="{00000000-0005-0000-0000-0000E7D30000}"/>
    <cellStyle name="Total 3 2 2 4 2 3 2 3" xfId="54043" xr:uid="{00000000-0005-0000-0000-0000E8D30000}"/>
    <cellStyle name="Total 3 2 2 4 2 3 2 4" xfId="54044" xr:uid="{00000000-0005-0000-0000-0000E9D30000}"/>
    <cellStyle name="Total 3 2 2 4 2 3 3" xfId="54045" xr:uid="{00000000-0005-0000-0000-0000EAD30000}"/>
    <cellStyle name="Total 3 2 2 4 2 3 3 2" xfId="54046" xr:uid="{00000000-0005-0000-0000-0000EBD30000}"/>
    <cellStyle name="Total 3 2 2 4 2 3 3 3" xfId="54047" xr:uid="{00000000-0005-0000-0000-0000ECD30000}"/>
    <cellStyle name="Total 3 2 2 4 2 3 3 4" xfId="54048" xr:uid="{00000000-0005-0000-0000-0000EDD30000}"/>
    <cellStyle name="Total 3 2 2 4 2 3 4" xfId="54049" xr:uid="{00000000-0005-0000-0000-0000EED30000}"/>
    <cellStyle name="Total 3 2 2 4 2 3 5" xfId="54050" xr:uid="{00000000-0005-0000-0000-0000EFD30000}"/>
    <cellStyle name="Total 3 2 2 4 2 3 6" xfId="54051" xr:uid="{00000000-0005-0000-0000-0000F0D30000}"/>
    <cellStyle name="Total 3 2 2 4 2 4" xfId="54052" xr:uid="{00000000-0005-0000-0000-0000F1D30000}"/>
    <cellStyle name="Total 3 2 2 4 2 5" xfId="54053" xr:uid="{00000000-0005-0000-0000-0000F2D30000}"/>
    <cellStyle name="Total 3 2 2 4 2 6" xfId="54054" xr:uid="{00000000-0005-0000-0000-0000F3D30000}"/>
    <cellStyle name="Total 3 2 2 4 3" xfId="54055" xr:uid="{00000000-0005-0000-0000-0000F4D30000}"/>
    <cellStyle name="Total 3 2 2 4 4" xfId="54056" xr:uid="{00000000-0005-0000-0000-0000F5D30000}"/>
    <cellStyle name="Total 3 2 2 5" xfId="54057" xr:uid="{00000000-0005-0000-0000-0000F6D30000}"/>
    <cellStyle name="Total 3 2 2 5 2" xfId="54058" xr:uid="{00000000-0005-0000-0000-0000F7D30000}"/>
    <cellStyle name="Total 3 2 2 5 2 2" xfId="54059" xr:uid="{00000000-0005-0000-0000-0000F8D30000}"/>
    <cellStyle name="Total 3 2 2 5 2 2 2" xfId="54060" xr:uid="{00000000-0005-0000-0000-0000F9D30000}"/>
    <cellStyle name="Total 3 2 2 5 2 2 3" xfId="54061" xr:uid="{00000000-0005-0000-0000-0000FAD30000}"/>
    <cellStyle name="Total 3 2 2 5 2 2 4" xfId="54062" xr:uid="{00000000-0005-0000-0000-0000FBD30000}"/>
    <cellStyle name="Total 3 2 2 5 2 3" xfId="54063" xr:uid="{00000000-0005-0000-0000-0000FCD30000}"/>
    <cellStyle name="Total 3 2 2 5 2 4" xfId="54064" xr:uid="{00000000-0005-0000-0000-0000FDD30000}"/>
    <cellStyle name="Total 3 2 2 5 2 5" xfId="54065" xr:uid="{00000000-0005-0000-0000-0000FED30000}"/>
    <cellStyle name="Total 3 2 2 5 3" xfId="54066" xr:uid="{00000000-0005-0000-0000-0000FFD30000}"/>
    <cellStyle name="Total 3 2 2 5 3 2" xfId="54067" xr:uid="{00000000-0005-0000-0000-000000D40000}"/>
    <cellStyle name="Total 3 2 2 5 3 2 2" xfId="54068" xr:uid="{00000000-0005-0000-0000-000001D40000}"/>
    <cellStyle name="Total 3 2 2 5 3 2 3" xfId="54069" xr:uid="{00000000-0005-0000-0000-000002D40000}"/>
    <cellStyle name="Total 3 2 2 5 3 2 4" xfId="54070" xr:uid="{00000000-0005-0000-0000-000003D40000}"/>
    <cellStyle name="Total 3 2 2 5 3 3" xfId="54071" xr:uid="{00000000-0005-0000-0000-000004D40000}"/>
    <cellStyle name="Total 3 2 2 5 3 3 2" xfId="54072" xr:uid="{00000000-0005-0000-0000-000005D40000}"/>
    <cellStyle name="Total 3 2 2 5 3 3 3" xfId="54073" xr:uid="{00000000-0005-0000-0000-000006D40000}"/>
    <cellStyle name="Total 3 2 2 5 3 3 4" xfId="54074" xr:uid="{00000000-0005-0000-0000-000007D40000}"/>
    <cellStyle name="Total 3 2 2 5 3 4" xfId="54075" xr:uid="{00000000-0005-0000-0000-000008D40000}"/>
    <cellStyle name="Total 3 2 2 5 3 5" xfId="54076" xr:uid="{00000000-0005-0000-0000-000009D40000}"/>
    <cellStyle name="Total 3 2 2 5 3 6" xfId="54077" xr:uid="{00000000-0005-0000-0000-00000AD40000}"/>
    <cellStyle name="Total 3 2 2 5 4" xfId="54078" xr:uid="{00000000-0005-0000-0000-00000BD40000}"/>
    <cellStyle name="Total 3 2 2 5 5" xfId="54079" xr:uid="{00000000-0005-0000-0000-00000CD40000}"/>
    <cellStyle name="Total 3 2 2 6" xfId="54080" xr:uid="{00000000-0005-0000-0000-00000DD40000}"/>
    <cellStyle name="Total 3 2 2 6 2" xfId="54081" xr:uid="{00000000-0005-0000-0000-00000ED40000}"/>
    <cellStyle name="Total 3 2 2 6 2 2" xfId="54082" xr:uid="{00000000-0005-0000-0000-00000FD40000}"/>
    <cellStyle name="Total 3 2 2 6 2 2 2" xfId="54083" xr:uid="{00000000-0005-0000-0000-000010D40000}"/>
    <cellStyle name="Total 3 2 2 6 2 2 3" xfId="54084" xr:uid="{00000000-0005-0000-0000-000011D40000}"/>
    <cellStyle name="Total 3 2 2 6 2 2 4" xfId="54085" xr:uid="{00000000-0005-0000-0000-000012D40000}"/>
    <cellStyle name="Total 3 2 2 6 2 3" xfId="54086" xr:uid="{00000000-0005-0000-0000-000013D40000}"/>
    <cellStyle name="Total 3 2 2 6 2 4" xfId="54087" xr:uid="{00000000-0005-0000-0000-000014D40000}"/>
    <cellStyle name="Total 3 2 2 6 2 5" xfId="54088" xr:uid="{00000000-0005-0000-0000-000015D40000}"/>
    <cellStyle name="Total 3 2 2 6 3" xfId="54089" xr:uid="{00000000-0005-0000-0000-000016D40000}"/>
    <cellStyle name="Total 3 2 2 6 3 2" xfId="54090" xr:uid="{00000000-0005-0000-0000-000017D40000}"/>
    <cellStyle name="Total 3 2 2 6 3 2 2" xfId="54091" xr:uid="{00000000-0005-0000-0000-000018D40000}"/>
    <cellStyle name="Total 3 2 2 6 3 2 3" xfId="54092" xr:uid="{00000000-0005-0000-0000-000019D40000}"/>
    <cellStyle name="Total 3 2 2 6 3 2 4" xfId="54093" xr:uid="{00000000-0005-0000-0000-00001AD40000}"/>
    <cellStyle name="Total 3 2 2 6 3 3" xfId="54094" xr:uid="{00000000-0005-0000-0000-00001BD40000}"/>
    <cellStyle name="Total 3 2 2 6 3 3 2" xfId="54095" xr:uid="{00000000-0005-0000-0000-00001CD40000}"/>
    <cellStyle name="Total 3 2 2 6 3 3 3" xfId="54096" xr:uid="{00000000-0005-0000-0000-00001DD40000}"/>
    <cellStyle name="Total 3 2 2 6 3 3 4" xfId="54097" xr:uid="{00000000-0005-0000-0000-00001ED40000}"/>
    <cellStyle name="Total 3 2 2 6 3 4" xfId="54098" xr:uid="{00000000-0005-0000-0000-00001FD40000}"/>
    <cellStyle name="Total 3 2 2 6 3 5" xfId="54099" xr:uid="{00000000-0005-0000-0000-000020D40000}"/>
    <cellStyle name="Total 3 2 2 6 3 6" xfId="54100" xr:uid="{00000000-0005-0000-0000-000021D40000}"/>
    <cellStyle name="Total 3 2 2 6 4" xfId="54101" xr:uid="{00000000-0005-0000-0000-000022D40000}"/>
    <cellStyle name="Total 3 2 2 6 5" xfId="54102" xr:uid="{00000000-0005-0000-0000-000023D40000}"/>
    <cellStyle name="Total 3 2 2 7" xfId="54103" xr:uid="{00000000-0005-0000-0000-000024D40000}"/>
    <cellStyle name="Total 3 2 2 7 2" xfId="54104" xr:uid="{00000000-0005-0000-0000-000025D40000}"/>
    <cellStyle name="Total 3 2 2 7 2 2" xfId="54105" xr:uid="{00000000-0005-0000-0000-000026D40000}"/>
    <cellStyle name="Total 3 2 2 7 2 2 2" xfId="54106" xr:uid="{00000000-0005-0000-0000-000027D40000}"/>
    <cellStyle name="Total 3 2 2 7 2 2 3" xfId="54107" xr:uid="{00000000-0005-0000-0000-000028D40000}"/>
    <cellStyle name="Total 3 2 2 7 2 2 4" xfId="54108" xr:uid="{00000000-0005-0000-0000-000029D40000}"/>
    <cellStyle name="Total 3 2 2 7 2 3" xfId="54109" xr:uid="{00000000-0005-0000-0000-00002AD40000}"/>
    <cellStyle name="Total 3 2 2 7 2 4" xfId="54110" xr:uid="{00000000-0005-0000-0000-00002BD40000}"/>
    <cellStyle name="Total 3 2 2 7 2 5" xfId="54111" xr:uid="{00000000-0005-0000-0000-00002CD40000}"/>
    <cellStyle name="Total 3 2 2 7 3" xfId="54112" xr:uid="{00000000-0005-0000-0000-00002DD40000}"/>
    <cellStyle name="Total 3 2 2 7 3 2" xfId="54113" xr:uid="{00000000-0005-0000-0000-00002ED40000}"/>
    <cellStyle name="Total 3 2 2 7 3 2 2" xfId="54114" xr:uid="{00000000-0005-0000-0000-00002FD40000}"/>
    <cellStyle name="Total 3 2 2 7 3 2 3" xfId="54115" xr:uid="{00000000-0005-0000-0000-000030D40000}"/>
    <cellStyle name="Total 3 2 2 7 3 2 4" xfId="54116" xr:uid="{00000000-0005-0000-0000-000031D40000}"/>
    <cellStyle name="Total 3 2 2 7 3 3" xfId="54117" xr:uid="{00000000-0005-0000-0000-000032D40000}"/>
    <cellStyle name="Total 3 2 2 7 3 3 2" xfId="54118" xr:uid="{00000000-0005-0000-0000-000033D40000}"/>
    <cellStyle name="Total 3 2 2 7 3 3 3" xfId="54119" xr:uid="{00000000-0005-0000-0000-000034D40000}"/>
    <cellStyle name="Total 3 2 2 7 3 3 4" xfId="54120" xr:uid="{00000000-0005-0000-0000-000035D40000}"/>
    <cellStyle name="Total 3 2 2 7 3 4" xfId="54121" xr:uid="{00000000-0005-0000-0000-000036D40000}"/>
    <cellStyle name="Total 3 2 2 7 3 5" xfId="54122" xr:uid="{00000000-0005-0000-0000-000037D40000}"/>
    <cellStyle name="Total 3 2 2 7 3 6" xfId="54123" xr:uid="{00000000-0005-0000-0000-000038D40000}"/>
    <cellStyle name="Total 3 2 2 7 4" xfId="54124" xr:uid="{00000000-0005-0000-0000-000039D40000}"/>
    <cellStyle name="Total 3 2 2 7 5" xfId="54125" xr:uid="{00000000-0005-0000-0000-00003AD40000}"/>
    <cellStyle name="Total 3 2 2 8" xfId="54126" xr:uid="{00000000-0005-0000-0000-00003BD40000}"/>
    <cellStyle name="Total 3 2 2 8 2" xfId="54127" xr:uid="{00000000-0005-0000-0000-00003CD40000}"/>
    <cellStyle name="Total 3 2 2 8 2 2" xfId="54128" xr:uid="{00000000-0005-0000-0000-00003DD40000}"/>
    <cellStyle name="Total 3 2 2 8 2 2 2" xfId="54129" xr:uid="{00000000-0005-0000-0000-00003ED40000}"/>
    <cellStyle name="Total 3 2 2 8 2 2 3" xfId="54130" xr:uid="{00000000-0005-0000-0000-00003FD40000}"/>
    <cellStyle name="Total 3 2 2 8 2 2 4" xfId="54131" xr:uid="{00000000-0005-0000-0000-000040D40000}"/>
    <cellStyle name="Total 3 2 2 8 2 3" xfId="54132" xr:uid="{00000000-0005-0000-0000-000041D40000}"/>
    <cellStyle name="Total 3 2 2 8 2 4" xfId="54133" xr:uid="{00000000-0005-0000-0000-000042D40000}"/>
    <cellStyle name="Total 3 2 2 8 2 5" xfId="54134" xr:uid="{00000000-0005-0000-0000-000043D40000}"/>
    <cellStyle name="Total 3 2 2 8 3" xfId="54135" xr:uid="{00000000-0005-0000-0000-000044D40000}"/>
    <cellStyle name="Total 3 2 2 8 3 2" xfId="54136" xr:uid="{00000000-0005-0000-0000-000045D40000}"/>
    <cellStyle name="Total 3 2 2 8 3 2 2" xfId="54137" xr:uid="{00000000-0005-0000-0000-000046D40000}"/>
    <cellStyle name="Total 3 2 2 8 3 2 3" xfId="54138" xr:uid="{00000000-0005-0000-0000-000047D40000}"/>
    <cellStyle name="Total 3 2 2 8 3 2 4" xfId="54139" xr:uid="{00000000-0005-0000-0000-000048D40000}"/>
    <cellStyle name="Total 3 2 2 8 3 3" xfId="54140" xr:uid="{00000000-0005-0000-0000-000049D40000}"/>
    <cellStyle name="Total 3 2 2 8 3 3 2" xfId="54141" xr:uid="{00000000-0005-0000-0000-00004AD40000}"/>
    <cellStyle name="Total 3 2 2 8 3 3 3" xfId="54142" xr:uid="{00000000-0005-0000-0000-00004BD40000}"/>
    <cellStyle name="Total 3 2 2 8 3 3 4" xfId="54143" xr:uid="{00000000-0005-0000-0000-00004CD40000}"/>
    <cellStyle name="Total 3 2 2 8 3 4" xfId="54144" xr:uid="{00000000-0005-0000-0000-00004DD40000}"/>
    <cellStyle name="Total 3 2 2 8 3 5" xfId="54145" xr:uid="{00000000-0005-0000-0000-00004ED40000}"/>
    <cellStyle name="Total 3 2 2 8 3 6" xfId="54146" xr:uid="{00000000-0005-0000-0000-00004FD40000}"/>
    <cellStyle name="Total 3 2 2 8 4" xfId="54147" xr:uid="{00000000-0005-0000-0000-000050D40000}"/>
    <cellStyle name="Total 3 2 2 8 5" xfId="54148" xr:uid="{00000000-0005-0000-0000-000051D40000}"/>
    <cellStyle name="Total 3 2 2 9" xfId="54149" xr:uid="{00000000-0005-0000-0000-000052D40000}"/>
    <cellStyle name="Total 3 2 2 9 2" xfId="54150" xr:uid="{00000000-0005-0000-0000-000053D40000}"/>
    <cellStyle name="Total 3 2 2 9 2 2" xfId="54151" xr:uid="{00000000-0005-0000-0000-000054D40000}"/>
    <cellStyle name="Total 3 2 2 9 2 2 2" xfId="54152" xr:uid="{00000000-0005-0000-0000-000055D40000}"/>
    <cellStyle name="Total 3 2 2 9 2 2 3" xfId="54153" xr:uid="{00000000-0005-0000-0000-000056D40000}"/>
    <cellStyle name="Total 3 2 2 9 2 2 4" xfId="54154" xr:uid="{00000000-0005-0000-0000-000057D40000}"/>
    <cellStyle name="Total 3 2 2 9 2 3" xfId="54155" xr:uid="{00000000-0005-0000-0000-000058D40000}"/>
    <cellStyle name="Total 3 2 2 9 2 4" xfId="54156" xr:uid="{00000000-0005-0000-0000-000059D40000}"/>
    <cellStyle name="Total 3 2 2 9 2 5" xfId="54157" xr:uid="{00000000-0005-0000-0000-00005AD40000}"/>
    <cellStyle name="Total 3 2 2 9 3" xfId="54158" xr:uid="{00000000-0005-0000-0000-00005BD40000}"/>
    <cellStyle name="Total 3 2 2 9 3 2" xfId="54159" xr:uid="{00000000-0005-0000-0000-00005CD40000}"/>
    <cellStyle name="Total 3 2 2 9 3 2 2" xfId="54160" xr:uid="{00000000-0005-0000-0000-00005DD40000}"/>
    <cellStyle name="Total 3 2 2 9 3 2 3" xfId="54161" xr:uid="{00000000-0005-0000-0000-00005ED40000}"/>
    <cellStyle name="Total 3 2 2 9 3 2 4" xfId="54162" xr:uid="{00000000-0005-0000-0000-00005FD40000}"/>
    <cellStyle name="Total 3 2 2 9 3 3" xfId="54163" xr:uid="{00000000-0005-0000-0000-000060D40000}"/>
    <cellStyle name="Total 3 2 2 9 3 3 2" xfId="54164" xr:uid="{00000000-0005-0000-0000-000061D40000}"/>
    <cellStyle name="Total 3 2 2 9 3 3 3" xfId="54165" xr:uid="{00000000-0005-0000-0000-000062D40000}"/>
    <cellStyle name="Total 3 2 2 9 3 3 4" xfId="54166" xr:uid="{00000000-0005-0000-0000-000063D40000}"/>
    <cellStyle name="Total 3 2 2 9 3 4" xfId="54167" xr:uid="{00000000-0005-0000-0000-000064D40000}"/>
    <cellStyle name="Total 3 2 2 9 3 5" xfId="54168" xr:uid="{00000000-0005-0000-0000-000065D40000}"/>
    <cellStyle name="Total 3 2 2 9 3 6" xfId="54169" xr:uid="{00000000-0005-0000-0000-000066D40000}"/>
    <cellStyle name="Total 3 2 2 9 4" xfId="54170" xr:uid="{00000000-0005-0000-0000-000067D40000}"/>
    <cellStyle name="Total 3 2 2 9 5" xfId="54171" xr:uid="{00000000-0005-0000-0000-000068D40000}"/>
    <cellStyle name="Total 3 2 3" xfId="54172" xr:uid="{00000000-0005-0000-0000-000069D40000}"/>
    <cellStyle name="Total 3 2 3 2" xfId="54173" xr:uid="{00000000-0005-0000-0000-00006AD40000}"/>
    <cellStyle name="Total 3 2 3 2 2" xfId="54174" xr:uid="{00000000-0005-0000-0000-00006BD40000}"/>
    <cellStyle name="Total 3 2 3 2 2 2" xfId="54175" xr:uid="{00000000-0005-0000-0000-00006CD40000}"/>
    <cellStyle name="Total 3 2 3 2 2 3" xfId="54176" xr:uid="{00000000-0005-0000-0000-00006DD40000}"/>
    <cellStyle name="Total 3 2 3 2 2 4" xfId="54177" xr:uid="{00000000-0005-0000-0000-00006ED40000}"/>
    <cellStyle name="Total 3 2 3 2 3" xfId="54178" xr:uid="{00000000-0005-0000-0000-00006FD40000}"/>
    <cellStyle name="Total 3 2 3 2 4" xfId="54179" xr:uid="{00000000-0005-0000-0000-000070D40000}"/>
    <cellStyle name="Total 3 2 3 2 5" xfId="54180" xr:uid="{00000000-0005-0000-0000-000071D40000}"/>
    <cellStyle name="Total 3 2 3 3" xfId="54181" xr:uid="{00000000-0005-0000-0000-000072D40000}"/>
    <cellStyle name="Total 3 2 3 3 2" xfId="54182" xr:uid="{00000000-0005-0000-0000-000073D40000}"/>
    <cellStyle name="Total 3 2 3 3 2 2" xfId="54183" xr:uid="{00000000-0005-0000-0000-000074D40000}"/>
    <cellStyle name="Total 3 2 3 3 2 3" xfId="54184" xr:uid="{00000000-0005-0000-0000-000075D40000}"/>
    <cellStyle name="Total 3 2 3 3 2 4" xfId="54185" xr:uid="{00000000-0005-0000-0000-000076D40000}"/>
    <cellStyle name="Total 3 2 3 3 3" xfId="54186" xr:uid="{00000000-0005-0000-0000-000077D40000}"/>
    <cellStyle name="Total 3 2 3 3 3 2" xfId="54187" xr:uid="{00000000-0005-0000-0000-000078D40000}"/>
    <cellStyle name="Total 3 2 3 3 3 3" xfId="54188" xr:uid="{00000000-0005-0000-0000-000079D40000}"/>
    <cellStyle name="Total 3 2 3 3 3 4" xfId="54189" xr:uid="{00000000-0005-0000-0000-00007AD40000}"/>
    <cellStyle name="Total 3 2 3 3 4" xfId="54190" xr:uid="{00000000-0005-0000-0000-00007BD40000}"/>
    <cellStyle name="Total 3 2 3 3 5" xfId="54191" xr:uid="{00000000-0005-0000-0000-00007CD40000}"/>
    <cellStyle name="Total 3 2 3 3 6" xfId="54192" xr:uid="{00000000-0005-0000-0000-00007DD40000}"/>
    <cellStyle name="Total 3 2 3 4" xfId="54193" xr:uid="{00000000-0005-0000-0000-00007ED40000}"/>
    <cellStyle name="Total 3 2 3 5" xfId="54194" xr:uid="{00000000-0005-0000-0000-00007FD40000}"/>
    <cellStyle name="Total 3 2 4" xfId="54195" xr:uid="{00000000-0005-0000-0000-000080D40000}"/>
    <cellStyle name="Total 3 2 4 2" xfId="54196" xr:uid="{00000000-0005-0000-0000-000081D40000}"/>
    <cellStyle name="Total 3 2 4 2 2" xfId="54197" xr:uid="{00000000-0005-0000-0000-000082D40000}"/>
    <cellStyle name="Total 3 2 4 2 2 2" xfId="54198" xr:uid="{00000000-0005-0000-0000-000083D40000}"/>
    <cellStyle name="Total 3 2 4 2 2 3" xfId="54199" xr:uid="{00000000-0005-0000-0000-000084D40000}"/>
    <cellStyle name="Total 3 2 4 2 2 4" xfId="54200" xr:uid="{00000000-0005-0000-0000-000085D40000}"/>
    <cellStyle name="Total 3 2 4 2 3" xfId="54201" xr:uid="{00000000-0005-0000-0000-000086D40000}"/>
    <cellStyle name="Total 3 2 4 2 3 2" xfId="54202" xr:uid="{00000000-0005-0000-0000-000087D40000}"/>
    <cellStyle name="Total 3 2 4 2 3 3" xfId="54203" xr:uid="{00000000-0005-0000-0000-000088D40000}"/>
    <cellStyle name="Total 3 2 4 2 3 4" xfId="54204" xr:uid="{00000000-0005-0000-0000-000089D40000}"/>
    <cellStyle name="Total 3 2 4 2 4" xfId="54205" xr:uid="{00000000-0005-0000-0000-00008AD40000}"/>
    <cellStyle name="Total 3 2 4 2 5" xfId="54206" xr:uid="{00000000-0005-0000-0000-00008BD40000}"/>
    <cellStyle name="Total 3 2 4 2 6" xfId="54207" xr:uid="{00000000-0005-0000-0000-00008CD40000}"/>
    <cellStyle name="Total 3 2 4 3" xfId="54208" xr:uid="{00000000-0005-0000-0000-00008DD40000}"/>
    <cellStyle name="Total 3 2 4 3 2" xfId="54209" xr:uid="{00000000-0005-0000-0000-00008ED40000}"/>
    <cellStyle name="Total 3 2 4 3 2 2" xfId="54210" xr:uid="{00000000-0005-0000-0000-00008FD40000}"/>
    <cellStyle name="Total 3 2 4 3 2 3" xfId="54211" xr:uid="{00000000-0005-0000-0000-000090D40000}"/>
    <cellStyle name="Total 3 2 4 3 2 4" xfId="54212" xr:uid="{00000000-0005-0000-0000-000091D40000}"/>
    <cellStyle name="Total 3 2 4 3 3" xfId="54213" xr:uid="{00000000-0005-0000-0000-000092D40000}"/>
    <cellStyle name="Total 3 2 4 3 3 2" xfId="54214" xr:uid="{00000000-0005-0000-0000-000093D40000}"/>
    <cellStyle name="Total 3 2 4 3 3 3" xfId="54215" xr:uid="{00000000-0005-0000-0000-000094D40000}"/>
    <cellStyle name="Total 3 2 4 3 3 4" xfId="54216" xr:uid="{00000000-0005-0000-0000-000095D40000}"/>
    <cellStyle name="Total 3 2 4 3 4" xfId="54217" xr:uid="{00000000-0005-0000-0000-000096D40000}"/>
    <cellStyle name="Total 3 2 4 3 5" xfId="54218" xr:uid="{00000000-0005-0000-0000-000097D40000}"/>
    <cellStyle name="Total 3 2 4 3 6" xfId="54219" xr:uid="{00000000-0005-0000-0000-000098D40000}"/>
    <cellStyle name="Total 3 2 4 4" xfId="54220" xr:uid="{00000000-0005-0000-0000-000099D40000}"/>
    <cellStyle name="Total 3 2 4 5" xfId="54221" xr:uid="{00000000-0005-0000-0000-00009AD40000}"/>
    <cellStyle name="Total 3 2 4 6" xfId="54222" xr:uid="{00000000-0005-0000-0000-00009BD40000}"/>
    <cellStyle name="Total 3 2 5" xfId="54223" xr:uid="{00000000-0005-0000-0000-00009CD40000}"/>
    <cellStyle name="Total 3 2 6" xfId="54224" xr:uid="{00000000-0005-0000-0000-00009DD40000}"/>
    <cellStyle name="Total 3 3" xfId="54225" xr:uid="{00000000-0005-0000-0000-00009ED40000}"/>
    <cellStyle name="Total 3 3 10" xfId="54226" xr:uid="{00000000-0005-0000-0000-00009FD40000}"/>
    <cellStyle name="Total 3 3 10 2" xfId="54227" xr:uid="{00000000-0005-0000-0000-0000A0D40000}"/>
    <cellStyle name="Total 3 3 10 2 2" xfId="54228" xr:uid="{00000000-0005-0000-0000-0000A1D40000}"/>
    <cellStyle name="Total 3 3 10 2 2 2" xfId="54229" xr:uid="{00000000-0005-0000-0000-0000A2D40000}"/>
    <cellStyle name="Total 3 3 10 2 2 3" xfId="54230" xr:uid="{00000000-0005-0000-0000-0000A3D40000}"/>
    <cellStyle name="Total 3 3 10 2 2 4" xfId="54231" xr:uid="{00000000-0005-0000-0000-0000A4D40000}"/>
    <cellStyle name="Total 3 3 10 2 3" xfId="54232" xr:uid="{00000000-0005-0000-0000-0000A5D40000}"/>
    <cellStyle name="Total 3 3 10 2 4" xfId="54233" xr:uid="{00000000-0005-0000-0000-0000A6D40000}"/>
    <cellStyle name="Total 3 3 10 2 5" xfId="54234" xr:uid="{00000000-0005-0000-0000-0000A7D40000}"/>
    <cellStyle name="Total 3 3 10 3" xfId="54235" xr:uid="{00000000-0005-0000-0000-0000A8D40000}"/>
    <cellStyle name="Total 3 3 10 3 2" xfId="54236" xr:uid="{00000000-0005-0000-0000-0000A9D40000}"/>
    <cellStyle name="Total 3 3 10 3 2 2" xfId="54237" xr:uid="{00000000-0005-0000-0000-0000AAD40000}"/>
    <cellStyle name="Total 3 3 10 3 2 3" xfId="54238" xr:uid="{00000000-0005-0000-0000-0000ABD40000}"/>
    <cellStyle name="Total 3 3 10 3 2 4" xfId="54239" xr:uid="{00000000-0005-0000-0000-0000ACD40000}"/>
    <cellStyle name="Total 3 3 10 3 3" xfId="54240" xr:uid="{00000000-0005-0000-0000-0000ADD40000}"/>
    <cellStyle name="Total 3 3 10 3 3 2" xfId="54241" xr:uid="{00000000-0005-0000-0000-0000AED40000}"/>
    <cellStyle name="Total 3 3 10 3 3 3" xfId="54242" xr:uid="{00000000-0005-0000-0000-0000AFD40000}"/>
    <cellStyle name="Total 3 3 10 3 3 4" xfId="54243" xr:uid="{00000000-0005-0000-0000-0000B0D40000}"/>
    <cellStyle name="Total 3 3 10 3 4" xfId="54244" xr:uid="{00000000-0005-0000-0000-0000B1D40000}"/>
    <cellStyle name="Total 3 3 10 3 5" xfId="54245" xr:uid="{00000000-0005-0000-0000-0000B2D40000}"/>
    <cellStyle name="Total 3 3 10 3 6" xfId="54246" xr:uid="{00000000-0005-0000-0000-0000B3D40000}"/>
    <cellStyle name="Total 3 3 10 4" xfId="54247" xr:uid="{00000000-0005-0000-0000-0000B4D40000}"/>
    <cellStyle name="Total 3 3 10 5" xfId="54248" xr:uid="{00000000-0005-0000-0000-0000B5D40000}"/>
    <cellStyle name="Total 3 3 11" xfId="54249" xr:uid="{00000000-0005-0000-0000-0000B6D40000}"/>
    <cellStyle name="Total 3 3 11 2" xfId="54250" xr:uid="{00000000-0005-0000-0000-0000B7D40000}"/>
    <cellStyle name="Total 3 3 11 2 2" xfId="54251" xr:uid="{00000000-0005-0000-0000-0000B8D40000}"/>
    <cellStyle name="Total 3 3 11 2 2 2" xfId="54252" xr:uid="{00000000-0005-0000-0000-0000B9D40000}"/>
    <cellStyle name="Total 3 3 11 2 2 3" xfId="54253" xr:uid="{00000000-0005-0000-0000-0000BAD40000}"/>
    <cellStyle name="Total 3 3 11 2 2 4" xfId="54254" xr:uid="{00000000-0005-0000-0000-0000BBD40000}"/>
    <cellStyle name="Total 3 3 11 2 3" xfId="54255" xr:uid="{00000000-0005-0000-0000-0000BCD40000}"/>
    <cellStyle name="Total 3 3 11 2 4" xfId="54256" xr:uid="{00000000-0005-0000-0000-0000BDD40000}"/>
    <cellStyle name="Total 3 3 11 2 5" xfId="54257" xr:uid="{00000000-0005-0000-0000-0000BED40000}"/>
    <cellStyle name="Total 3 3 11 3" xfId="54258" xr:uid="{00000000-0005-0000-0000-0000BFD40000}"/>
    <cellStyle name="Total 3 3 11 3 2" xfId="54259" xr:uid="{00000000-0005-0000-0000-0000C0D40000}"/>
    <cellStyle name="Total 3 3 11 3 2 2" xfId="54260" xr:uid="{00000000-0005-0000-0000-0000C1D40000}"/>
    <cellStyle name="Total 3 3 11 3 2 3" xfId="54261" xr:uid="{00000000-0005-0000-0000-0000C2D40000}"/>
    <cellStyle name="Total 3 3 11 3 2 4" xfId="54262" xr:uid="{00000000-0005-0000-0000-0000C3D40000}"/>
    <cellStyle name="Total 3 3 11 3 3" xfId="54263" xr:uid="{00000000-0005-0000-0000-0000C4D40000}"/>
    <cellStyle name="Total 3 3 11 3 3 2" xfId="54264" xr:uid="{00000000-0005-0000-0000-0000C5D40000}"/>
    <cellStyle name="Total 3 3 11 3 3 3" xfId="54265" xr:uid="{00000000-0005-0000-0000-0000C6D40000}"/>
    <cellStyle name="Total 3 3 11 3 3 4" xfId="54266" xr:uid="{00000000-0005-0000-0000-0000C7D40000}"/>
    <cellStyle name="Total 3 3 11 3 4" xfId="54267" xr:uid="{00000000-0005-0000-0000-0000C8D40000}"/>
    <cellStyle name="Total 3 3 11 3 5" xfId="54268" xr:uid="{00000000-0005-0000-0000-0000C9D40000}"/>
    <cellStyle name="Total 3 3 11 3 6" xfId="54269" xr:uid="{00000000-0005-0000-0000-0000CAD40000}"/>
    <cellStyle name="Total 3 3 11 4" xfId="54270" xr:uid="{00000000-0005-0000-0000-0000CBD40000}"/>
    <cellStyle name="Total 3 3 11 5" xfId="54271" xr:uid="{00000000-0005-0000-0000-0000CCD40000}"/>
    <cellStyle name="Total 3 3 12" xfId="54272" xr:uid="{00000000-0005-0000-0000-0000CDD40000}"/>
    <cellStyle name="Total 3 3 12 2" xfId="54273" xr:uid="{00000000-0005-0000-0000-0000CED40000}"/>
    <cellStyle name="Total 3 3 12 2 2" xfId="54274" xr:uid="{00000000-0005-0000-0000-0000CFD40000}"/>
    <cellStyle name="Total 3 3 12 2 2 2" xfId="54275" xr:uid="{00000000-0005-0000-0000-0000D0D40000}"/>
    <cellStyle name="Total 3 3 12 2 2 3" xfId="54276" xr:uid="{00000000-0005-0000-0000-0000D1D40000}"/>
    <cellStyle name="Total 3 3 12 2 2 4" xfId="54277" xr:uid="{00000000-0005-0000-0000-0000D2D40000}"/>
    <cellStyle name="Total 3 3 12 2 3" xfId="54278" xr:uid="{00000000-0005-0000-0000-0000D3D40000}"/>
    <cellStyle name="Total 3 3 12 2 3 2" xfId="54279" xr:uid="{00000000-0005-0000-0000-0000D4D40000}"/>
    <cellStyle name="Total 3 3 12 2 3 3" xfId="54280" xr:uid="{00000000-0005-0000-0000-0000D5D40000}"/>
    <cellStyle name="Total 3 3 12 2 3 4" xfId="54281" xr:uid="{00000000-0005-0000-0000-0000D6D40000}"/>
    <cellStyle name="Total 3 3 12 2 4" xfId="54282" xr:uid="{00000000-0005-0000-0000-0000D7D40000}"/>
    <cellStyle name="Total 3 3 12 2 5" xfId="54283" xr:uid="{00000000-0005-0000-0000-0000D8D40000}"/>
    <cellStyle name="Total 3 3 12 2 6" xfId="54284" xr:uid="{00000000-0005-0000-0000-0000D9D40000}"/>
    <cellStyle name="Total 3 3 12 3" xfId="54285" xr:uid="{00000000-0005-0000-0000-0000DAD40000}"/>
    <cellStyle name="Total 3 3 12 3 2" xfId="54286" xr:uid="{00000000-0005-0000-0000-0000DBD40000}"/>
    <cellStyle name="Total 3 3 12 3 2 2" xfId="54287" xr:uid="{00000000-0005-0000-0000-0000DCD40000}"/>
    <cellStyle name="Total 3 3 12 3 2 3" xfId="54288" xr:uid="{00000000-0005-0000-0000-0000DDD40000}"/>
    <cellStyle name="Total 3 3 12 3 2 4" xfId="54289" xr:uid="{00000000-0005-0000-0000-0000DED40000}"/>
    <cellStyle name="Total 3 3 12 3 3" xfId="54290" xr:uid="{00000000-0005-0000-0000-0000DFD40000}"/>
    <cellStyle name="Total 3 3 12 3 3 2" xfId="54291" xr:uid="{00000000-0005-0000-0000-0000E0D40000}"/>
    <cellStyle name="Total 3 3 12 3 3 3" xfId="54292" xr:uid="{00000000-0005-0000-0000-0000E1D40000}"/>
    <cellStyle name="Total 3 3 12 3 3 4" xfId="54293" xr:uid="{00000000-0005-0000-0000-0000E2D40000}"/>
    <cellStyle name="Total 3 3 12 3 4" xfId="54294" xr:uid="{00000000-0005-0000-0000-0000E3D40000}"/>
    <cellStyle name="Total 3 3 12 3 5" xfId="54295" xr:uid="{00000000-0005-0000-0000-0000E4D40000}"/>
    <cellStyle name="Total 3 3 12 3 6" xfId="54296" xr:uid="{00000000-0005-0000-0000-0000E5D40000}"/>
    <cellStyle name="Total 3 3 12 4" xfId="54297" xr:uid="{00000000-0005-0000-0000-0000E6D40000}"/>
    <cellStyle name="Total 3 3 12 5" xfId="54298" xr:uid="{00000000-0005-0000-0000-0000E7D40000}"/>
    <cellStyle name="Total 3 3 12 6" xfId="54299" xr:uid="{00000000-0005-0000-0000-0000E8D40000}"/>
    <cellStyle name="Total 3 3 13" xfId="54300" xr:uid="{00000000-0005-0000-0000-0000E9D40000}"/>
    <cellStyle name="Total 3 3 14" xfId="54301" xr:uid="{00000000-0005-0000-0000-0000EAD40000}"/>
    <cellStyle name="Total 3 3 15" xfId="58807" xr:uid="{00000000-0005-0000-0000-0000EBD40000}"/>
    <cellStyle name="Total 3 3 2" xfId="54302" xr:uid="{00000000-0005-0000-0000-0000ECD40000}"/>
    <cellStyle name="Total 3 3 2 2" xfId="54303" xr:uid="{00000000-0005-0000-0000-0000EDD40000}"/>
    <cellStyle name="Total 3 3 2 2 2" xfId="54304" xr:uid="{00000000-0005-0000-0000-0000EED40000}"/>
    <cellStyle name="Total 3 3 2 2 2 2" xfId="54305" xr:uid="{00000000-0005-0000-0000-0000EFD40000}"/>
    <cellStyle name="Total 3 3 2 2 2 2 2" xfId="54306" xr:uid="{00000000-0005-0000-0000-0000F0D40000}"/>
    <cellStyle name="Total 3 3 2 2 2 2 3" xfId="54307" xr:uid="{00000000-0005-0000-0000-0000F1D40000}"/>
    <cellStyle name="Total 3 3 2 2 2 2 4" xfId="54308" xr:uid="{00000000-0005-0000-0000-0000F2D40000}"/>
    <cellStyle name="Total 3 3 2 2 2 3" xfId="54309" xr:uid="{00000000-0005-0000-0000-0000F3D40000}"/>
    <cellStyle name="Total 3 3 2 2 2 3 2" xfId="54310" xr:uid="{00000000-0005-0000-0000-0000F4D40000}"/>
    <cellStyle name="Total 3 3 2 2 2 3 3" xfId="54311" xr:uid="{00000000-0005-0000-0000-0000F5D40000}"/>
    <cellStyle name="Total 3 3 2 2 2 3 4" xfId="54312" xr:uid="{00000000-0005-0000-0000-0000F6D40000}"/>
    <cellStyle name="Total 3 3 2 2 2 4" xfId="54313" xr:uid="{00000000-0005-0000-0000-0000F7D40000}"/>
    <cellStyle name="Total 3 3 2 2 2 5" xfId="54314" xr:uid="{00000000-0005-0000-0000-0000F8D40000}"/>
    <cellStyle name="Total 3 3 2 2 2 6" xfId="54315" xr:uid="{00000000-0005-0000-0000-0000F9D40000}"/>
    <cellStyle name="Total 3 3 2 2 3" xfId="54316" xr:uid="{00000000-0005-0000-0000-0000FAD40000}"/>
    <cellStyle name="Total 3 3 2 2 3 2" xfId="54317" xr:uid="{00000000-0005-0000-0000-0000FBD40000}"/>
    <cellStyle name="Total 3 3 2 2 3 2 2" xfId="54318" xr:uid="{00000000-0005-0000-0000-0000FCD40000}"/>
    <cellStyle name="Total 3 3 2 2 3 2 3" xfId="54319" xr:uid="{00000000-0005-0000-0000-0000FDD40000}"/>
    <cellStyle name="Total 3 3 2 2 3 2 4" xfId="54320" xr:uid="{00000000-0005-0000-0000-0000FED40000}"/>
    <cellStyle name="Total 3 3 2 2 3 3" xfId="54321" xr:uid="{00000000-0005-0000-0000-0000FFD40000}"/>
    <cellStyle name="Total 3 3 2 2 3 3 2" xfId="54322" xr:uid="{00000000-0005-0000-0000-000000D50000}"/>
    <cellStyle name="Total 3 3 2 2 3 3 3" xfId="54323" xr:uid="{00000000-0005-0000-0000-000001D50000}"/>
    <cellStyle name="Total 3 3 2 2 3 3 4" xfId="54324" xr:uid="{00000000-0005-0000-0000-000002D50000}"/>
    <cellStyle name="Total 3 3 2 2 3 4" xfId="54325" xr:uid="{00000000-0005-0000-0000-000003D50000}"/>
    <cellStyle name="Total 3 3 2 2 3 5" xfId="54326" xr:uid="{00000000-0005-0000-0000-000004D50000}"/>
    <cellStyle name="Total 3 3 2 2 3 6" xfId="54327" xr:uid="{00000000-0005-0000-0000-000005D50000}"/>
    <cellStyle name="Total 3 3 2 2 4" xfId="54328" xr:uid="{00000000-0005-0000-0000-000006D50000}"/>
    <cellStyle name="Total 3 3 2 2 5" xfId="54329" xr:uid="{00000000-0005-0000-0000-000007D50000}"/>
    <cellStyle name="Total 3 3 2 2 6" xfId="54330" xr:uid="{00000000-0005-0000-0000-000008D50000}"/>
    <cellStyle name="Total 3 3 2 3" xfId="54331" xr:uid="{00000000-0005-0000-0000-000009D50000}"/>
    <cellStyle name="Total 3 3 2 4" xfId="54332" xr:uid="{00000000-0005-0000-0000-00000AD50000}"/>
    <cellStyle name="Total 3 3 3" xfId="54333" xr:uid="{00000000-0005-0000-0000-00000BD50000}"/>
    <cellStyle name="Total 3 3 3 2" xfId="54334" xr:uid="{00000000-0005-0000-0000-00000CD50000}"/>
    <cellStyle name="Total 3 3 3 2 2" xfId="54335" xr:uid="{00000000-0005-0000-0000-00000DD50000}"/>
    <cellStyle name="Total 3 3 3 2 2 2" xfId="54336" xr:uid="{00000000-0005-0000-0000-00000ED50000}"/>
    <cellStyle name="Total 3 3 3 2 2 2 2" xfId="54337" xr:uid="{00000000-0005-0000-0000-00000FD50000}"/>
    <cellStyle name="Total 3 3 3 2 2 2 3" xfId="54338" xr:uid="{00000000-0005-0000-0000-000010D50000}"/>
    <cellStyle name="Total 3 3 3 2 2 2 4" xfId="54339" xr:uid="{00000000-0005-0000-0000-000011D50000}"/>
    <cellStyle name="Total 3 3 3 2 2 3" xfId="54340" xr:uid="{00000000-0005-0000-0000-000012D50000}"/>
    <cellStyle name="Total 3 3 3 2 2 3 2" xfId="54341" xr:uid="{00000000-0005-0000-0000-000013D50000}"/>
    <cellStyle name="Total 3 3 3 2 2 3 3" xfId="54342" xr:uid="{00000000-0005-0000-0000-000014D50000}"/>
    <cellStyle name="Total 3 3 3 2 2 3 4" xfId="54343" xr:uid="{00000000-0005-0000-0000-000015D50000}"/>
    <cellStyle name="Total 3 3 3 2 2 4" xfId="54344" xr:uid="{00000000-0005-0000-0000-000016D50000}"/>
    <cellStyle name="Total 3 3 3 2 2 5" xfId="54345" xr:uid="{00000000-0005-0000-0000-000017D50000}"/>
    <cellStyle name="Total 3 3 3 2 2 6" xfId="54346" xr:uid="{00000000-0005-0000-0000-000018D50000}"/>
    <cellStyle name="Total 3 3 3 2 3" xfId="54347" xr:uid="{00000000-0005-0000-0000-000019D50000}"/>
    <cellStyle name="Total 3 3 3 2 3 2" xfId="54348" xr:uid="{00000000-0005-0000-0000-00001AD50000}"/>
    <cellStyle name="Total 3 3 3 2 3 2 2" xfId="54349" xr:uid="{00000000-0005-0000-0000-00001BD50000}"/>
    <cellStyle name="Total 3 3 3 2 3 2 3" xfId="54350" xr:uid="{00000000-0005-0000-0000-00001CD50000}"/>
    <cellStyle name="Total 3 3 3 2 3 2 4" xfId="54351" xr:uid="{00000000-0005-0000-0000-00001DD50000}"/>
    <cellStyle name="Total 3 3 3 2 3 3" xfId="54352" xr:uid="{00000000-0005-0000-0000-00001ED50000}"/>
    <cellStyle name="Total 3 3 3 2 3 3 2" xfId="54353" xr:uid="{00000000-0005-0000-0000-00001FD50000}"/>
    <cellStyle name="Total 3 3 3 2 3 3 3" xfId="54354" xr:uid="{00000000-0005-0000-0000-000020D50000}"/>
    <cellStyle name="Total 3 3 3 2 3 3 4" xfId="54355" xr:uid="{00000000-0005-0000-0000-000021D50000}"/>
    <cellStyle name="Total 3 3 3 2 3 4" xfId="54356" xr:uid="{00000000-0005-0000-0000-000022D50000}"/>
    <cellStyle name="Total 3 3 3 2 3 5" xfId="54357" xr:uid="{00000000-0005-0000-0000-000023D50000}"/>
    <cellStyle name="Total 3 3 3 2 3 6" xfId="54358" xr:uid="{00000000-0005-0000-0000-000024D50000}"/>
    <cellStyle name="Total 3 3 3 2 4" xfId="54359" xr:uid="{00000000-0005-0000-0000-000025D50000}"/>
    <cellStyle name="Total 3 3 3 2 5" xfId="54360" xr:uid="{00000000-0005-0000-0000-000026D50000}"/>
    <cellStyle name="Total 3 3 3 2 6" xfId="54361" xr:uid="{00000000-0005-0000-0000-000027D50000}"/>
    <cellStyle name="Total 3 3 3 3" xfId="54362" xr:uid="{00000000-0005-0000-0000-000028D50000}"/>
    <cellStyle name="Total 3 3 3 4" xfId="54363" xr:uid="{00000000-0005-0000-0000-000029D50000}"/>
    <cellStyle name="Total 3 3 4" xfId="54364" xr:uid="{00000000-0005-0000-0000-00002AD50000}"/>
    <cellStyle name="Total 3 3 4 2" xfId="54365" xr:uid="{00000000-0005-0000-0000-00002BD50000}"/>
    <cellStyle name="Total 3 3 4 2 2" xfId="54366" xr:uid="{00000000-0005-0000-0000-00002CD50000}"/>
    <cellStyle name="Total 3 3 4 2 2 2" xfId="54367" xr:uid="{00000000-0005-0000-0000-00002DD50000}"/>
    <cellStyle name="Total 3 3 4 2 2 2 2" xfId="54368" xr:uid="{00000000-0005-0000-0000-00002ED50000}"/>
    <cellStyle name="Total 3 3 4 2 2 2 3" xfId="54369" xr:uid="{00000000-0005-0000-0000-00002FD50000}"/>
    <cellStyle name="Total 3 3 4 2 2 2 4" xfId="54370" xr:uid="{00000000-0005-0000-0000-000030D50000}"/>
    <cellStyle name="Total 3 3 4 2 2 3" xfId="54371" xr:uid="{00000000-0005-0000-0000-000031D50000}"/>
    <cellStyle name="Total 3 3 4 2 2 3 2" xfId="54372" xr:uid="{00000000-0005-0000-0000-000032D50000}"/>
    <cellStyle name="Total 3 3 4 2 2 3 3" xfId="54373" xr:uid="{00000000-0005-0000-0000-000033D50000}"/>
    <cellStyle name="Total 3 3 4 2 2 3 4" xfId="54374" xr:uid="{00000000-0005-0000-0000-000034D50000}"/>
    <cellStyle name="Total 3 3 4 2 2 4" xfId="54375" xr:uid="{00000000-0005-0000-0000-000035D50000}"/>
    <cellStyle name="Total 3 3 4 2 2 5" xfId="54376" xr:uid="{00000000-0005-0000-0000-000036D50000}"/>
    <cellStyle name="Total 3 3 4 2 2 6" xfId="54377" xr:uid="{00000000-0005-0000-0000-000037D50000}"/>
    <cellStyle name="Total 3 3 4 2 3" xfId="54378" xr:uid="{00000000-0005-0000-0000-000038D50000}"/>
    <cellStyle name="Total 3 3 4 2 3 2" xfId="54379" xr:uid="{00000000-0005-0000-0000-000039D50000}"/>
    <cellStyle name="Total 3 3 4 2 3 2 2" xfId="54380" xr:uid="{00000000-0005-0000-0000-00003AD50000}"/>
    <cellStyle name="Total 3 3 4 2 3 2 3" xfId="54381" xr:uid="{00000000-0005-0000-0000-00003BD50000}"/>
    <cellStyle name="Total 3 3 4 2 3 2 4" xfId="54382" xr:uid="{00000000-0005-0000-0000-00003CD50000}"/>
    <cellStyle name="Total 3 3 4 2 3 3" xfId="54383" xr:uid="{00000000-0005-0000-0000-00003DD50000}"/>
    <cellStyle name="Total 3 3 4 2 3 3 2" xfId="54384" xr:uid="{00000000-0005-0000-0000-00003ED50000}"/>
    <cellStyle name="Total 3 3 4 2 3 3 3" xfId="54385" xr:uid="{00000000-0005-0000-0000-00003FD50000}"/>
    <cellStyle name="Total 3 3 4 2 3 3 4" xfId="54386" xr:uid="{00000000-0005-0000-0000-000040D50000}"/>
    <cellStyle name="Total 3 3 4 2 3 4" xfId="54387" xr:uid="{00000000-0005-0000-0000-000041D50000}"/>
    <cellStyle name="Total 3 3 4 2 3 5" xfId="54388" xr:uid="{00000000-0005-0000-0000-000042D50000}"/>
    <cellStyle name="Total 3 3 4 2 3 6" xfId="54389" xr:uid="{00000000-0005-0000-0000-000043D50000}"/>
    <cellStyle name="Total 3 3 4 2 4" xfId="54390" xr:uid="{00000000-0005-0000-0000-000044D50000}"/>
    <cellStyle name="Total 3 3 4 2 5" xfId="54391" xr:uid="{00000000-0005-0000-0000-000045D50000}"/>
    <cellStyle name="Total 3 3 4 2 6" xfId="54392" xr:uid="{00000000-0005-0000-0000-000046D50000}"/>
    <cellStyle name="Total 3 3 4 3" xfId="54393" xr:uid="{00000000-0005-0000-0000-000047D50000}"/>
    <cellStyle name="Total 3 3 4 4" xfId="54394" xr:uid="{00000000-0005-0000-0000-000048D50000}"/>
    <cellStyle name="Total 3 3 5" xfId="54395" xr:uid="{00000000-0005-0000-0000-000049D50000}"/>
    <cellStyle name="Total 3 3 5 2" xfId="54396" xr:uid="{00000000-0005-0000-0000-00004AD50000}"/>
    <cellStyle name="Total 3 3 5 2 2" xfId="54397" xr:uid="{00000000-0005-0000-0000-00004BD50000}"/>
    <cellStyle name="Total 3 3 5 2 2 2" xfId="54398" xr:uid="{00000000-0005-0000-0000-00004CD50000}"/>
    <cellStyle name="Total 3 3 5 2 2 3" xfId="54399" xr:uid="{00000000-0005-0000-0000-00004DD50000}"/>
    <cellStyle name="Total 3 3 5 2 2 4" xfId="54400" xr:uid="{00000000-0005-0000-0000-00004ED50000}"/>
    <cellStyle name="Total 3 3 5 2 3" xfId="54401" xr:uid="{00000000-0005-0000-0000-00004FD50000}"/>
    <cellStyle name="Total 3 3 5 2 4" xfId="54402" xr:uid="{00000000-0005-0000-0000-000050D50000}"/>
    <cellStyle name="Total 3 3 5 2 5" xfId="54403" xr:uid="{00000000-0005-0000-0000-000051D50000}"/>
    <cellStyle name="Total 3 3 5 3" xfId="54404" xr:uid="{00000000-0005-0000-0000-000052D50000}"/>
    <cellStyle name="Total 3 3 5 3 2" xfId="54405" xr:uid="{00000000-0005-0000-0000-000053D50000}"/>
    <cellStyle name="Total 3 3 5 3 2 2" xfId="54406" xr:uid="{00000000-0005-0000-0000-000054D50000}"/>
    <cellStyle name="Total 3 3 5 3 2 3" xfId="54407" xr:uid="{00000000-0005-0000-0000-000055D50000}"/>
    <cellStyle name="Total 3 3 5 3 2 4" xfId="54408" xr:uid="{00000000-0005-0000-0000-000056D50000}"/>
    <cellStyle name="Total 3 3 5 3 3" xfId="54409" xr:uid="{00000000-0005-0000-0000-000057D50000}"/>
    <cellStyle name="Total 3 3 5 3 3 2" xfId="54410" xr:uid="{00000000-0005-0000-0000-000058D50000}"/>
    <cellStyle name="Total 3 3 5 3 3 3" xfId="54411" xr:uid="{00000000-0005-0000-0000-000059D50000}"/>
    <cellStyle name="Total 3 3 5 3 3 4" xfId="54412" xr:uid="{00000000-0005-0000-0000-00005AD50000}"/>
    <cellStyle name="Total 3 3 5 3 4" xfId="54413" xr:uid="{00000000-0005-0000-0000-00005BD50000}"/>
    <cellStyle name="Total 3 3 5 3 5" xfId="54414" xr:uid="{00000000-0005-0000-0000-00005CD50000}"/>
    <cellStyle name="Total 3 3 5 3 6" xfId="54415" xr:uid="{00000000-0005-0000-0000-00005DD50000}"/>
    <cellStyle name="Total 3 3 5 4" xfId="54416" xr:uid="{00000000-0005-0000-0000-00005ED50000}"/>
    <cellStyle name="Total 3 3 5 5" xfId="54417" xr:uid="{00000000-0005-0000-0000-00005FD50000}"/>
    <cellStyle name="Total 3 3 6" xfId="54418" xr:uid="{00000000-0005-0000-0000-000060D50000}"/>
    <cellStyle name="Total 3 3 6 2" xfId="54419" xr:uid="{00000000-0005-0000-0000-000061D50000}"/>
    <cellStyle name="Total 3 3 6 2 2" xfId="54420" xr:uid="{00000000-0005-0000-0000-000062D50000}"/>
    <cellStyle name="Total 3 3 6 2 2 2" xfId="54421" xr:uid="{00000000-0005-0000-0000-000063D50000}"/>
    <cellStyle name="Total 3 3 6 2 2 3" xfId="54422" xr:uid="{00000000-0005-0000-0000-000064D50000}"/>
    <cellStyle name="Total 3 3 6 2 2 4" xfId="54423" xr:uid="{00000000-0005-0000-0000-000065D50000}"/>
    <cellStyle name="Total 3 3 6 2 3" xfId="54424" xr:uid="{00000000-0005-0000-0000-000066D50000}"/>
    <cellStyle name="Total 3 3 6 2 4" xfId="54425" xr:uid="{00000000-0005-0000-0000-000067D50000}"/>
    <cellStyle name="Total 3 3 6 2 5" xfId="54426" xr:uid="{00000000-0005-0000-0000-000068D50000}"/>
    <cellStyle name="Total 3 3 6 3" xfId="54427" xr:uid="{00000000-0005-0000-0000-000069D50000}"/>
    <cellStyle name="Total 3 3 6 3 2" xfId="54428" xr:uid="{00000000-0005-0000-0000-00006AD50000}"/>
    <cellStyle name="Total 3 3 6 3 2 2" xfId="54429" xr:uid="{00000000-0005-0000-0000-00006BD50000}"/>
    <cellStyle name="Total 3 3 6 3 2 3" xfId="54430" xr:uid="{00000000-0005-0000-0000-00006CD50000}"/>
    <cellStyle name="Total 3 3 6 3 2 4" xfId="54431" xr:uid="{00000000-0005-0000-0000-00006DD50000}"/>
    <cellStyle name="Total 3 3 6 3 3" xfId="54432" xr:uid="{00000000-0005-0000-0000-00006ED50000}"/>
    <cellStyle name="Total 3 3 6 3 3 2" xfId="54433" xr:uid="{00000000-0005-0000-0000-00006FD50000}"/>
    <cellStyle name="Total 3 3 6 3 3 3" xfId="54434" xr:uid="{00000000-0005-0000-0000-000070D50000}"/>
    <cellStyle name="Total 3 3 6 3 3 4" xfId="54435" xr:uid="{00000000-0005-0000-0000-000071D50000}"/>
    <cellStyle name="Total 3 3 6 3 4" xfId="54436" xr:uid="{00000000-0005-0000-0000-000072D50000}"/>
    <cellStyle name="Total 3 3 6 3 5" xfId="54437" xr:uid="{00000000-0005-0000-0000-000073D50000}"/>
    <cellStyle name="Total 3 3 6 3 6" xfId="54438" xr:uid="{00000000-0005-0000-0000-000074D50000}"/>
    <cellStyle name="Total 3 3 6 4" xfId="54439" xr:uid="{00000000-0005-0000-0000-000075D50000}"/>
    <cellStyle name="Total 3 3 6 5" xfId="54440" xr:uid="{00000000-0005-0000-0000-000076D50000}"/>
    <cellStyle name="Total 3 3 7" xfId="54441" xr:uid="{00000000-0005-0000-0000-000077D50000}"/>
    <cellStyle name="Total 3 3 7 2" xfId="54442" xr:uid="{00000000-0005-0000-0000-000078D50000}"/>
    <cellStyle name="Total 3 3 7 2 2" xfId="54443" xr:uid="{00000000-0005-0000-0000-000079D50000}"/>
    <cellStyle name="Total 3 3 7 2 2 2" xfId="54444" xr:uid="{00000000-0005-0000-0000-00007AD50000}"/>
    <cellStyle name="Total 3 3 7 2 2 3" xfId="54445" xr:uid="{00000000-0005-0000-0000-00007BD50000}"/>
    <cellStyle name="Total 3 3 7 2 2 4" xfId="54446" xr:uid="{00000000-0005-0000-0000-00007CD50000}"/>
    <cellStyle name="Total 3 3 7 2 3" xfId="54447" xr:uid="{00000000-0005-0000-0000-00007DD50000}"/>
    <cellStyle name="Total 3 3 7 2 4" xfId="54448" xr:uid="{00000000-0005-0000-0000-00007ED50000}"/>
    <cellStyle name="Total 3 3 7 2 5" xfId="54449" xr:uid="{00000000-0005-0000-0000-00007FD50000}"/>
    <cellStyle name="Total 3 3 7 3" xfId="54450" xr:uid="{00000000-0005-0000-0000-000080D50000}"/>
    <cellStyle name="Total 3 3 7 3 2" xfId="54451" xr:uid="{00000000-0005-0000-0000-000081D50000}"/>
    <cellStyle name="Total 3 3 7 3 2 2" xfId="54452" xr:uid="{00000000-0005-0000-0000-000082D50000}"/>
    <cellStyle name="Total 3 3 7 3 2 3" xfId="54453" xr:uid="{00000000-0005-0000-0000-000083D50000}"/>
    <cellStyle name="Total 3 3 7 3 2 4" xfId="54454" xr:uid="{00000000-0005-0000-0000-000084D50000}"/>
    <cellStyle name="Total 3 3 7 3 3" xfId="54455" xr:uid="{00000000-0005-0000-0000-000085D50000}"/>
    <cellStyle name="Total 3 3 7 3 3 2" xfId="54456" xr:uid="{00000000-0005-0000-0000-000086D50000}"/>
    <cellStyle name="Total 3 3 7 3 3 3" xfId="54457" xr:uid="{00000000-0005-0000-0000-000087D50000}"/>
    <cellStyle name="Total 3 3 7 3 3 4" xfId="54458" xr:uid="{00000000-0005-0000-0000-000088D50000}"/>
    <cellStyle name="Total 3 3 7 3 4" xfId="54459" xr:uid="{00000000-0005-0000-0000-000089D50000}"/>
    <cellStyle name="Total 3 3 7 3 5" xfId="54460" xr:uid="{00000000-0005-0000-0000-00008AD50000}"/>
    <cellStyle name="Total 3 3 7 3 6" xfId="54461" xr:uid="{00000000-0005-0000-0000-00008BD50000}"/>
    <cellStyle name="Total 3 3 7 4" xfId="54462" xr:uid="{00000000-0005-0000-0000-00008CD50000}"/>
    <cellStyle name="Total 3 3 7 5" xfId="54463" xr:uid="{00000000-0005-0000-0000-00008DD50000}"/>
    <cellStyle name="Total 3 3 8" xfId="54464" xr:uid="{00000000-0005-0000-0000-00008ED50000}"/>
    <cellStyle name="Total 3 3 8 2" xfId="54465" xr:uid="{00000000-0005-0000-0000-00008FD50000}"/>
    <cellStyle name="Total 3 3 8 2 2" xfId="54466" xr:uid="{00000000-0005-0000-0000-000090D50000}"/>
    <cellStyle name="Total 3 3 8 2 2 2" xfId="54467" xr:uid="{00000000-0005-0000-0000-000091D50000}"/>
    <cellStyle name="Total 3 3 8 2 2 3" xfId="54468" xr:uid="{00000000-0005-0000-0000-000092D50000}"/>
    <cellStyle name="Total 3 3 8 2 2 4" xfId="54469" xr:uid="{00000000-0005-0000-0000-000093D50000}"/>
    <cellStyle name="Total 3 3 8 2 3" xfId="54470" xr:uid="{00000000-0005-0000-0000-000094D50000}"/>
    <cellStyle name="Total 3 3 8 2 4" xfId="54471" xr:uid="{00000000-0005-0000-0000-000095D50000}"/>
    <cellStyle name="Total 3 3 8 2 5" xfId="54472" xr:uid="{00000000-0005-0000-0000-000096D50000}"/>
    <cellStyle name="Total 3 3 8 3" xfId="54473" xr:uid="{00000000-0005-0000-0000-000097D50000}"/>
    <cellStyle name="Total 3 3 8 3 2" xfId="54474" xr:uid="{00000000-0005-0000-0000-000098D50000}"/>
    <cellStyle name="Total 3 3 8 3 2 2" xfId="54475" xr:uid="{00000000-0005-0000-0000-000099D50000}"/>
    <cellStyle name="Total 3 3 8 3 2 3" xfId="54476" xr:uid="{00000000-0005-0000-0000-00009AD50000}"/>
    <cellStyle name="Total 3 3 8 3 2 4" xfId="54477" xr:uid="{00000000-0005-0000-0000-00009BD50000}"/>
    <cellStyle name="Total 3 3 8 3 3" xfId="54478" xr:uid="{00000000-0005-0000-0000-00009CD50000}"/>
    <cellStyle name="Total 3 3 8 3 3 2" xfId="54479" xr:uid="{00000000-0005-0000-0000-00009DD50000}"/>
    <cellStyle name="Total 3 3 8 3 3 3" xfId="54480" xr:uid="{00000000-0005-0000-0000-00009ED50000}"/>
    <cellStyle name="Total 3 3 8 3 3 4" xfId="54481" xr:uid="{00000000-0005-0000-0000-00009FD50000}"/>
    <cellStyle name="Total 3 3 8 3 4" xfId="54482" xr:uid="{00000000-0005-0000-0000-0000A0D50000}"/>
    <cellStyle name="Total 3 3 8 3 5" xfId="54483" xr:uid="{00000000-0005-0000-0000-0000A1D50000}"/>
    <cellStyle name="Total 3 3 8 3 6" xfId="54484" xr:uid="{00000000-0005-0000-0000-0000A2D50000}"/>
    <cellStyle name="Total 3 3 8 4" xfId="54485" xr:uid="{00000000-0005-0000-0000-0000A3D50000}"/>
    <cellStyle name="Total 3 3 8 5" xfId="54486" xr:uid="{00000000-0005-0000-0000-0000A4D50000}"/>
    <cellStyle name="Total 3 3 9" xfId="54487" xr:uid="{00000000-0005-0000-0000-0000A5D50000}"/>
    <cellStyle name="Total 3 3 9 2" xfId="54488" xr:uid="{00000000-0005-0000-0000-0000A6D50000}"/>
    <cellStyle name="Total 3 3 9 2 2" xfId="54489" xr:uid="{00000000-0005-0000-0000-0000A7D50000}"/>
    <cellStyle name="Total 3 3 9 2 2 2" xfId="54490" xr:uid="{00000000-0005-0000-0000-0000A8D50000}"/>
    <cellStyle name="Total 3 3 9 2 2 3" xfId="54491" xr:uid="{00000000-0005-0000-0000-0000A9D50000}"/>
    <cellStyle name="Total 3 3 9 2 2 4" xfId="54492" xr:uid="{00000000-0005-0000-0000-0000AAD50000}"/>
    <cellStyle name="Total 3 3 9 2 3" xfId="54493" xr:uid="{00000000-0005-0000-0000-0000ABD50000}"/>
    <cellStyle name="Total 3 3 9 2 4" xfId="54494" xr:uid="{00000000-0005-0000-0000-0000ACD50000}"/>
    <cellStyle name="Total 3 3 9 2 5" xfId="54495" xr:uid="{00000000-0005-0000-0000-0000ADD50000}"/>
    <cellStyle name="Total 3 3 9 3" xfId="54496" xr:uid="{00000000-0005-0000-0000-0000AED50000}"/>
    <cellStyle name="Total 3 3 9 3 2" xfId="54497" xr:uid="{00000000-0005-0000-0000-0000AFD50000}"/>
    <cellStyle name="Total 3 3 9 3 2 2" xfId="54498" xr:uid="{00000000-0005-0000-0000-0000B0D50000}"/>
    <cellStyle name="Total 3 3 9 3 2 3" xfId="54499" xr:uid="{00000000-0005-0000-0000-0000B1D50000}"/>
    <cellStyle name="Total 3 3 9 3 2 4" xfId="54500" xr:uid="{00000000-0005-0000-0000-0000B2D50000}"/>
    <cellStyle name="Total 3 3 9 3 3" xfId="54501" xr:uid="{00000000-0005-0000-0000-0000B3D50000}"/>
    <cellStyle name="Total 3 3 9 3 3 2" xfId="54502" xr:uid="{00000000-0005-0000-0000-0000B4D50000}"/>
    <cellStyle name="Total 3 3 9 3 3 3" xfId="54503" xr:uid="{00000000-0005-0000-0000-0000B5D50000}"/>
    <cellStyle name="Total 3 3 9 3 3 4" xfId="54504" xr:uid="{00000000-0005-0000-0000-0000B6D50000}"/>
    <cellStyle name="Total 3 3 9 3 4" xfId="54505" xr:uid="{00000000-0005-0000-0000-0000B7D50000}"/>
    <cellStyle name="Total 3 3 9 3 5" xfId="54506" xr:uid="{00000000-0005-0000-0000-0000B8D50000}"/>
    <cellStyle name="Total 3 3 9 3 6" xfId="54507" xr:uid="{00000000-0005-0000-0000-0000B9D50000}"/>
    <cellStyle name="Total 3 3 9 4" xfId="54508" xr:uid="{00000000-0005-0000-0000-0000BAD50000}"/>
    <cellStyle name="Total 3 3 9 5" xfId="54509" xr:uid="{00000000-0005-0000-0000-0000BBD50000}"/>
    <cellStyle name="Total 3 4" xfId="54510" xr:uid="{00000000-0005-0000-0000-0000BCD50000}"/>
    <cellStyle name="Total 3 4 10" xfId="54511" xr:uid="{00000000-0005-0000-0000-0000BDD50000}"/>
    <cellStyle name="Total 3 4 10 2" xfId="54512" xr:uid="{00000000-0005-0000-0000-0000BED50000}"/>
    <cellStyle name="Total 3 4 10 2 2" xfId="54513" xr:uid="{00000000-0005-0000-0000-0000BFD50000}"/>
    <cellStyle name="Total 3 4 10 2 2 2" xfId="54514" xr:uid="{00000000-0005-0000-0000-0000C0D50000}"/>
    <cellStyle name="Total 3 4 10 2 2 3" xfId="54515" xr:uid="{00000000-0005-0000-0000-0000C1D50000}"/>
    <cellStyle name="Total 3 4 10 2 2 4" xfId="54516" xr:uid="{00000000-0005-0000-0000-0000C2D50000}"/>
    <cellStyle name="Total 3 4 10 2 3" xfId="54517" xr:uid="{00000000-0005-0000-0000-0000C3D50000}"/>
    <cellStyle name="Total 3 4 10 2 4" xfId="54518" xr:uid="{00000000-0005-0000-0000-0000C4D50000}"/>
    <cellStyle name="Total 3 4 10 2 5" xfId="54519" xr:uid="{00000000-0005-0000-0000-0000C5D50000}"/>
    <cellStyle name="Total 3 4 10 3" xfId="54520" xr:uid="{00000000-0005-0000-0000-0000C6D50000}"/>
    <cellStyle name="Total 3 4 10 3 2" xfId="54521" xr:uid="{00000000-0005-0000-0000-0000C7D50000}"/>
    <cellStyle name="Total 3 4 10 3 2 2" xfId="54522" xr:uid="{00000000-0005-0000-0000-0000C8D50000}"/>
    <cellStyle name="Total 3 4 10 3 2 3" xfId="54523" xr:uid="{00000000-0005-0000-0000-0000C9D50000}"/>
    <cellStyle name="Total 3 4 10 3 2 4" xfId="54524" xr:uid="{00000000-0005-0000-0000-0000CAD50000}"/>
    <cellStyle name="Total 3 4 10 3 3" xfId="54525" xr:uid="{00000000-0005-0000-0000-0000CBD50000}"/>
    <cellStyle name="Total 3 4 10 3 3 2" xfId="54526" xr:uid="{00000000-0005-0000-0000-0000CCD50000}"/>
    <cellStyle name="Total 3 4 10 3 3 3" xfId="54527" xr:uid="{00000000-0005-0000-0000-0000CDD50000}"/>
    <cellStyle name="Total 3 4 10 3 3 4" xfId="54528" xr:uid="{00000000-0005-0000-0000-0000CED50000}"/>
    <cellStyle name="Total 3 4 10 3 4" xfId="54529" xr:uid="{00000000-0005-0000-0000-0000CFD50000}"/>
    <cellStyle name="Total 3 4 10 3 5" xfId="54530" xr:uid="{00000000-0005-0000-0000-0000D0D50000}"/>
    <cellStyle name="Total 3 4 10 3 6" xfId="54531" xr:uid="{00000000-0005-0000-0000-0000D1D50000}"/>
    <cellStyle name="Total 3 4 10 4" xfId="54532" xr:uid="{00000000-0005-0000-0000-0000D2D50000}"/>
    <cellStyle name="Total 3 4 10 5" xfId="54533" xr:uid="{00000000-0005-0000-0000-0000D3D50000}"/>
    <cellStyle name="Total 3 4 11" xfId="54534" xr:uid="{00000000-0005-0000-0000-0000D4D50000}"/>
    <cellStyle name="Total 3 4 11 2" xfId="54535" xr:uid="{00000000-0005-0000-0000-0000D5D50000}"/>
    <cellStyle name="Total 3 4 11 2 2" xfId="54536" xr:uid="{00000000-0005-0000-0000-0000D6D50000}"/>
    <cellStyle name="Total 3 4 11 2 2 2" xfId="54537" xr:uid="{00000000-0005-0000-0000-0000D7D50000}"/>
    <cellStyle name="Total 3 4 11 2 2 3" xfId="54538" xr:uid="{00000000-0005-0000-0000-0000D8D50000}"/>
    <cellStyle name="Total 3 4 11 2 2 4" xfId="54539" xr:uid="{00000000-0005-0000-0000-0000D9D50000}"/>
    <cellStyle name="Total 3 4 11 2 3" xfId="54540" xr:uid="{00000000-0005-0000-0000-0000DAD50000}"/>
    <cellStyle name="Total 3 4 11 2 4" xfId="54541" xr:uid="{00000000-0005-0000-0000-0000DBD50000}"/>
    <cellStyle name="Total 3 4 11 2 5" xfId="54542" xr:uid="{00000000-0005-0000-0000-0000DCD50000}"/>
    <cellStyle name="Total 3 4 11 3" xfId="54543" xr:uid="{00000000-0005-0000-0000-0000DDD50000}"/>
    <cellStyle name="Total 3 4 11 3 2" xfId="54544" xr:uid="{00000000-0005-0000-0000-0000DED50000}"/>
    <cellStyle name="Total 3 4 11 3 2 2" xfId="54545" xr:uid="{00000000-0005-0000-0000-0000DFD50000}"/>
    <cellStyle name="Total 3 4 11 3 2 3" xfId="54546" xr:uid="{00000000-0005-0000-0000-0000E0D50000}"/>
    <cellStyle name="Total 3 4 11 3 2 4" xfId="54547" xr:uid="{00000000-0005-0000-0000-0000E1D50000}"/>
    <cellStyle name="Total 3 4 11 3 3" xfId="54548" xr:uid="{00000000-0005-0000-0000-0000E2D50000}"/>
    <cellStyle name="Total 3 4 11 3 3 2" xfId="54549" xr:uid="{00000000-0005-0000-0000-0000E3D50000}"/>
    <cellStyle name="Total 3 4 11 3 3 3" xfId="54550" xr:uid="{00000000-0005-0000-0000-0000E4D50000}"/>
    <cellStyle name="Total 3 4 11 3 3 4" xfId="54551" xr:uid="{00000000-0005-0000-0000-0000E5D50000}"/>
    <cellStyle name="Total 3 4 11 3 4" xfId="54552" xr:uid="{00000000-0005-0000-0000-0000E6D50000}"/>
    <cellStyle name="Total 3 4 11 3 5" xfId="54553" xr:uid="{00000000-0005-0000-0000-0000E7D50000}"/>
    <cellStyle name="Total 3 4 11 3 6" xfId="54554" xr:uid="{00000000-0005-0000-0000-0000E8D50000}"/>
    <cellStyle name="Total 3 4 11 4" xfId="54555" xr:uid="{00000000-0005-0000-0000-0000E9D50000}"/>
    <cellStyle name="Total 3 4 11 5" xfId="54556" xr:uid="{00000000-0005-0000-0000-0000EAD50000}"/>
    <cellStyle name="Total 3 4 12" xfId="54557" xr:uid="{00000000-0005-0000-0000-0000EBD50000}"/>
    <cellStyle name="Total 3 4 12 2" xfId="54558" xr:uid="{00000000-0005-0000-0000-0000ECD50000}"/>
    <cellStyle name="Total 3 4 12 2 2" xfId="54559" xr:uid="{00000000-0005-0000-0000-0000EDD50000}"/>
    <cellStyle name="Total 3 4 12 2 2 2" xfId="54560" xr:uid="{00000000-0005-0000-0000-0000EED50000}"/>
    <cellStyle name="Total 3 4 12 2 2 3" xfId="54561" xr:uid="{00000000-0005-0000-0000-0000EFD50000}"/>
    <cellStyle name="Total 3 4 12 2 2 4" xfId="54562" xr:uid="{00000000-0005-0000-0000-0000F0D50000}"/>
    <cellStyle name="Total 3 4 12 2 3" xfId="54563" xr:uid="{00000000-0005-0000-0000-0000F1D50000}"/>
    <cellStyle name="Total 3 4 12 2 3 2" xfId="54564" xr:uid="{00000000-0005-0000-0000-0000F2D50000}"/>
    <cellStyle name="Total 3 4 12 2 3 3" xfId="54565" xr:uid="{00000000-0005-0000-0000-0000F3D50000}"/>
    <cellStyle name="Total 3 4 12 2 3 4" xfId="54566" xr:uid="{00000000-0005-0000-0000-0000F4D50000}"/>
    <cellStyle name="Total 3 4 12 2 4" xfId="54567" xr:uid="{00000000-0005-0000-0000-0000F5D50000}"/>
    <cellStyle name="Total 3 4 12 2 5" xfId="54568" xr:uid="{00000000-0005-0000-0000-0000F6D50000}"/>
    <cellStyle name="Total 3 4 12 2 6" xfId="54569" xr:uid="{00000000-0005-0000-0000-0000F7D50000}"/>
    <cellStyle name="Total 3 4 12 3" xfId="54570" xr:uid="{00000000-0005-0000-0000-0000F8D50000}"/>
    <cellStyle name="Total 3 4 12 3 2" xfId="54571" xr:uid="{00000000-0005-0000-0000-0000F9D50000}"/>
    <cellStyle name="Total 3 4 12 3 2 2" xfId="54572" xr:uid="{00000000-0005-0000-0000-0000FAD50000}"/>
    <cellStyle name="Total 3 4 12 3 2 3" xfId="54573" xr:uid="{00000000-0005-0000-0000-0000FBD50000}"/>
    <cellStyle name="Total 3 4 12 3 2 4" xfId="54574" xr:uid="{00000000-0005-0000-0000-0000FCD50000}"/>
    <cellStyle name="Total 3 4 12 3 3" xfId="54575" xr:uid="{00000000-0005-0000-0000-0000FDD50000}"/>
    <cellStyle name="Total 3 4 12 3 3 2" xfId="54576" xr:uid="{00000000-0005-0000-0000-0000FED50000}"/>
    <cellStyle name="Total 3 4 12 3 3 3" xfId="54577" xr:uid="{00000000-0005-0000-0000-0000FFD50000}"/>
    <cellStyle name="Total 3 4 12 3 3 4" xfId="54578" xr:uid="{00000000-0005-0000-0000-000000D60000}"/>
    <cellStyle name="Total 3 4 12 3 4" xfId="54579" xr:uid="{00000000-0005-0000-0000-000001D60000}"/>
    <cellStyle name="Total 3 4 12 3 5" xfId="54580" xr:uid="{00000000-0005-0000-0000-000002D60000}"/>
    <cellStyle name="Total 3 4 12 3 6" xfId="54581" xr:uid="{00000000-0005-0000-0000-000003D60000}"/>
    <cellStyle name="Total 3 4 12 4" xfId="54582" xr:uid="{00000000-0005-0000-0000-000004D60000}"/>
    <cellStyle name="Total 3 4 12 5" xfId="54583" xr:uid="{00000000-0005-0000-0000-000005D60000}"/>
    <cellStyle name="Total 3 4 12 6" xfId="54584" xr:uid="{00000000-0005-0000-0000-000006D60000}"/>
    <cellStyle name="Total 3 4 13" xfId="54585" xr:uid="{00000000-0005-0000-0000-000007D60000}"/>
    <cellStyle name="Total 3 4 14" xfId="54586" xr:uid="{00000000-0005-0000-0000-000008D60000}"/>
    <cellStyle name="Total 3 4 15" xfId="58808" xr:uid="{00000000-0005-0000-0000-000009D60000}"/>
    <cellStyle name="Total 3 4 2" xfId="54587" xr:uid="{00000000-0005-0000-0000-00000AD60000}"/>
    <cellStyle name="Total 3 4 2 2" xfId="54588" xr:uid="{00000000-0005-0000-0000-00000BD60000}"/>
    <cellStyle name="Total 3 4 2 2 2" xfId="54589" xr:uid="{00000000-0005-0000-0000-00000CD60000}"/>
    <cellStyle name="Total 3 4 2 2 2 2" xfId="54590" xr:uid="{00000000-0005-0000-0000-00000DD60000}"/>
    <cellStyle name="Total 3 4 2 2 2 2 2" xfId="54591" xr:uid="{00000000-0005-0000-0000-00000ED60000}"/>
    <cellStyle name="Total 3 4 2 2 2 2 3" xfId="54592" xr:uid="{00000000-0005-0000-0000-00000FD60000}"/>
    <cellStyle name="Total 3 4 2 2 2 2 4" xfId="54593" xr:uid="{00000000-0005-0000-0000-000010D60000}"/>
    <cellStyle name="Total 3 4 2 2 2 3" xfId="54594" xr:uid="{00000000-0005-0000-0000-000011D60000}"/>
    <cellStyle name="Total 3 4 2 2 2 3 2" xfId="54595" xr:uid="{00000000-0005-0000-0000-000012D60000}"/>
    <cellStyle name="Total 3 4 2 2 2 3 3" xfId="54596" xr:uid="{00000000-0005-0000-0000-000013D60000}"/>
    <cellStyle name="Total 3 4 2 2 2 3 4" xfId="54597" xr:uid="{00000000-0005-0000-0000-000014D60000}"/>
    <cellStyle name="Total 3 4 2 2 2 4" xfId="54598" xr:uid="{00000000-0005-0000-0000-000015D60000}"/>
    <cellStyle name="Total 3 4 2 2 2 5" xfId="54599" xr:uid="{00000000-0005-0000-0000-000016D60000}"/>
    <cellStyle name="Total 3 4 2 2 2 6" xfId="54600" xr:uid="{00000000-0005-0000-0000-000017D60000}"/>
    <cellStyle name="Total 3 4 2 2 3" xfId="54601" xr:uid="{00000000-0005-0000-0000-000018D60000}"/>
    <cellStyle name="Total 3 4 2 2 3 2" xfId="54602" xr:uid="{00000000-0005-0000-0000-000019D60000}"/>
    <cellStyle name="Total 3 4 2 2 3 2 2" xfId="54603" xr:uid="{00000000-0005-0000-0000-00001AD60000}"/>
    <cellStyle name="Total 3 4 2 2 3 2 3" xfId="54604" xr:uid="{00000000-0005-0000-0000-00001BD60000}"/>
    <cellStyle name="Total 3 4 2 2 3 2 4" xfId="54605" xr:uid="{00000000-0005-0000-0000-00001CD60000}"/>
    <cellStyle name="Total 3 4 2 2 3 3" xfId="54606" xr:uid="{00000000-0005-0000-0000-00001DD60000}"/>
    <cellStyle name="Total 3 4 2 2 3 3 2" xfId="54607" xr:uid="{00000000-0005-0000-0000-00001ED60000}"/>
    <cellStyle name="Total 3 4 2 2 3 3 3" xfId="54608" xr:uid="{00000000-0005-0000-0000-00001FD60000}"/>
    <cellStyle name="Total 3 4 2 2 3 3 4" xfId="54609" xr:uid="{00000000-0005-0000-0000-000020D60000}"/>
    <cellStyle name="Total 3 4 2 2 3 4" xfId="54610" xr:uid="{00000000-0005-0000-0000-000021D60000}"/>
    <cellStyle name="Total 3 4 2 2 3 5" xfId="54611" xr:uid="{00000000-0005-0000-0000-000022D60000}"/>
    <cellStyle name="Total 3 4 2 2 3 6" xfId="54612" xr:uid="{00000000-0005-0000-0000-000023D60000}"/>
    <cellStyle name="Total 3 4 2 2 4" xfId="54613" xr:uid="{00000000-0005-0000-0000-000024D60000}"/>
    <cellStyle name="Total 3 4 2 2 5" xfId="54614" xr:uid="{00000000-0005-0000-0000-000025D60000}"/>
    <cellStyle name="Total 3 4 2 2 6" xfId="54615" xr:uid="{00000000-0005-0000-0000-000026D60000}"/>
    <cellStyle name="Total 3 4 2 3" xfId="54616" xr:uid="{00000000-0005-0000-0000-000027D60000}"/>
    <cellStyle name="Total 3 4 2 4" xfId="54617" xr:uid="{00000000-0005-0000-0000-000028D60000}"/>
    <cellStyle name="Total 3 4 3" xfId="54618" xr:uid="{00000000-0005-0000-0000-000029D60000}"/>
    <cellStyle name="Total 3 4 3 2" xfId="54619" xr:uid="{00000000-0005-0000-0000-00002AD60000}"/>
    <cellStyle name="Total 3 4 3 2 2" xfId="54620" xr:uid="{00000000-0005-0000-0000-00002BD60000}"/>
    <cellStyle name="Total 3 4 3 2 2 2" xfId="54621" xr:uid="{00000000-0005-0000-0000-00002CD60000}"/>
    <cellStyle name="Total 3 4 3 2 2 2 2" xfId="54622" xr:uid="{00000000-0005-0000-0000-00002DD60000}"/>
    <cellStyle name="Total 3 4 3 2 2 2 3" xfId="54623" xr:uid="{00000000-0005-0000-0000-00002ED60000}"/>
    <cellStyle name="Total 3 4 3 2 2 2 4" xfId="54624" xr:uid="{00000000-0005-0000-0000-00002FD60000}"/>
    <cellStyle name="Total 3 4 3 2 2 3" xfId="54625" xr:uid="{00000000-0005-0000-0000-000030D60000}"/>
    <cellStyle name="Total 3 4 3 2 2 3 2" xfId="54626" xr:uid="{00000000-0005-0000-0000-000031D60000}"/>
    <cellStyle name="Total 3 4 3 2 2 3 3" xfId="54627" xr:uid="{00000000-0005-0000-0000-000032D60000}"/>
    <cellStyle name="Total 3 4 3 2 2 3 4" xfId="54628" xr:uid="{00000000-0005-0000-0000-000033D60000}"/>
    <cellStyle name="Total 3 4 3 2 2 4" xfId="54629" xr:uid="{00000000-0005-0000-0000-000034D60000}"/>
    <cellStyle name="Total 3 4 3 2 2 5" xfId="54630" xr:uid="{00000000-0005-0000-0000-000035D60000}"/>
    <cellStyle name="Total 3 4 3 2 2 6" xfId="54631" xr:uid="{00000000-0005-0000-0000-000036D60000}"/>
    <cellStyle name="Total 3 4 3 2 3" xfId="54632" xr:uid="{00000000-0005-0000-0000-000037D60000}"/>
    <cellStyle name="Total 3 4 3 2 3 2" xfId="54633" xr:uid="{00000000-0005-0000-0000-000038D60000}"/>
    <cellStyle name="Total 3 4 3 2 3 2 2" xfId="54634" xr:uid="{00000000-0005-0000-0000-000039D60000}"/>
    <cellStyle name="Total 3 4 3 2 3 2 3" xfId="54635" xr:uid="{00000000-0005-0000-0000-00003AD60000}"/>
    <cellStyle name="Total 3 4 3 2 3 2 4" xfId="54636" xr:uid="{00000000-0005-0000-0000-00003BD60000}"/>
    <cellStyle name="Total 3 4 3 2 3 3" xfId="54637" xr:uid="{00000000-0005-0000-0000-00003CD60000}"/>
    <cellStyle name="Total 3 4 3 2 3 3 2" xfId="54638" xr:uid="{00000000-0005-0000-0000-00003DD60000}"/>
    <cellStyle name="Total 3 4 3 2 3 3 3" xfId="54639" xr:uid="{00000000-0005-0000-0000-00003ED60000}"/>
    <cellStyle name="Total 3 4 3 2 3 3 4" xfId="54640" xr:uid="{00000000-0005-0000-0000-00003FD60000}"/>
    <cellStyle name="Total 3 4 3 2 3 4" xfId="54641" xr:uid="{00000000-0005-0000-0000-000040D60000}"/>
    <cellStyle name="Total 3 4 3 2 3 5" xfId="54642" xr:uid="{00000000-0005-0000-0000-000041D60000}"/>
    <cellStyle name="Total 3 4 3 2 3 6" xfId="54643" xr:uid="{00000000-0005-0000-0000-000042D60000}"/>
    <cellStyle name="Total 3 4 3 2 4" xfId="54644" xr:uid="{00000000-0005-0000-0000-000043D60000}"/>
    <cellStyle name="Total 3 4 3 2 5" xfId="54645" xr:uid="{00000000-0005-0000-0000-000044D60000}"/>
    <cellStyle name="Total 3 4 3 2 6" xfId="54646" xr:uid="{00000000-0005-0000-0000-000045D60000}"/>
    <cellStyle name="Total 3 4 3 3" xfId="54647" xr:uid="{00000000-0005-0000-0000-000046D60000}"/>
    <cellStyle name="Total 3 4 3 4" xfId="54648" xr:uid="{00000000-0005-0000-0000-000047D60000}"/>
    <cellStyle name="Total 3 4 4" xfId="54649" xr:uid="{00000000-0005-0000-0000-000048D60000}"/>
    <cellStyle name="Total 3 4 4 2" xfId="54650" xr:uid="{00000000-0005-0000-0000-000049D60000}"/>
    <cellStyle name="Total 3 4 4 2 2" xfId="54651" xr:uid="{00000000-0005-0000-0000-00004AD60000}"/>
    <cellStyle name="Total 3 4 4 2 2 2" xfId="54652" xr:uid="{00000000-0005-0000-0000-00004BD60000}"/>
    <cellStyle name="Total 3 4 4 2 2 2 2" xfId="54653" xr:uid="{00000000-0005-0000-0000-00004CD60000}"/>
    <cellStyle name="Total 3 4 4 2 2 2 3" xfId="54654" xr:uid="{00000000-0005-0000-0000-00004DD60000}"/>
    <cellStyle name="Total 3 4 4 2 2 2 4" xfId="54655" xr:uid="{00000000-0005-0000-0000-00004ED60000}"/>
    <cellStyle name="Total 3 4 4 2 2 3" xfId="54656" xr:uid="{00000000-0005-0000-0000-00004FD60000}"/>
    <cellStyle name="Total 3 4 4 2 2 3 2" xfId="54657" xr:uid="{00000000-0005-0000-0000-000050D60000}"/>
    <cellStyle name="Total 3 4 4 2 2 3 3" xfId="54658" xr:uid="{00000000-0005-0000-0000-000051D60000}"/>
    <cellStyle name="Total 3 4 4 2 2 3 4" xfId="54659" xr:uid="{00000000-0005-0000-0000-000052D60000}"/>
    <cellStyle name="Total 3 4 4 2 2 4" xfId="54660" xr:uid="{00000000-0005-0000-0000-000053D60000}"/>
    <cellStyle name="Total 3 4 4 2 2 5" xfId="54661" xr:uid="{00000000-0005-0000-0000-000054D60000}"/>
    <cellStyle name="Total 3 4 4 2 2 6" xfId="54662" xr:uid="{00000000-0005-0000-0000-000055D60000}"/>
    <cellStyle name="Total 3 4 4 2 3" xfId="54663" xr:uid="{00000000-0005-0000-0000-000056D60000}"/>
    <cellStyle name="Total 3 4 4 2 3 2" xfId="54664" xr:uid="{00000000-0005-0000-0000-000057D60000}"/>
    <cellStyle name="Total 3 4 4 2 3 2 2" xfId="54665" xr:uid="{00000000-0005-0000-0000-000058D60000}"/>
    <cellStyle name="Total 3 4 4 2 3 2 3" xfId="54666" xr:uid="{00000000-0005-0000-0000-000059D60000}"/>
    <cellStyle name="Total 3 4 4 2 3 2 4" xfId="54667" xr:uid="{00000000-0005-0000-0000-00005AD60000}"/>
    <cellStyle name="Total 3 4 4 2 3 3" xfId="54668" xr:uid="{00000000-0005-0000-0000-00005BD60000}"/>
    <cellStyle name="Total 3 4 4 2 3 3 2" xfId="54669" xr:uid="{00000000-0005-0000-0000-00005CD60000}"/>
    <cellStyle name="Total 3 4 4 2 3 3 3" xfId="54670" xr:uid="{00000000-0005-0000-0000-00005DD60000}"/>
    <cellStyle name="Total 3 4 4 2 3 3 4" xfId="54671" xr:uid="{00000000-0005-0000-0000-00005ED60000}"/>
    <cellStyle name="Total 3 4 4 2 3 4" xfId="54672" xr:uid="{00000000-0005-0000-0000-00005FD60000}"/>
    <cellStyle name="Total 3 4 4 2 3 5" xfId="54673" xr:uid="{00000000-0005-0000-0000-000060D60000}"/>
    <cellStyle name="Total 3 4 4 2 3 6" xfId="54674" xr:uid="{00000000-0005-0000-0000-000061D60000}"/>
    <cellStyle name="Total 3 4 4 2 4" xfId="54675" xr:uid="{00000000-0005-0000-0000-000062D60000}"/>
    <cellStyle name="Total 3 4 4 2 5" xfId="54676" xr:uid="{00000000-0005-0000-0000-000063D60000}"/>
    <cellStyle name="Total 3 4 4 2 6" xfId="54677" xr:uid="{00000000-0005-0000-0000-000064D60000}"/>
    <cellStyle name="Total 3 4 4 3" xfId="54678" xr:uid="{00000000-0005-0000-0000-000065D60000}"/>
    <cellStyle name="Total 3 4 4 4" xfId="54679" xr:uid="{00000000-0005-0000-0000-000066D60000}"/>
    <cellStyle name="Total 3 4 5" xfId="54680" xr:uid="{00000000-0005-0000-0000-000067D60000}"/>
    <cellStyle name="Total 3 4 5 2" xfId="54681" xr:uid="{00000000-0005-0000-0000-000068D60000}"/>
    <cellStyle name="Total 3 4 5 2 2" xfId="54682" xr:uid="{00000000-0005-0000-0000-000069D60000}"/>
    <cellStyle name="Total 3 4 5 2 2 2" xfId="54683" xr:uid="{00000000-0005-0000-0000-00006AD60000}"/>
    <cellStyle name="Total 3 4 5 2 2 3" xfId="54684" xr:uid="{00000000-0005-0000-0000-00006BD60000}"/>
    <cellStyle name="Total 3 4 5 2 2 4" xfId="54685" xr:uid="{00000000-0005-0000-0000-00006CD60000}"/>
    <cellStyle name="Total 3 4 5 2 3" xfId="54686" xr:uid="{00000000-0005-0000-0000-00006DD60000}"/>
    <cellStyle name="Total 3 4 5 2 4" xfId="54687" xr:uid="{00000000-0005-0000-0000-00006ED60000}"/>
    <cellStyle name="Total 3 4 5 2 5" xfId="54688" xr:uid="{00000000-0005-0000-0000-00006FD60000}"/>
    <cellStyle name="Total 3 4 5 3" xfId="54689" xr:uid="{00000000-0005-0000-0000-000070D60000}"/>
    <cellStyle name="Total 3 4 5 3 2" xfId="54690" xr:uid="{00000000-0005-0000-0000-000071D60000}"/>
    <cellStyle name="Total 3 4 5 3 2 2" xfId="54691" xr:uid="{00000000-0005-0000-0000-000072D60000}"/>
    <cellStyle name="Total 3 4 5 3 2 3" xfId="54692" xr:uid="{00000000-0005-0000-0000-000073D60000}"/>
    <cellStyle name="Total 3 4 5 3 2 4" xfId="54693" xr:uid="{00000000-0005-0000-0000-000074D60000}"/>
    <cellStyle name="Total 3 4 5 3 3" xfId="54694" xr:uid="{00000000-0005-0000-0000-000075D60000}"/>
    <cellStyle name="Total 3 4 5 3 3 2" xfId="54695" xr:uid="{00000000-0005-0000-0000-000076D60000}"/>
    <cellStyle name="Total 3 4 5 3 3 3" xfId="54696" xr:uid="{00000000-0005-0000-0000-000077D60000}"/>
    <cellStyle name="Total 3 4 5 3 3 4" xfId="54697" xr:uid="{00000000-0005-0000-0000-000078D60000}"/>
    <cellStyle name="Total 3 4 5 3 4" xfId="54698" xr:uid="{00000000-0005-0000-0000-000079D60000}"/>
    <cellStyle name="Total 3 4 5 3 5" xfId="54699" xr:uid="{00000000-0005-0000-0000-00007AD60000}"/>
    <cellStyle name="Total 3 4 5 3 6" xfId="54700" xr:uid="{00000000-0005-0000-0000-00007BD60000}"/>
    <cellStyle name="Total 3 4 5 4" xfId="54701" xr:uid="{00000000-0005-0000-0000-00007CD60000}"/>
    <cellStyle name="Total 3 4 5 5" xfId="54702" xr:uid="{00000000-0005-0000-0000-00007DD60000}"/>
    <cellStyle name="Total 3 4 6" xfId="54703" xr:uid="{00000000-0005-0000-0000-00007ED60000}"/>
    <cellStyle name="Total 3 4 6 2" xfId="54704" xr:uid="{00000000-0005-0000-0000-00007FD60000}"/>
    <cellStyle name="Total 3 4 6 2 2" xfId="54705" xr:uid="{00000000-0005-0000-0000-000080D60000}"/>
    <cellStyle name="Total 3 4 6 2 2 2" xfId="54706" xr:uid="{00000000-0005-0000-0000-000081D60000}"/>
    <cellStyle name="Total 3 4 6 2 2 3" xfId="54707" xr:uid="{00000000-0005-0000-0000-000082D60000}"/>
    <cellStyle name="Total 3 4 6 2 2 4" xfId="54708" xr:uid="{00000000-0005-0000-0000-000083D60000}"/>
    <cellStyle name="Total 3 4 6 2 3" xfId="54709" xr:uid="{00000000-0005-0000-0000-000084D60000}"/>
    <cellStyle name="Total 3 4 6 2 4" xfId="54710" xr:uid="{00000000-0005-0000-0000-000085D60000}"/>
    <cellStyle name="Total 3 4 6 2 5" xfId="54711" xr:uid="{00000000-0005-0000-0000-000086D60000}"/>
    <cellStyle name="Total 3 4 6 3" xfId="54712" xr:uid="{00000000-0005-0000-0000-000087D60000}"/>
    <cellStyle name="Total 3 4 6 3 2" xfId="54713" xr:uid="{00000000-0005-0000-0000-000088D60000}"/>
    <cellStyle name="Total 3 4 6 3 2 2" xfId="54714" xr:uid="{00000000-0005-0000-0000-000089D60000}"/>
    <cellStyle name="Total 3 4 6 3 2 3" xfId="54715" xr:uid="{00000000-0005-0000-0000-00008AD60000}"/>
    <cellStyle name="Total 3 4 6 3 2 4" xfId="54716" xr:uid="{00000000-0005-0000-0000-00008BD60000}"/>
    <cellStyle name="Total 3 4 6 3 3" xfId="54717" xr:uid="{00000000-0005-0000-0000-00008CD60000}"/>
    <cellStyle name="Total 3 4 6 3 3 2" xfId="54718" xr:uid="{00000000-0005-0000-0000-00008DD60000}"/>
    <cellStyle name="Total 3 4 6 3 3 3" xfId="54719" xr:uid="{00000000-0005-0000-0000-00008ED60000}"/>
    <cellStyle name="Total 3 4 6 3 3 4" xfId="54720" xr:uid="{00000000-0005-0000-0000-00008FD60000}"/>
    <cellStyle name="Total 3 4 6 3 4" xfId="54721" xr:uid="{00000000-0005-0000-0000-000090D60000}"/>
    <cellStyle name="Total 3 4 6 3 5" xfId="54722" xr:uid="{00000000-0005-0000-0000-000091D60000}"/>
    <cellStyle name="Total 3 4 6 3 6" xfId="54723" xr:uid="{00000000-0005-0000-0000-000092D60000}"/>
    <cellStyle name="Total 3 4 6 4" xfId="54724" xr:uid="{00000000-0005-0000-0000-000093D60000}"/>
    <cellStyle name="Total 3 4 6 5" xfId="54725" xr:uid="{00000000-0005-0000-0000-000094D60000}"/>
    <cellStyle name="Total 3 4 7" xfId="54726" xr:uid="{00000000-0005-0000-0000-000095D60000}"/>
    <cellStyle name="Total 3 4 7 2" xfId="54727" xr:uid="{00000000-0005-0000-0000-000096D60000}"/>
    <cellStyle name="Total 3 4 7 2 2" xfId="54728" xr:uid="{00000000-0005-0000-0000-000097D60000}"/>
    <cellStyle name="Total 3 4 7 2 2 2" xfId="54729" xr:uid="{00000000-0005-0000-0000-000098D60000}"/>
    <cellStyle name="Total 3 4 7 2 2 3" xfId="54730" xr:uid="{00000000-0005-0000-0000-000099D60000}"/>
    <cellStyle name="Total 3 4 7 2 2 4" xfId="54731" xr:uid="{00000000-0005-0000-0000-00009AD60000}"/>
    <cellStyle name="Total 3 4 7 2 3" xfId="54732" xr:uid="{00000000-0005-0000-0000-00009BD60000}"/>
    <cellStyle name="Total 3 4 7 2 4" xfId="54733" xr:uid="{00000000-0005-0000-0000-00009CD60000}"/>
    <cellStyle name="Total 3 4 7 2 5" xfId="54734" xr:uid="{00000000-0005-0000-0000-00009DD60000}"/>
    <cellStyle name="Total 3 4 7 3" xfId="54735" xr:uid="{00000000-0005-0000-0000-00009ED60000}"/>
    <cellStyle name="Total 3 4 7 3 2" xfId="54736" xr:uid="{00000000-0005-0000-0000-00009FD60000}"/>
    <cellStyle name="Total 3 4 7 3 2 2" xfId="54737" xr:uid="{00000000-0005-0000-0000-0000A0D60000}"/>
    <cellStyle name="Total 3 4 7 3 2 3" xfId="54738" xr:uid="{00000000-0005-0000-0000-0000A1D60000}"/>
    <cellStyle name="Total 3 4 7 3 2 4" xfId="54739" xr:uid="{00000000-0005-0000-0000-0000A2D60000}"/>
    <cellStyle name="Total 3 4 7 3 3" xfId="54740" xr:uid="{00000000-0005-0000-0000-0000A3D60000}"/>
    <cellStyle name="Total 3 4 7 3 3 2" xfId="54741" xr:uid="{00000000-0005-0000-0000-0000A4D60000}"/>
    <cellStyle name="Total 3 4 7 3 3 3" xfId="54742" xr:uid="{00000000-0005-0000-0000-0000A5D60000}"/>
    <cellStyle name="Total 3 4 7 3 3 4" xfId="54743" xr:uid="{00000000-0005-0000-0000-0000A6D60000}"/>
    <cellStyle name="Total 3 4 7 3 4" xfId="54744" xr:uid="{00000000-0005-0000-0000-0000A7D60000}"/>
    <cellStyle name="Total 3 4 7 3 5" xfId="54745" xr:uid="{00000000-0005-0000-0000-0000A8D60000}"/>
    <cellStyle name="Total 3 4 7 3 6" xfId="54746" xr:uid="{00000000-0005-0000-0000-0000A9D60000}"/>
    <cellStyle name="Total 3 4 7 4" xfId="54747" xr:uid="{00000000-0005-0000-0000-0000AAD60000}"/>
    <cellStyle name="Total 3 4 7 5" xfId="54748" xr:uid="{00000000-0005-0000-0000-0000ABD60000}"/>
    <cellStyle name="Total 3 4 8" xfId="54749" xr:uid="{00000000-0005-0000-0000-0000ACD60000}"/>
    <cellStyle name="Total 3 4 8 2" xfId="54750" xr:uid="{00000000-0005-0000-0000-0000ADD60000}"/>
    <cellStyle name="Total 3 4 8 2 2" xfId="54751" xr:uid="{00000000-0005-0000-0000-0000AED60000}"/>
    <cellStyle name="Total 3 4 8 2 2 2" xfId="54752" xr:uid="{00000000-0005-0000-0000-0000AFD60000}"/>
    <cellStyle name="Total 3 4 8 2 2 3" xfId="54753" xr:uid="{00000000-0005-0000-0000-0000B0D60000}"/>
    <cellStyle name="Total 3 4 8 2 2 4" xfId="54754" xr:uid="{00000000-0005-0000-0000-0000B1D60000}"/>
    <cellStyle name="Total 3 4 8 2 3" xfId="54755" xr:uid="{00000000-0005-0000-0000-0000B2D60000}"/>
    <cellStyle name="Total 3 4 8 2 4" xfId="54756" xr:uid="{00000000-0005-0000-0000-0000B3D60000}"/>
    <cellStyle name="Total 3 4 8 2 5" xfId="54757" xr:uid="{00000000-0005-0000-0000-0000B4D60000}"/>
    <cellStyle name="Total 3 4 8 3" xfId="54758" xr:uid="{00000000-0005-0000-0000-0000B5D60000}"/>
    <cellStyle name="Total 3 4 8 3 2" xfId="54759" xr:uid="{00000000-0005-0000-0000-0000B6D60000}"/>
    <cellStyle name="Total 3 4 8 3 2 2" xfId="54760" xr:uid="{00000000-0005-0000-0000-0000B7D60000}"/>
    <cellStyle name="Total 3 4 8 3 2 3" xfId="54761" xr:uid="{00000000-0005-0000-0000-0000B8D60000}"/>
    <cellStyle name="Total 3 4 8 3 2 4" xfId="54762" xr:uid="{00000000-0005-0000-0000-0000B9D60000}"/>
    <cellStyle name="Total 3 4 8 3 3" xfId="54763" xr:uid="{00000000-0005-0000-0000-0000BAD60000}"/>
    <cellStyle name="Total 3 4 8 3 3 2" xfId="54764" xr:uid="{00000000-0005-0000-0000-0000BBD60000}"/>
    <cellStyle name="Total 3 4 8 3 3 3" xfId="54765" xr:uid="{00000000-0005-0000-0000-0000BCD60000}"/>
    <cellStyle name="Total 3 4 8 3 3 4" xfId="54766" xr:uid="{00000000-0005-0000-0000-0000BDD60000}"/>
    <cellStyle name="Total 3 4 8 3 4" xfId="54767" xr:uid="{00000000-0005-0000-0000-0000BED60000}"/>
    <cellStyle name="Total 3 4 8 3 5" xfId="54768" xr:uid="{00000000-0005-0000-0000-0000BFD60000}"/>
    <cellStyle name="Total 3 4 8 3 6" xfId="54769" xr:uid="{00000000-0005-0000-0000-0000C0D60000}"/>
    <cellStyle name="Total 3 4 8 4" xfId="54770" xr:uid="{00000000-0005-0000-0000-0000C1D60000}"/>
    <cellStyle name="Total 3 4 8 5" xfId="54771" xr:uid="{00000000-0005-0000-0000-0000C2D60000}"/>
    <cellStyle name="Total 3 4 9" xfId="54772" xr:uid="{00000000-0005-0000-0000-0000C3D60000}"/>
    <cellStyle name="Total 3 4 9 2" xfId="54773" xr:uid="{00000000-0005-0000-0000-0000C4D60000}"/>
    <cellStyle name="Total 3 4 9 2 2" xfId="54774" xr:uid="{00000000-0005-0000-0000-0000C5D60000}"/>
    <cellStyle name="Total 3 4 9 2 2 2" xfId="54775" xr:uid="{00000000-0005-0000-0000-0000C6D60000}"/>
    <cellStyle name="Total 3 4 9 2 2 3" xfId="54776" xr:uid="{00000000-0005-0000-0000-0000C7D60000}"/>
    <cellStyle name="Total 3 4 9 2 2 4" xfId="54777" xr:uid="{00000000-0005-0000-0000-0000C8D60000}"/>
    <cellStyle name="Total 3 4 9 2 3" xfId="54778" xr:uid="{00000000-0005-0000-0000-0000C9D60000}"/>
    <cellStyle name="Total 3 4 9 2 4" xfId="54779" xr:uid="{00000000-0005-0000-0000-0000CAD60000}"/>
    <cellStyle name="Total 3 4 9 2 5" xfId="54780" xr:uid="{00000000-0005-0000-0000-0000CBD60000}"/>
    <cellStyle name="Total 3 4 9 3" xfId="54781" xr:uid="{00000000-0005-0000-0000-0000CCD60000}"/>
    <cellStyle name="Total 3 4 9 3 2" xfId="54782" xr:uid="{00000000-0005-0000-0000-0000CDD60000}"/>
    <cellStyle name="Total 3 4 9 3 2 2" xfId="54783" xr:uid="{00000000-0005-0000-0000-0000CED60000}"/>
    <cellStyle name="Total 3 4 9 3 2 3" xfId="54784" xr:uid="{00000000-0005-0000-0000-0000CFD60000}"/>
    <cellStyle name="Total 3 4 9 3 2 4" xfId="54785" xr:uid="{00000000-0005-0000-0000-0000D0D60000}"/>
    <cellStyle name="Total 3 4 9 3 3" xfId="54786" xr:uid="{00000000-0005-0000-0000-0000D1D60000}"/>
    <cellStyle name="Total 3 4 9 3 3 2" xfId="54787" xr:uid="{00000000-0005-0000-0000-0000D2D60000}"/>
    <cellStyle name="Total 3 4 9 3 3 3" xfId="54788" xr:uid="{00000000-0005-0000-0000-0000D3D60000}"/>
    <cellStyle name="Total 3 4 9 3 3 4" xfId="54789" xr:uid="{00000000-0005-0000-0000-0000D4D60000}"/>
    <cellStyle name="Total 3 4 9 3 4" xfId="54790" xr:uid="{00000000-0005-0000-0000-0000D5D60000}"/>
    <cellStyle name="Total 3 4 9 3 5" xfId="54791" xr:uid="{00000000-0005-0000-0000-0000D6D60000}"/>
    <cellStyle name="Total 3 4 9 3 6" xfId="54792" xr:uid="{00000000-0005-0000-0000-0000D7D60000}"/>
    <cellStyle name="Total 3 4 9 4" xfId="54793" xr:uid="{00000000-0005-0000-0000-0000D8D60000}"/>
    <cellStyle name="Total 3 4 9 5" xfId="54794" xr:uid="{00000000-0005-0000-0000-0000D9D60000}"/>
    <cellStyle name="Total 3 5" xfId="54795" xr:uid="{00000000-0005-0000-0000-0000DAD60000}"/>
    <cellStyle name="Total 3 5 2" xfId="54796" xr:uid="{00000000-0005-0000-0000-0000DBD60000}"/>
    <cellStyle name="Total 3 5 2 2" xfId="54797" xr:uid="{00000000-0005-0000-0000-0000DCD60000}"/>
    <cellStyle name="Total 3 5 2 2 2" xfId="54798" xr:uid="{00000000-0005-0000-0000-0000DDD60000}"/>
    <cellStyle name="Total 3 5 2 2 3" xfId="54799" xr:uid="{00000000-0005-0000-0000-0000DED60000}"/>
    <cellStyle name="Total 3 5 2 2 4" xfId="54800" xr:uid="{00000000-0005-0000-0000-0000DFD60000}"/>
    <cellStyle name="Total 3 5 2 3" xfId="54801" xr:uid="{00000000-0005-0000-0000-0000E0D60000}"/>
    <cellStyle name="Total 3 5 2 4" xfId="54802" xr:uid="{00000000-0005-0000-0000-0000E1D60000}"/>
    <cellStyle name="Total 3 5 2 5" xfId="54803" xr:uid="{00000000-0005-0000-0000-0000E2D60000}"/>
    <cellStyle name="Total 3 5 3" xfId="54804" xr:uid="{00000000-0005-0000-0000-0000E3D60000}"/>
    <cellStyle name="Total 3 5 3 2" xfId="54805" xr:uid="{00000000-0005-0000-0000-0000E4D60000}"/>
    <cellStyle name="Total 3 5 3 2 2" xfId="54806" xr:uid="{00000000-0005-0000-0000-0000E5D60000}"/>
    <cellStyle name="Total 3 5 3 2 3" xfId="54807" xr:uid="{00000000-0005-0000-0000-0000E6D60000}"/>
    <cellStyle name="Total 3 5 3 2 4" xfId="54808" xr:uid="{00000000-0005-0000-0000-0000E7D60000}"/>
    <cellStyle name="Total 3 5 3 3" xfId="54809" xr:uid="{00000000-0005-0000-0000-0000E8D60000}"/>
    <cellStyle name="Total 3 5 3 3 2" xfId="54810" xr:uid="{00000000-0005-0000-0000-0000E9D60000}"/>
    <cellStyle name="Total 3 5 3 3 3" xfId="54811" xr:uid="{00000000-0005-0000-0000-0000EAD60000}"/>
    <cellStyle name="Total 3 5 3 3 4" xfId="54812" xr:uid="{00000000-0005-0000-0000-0000EBD60000}"/>
    <cellStyle name="Total 3 5 3 4" xfId="54813" xr:uid="{00000000-0005-0000-0000-0000ECD60000}"/>
    <cellStyle name="Total 3 5 3 5" xfId="54814" xr:uid="{00000000-0005-0000-0000-0000EDD60000}"/>
    <cellStyle name="Total 3 5 3 6" xfId="54815" xr:uid="{00000000-0005-0000-0000-0000EED60000}"/>
    <cellStyle name="Total 3 5 4" xfId="54816" xr:uid="{00000000-0005-0000-0000-0000EFD60000}"/>
    <cellStyle name="Total 3 5 5" xfId="54817" xr:uid="{00000000-0005-0000-0000-0000F0D60000}"/>
    <cellStyle name="Total 3 6" xfId="54818" xr:uid="{00000000-0005-0000-0000-0000F1D60000}"/>
    <cellStyle name="Total 3 6 2" xfId="54819" xr:uid="{00000000-0005-0000-0000-0000F2D60000}"/>
    <cellStyle name="Total 3 6 2 2" xfId="54820" xr:uid="{00000000-0005-0000-0000-0000F3D60000}"/>
    <cellStyle name="Total 3 6 2 2 2" xfId="54821" xr:uid="{00000000-0005-0000-0000-0000F4D60000}"/>
    <cellStyle name="Total 3 6 2 2 3" xfId="54822" xr:uid="{00000000-0005-0000-0000-0000F5D60000}"/>
    <cellStyle name="Total 3 6 2 2 4" xfId="54823" xr:uid="{00000000-0005-0000-0000-0000F6D60000}"/>
    <cellStyle name="Total 3 6 2 3" xfId="54824" xr:uid="{00000000-0005-0000-0000-0000F7D60000}"/>
    <cellStyle name="Total 3 6 2 3 2" xfId="54825" xr:uid="{00000000-0005-0000-0000-0000F8D60000}"/>
    <cellStyle name="Total 3 6 2 3 3" xfId="54826" xr:uid="{00000000-0005-0000-0000-0000F9D60000}"/>
    <cellStyle name="Total 3 6 2 3 4" xfId="54827" xr:uid="{00000000-0005-0000-0000-0000FAD60000}"/>
    <cellStyle name="Total 3 6 2 4" xfId="54828" xr:uid="{00000000-0005-0000-0000-0000FBD60000}"/>
    <cellStyle name="Total 3 6 2 5" xfId="54829" xr:uid="{00000000-0005-0000-0000-0000FCD60000}"/>
    <cellStyle name="Total 3 6 2 6" xfId="54830" xr:uid="{00000000-0005-0000-0000-0000FDD60000}"/>
    <cellStyle name="Total 3 6 3" xfId="54831" xr:uid="{00000000-0005-0000-0000-0000FED60000}"/>
    <cellStyle name="Total 3 6 3 2" xfId="54832" xr:uid="{00000000-0005-0000-0000-0000FFD60000}"/>
    <cellStyle name="Total 3 6 3 2 2" xfId="54833" xr:uid="{00000000-0005-0000-0000-000000D70000}"/>
    <cellStyle name="Total 3 6 3 2 3" xfId="54834" xr:uid="{00000000-0005-0000-0000-000001D70000}"/>
    <cellStyle name="Total 3 6 3 2 4" xfId="54835" xr:uid="{00000000-0005-0000-0000-000002D70000}"/>
    <cellStyle name="Total 3 6 3 3" xfId="54836" xr:uid="{00000000-0005-0000-0000-000003D70000}"/>
    <cellStyle name="Total 3 6 3 3 2" xfId="54837" xr:uid="{00000000-0005-0000-0000-000004D70000}"/>
    <cellStyle name="Total 3 6 3 3 3" xfId="54838" xr:uid="{00000000-0005-0000-0000-000005D70000}"/>
    <cellStyle name="Total 3 6 3 3 4" xfId="54839" xr:uid="{00000000-0005-0000-0000-000006D70000}"/>
    <cellStyle name="Total 3 6 3 4" xfId="54840" xr:uid="{00000000-0005-0000-0000-000007D70000}"/>
    <cellStyle name="Total 3 6 3 5" xfId="54841" xr:uid="{00000000-0005-0000-0000-000008D70000}"/>
    <cellStyle name="Total 3 6 3 6" xfId="54842" xr:uid="{00000000-0005-0000-0000-000009D70000}"/>
    <cellStyle name="Total 3 6 4" xfId="54843" xr:uid="{00000000-0005-0000-0000-00000AD70000}"/>
    <cellStyle name="Total 3 6 5" xfId="54844" xr:uid="{00000000-0005-0000-0000-00000BD70000}"/>
    <cellStyle name="Total 3 6 6" xfId="54845" xr:uid="{00000000-0005-0000-0000-00000CD70000}"/>
    <cellStyle name="Total 3 7" xfId="54846" xr:uid="{00000000-0005-0000-0000-00000DD70000}"/>
    <cellStyle name="Total 3 8" xfId="54847" xr:uid="{00000000-0005-0000-0000-00000ED70000}"/>
    <cellStyle name="Total 4" xfId="54848" xr:uid="{00000000-0005-0000-0000-00000FD70000}"/>
    <cellStyle name="Total 4 2" xfId="54849" xr:uid="{00000000-0005-0000-0000-000010D70000}"/>
    <cellStyle name="Total 4 2 2" xfId="54850" xr:uid="{00000000-0005-0000-0000-000011D70000}"/>
    <cellStyle name="Total 4 2 2 10" xfId="54851" xr:uid="{00000000-0005-0000-0000-000012D70000}"/>
    <cellStyle name="Total 4 2 2 10 2" xfId="54852" xr:uid="{00000000-0005-0000-0000-000013D70000}"/>
    <cellStyle name="Total 4 2 2 10 2 2" xfId="54853" xr:uid="{00000000-0005-0000-0000-000014D70000}"/>
    <cellStyle name="Total 4 2 2 10 2 2 2" xfId="54854" xr:uid="{00000000-0005-0000-0000-000015D70000}"/>
    <cellStyle name="Total 4 2 2 10 2 2 3" xfId="54855" xr:uid="{00000000-0005-0000-0000-000016D70000}"/>
    <cellStyle name="Total 4 2 2 10 2 2 4" xfId="54856" xr:uid="{00000000-0005-0000-0000-000017D70000}"/>
    <cellStyle name="Total 4 2 2 10 2 3" xfId="54857" xr:uid="{00000000-0005-0000-0000-000018D70000}"/>
    <cellStyle name="Total 4 2 2 10 2 4" xfId="54858" xr:uid="{00000000-0005-0000-0000-000019D70000}"/>
    <cellStyle name="Total 4 2 2 10 2 5" xfId="54859" xr:uid="{00000000-0005-0000-0000-00001AD70000}"/>
    <cellStyle name="Total 4 2 2 10 3" xfId="54860" xr:uid="{00000000-0005-0000-0000-00001BD70000}"/>
    <cellStyle name="Total 4 2 2 10 3 2" xfId="54861" xr:uid="{00000000-0005-0000-0000-00001CD70000}"/>
    <cellStyle name="Total 4 2 2 10 3 2 2" xfId="54862" xr:uid="{00000000-0005-0000-0000-00001DD70000}"/>
    <cellStyle name="Total 4 2 2 10 3 2 3" xfId="54863" xr:uid="{00000000-0005-0000-0000-00001ED70000}"/>
    <cellStyle name="Total 4 2 2 10 3 2 4" xfId="54864" xr:uid="{00000000-0005-0000-0000-00001FD70000}"/>
    <cellStyle name="Total 4 2 2 10 3 3" xfId="54865" xr:uid="{00000000-0005-0000-0000-000020D70000}"/>
    <cellStyle name="Total 4 2 2 10 3 3 2" xfId="54866" xr:uid="{00000000-0005-0000-0000-000021D70000}"/>
    <cellStyle name="Total 4 2 2 10 3 3 3" xfId="54867" xr:uid="{00000000-0005-0000-0000-000022D70000}"/>
    <cellStyle name="Total 4 2 2 10 3 3 4" xfId="54868" xr:uid="{00000000-0005-0000-0000-000023D70000}"/>
    <cellStyle name="Total 4 2 2 10 3 4" xfId="54869" xr:uid="{00000000-0005-0000-0000-000024D70000}"/>
    <cellStyle name="Total 4 2 2 10 3 5" xfId="54870" xr:uid="{00000000-0005-0000-0000-000025D70000}"/>
    <cellStyle name="Total 4 2 2 10 3 6" xfId="54871" xr:uid="{00000000-0005-0000-0000-000026D70000}"/>
    <cellStyle name="Total 4 2 2 10 4" xfId="54872" xr:uid="{00000000-0005-0000-0000-000027D70000}"/>
    <cellStyle name="Total 4 2 2 10 5" xfId="54873" xr:uid="{00000000-0005-0000-0000-000028D70000}"/>
    <cellStyle name="Total 4 2 2 11" xfId="54874" xr:uid="{00000000-0005-0000-0000-000029D70000}"/>
    <cellStyle name="Total 4 2 2 11 2" xfId="54875" xr:uid="{00000000-0005-0000-0000-00002AD70000}"/>
    <cellStyle name="Total 4 2 2 11 2 2" xfId="54876" xr:uid="{00000000-0005-0000-0000-00002BD70000}"/>
    <cellStyle name="Total 4 2 2 11 2 2 2" xfId="54877" xr:uid="{00000000-0005-0000-0000-00002CD70000}"/>
    <cellStyle name="Total 4 2 2 11 2 2 3" xfId="54878" xr:uid="{00000000-0005-0000-0000-00002DD70000}"/>
    <cellStyle name="Total 4 2 2 11 2 2 4" xfId="54879" xr:uid="{00000000-0005-0000-0000-00002ED70000}"/>
    <cellStyle name="Total 4 2 2 11 2 3" xfId="54880" xr:uid="{00000000-0005-0000-0000-00002FD70000}"/>
    <cellStyle name="Total 4 2 2 11 2 4" xfId="54881" xr:uid="{00000000-0005-0000-0000-000030D70000}"/>
    <cellStyle name="Total 4 2 2 11 2 5" xfId="54882" xr:uid="{00000000-0005-0000-0000-000031D70000}"/>
    <cellStyle name="Total 4 2 2 11 3" xfId="54883" xr:uid="{00000000-0005-0000-0000-000032D70000}"/>
    <cellStyle name="Total 4 2 2 11 3 2" xfId="54884" xr:uid="{00000000-0005-0000-0000-000033D70000}"/>
    <cellStyle name="Total 4 2 2 11 3 2 2" xfId="54885" xr:uid="{00000000-0005-0000-0000-000034D70000}"/>
    <cellStyle name="Total 4 2 2 11 3 2 3" xfId="54886" xr:uid="{00000000-0005-0000-0000-000035D70000}"/>
    <cellStyle name="Total 4 2 2 11 3 2 4" xfId="54887" xr:uid="{00000000-0005-0000-0000-000036D70000}"/>
    <cellStyle name="Total 4 2 2 11 3 3" xfId="54888" xr:uid="{00000000-0005-0000-0000-000037D70000}"/>
    <cellStyle name="Total 4 2 2 11 3 3 2" xfId="54889" xr:uid="{00000000-0005-0000-0000-000038D70000}"/>
    <cellStyle name="Total 4 2 2 11 3 3 3" xfId="54890" xr:uid="{00000000-0005-0000-0000-000039D70000}"/>
    <cellStyle name="Total 4 2 2 11 3 3 4" xfId="54891" xr:uid="{00000000-0005-0000-0000-00003AD70000}"/>
    <cellStyle name="Total 4 2 2 11 3 4" xfId="54892" xr:uid="{00000000-0005-0000-0000-00003BD70000}"/>
    <cellStyle name="Total 4 2 2 11 3 5" xfId="54893" xr:uid="{00000000-0005-0000-0000-00003CD70000}"/>
    <cellStyle name="Total 4 2 2 11 3 6" xfId="54894" xr:uid="{00000000-0005-0000-0000-00003DD70000}"/>
    <cellStyle name="Total 4 2 2 11 4" xfId="54895" xr:uid="{00000000-0005-0000-0000-00003ED70000}"/>
    <cellStyle name="Total 4 2 2 11 5" xfId="54896" xr:uid="{00000000-0005-0000-0000-00003FD70000}"/>
    <cellStyle name="Total 4 2 2 12" xfId="54897" xr:uid="{00000000-0005-0000-0000-000040D70000}"/>
    <cellStyle name="Total 4 2 2 12 2" xfId="54898" xr:uid="{00000000-0005-0000-0000-000041D70000}"/>
    <cellStyle name="Total 4 2 2 12 2 2" xfId="54899" xr:uid="{00000000-0005-0000-0000-000042D70000}"/>
    <cellStyle name="Total 4 2 2 12 2 2 2" xfId="54900" xr:uid="{00000000-0005-0000-0000-000043D70000}"/>
    <cellStyle name="Total 4 2 2 12 2 2 3" xfId="54901" xr:uid="{00000000-0005-0000-0000-000044D70000}"/>
    <cellStyle name="Total 4 2 2 12 2 2 4" xfId="54902" xr:uid="{00000000-0005-0000-0000-000045D70000}"/>
    <cellStyle name="Total 4 2 2 12 2 3" xfId="54903" xr:uid="{00000000-0005-0000-0000-000046D70000}"/>
    <cellStyle name="Total 4 2 2 12 2 3 2" xfId="54904" xr:uid="{00000000-0005-0000-0000-000047D70000}"/>
    <cellStyle name="Total 4 2 2 12 2 3 3" xfId="54905" xr:uid="{00000000-0005-0000-0000-000048D70000}"/>
    <cellStyle name="Total 4 2 2 12 2 3 4" xfId="54906" xr:uid="{00000000-0005-0000-0000-000049D70000}"/>
    <cellStyle name="Total 4 2 2 12 2 4" xfId="54907" xr:uid="{00000000-0005-0000-0000-00004AD70000}"/>
    <cellStyle name="Total 4 2 2 12 2 5" xfId="54908" xr:uid="{00000000-0005-0000-0000-00004BD70000}"/>
    <cellStyle name="Total 4 2 2 12 2 6" xfId="54909" xr:uid="{00000000-0005-0000-0000-00004CD70000}"/>
    <cellStyle name="Total 4 2 2 12 3" xfId="54910" xr:uid="{00000000-0005-0000-0000-00004DD70000}"/>
    <cellStyle name="Total 4 2 2 12 3 2" xfId="54911" xr:uid="{00000000-0005-0000-0000-00004ED70000}"/>
    <cellStyle name="Total 4 2 2 12 3 2 2" xfId="54912" xr:uid="{00000000-0005-0000-0000-00004FD70000}"/>
    <cellStyle name="Total 4 2 2 12 3 2 3" xfId="54913" xr:uid="{00000000-0005-0000-0000-000050D70000}"/>
    <cellStyle name="Total 4 2 2 12 3 2 4" xfId="54914" xr:uid="{00000000-0005-0000-0000-000051D70000}"/>
    <cellStyle name="Total 4 2 2 12 3 3" xfId="54915" xr:uid="{00000000-0005-0000-0000-000052D70000}"/>
    <cellStyle name="Total 4 2 2 12 3 3 2" xfId="54916" xr:uid="{00000000-0005-0000-0000-000053D70000}"/>
    <cellStyle name="Total 4 2 2 12 3 3 3" xfId="54917" xr:uid="{00000000-0005-0000-0000-000054D70000}"/>
    <cellStyle name="Total 4 2 2 12 3 3 4" xfId="54918" xr:uid="{00000000-0005-0000-0000-000055D70000}"/>
    <cellStyle name="Total 4 2 2 12 3 4" xfId="54919" xr:uid="{00000000-0005-0000-0000-000056D70000}"/>
    <cellStyle name="Total 4 2 2 12 3 5" xfId="54920" xr:uid="{00000000-0005-0000-0000-000057D70000}"/>
    <cellStyle name="Total 4 2 2 12 3 6" xfId="54921" xr:uid="{00000000-0005-0000-0000-000058D70000}"/>
    <cellStyle name="Total 4 2 2 12 4" xfId="54922" xr:uid="{00000000-0005-0000-0000-000059D70000}"/>
    <cellStyle name="Total 4 2 2 12 5" xfId="54923" xr:uid="{00000000-0005-0000-0000-00005AD70000}"/>
    <cellStyle name="Total 4 2 2 12 6" xfId="54924" xr:uid="{00000000-0005-0000-0000-00005BD70000}"/>
    <cellStyle name="Total 4 2 2 13" xfId="54925" xr:uid="{00000000-0005-0000-0000-00005CD70000}"/>
    <cellStyle name="Total 4 2 2 14" xfId="54926" xr:uid="{00000000-0005-0000-0000-00005DD70000}"/>
    <cellStyle name="Total 4 2 2 15" xfId="58809" xr:uid="{00000000-0005-0000-0000-00005ED70000}"/>
    <cellStyle name="Total 4 2 2 2" xfId="54927" xr:uid="{00000000-0005-0000-0000-00005FD70000}"/>
    <cellStyle name="Total 4 2 2 2 2" xfId="54928" xr:uid="{00000000-0005-0000-0000-000060D70000}"/>
    <cellStyle name="Total 4 2 2 2 2 2" xfId="54929" xr:uid="{00000000-0005-0000-0000-000061D70000}"/>
    <cellStyle name="Total 4 2 2 2 2 2 2" xfId="54930" xr:uid="{00000000-0005-0000-0000-000062D70000}"/>
    <cellStyle name="Total 4 2 2 2 2 2 2 2" xfId="54931" xr:uid="{00000000-0005-0000-0000-000063D70000}"/>
    <cellStyle name="Total 4 2 2 2 2 2 2 3" xfId="54932" xr:uid="{00000000-0005-0000-0000-000064D70000}"/>
    <cellStyle name="Total 4 2 2 2 2 2 2 4" xfId="54933" xr:uid="{00000000-0005-0000-0000-000065D70000}"/>
    <cellStyle name="Total 4 2 2 2 2 2 3" xfId="54934" xr:uid="{00000000-0005-0000-0000-000066D70000}"/>
    <cellStyle name="Total 4 2 2 2 2 2 3 2" xfId="54935" xr:uid="{00000000-0005-0000-0000-000067D70000}"/>
    <cellStyle name="Total 4 2 2 2 2 2 3 3" xfId="54936" xr:uid="{00000000-0005-0000-0000-000068D70000}"/>
    <cellStyle name="Total 4 2 2 2 2 2 3 4" xfId="54937" xr:uid="{00000000-0005-0000-0000-000069D70000}"/>
    <cellStyle name="Total 4 2 2 2 2 2 4" xfId="54938" xr:uid="{00000000-0005-0000-0000-00006AD70000}"/>
    <cellStyle name="Total 4 2 2 2 2 2 5" xfId="54939" xr:uid="{00000000-0005-0000-0000-00006BD70000}"/>
    <cellStyle name="Total 4 2 2 2 2 2 6" xfId="54940" xr:uid="{00000000-0005-0000-0000-00006CD70000}"/>
    <cellStyle name="Total 4 2 2 2 2 3" xfId="54941" xr:uid="{00000000-0005-0000-0000-00006DD70000}"/>
    <cellStyle name="Total 4 2 2 2 2 3 2" xfId="54942" xr:uid="{00000000-0005-0000-0000-00006ED70000}"/>
    <cellStyle name="Total 4 2 2 2 2 3 2 2" xfId="54943" xr:uid="{00000000-0005-0000-0000-00006FD70000}"/>
    <cellStyle name="Total 4 2 2 2 2 3 2 3" xfId="54944" xr:uid="{00000000-0005-0000-0000-000070D70000}"/>
    <cellStyle name="Total 4 2 2 2 2 3 2 4" xfId="54945" xr:uid="{00000000-0005-0000-0000-000071D70000}"/>
    <cellStyle name="Total 4 2 2 2 2 3 3" xfId="54946" xr:uid="{00000000-0005-0000-0000-000072D70000}"/>
    <cellStyle name="Total 4 2 2 2 2 3 3 2" xfId="54947" xr:uid="{00000000-0005-0000-0000-000073D70000}"/>
    <cellStyle name="Total 4 2 2 2 2 3 3 3" xfId="54948" xr:uid="{00000000-0005-0000-0000-000074D70000}"/>
    <cellStyle name="Total 4 2 2 2 2 3 3 4" xfId="54949" xr:uid="{00000000-0005-0000-0000-000075D70000}"/>
    <cellStyle name="Total 4 2 2 2 2 3 4" xfId="54950" xr:uid="{00000000-0005-0000-0000-000076D70000}"/>
    <cellStyle name="Total 4 2 2 2 2 3 5" xfId="54951" xr:uid="{00000000-0005-0000-0000-000077D70000}"/>
    <cellStyle name="Total 4 2 2 2 2 3 6" xfId="54952" xr:uid="{00000000-0005-0000-0000-000078D70000}"/>
    <cellStyle name="Total 4 2 2 2 2 4" xfId="54953" xr:uid="{00000000-0005-0000-0000-000079D70000}"/>
    <cellStyle name="Total 4 2 2 2 2 5" xfId="54954" xr:uid="{00000000-0005-0000-0000-00007AD70000}"/>
    <cellStyle name="Total 4 2 2 2 2 6" xfId="54955" xr:uid="{00000000-0005-0000-0000-00007BD70000}"/>
    <cellStyle name="Total 4 2 2 2 3" xfId="54956" xr:uid="{00000000-0005-0000-0000-00007CD70000}"/>
    <cellStyle name="Total 4 2 2 2 4" xfId="54957" xr:uid="{00000000-0005-0000-0000-00007DD70000}"/>
    <cellStyle name="Total 4 2 2 3" xfId="54958" xr:uid="{00000000-0005-0000-0000-00007ED70000}"/>
    <cellStyle name="Total 4 2 2 3 2" xfId="54959" xr:uid="{00000000-0005-0000-0000-00007FD70000}"/>
    <cellStyle name="Total 4 2 2 3 2 2" xfId="54960" xr:uid="{00000000-0005-0000-0000-000080D70000}"/>
    <cellStyle name="Total 4 2 2 3 2 2 2" xfId="54961" xr:uid="{00000000-0005-0000-0000-000081D70000}"/>
    <cellStyle name="Total 4 2 2 3 2 2 2 2" xfId="54962" xr:uid="{00000000-0005-0000-0000-000082D70000}"/>
    <cellStyle name="Total 4 2 2 3 2 2 2 3" xfId="54963" xr:uid="{00000000-0005-0000-0000-000083D70000}"/>
    <cellStyle name="Total 4 2 2 3 2 2 2 4" xfId="54964" xr:uid="{00000000-0005-0000-0000-000084D70000}"/>
    <cellStyle name="Total 4 2 2 3 2 2 3" xfId="54965" xr:uid="{00000000-0005-0000-0000-000085D70000}"/>
    <cellStyle name="Total 4 2 2 3 2 2 3 2" xfId="54966" xr:uid="{00000000-0005-0000-0000-000086D70000}"/>
    <cellStyle name="Total 4 2 2 3 2 2 3 3" xfId="54967" xr:uid="{00000000-0005-0000-0000-000087D70000}"/>
    <cellStyle name="Total 4 2 2 3 2 2 3 4" xfId="54968" xr:uid="{00000000-0005-0000-0000-000088D70000}"/>
    <cellStyle name="Total 4 2 2 3 2 2 4" xfId="54969" xr:uid="{00000000-0005-0000-0000-000089D70000}"/>
    <cellStyle name="Total 4 2 2 3 2 2 5" xfId="54970" xr:uid="{00000000-0005-0000-0000-00008AD70000}"/>
    <cellStyle name="Total 4 2 2 3 2 2 6" xfId="54971" xr:uid="{00000000-0005-0000-0000-00008BD70000}"/>
    <cellStyle name="Total 4 2 2 3 2 3" xfId="54972" xr:uid="{00000000-0005-0000-0000-00008CD70000}"/>
    <cellStyle name="Total 4 2 2 3 2 3 2" xfId="54973" xr:uid="{00000000-0005-0000-0000-00008DD70000}"/>
    <cellStyle name="Total 4 2 2 3 2 3 2 2" xfId="54974" xr:uid="{00000000-0005-0000-0000-00008ED70000}"/>
    <cellStyle name="Total 4 2 2 3 2 3 2 3" xfId="54975" xr:uid="{00000000-0005-0000-0000-00008FD70000}"/>
    <cellStyle name="Total 4 2 2 3 2 3 2 4" xfId="54976" xr:uid="{00000000-0005-0000-0000-000090D70000}"/>
    <cellStyle name="Total 4 2 2 3 2 3 3" xfId="54977" xr:uid="{00000000-0005-0000-0000-000091D70000}"/>
    <cellStyle name="Total 4 2 2 3 2 3 3 2" xfId="54978" xr:uid="{00000000-0005-0000-0000-000092D70000}"/>
    <cellStyle name="Total 4 2 2 3 2 3 3 3" xfId="54979" xr:uid="{00000000-0005-0000-0000-000093D70000}"/>
    <cellStyle name="Total 4 2 2 3 2 3 3 4" xfId="54980" xr:uid="{00000000-0005-0000-0000-000094D70000}"/>
    <cellStyle name="Total 4 2 2 3 2 3 4" xfId="54981" xr:uid="{00000000-0005-0000-0000-000095D70000}"/>
    <cellStyle name="Total 4 2 2 3 2 3 5" xfId="54982" xr:uid="{00000000-0005-0000-0000-000096D70000}"/>
    <cellStyle name="Total 4 2 2 3 2 3 6" xfId="54983" xr:uid="{00000000-0005-0000-0000-000097D70000}"/>
    <cellStyle name="Total 4 2 2 3 2 4" xfId="54984" xr:uid="{00000000-0005-0000-0000-000098D70000}"/>
    <cellStyle name="Total 4 2 2 3 2 5" xfId="54985" xr:uid="{00000000-0005-0000-0000-000099D70000}"/>
    <cellStyle name="Total 4 2 2 3 2 6" xfId="54986" xr:uid="{00000000-0005-0000-0000-00009AD70000}"/>
    <cellStyle name="Total 4 2 2 3 3" xfId="54987" xr:uid="{00000000-0005-0000-0000-00009BD70000}"/>
    <cellStyle name="Total 4 2 2 3 4" xfId="54988" xr:uid="{00000000-0005-0000-0000-00009CD70000}"/>
    <cellStyle name="Total 4 2 2 4" xfId="54989" xr:uid="{00000000-0005-0000-0000-00009DD70000}"/>
    <cellStyle name="Total 4 2 2 4 2" xfId="54990" xr:uid="{00000000-0005-0000-0000-00009ED70000}"/>
    <cellStyle name="Total 4 2 2 4 2 2" xfId="54991" xr:uid="{00000000-0005-0000-0000-00009FD70000}"/>
    <cellStyle name="Total 4 2 2 4 2 2 2" xfId="54992" xr:uid="{00000000-0005-0000-0000-0000A0D70000}"/>
    <cellStyle name="Total 4 2 2 4 2 2 2 2" xfId="54993" xr:uid="{00000000-0005-0000-0000-0000A1D70000}"/>
    <cellStyle name="Total 4 2 2 4 2 2 2 3" xfId="54994" xr:uid="{00000000-0005-0000-0000-0000A2D70000}"/>
    <cellStyle name="Total 4 2 2 4 2 2 2 4" xfId="54995" xr:uid="{00000000-0005-0000-0000-0000A3D70000}"/>
    <cellStyle name="Total 4 2 2 4 2 2 3" xfId="54996" xr:uid="{00000000-0005-0000-0000-0000A4D70000}"/>
    <cellStyle name="Total 4 2 2 4 2 2 3 2" xfId="54997" xr:uid="{00000000-0005-0000-0000-0000A5D70000}"/>
    <cellStyle name="Total 4 2 2 4 2 2 3 3" xfId="54998" xr:uid="{00000000-0005-0000-0000-0000A6D70000}"/>
    <cellStyle name="Total 4 2 2 4 2 2 3 4" xfId="54999" xr:uid="{00000000-0005-0000-0000-0000A7D70000}"/>
    <cellStyle name="Total 4 2 2 4 2 2 4" xfId="55000" xr:uid="{00000000-0005-0000-0000-0000A8D70000}"/>
    <cellStyle name="Total 4 2 2 4 2 2 5" xfId="55001" xr:uid="{00000000-0005-0000-0000-0000A9D70000}"/>
    <cellStyle name="Total 4 2 2 4 2 2 6" xfId="55002" xr:uid="{00000000-0005-0000-0000-0000AAD70000}"/>
    <cellStyle name="Total 4 2 2 4 2 3" xfId="55003" xr:uid="{00000000-0005-0000-0000-0000ABD70000}"/>
    <cellStyle name="Total 4 2 2 4 2 3 2" xfId="55004" xr:uid="{00000000-0005-0000-0000-0000ACD70000}"/>
    <cellStyle name="Total 4 2 2 4 2 3 2 2" xfId="55005" xr:uid="{00000000-0005-0000-0000-0000ADD70000}"/>
    <cellStyle name="Total 4 2 2 4 2 3 2 3" xfId="55006" xr:uid="{00000000-0005-0000-0000-0000AED70000}"/>
    <cellStyle name="Total 4 2 2 4 2 3 2 4" xfId="55007" xr:uid="{00000000-0005-0000-0000-0000AFD70000}"/>
    <cellStyle name="Total 4 2 2 4 2 3 3" xfId="55008" xr:uid="{00000000-0005-0000-0000-0000B0D70000}"/>
    <cellStyle name="Total 4 2 2 4 2 3 3 2" xfId="55009" xr:uid="{00000000-0005-0000-0000-0000B1D70000}"/>
    <cellStyle name="Total 4 2 2 4 2 3 3 3" xfId="55010" xr:uid="{00000000-0005-0000-0000-0000B2D70000}"/>
    <cellStyle name="Total 4 2 2 4 2 3 3 4" xfId="55011" xr:uid="{00000000-0005-0000-0000-0000B3D70000}"/>
    <cellStyle name="Total 4 2 2 4 2 3 4" xfId="55012" xr:uid="{00000000-0005-0000-0000-0000B4D70000}"/>
    <cellStyle name="Total 4 2 2 4 2 3 5" xfId="55013" xr:uid="{00000000-0005-0000-0000-0000B5D70000}"/>
    <cellStyle name="Total 4 2 2 4 2 3 6" xfId="55014" xr:uid="{00000000-0005-0000-0000-0000B6D70000}"/>
    <cellStyle name="Total 4 2 2 4 2 4" xfId="55015" xr:uid="{00000000-0005-0000-0000-0000B7D70000}"/>
    <cellStyle name="Total 4 2 2 4 2 5" xfId="55016" xr:uid="{00000000-0005-0000-0000-0000B8D70000}"/>
    <cellStyle name="Total 4 2 2 4 2 6" xfId="55017" xr:uid="{00000000-0005-0000-0000-0000B9D70000}"/>
    <cellStyle name="Total 4 2 2 4 3" xfId="55018" xr:uid="{00000000-0005-0000-0000-0000BAD70000}"/>
    <cellStyle name="Total 4 2 2 4 4" xfId="55019" xr:uid="{00000000-0005-0000-0000-0000BBD70000}"/>
    <cellStyle name="Total 4 2 2 5" xfId="55020" xr:uid="{00000000-0005-0000-0000-0000BCD70000}"/>
    <cellStyle name="Total 4 2 2 5 2" xfId="55021" xr:uid="{00000000-0005-0000-0000-0000BDD70000}"/>
    <cellStyle name="Total 4 2 2 5 2 2" xfId="55022" xr:uid="{00000000-0005-0000-0000-0000BED70000}"/>
    <cellStyle name="Total 4 2 2 5 2 2 2" xfId="55023" xr:uid="{00000000-0005-0000-0000-0000BFD70000}"/>
    <cellStyle name="Total 4 2 2 5 2 2 3" xfId="55024" xr:uid="{00000000-0005-0000-0000-0000C0D70000}"/>
    <cellStyle name="Total 4 2 2 5 2 2 4" xfId="55025" xr:uid="{00000000-0005-0000-0000-0000C1D70000}"/>
    <cellStyle name="Total 4 2 2 5 2 3" xfId="55026" xr:uid="{00000000-0005-0000-0000-0000C2D70000}"/>
    <cellStyle name="Total 4 2 2 5 2 4" xfId="55027" xr:uid="{00000000-0005-0000-0000-0000C3D70000}"/>
    <cellStyle name="Total 4 2 2 5 2 5" xfId="55028" xr:uid="{00000000-0005-0000-0000-0000C4D70000}"/>
    <cellStyle name="Total 4 2 2 5 3" xfId="55029" xr:uid="{00000000-0005-0000-0000-0000C5D70000}"/>
    <cellStyle name="Total 4 2 2 5 3 2" xfId="55030" xr:uid="{00000000-0005-0000-0000-0000C6D70000}"/>
    <cellStyle name="Total 4 2 2 5 3 2 2" xfId="55031" xr:uid="{00000000-0005-0000-0000-0000C7D70000}"/>
    <cellStyle name="Total 4 2 2 5 3 2 3" xfId="55032" xr:uid="{00000000-0005-0000-0000-0000C8D70000}"/>
    <cellStyle name="Total 4 2 2 5 3 2 4" xfId="55033" xr:uid="{00000000-0005-0000-0000-0000C9D70000}"/>
    <cellStyle name="Total 4 2 2 5 3 3" xfId="55034" xr:uid="{00000000-0005-0000-0000-0000CAD70000}"/>
    <cellStyle name="Total 4 2 2 5 3 3 2" xfId="55035" xr:uid="{00000000-0005-0000-0000-0000CBD70000}"/>
    <cellStyle name="Total 4 2 2 5 3 3 3" xfId="55036" xr:uid="{00000000-0005-0000-0000-0000CCD70000}"/>
    <cellStyle name="Total 4 2 2 5 3 3 4" xfId="55037" xr:uid="{00000000-0005-0000-0000-0000CDD70000}"/>
    <cellStyle name="Total 4 2 2 5 3 4" xfId="55038" xr:uid="{00000000-0005-0000-0000-0000CED70000}"/>
    <cellStyle name="Total 4 2 2 5 3 5" xfId="55039" xr:uid="{00000000-0005-0000-0000-0000CFD70000}"/>
    <cellStyle name="Total 4 2 2 5 3 6" xfId="55040" xr:uid="{00000000-0005-0000-0000-0000D0D70000}"/>
    <cellStyle name="Total 4 2 2 5 4" xfId="55041" xr:uid="{00000000-0005-0000-0000-0000D1D70000}"/>
    <cellStyle name="Total 4 2 2 5 5" xfId="55042" xr:uid="{00000000-0005-0000-0000-0000D2D70000}"/>
    <cellStyle name="Total 4 2 2 6" xfId="55043" xr:uid="{00000000-0005-0000-0000-0000D3D70000}"/>
    <cellStyle name="Total 4 2 2 6 2" xfId="55044" xr:uid="{00000000-0005-0000-0000-0000D4D70000}"/>
    <cellStyle name="Total 4 2 2 6 2 2" xfId="55045" xr:uid="{00000000-0005-0000-0000-0000D5D70000}"/>
    <cellStyle name="Total 4 2 2 6 2 2 2" xfId="55046" xr:uid="{00000000-0005-0000-0000-0000D6D70000}"/>
    <cellStyle name="Total 4 2 2 6 2 2 3" xfId="55047" xr:uid="{00000000-0005-0000-0000-0000D7D70000}"/>
    <cellStyle name="Total 4 2 2 6 2 2 4" xfId="55048" xr:uid="{00000000-0005-0000-0000-0000D8D70000}"/>
    <cellStyle name="Total 4 2 2 6 2 3" xfId="55049" xr:uid="{00000000-0005-0000-0000-0000D9D70000}"/>
    <cellStyle name="Total 4 2 2 6 2 4" xfId="55050" xr:uid="{00000000-0005-0000-0000-0000DAD70000}"/>
    <cellStyle name="Total 4 2 2 6 2 5" xfId="55051" xr:uid="{00000000-0005-0000-0000-0000DBD70000}"/>
    <cellStyle name="Total 4 2 2 6 3" xfId="55052" xr:uid="{00000000-0005-0000-0000-0000DCD70000}"/>
    <cellStyle name="Total 4 2 2 6 3 2" xfId="55053" xr:uid="{00000000-0005-0000-0000-0000DDD70000}"/>
    <cellStyle name="Total 4 2 2 6 3 2 2" xfId="55054" xr:uid="{00000000-0005-0000-0000-0000DED70000}"/>
    <cellStyle name="Total 4 2 2 6 3 2 3" xfId="55055" xr:uid="{00000000-0005-0000-0000-0000DFD70000}"/>
    <cellStyle name="Total 4 2 2 6 3 2 4" xfId="55056" xr:uid="{00000000-0005-0000-0000-0000E0D70000}"/>
    <cellStyle name="Total 4 2 2 6 3 3" xfId="55057" xr:uid="{00000000-0005-0000-0000-0000E1D70000}"/>
    <cellStyle name="Total 4 2 2 6 3 3 2" xfId="55058" xr:uid="{00000000-0005-0000-0000-0000E2D70000}"/>
    <cellStyle name="Total 4 2 2 6 3 3 3" xfId="55059" xr:uid="{00000000-0005-0000-0000-0000E3D70000}"/>
    <cellStyle name="Total 4 2 2 6 3 3 4" xfId="55060" xr:uid="{00000000-0005-0000-0000-0000E4D70000}"/>
    <cellStyle name="Total 4 2 2 6 3 4" xfId="55061" xr:uid="{00000000-0005-0000-0000-0000E5D70000}"/>
    <cellStyle name="Total 4 2 2 6 3 5" xfId="55062" xr:uid="{00000000-0005-0000-0000-0000E6D70000}"/>
    <cellStyle name="Total 4 2 2 6 3 6" xfId="55063" xr:uid="{00000000-0005-0000-0000-0000E7D70000}"/>
    <cellStyle name="Total 4 2 2 6 4" xfId="55064" xr:uid="{00000000-0005-0000-0000-0000E8D70000}"/>
    <cellStyle name="Total 4 2 2 6 5" xfId="55065" xr:uid="{00000000-0005-0000-0000-0000E9D70000}"/>
    <cellStyle name="Total 4 2 2 7" xfId="55066" xr:uid="{00000000-0005-0000-0000-0000EAD70000}"/>
    <cellStyle name="Total 4 2 2 7 2" xfId="55067" xr:uid="{00000000-0005-0000-0000-0000EBD70000}"/>
    <cellStyle name="Total 4 2 2 7 2 2" xfId="55068" xr:uid="{00000000-0005-0000-0000-0000ECD70000}"/>
    <cellStyle name="Total 4 2 2 7 2 2 2" xfId="55069" xr:uid="{00000000-0005-0000-0000-0000EDD70000}"/>
    <cellStyle name="Total 4 2 2 7 2 2 3" xfId="55070" xr:uid="{00000000-0005-0000-0000-0000EED70000}"/>
    <cellStyle name="Total 4 2 2 7 2 2 4" xfId="55071" xr:uid="{00000000-0005-0000-0000-0000EFD70000}"/>
    <cellStyle name="Total 4 2 2 7 2 3" xfId="55072" xr:uid="{00000000-0005-0000-0000-0000F0D70000}"/>
    <cellStyle name="Total 4 2 2 7 2 4" xfId="55073" xr:uid="{00000000-0005-0000-0000-0000F1D70000}"/>
    <cellStyle name="Total 4 2 2 7 2 5" xfId="55074" xr:uid="{00000000-0005-0000-0000-0000F2D70000}"/>
    <cellStyle name="Total 4 2 2 7 3" xfId="55075" xr:uid="{00000000-0005-0000-0000-0000F3D70000}"/>
    <cellStyle name="Total 4 2 2 7 3 2" xfId="55076" xr:uid="{00000000-0005-0000-0000-0000F4D70000}"/>
    <cellStyle name="Total 4 2 2 7 3 2 2" xfId="55077" xr:uid="{00000000-0005-0000-0000-0000F5D70000}"/>
    <cellStyle name="Total 4 2 2 7 3 2 3" xfId="55078" xr:uid="{00000000-0005-0000-0000-0000F6D70000}"/>
    <cellStyle name="Total 4 2 2 7 3 2 4" xfId="55079" xr:uid="{00000000-0005-0000-0000-0000F7D70000}"/>
    <cellStyle name="Total 4 2 2 7 3 3" xfId="55080" xr:uid="{00000000-0005-0000-0000-0000F8D70000}"/>
    <cellStyle name="Total 4 2 2 7 3 3 2" xfId="55081" xr:uid="{00000000-0005-0000-0000-0000F9D70000}"/>
    <cellStyle name="Total 4 2 2 7 3 3 3" xfId="55082" xr:uid="{00000000-0005-0000-0000-0000FAD70000}"/>
    <cellStyle name="Total 4 2 2 7 3 3 4" xfId="55083" xr:uid="{00000000-0005-0000-0000-0000FBD70000}"/>
    <cellStyle name="Total 4 2 2 7 3 4" xfId="55084" xr:uid="{00000000-0005-0000-0000-0000FCD70000}"/>
    <cellStyle name="Total 4 2 2 7 3 5" xfId="55085" xr:uid="{00000000-0005-0000-0000-0000FDD70000}"/>
    <cellStyle name="Total 4 2 2 7 3 6" xfId="55086" xr:uid="{00000000-0005-0000-0000-0000FED70000}"/>
    <cellStyle name="Total 4 2 2 7 4" xfId="55087" xr:uid="{00000000-0005-0000-0000-0000FFD70000}"/>
    <cellStyle name="Total 4 2 2 7 5" xfId="55088" xr:uid="{00000000-0005-0000-0000-000000D80000}"/>
    <cellStyle name="Total 4 2 2 8" xfId="55089" xr:uid="{00000000-0005-0000-0000-000001D80000}"/>
    <cellStyle name="Total 4 2 2 8 2" xfId="55090" xr:uid="{00000000-0005-0000-0000-000002D80000}"/>
    <cellStyle name="Total 4 2 2 8 2 2" xfId="55091" xr:uid="{00000000-0005-0000-0000-000003D80000}"/>
    <cellStyle name="Total 4 2 2 8 2 2 2" xfId="55092" xr:uid="{00000000-0005-0000-0000-000004D80000}"/>
    <cellStyle name="Total 4 2 2 8 2 2 3" xfId="55093" xr:uid="{00000000-0005-0000-0000-000005D80000}"/>
    <cellStyle name="Total 4 2 2 8 2 2 4" xfId="55094" xr:uid="{00000000-0005-0000-0000-000006D80000}"/>
    <cellStyle name="Total 4 2 2 8 2 3" xfId="55095" xr:uid="{00000000-0005-0000-0000-000007D80000}"/>
    <cellStyle name="Total 4 2 2 8 2 4" xfId="55096" xr:uid="{00000000-0005-0000-0000-000008D80000}"/>
    <cellStyle name="Total 4 2 2 8 2 5" xfId="55097" xr:uid="{00000000-0005-0000-0000-000009D80000}"/>
    <cellStyle name="Total 4 2 2 8 3" xfId="55098" xr:uid="{00000000-0005-0000-0000-00000AD80000}"/>
    <cellStyle name="Total 4 2 2 8 3 2" xfId="55099" xr:uid="{00000000-0005-0000-0000-00000BD80000}"/>
    <cellStyle name="Total 4 2 2 8 3 2 2" xfId="55100" xr:uid="{00000000-0005-0000-0000-00000CD80000}"/>
    <cellStyle name="Total 4 2 2 8 3 2 3" xfId="55101" xr:uid="{00000000-0005-0000-0000-00000DD80000}"/>
    <cellStyle name="Total 4 2 2 8 3 2 4" xfId="55102" xr:uid="{00000000-0005-0000-0000-00000ED80000}"/>
    <cellStyle name="Total 4 2 2 8 3 3" xfId="55103" xr:uid="{00000000-0005-0000-0000-00000FD80000}"/>
    <cellStyle name="Total 4 2 2 8 3 3 2" xfId="55104" xr:uid="{00000000-0005-0000-0000-000010D80000}"/>
    <cellStyle name="Total 4 2 2 8 3 3 3" xfId="55105" xr:uid="{00000000-0005-0000-0000-000011D80000}"/>
    <cellStyle name="Total 4 2 2 8 3 3 4" xfId="55106" xr:uid="{00000000-0005-0000-0000-000012D80000}"/>
    <cellStyle name="Total 4 2 2 8 3 4" xfId="55107" xr:uid="{00000000-0005-0000-0000-000013D80000}"/>
    <cellStyle name="Total 4 2 2 8 3 5" xfId="55108" xr:uid="{00000000-0005-0000-0000-000014D80000}"/>
    <cellStyle name="Total 4 2 2 8 3 6" xfId="55109" xr:uid="{00000000-0005-0000-0000-000015D80000}"/>
    <cellStyle name="Total 4 2 2 8 4" xfId="55110" xr:uid="{00000000-0005-0000-0000-000016D80000}"/>
    <cellStyle name="Total 4 2 2 8 5" xfId="55111" xr:uid="{00000000-0005-0000-0000-000017D80000}"/>
    <cellStyle name="Total 4 2 2 9" xfId="55112" xr:uid="{00000000-0005-0000-0000-000018D80000}"/>
    <cellStyle name="Total 4 2 2 9 2" xfId="55113" xr:uid="{00000000-0005-0000-0000-000019D80000}"/>
    <cellStyle name="Total 4 2 2 9 2 2" xfId="55114" xr:uid="{00000000-0005-0000-0000-00001AD80000}"/>
    <cellStyle name="Total 4 2 2 9 2 2 2" xfId="55115" xr:uid="{00000000-0005-0000-0000-00001BD80000}"/>
    <cellStyle name="Total 4 2 2 9 2 2 3" xfId="55116" xr:uid="{00000000-0005-0000-0000-00001CD80000}"/>
    <cellStyle name="Total 4 2 2 9 2 2 4" xfId="55117" xr:uid="{00000000-0005-0000-0000-00001DD80000}"/>
    <cellStyle name="Total 4 2 2 9 2 3" xfId="55118" xr:uid="{00000000-0005-0000-0000-00001ED80000}"/>
    <cellStyle name="Total 4 2 2 9 2 4" xfId="55119" xr:uid="{00000000-0005-0000-0000-00001FD80000}"/>
    <cellStyle name="Total 4 2 2 9 2 5" xfId="55120" xr:uid="{00000000-0005-0000-0000-000020D80000}"/>
    <cellStyle name="Total 4 2 2 9 3" xfId="55121" xr:uid="{00000000-0005-0000-0000-000021D80000}"/>
    <cellStyle name="Total 4 2 2 9 3 2" xfId="55122" xr:uid="{00000000-0005-0000-0000-000022D80000}"/>
    <cellStyle name="Total 4 2 2 9 3 2 2" xfId="55123" xr:uid="{00000000-0005-0000-0000-000023D80000}"/>
    <cellStyle name="Total 4 2 2 9 3 2 3" xfId="55124" xr:uid="{00000000-0005-0000-0000-000024D80000}"/>
    <cellStyle name="Total 4 2 2 9 3 2 4" xfId="55125" xr:uid="{00000000-0005-0000-0000-000025D80000}"/>
    <cellStyle name="Total 4 2 2 9 3 3" xfId="55126" xr:uid="{00000000-0005-0000-0000-000026D80000}"/>
    <cellStyle name="Total 4 2 2 9 3 3 2" xfId="55127" xr:uid="{00000000-0005-0000-0000-000027D80000}"/>
    <cellStyle name="Total 4 2 2 9 3 3 3" xfId="55128" xr:uid="{00000000-0005-0000-0000-000028D80000}"/>
    <cellStyle name="Total 4 2 2 9 3 3 4" xfId="55129" xr:uid="{00000000-0005-0000-0000-000029D80000}"/>
    <cellStyle name="Total 4 2 2 9 3 4" xfId="55130" xr:uid="{00000000-0005-0000-0000-00002AD80000}"/>
    <cellStyle name="Total 4 2 2 9 3 5" xfId="55131" xr:uid="{00000000-0005-0000-0000-00002BD80000}"/>
    <cellStyle name="Total 4 2 2 9 3 6" xfId="55132" xr:uid="{00000000-0005-0000-0000-00002CD80000}"/>
    <cellStyle name="Total 4 2 2 9 4" xfId="55133" xr:uid="{00000000-0005-0000-0000-00002DD80000}"/>
    <cellStyle name="Total 4 2 2 9 5" xfId="55134" xr:uid="{00000000-0005-0000-0000-00002ED80000}"/>
    <cellStyle name="Total 4 2 3" xfId="55135" xr:uid="{00000000-0005-0000-0000-00002FD80000}"/>
    <cellStyle name="Total 4 2 3 2" xfId="55136" xr:uid="{00000000-0005-0000-0000-000030D80000}"/>
    <cellStyle name="Total 4 2 3 2 2" xfId="55137" xr:uid="{00000000-0005-0000-0000-000031D80000}"/>
    <cellStyle name="Total 4 2 3 2 2 2" xfId="55138" xr:uid="{00000000-0005-0000-0000-000032D80000}"/>
    <cellStyle name="Total 4 2 3 2 2 3" xfId="55139" xr:uid="{00000000-0005-0000-0000-000033D80000}"/>
    <cellStyle name="Total 4 2 3 2 2 4" xfId="55140" xr:uid="{00000000-0005-0000-0000-000034D80000}"/>
    <cellStyle name="Total 4 2 3 2 3" xfId="55141" xr:uid="{00000000-0005-0000-0000-000035D80000}"/>
    <cellStyle name="Total 4 2 3 2 4" xfId="55142" xr:uid="{00000000-0005-0000-0000-000036D80000}"/>
    <cellStyle name="Total 4 2 3 2 5" xfId="55143" xr:uid="{00000000-0005-0000-0000-000037D80000}"/>
    <cellStyle name="Total 4 2 3 3" xfId="55144" xr:uid="{00000000-0005-0000-0000-000038D80000}"/>
    <cellStyle name="Total 4 2 3 3 2" xfId="55145" xr:uid="{00000000-0005-0000-0000-000039D80000}"/>
    <cellStyle name="Total 4 2 3 3 2 2" xfId="55146" xr:uid="{00000000-0005-0000-0000-00003AD80000}"/>
    <cellStyle name="Total 4 2 3 3 2 3" xfId="55147" xr:uid="{00000000-0005-0000-0000-00003BD80000}"/>
    <cellStyle name="Total 4 2 3 3 2 4" xfId="55148" xr:uid="{00000000-0005-0000-0000-00003CD80000}"/>
    <cellStyle name="Total 4 2 3 3 3" xfId="55149" xr:uid="{00000000-0005-0000-0000-00003DD80000}"/>
    <cellStyle name="Total 4 2 3 3 3 2" xfId="55150" xr:uid="{00000000-0005-0000-0000-00003ED80000}"/>
    <cellStyle name="Total 4 2 3 3 3 3" xfId="55151" xr:uid="{00000000-0005-0000-0000-00003FD80000}"/>
    <cellStyle name="Total 4 2 3 3 3 4" xfId="55152" xr:uid="{00000000-0005-0000-0000-000040D80000}"/>
    <cellStyle name="Total 4 2 3 3 4" xfId="55153" xr:uid="{00000000-0005-0000-0000-000041D80000}"/>
    <cellStyle name="Total 4 2 3 3 5" xfId="55154" xr:uid="{00000000-0005-0000-0000-000042D80000}"/>
    <cellStyle name="Total 4 2 3 3 6" xfId="55155" xr:uid="{00000000-0005-0000-0000-000043D80000}"/>
    <cellStyle name="Total 4 2 3 4" xfId="55156" xr:uid="{00000000-0005-0000-0000-000044D80000}"/>
    <cellStyle name="Total 4 2 3 5" xfId="55157" xr:uid="{00000000-0005-0000-0000-000045D80000}"/>
    <cellStyle name="Total 4 2 4" xfId="55158" xr:uid="{00000000-0005-0000-0000-000046D80000}"/>
    <cellStyle name="Total 4 2 4 2" xfId="55159" xr:uid="{00000000-0005-0000-0000-000047D80000}"/>
    <cellStyle name="Total 4 2 4 2 2" xfId="55160" xr:uid="{00000000-0005-0000-0000-000048D80000}"/>
    <cellStyle name="Total 4 2 4 2 2 2" xfId="55161" xr:uid="{00000000-0005-0000-0000-000049D80000}"/>
    <cellStyle name="Total 4 2 4 2 2 3" xfId="55162" xr:uid="{00000000-0005-0000-0000-00004AD80000}"/>
    <cellStyle name="Total 4 2 4 2 2 4" xfId="55163" xr:uid="{00000000-0005-0000-0000-00004BD80000}"/>
    <cellStyle name="Total 4 2 4 2 3" xfId="55164" xr:uid="{00000000-0005-0000-0000-00004CD80000}"/>
    <cellStyle name="Total 4 2 4 2 3 2" xfId="55165" xr:uid="{00000000-0005-0000-0000-00004DD80000}"/>
    <cellStyle name="Total 4 2 4 2 3 3" xfId="55166" xr:uid="{00000000-0005-0000-0000-00004ED80000}"/>
    <cellStyle name="Total 4 2 4 2 3 4" xfId="55167" xr:uid="{00000000-0005-0000-0000-00004FD80000}"/>
    <cellStyle name="Total 4 2 4 2 4" xfId="55168" xr:uid="{00000000-0005-0000-0000-000050D80000}"/>
    <cellStyle name="Total 4 2 4 2 5" xfId="55169" xr:uid="{00000000-0005-0000-0000-000051D80000}"/>
    <cellStyle name="Total 4 2 4 2 6" xfId="55170" xr:uid="{00000000-0005-0000-0000-000052D80000}"/>
    <cellStyle name="Total 4 2 4 3" xfId="55171" xr:uid="{00000000-0005-0000-0000-000053D80000}"/>
    <cellStyle name="Total 4 2 4 3 2" xfId="55172" xr:uid="{00000000-0005-0000-0000-000054D80000}"/>
    <cellStyle name="Total 4 2 4 3 2 2" xfId="55173" xr:uid="{00000000-0005-0000-0000-000055D80000}"/>
    <cellStyle name="Total 4 2 4 3 2 3" xfId="55174" xr:uid="{00000000-0005-0000-0000-000056D80000}"/>
    <cellStyle name="Total 4 2 4 3 2 4" xfId="55175" xr:uid="{00000000-0005-0000-0000-000057D80000}"/>
    <cellStyle name="Total 4 2 4 3 3" xfId="55176" xr:uid="{00000000-0005-0000-0000-000058D80000}"/>
    <cellStyle name="Total 4 2 4 3 3 2" xfId="55177" xr:uid="{00000000-0005-0000-0000-000059D80000}"/>
    <cellStyle name="Total 4 2 4 3 3 3" xfId="55178" xr:uid="{00000000-0005-0000-0000-00005AD80000}"/>
    <cellStyle name="Total 4 2 4 3 3 4" xfId="55179" xr:uid="{00000000-0005-0000-0000-00005BD80000}"/>
    <cellStyle name="Total 4 2 4 3 4" xfId="55180" xr:uid="{00000000-0005-0000-0000-00005CD80000}"/>
    <cellStyle name="Total 4 2 4 3 5" xfId="55181" xr:uid="{00000000-0005-0000-0000-00005DD80000}"/>
    <cellStyle name="Total 4 2 4 3 6" xfId="55182" xr:uid="{00000000-0005-0000-0000-00005ED80000}"/>
    <cellStyle name="Total 4 2 4 4" xfId="55183" xr:uid="{00000000-0005-0000-0000-00005FD80000}"/>
    <cellStyle name="Total 4 2 4 5" xfId="55184" xr:uid="{00000000-0005-0000-0000-000060D80000}"/>
    <cellStyle name="Total 4 2 4 6" xfId="55185" xr:uid="{00000000-0005-0000-0000-000061D80000}"/>
    <cellStyle name="Total 4 2 5" xfId="55186" xr:uid="{00000000-0005-0000-0000-000062D80000}"/>
    <cellStyle name="Total 4 2 6" xfId="55187" xr:uid="{00000000-0005-0000-0000-000063D80000}"/>
    <cellStyle name="Total 4 3" xfId="55188" xr:uid="{00000000-0005-0000-0000-000064D80000}"/>
    <cellStyle name="Total 4 3 10" xfId="55189" xr:uid="{00000000-0005-0000-0000-000065D80000}"/>
    <cellStyle name="Total 4 3 10 2" xfId="55190" xr:uid="{00000000-0005-0000-0000-000066D80000}"/>
    <cellStyle name="Total 4 3 10 2 2" xfId="55191" xr:uid="{00000000-0005-0000-0000-000067D80000}"/>
    <cellStyle name="Total 4 3 10 2 2 2" xfId="55192" xr:uid="{00000000-0005-0000-0000-000068D80000}"/>
    <cellStyle name="Total 4 3 10 2 2 3" xfId="55193" xr:uid="{00000000-0005-0000-0000-000069D80000}"/>
    <cellStyle name="Total 4 3 10 2 2 4" xfId="55194" xr:uid="{00000000-0005-0000-0000-00006AD80000}"/>
    <cellStyle name="Total 4 3 10 2 3" xfId="55195" xr:uid="{00000000-0005-0000-0000-00006BD80000}"/>
    <cellStyle name="Total 4 3 10 2 4" xfId="55196" xr:uid="{00000000-0005-0000-0000-00006CD80000}"/>
    <cellStyle name="Total 4 3 10 2 5" xfId="55197" xr:uid="{00000000-0005-0000-0000-00006DD80000}"/>
    <cellStyle name="Total 4 3 10 3" xfId="55198" xr:uid="{00000000-0005-0000-0000-00006ED80000}"/>
    <cellStyle name="Total 4 3 10 3 2" xfId="55199" xr:uid="{00000000-0005-0000-0000-00006FD80000}"/>
    <cellStyle name="Total 4 3 10 3 2 2" xfId="55200" xr:uid="{00000000-0005-0000-0000-000070D80000}"/>
    <cellStyle name="Total 4 3 10 3 2 3" xfId="55201" xr:uid="{00000000-0005-0000-0000-000071D80000}"/>
    <cellStyle name="Total 4 3 10 3 2 4" xfId="55202" xr:uid="{00000000-0005-0000-0000-000072D80000}"/>
    <cellStyle name="Total 4 3 10 3 3" xfId="55203" xr:uid="{00000000-0005-0000-0000-000073D80000}"/>
    <cellStyle name="Total 4 3 10 3 3 2" xfId="55204" xr:uid="{00000000-0005-0000-0000-000074D80000}"/>
    <cellStyle name="Total 4 3 10 3 3 3" xfId="55205" xr:uid="{00000000-0005-0000-0000-000075D80000}"/>
    <cellStyle name="Total 4 3 10 3 3 4" xfId="55206" xr:uid="{00000000-0005-0000-0000-000076D80000}"/>
    <cellStyle name="Total 4 3 10 3 4" xfId="55207" xr:uid="{00000000-0005-0000-0000-000077D80000}"/>
    <cellStyle name="Total 4 3 10 3 5" xfId="55208" xr:uid="{00000000-0005-0000-0000-000078D80000}"/>
    <cellStyle name="Total 4 3 10 3 6" xfId="55209" xr:uid="{00000000-0005-0000-0000-000079D80000}"/>
    <cellStyle name="Total 4 3 10 4" xfId="55210" xr:uid="{00000000-0005-0000-0000-00007AD80000}"/>
    <cellStyle name="Total 4 3 10 5" xfId="55211" xr:uid="{00000000-0005-0000-0000-00007BD80000}"/>
    <cellStyle name="Total 4 3 11" xfId="55212" xr:uid="{00000000-0005-0000-0000-00007CD80000}"/>
    <cellStyle name="Total 4 3 11 2" xfId="55213" xr:uid="{00000000-0005-0000-0000-00007DD80000}"/>
    <cellStyle name="Total 4 3 11 2 2" xfId="55214" xr:uid="{00000000-0005-0000-0000-00007ED80000}"/>
    <cellStyle name="Total 4 3 11 2 2 2" xfId="55215" xr:uid="{00000000-0005-0000-0000-00007FD80000}"/>
    <cellStyle name="Total 4 3 11 2 2 3" xfId="55216" xr:uid="{00000000-0005-0000-0000-000080D80000}"/>
    <cellStyle name="Total 4 3 11 2 2 4" xfId="55217" xr:uid="{00000000-0005-0000-0000-000081D80000}"/>
    <cellStyle name="Total 4 3 11 2 3" xfId="55218" xr:uid="{00000000-0005-0000-0000-000082D80000}"/>
    <cellStyle name="Total 4 3 11 2 4" xfId="55219" xr:uid="{00000000-0005-0000-0000-000083D80000}"/>
    <cellStyle name="Total 4 3 11 2 5" xfId="55220" xr:uid="{00000000-0005-0000-0000-000084D80000}"/>
    <cellStyle name="Total 4 3 11 3" xfId="55221" xr:uid="{00000000-0005-0000-0000-000085D80000}"/>
    <cellStyle name="Total 4 3 11 3 2" xfId="55222" xr:uid="{00000000-0005-0000-0000-000086D80000}"/>
    <cellStyle name="Total 4 3 11 3 2 2" xfId="55223" xr:uid="{00000000-0005-0000-0000-000087D80000}"/>
    <cellStyle name="Total 4 3 11 3 2 3" xfId="55224" xr:uid="{00000000-0005-0000-0000-000088D80000}"/>
    <cellStyle name="Total 4 3 11 3 2 4" xfId="55225" xr:uid="{00000000-0005-0000-0000-000089D80000}"/>
    <cellStyle name="Total 4 3 11 3 3" xfId="55226" xr:uid="{00000000-0005-0000-0000-00008AD80000}"/>
    <cellStyle name="Total 4 3 11 3 3 2" xfId="55227" xr:uid="{00000000-0005-0000-0000-00008BD80000}"/>
    <cellStyle name="Total 4 3 11 3 3 3" xfId="55228" xr:uid="{00000000-0005-0000-0000-00008CD80000}"/>
    <cellStyle name="Total 4 3 11 3 3 4" xfId="55229" xr:uid="{00000000-0005-0000-0000-00008DD80000}"/>
    <cellStyle name="Total 4 3 11 3 4" xfId="55230" xr:uid="{00000000-0005-0000-0000-00008ED80000}"/>
    <cellStyle name="Total 4 3 11 3 5" xfId="55231" xr:uid="{00000000-0005-0000-0000-00008FD80000}"/>
    <cellStyle name="Total 4 3 11 3 6" xfId="55232" xr:uid="{00000000-0005-0000-0000-000090D80000}"/>
    <cellStyle name="Total 4 3 11 4" xfId="55233" xr:uid="{00000000-0005-0000-0000-000091D80000}"/>
    <cellStyle name="Total 4 3 11 5" xfId="55234" xr:uid="{00000000-0005-0000-0000-000092D80000}"/>
    <cellStyle name="Total 4 3 12" xfId="55235" xr:uid="{00000000-0005-0000-0000-000093D80000}"/>
    <cellStyle name="Total 4 3 12 2" xfId="55236" xr:uid="{00000000-0005-0000-0000-000094D80000}"/>
    <cellStyle name="Total 4 3 12 2 2" xfId="55237" xr:uid="{00000000-0005-0000-0000-000095D80000}"/>
    <cellStyle name="Total 4 3 12 2 2 2" xfId="55238" xr:uid="{00000000-0005-0000-0000-000096D80000}"/>
    <cellStyle name="Total 4 3 12 2 2 3" xfId="55239" xr:uid="{00000000-0005-0000-0000-000097D80000}"/>
    <cellStyle name="Total 4 3 12 2 2 4" xfId="55240" xr:uid="{00000000-0005-0000-0000-000098D80000}"/>
    <cellStyle name="Total 4 3 12 2 3" xfId="55241" xr:uid="{00000000-0005-0000-0000-000099D80000}"/>
    <cellStyle name="Total 4 3 12 2 3 2" xfId="55242" xr:uid="{00000000-0005-0000-0000-00009AD80000}"/>
    <cellStyle name="Total 4 3 12 2 3 3" xfId="55243" xr:uid="{00000000-0005-0000-0000-00009BD80000}"/>
    <cellStyle name="Total 4 3 12 2 3 4" xfId="55244" xr:uid="{00000000-0005-0000-0000-00009CD80000}"/>
    <cellStyle name="Total 4 3 12 2 4" xfId="55245" xr:uid="{00000000-0005-0000-0000-00009DD80000}"/>
    <cellStyle name="Total 4 3 12 2 5" xfId="55246" xr:uid="{00000000-0005-0000-0000-00009ED80000}"/>
    <cellStyle name="Total 4 3 12 2 6" xfId="55247" xr:uid="{00000000-0005-0000-0000-00009FD80000}"/>
    <cellStyle name="Total 4 3 12 3" xfId="55248" xr:uid="{00000000-0005-0000-0000-0000A0D80000}"/>
    <cellStyle name="Total 4 3 12 3 2" xfId="55249" xr:uid="{00000000-0005-0000-0000-0000A1D80000}"/>
    <cellStyle name="Total 4 3 12 3 2 2" xfId="55250" xr:uid="{00000000-0005-0000-0000-0000A2D80000}"/>
    <cellStyle name="Total 4 3 12 3 2 3" xfId="55251" xr:uid="{00000000-0005-0000-0000-0000A3D80000}"/>
    <cellStyle name="Total 4 3 12 3 2 4" xfId="55252" xr:uid="{00000000-0005-0000-0000-0000A4D80000}"/>
    <cellStyle name="Total 4 3 12 3 3" xfId="55253" xr:uid="{00000000-0005-0000-0000-0000A5D80000}"/>
    <cellStyle name="Total 4 3 12 3 3 2" xfId="55254" xr:uid="{00000000-0005-0000-0000-0000A6D80000}"/>
    <cellStyle name="Total 4 3 12 3 3 3" xfId="55255" xr:uid="{00000000-0005-0000-0000-0000A7D80000}"/>
    <cellStyle name="Total 4 3 12 3 3 4" xfId="55256" xr:uid="{00000000-0005-0000-0000-0000A8D80000}"/>
    <cellStyle name="Total 4 3 12 3 4" xfId="55257" xr:uid="{00000000-0005-0000-0000-0000A9D80000}"/>
    <cellStyle name="Total 4 3 12 3 5" xfId="55258" xr:uid="{00000000-0005-0000-0000-0000AAD80000}"/>
    <cellStyle name="Total 4 3 12 3 6" xfId="55259" xr:uid="{00000000-0005-0000-0000-0000ABD80000}"/>
    <cellStyle name="Total 4 3 12 4" xfId="55260" xr:uid="{00000000-0005-0000-0000-0000ACD80000}"/>
    <cellStyle name="Total 4 3 12 5" xfId="55261" xr:uid="{00000000-0005-0000-0000-0000ADD80000}"/>
    <cellStyle name="Total 4 3 12 6" xfId="55262" xr:uid="{00000000-0005-0000-0000-0000AED80000}"/>
    <cellStyle name="Total 4 3 13" xfId="55263" xr:uid="{00000000-0005-0000-0000-0000AFD80000}"/>
    <cellStyle name="Total 4 3 14" xfId="55264" xr:uid="{00000000-0005-0000-0000-0000B0D80000}"/>
    <cellStyle name="Total 4 3 15" xfId="58810" xr:uid="{00000000-0005-0000-0000-0000B1D80000}"/>
    <cellStyle name="Total 4 3 2" xfId="55265" xr:uid="{00000000-0005-0000-0000-0000B2D80000}"/>
    <cellStyle name="Total 4 3 2 2" xfId="55266" xr:uid="{00000000-0005-0000-0000-0000B3D80000}"/>
    <cellStyle name="Total 4 3 2 2 2" xfId="55267" xr:uid="{00000000-0005-0000-0000-0000B4D80000}"/>
    <cellStyle name="Total 4 3 2 2 2 2" xfId="55268" xr:uid="{00000000-0005-0000-0000-0000B5D80000}"/>
    <cellStyle name="Total 4 3 2 2 2 2 2" xfId="55269" xr:uid="{00000000-0005-0000-0000-0000B6D80000}"/>
    <cellStyle name="Total 4 3 2 2 2 2 3" xfId="55270" xr:uid="{00000000-0005-0000-0000-0000B7D80000}"/>
    <cellStyle name="Total 4 3 2 2 2 2 4" xfId="55271" xr:uid="{00000000-0005-0000-0000-0000B8D80000}"/>
    <cellStyle name="Total 4 3 2 2 2 3" xfId="55272" xr:uid="{00000000-0005-0000-0000-0000B9D80000}"/>
    <cellStyle name="Total 4 3 2 2 2 3 2" xfId="55273" xr:uid="{00000000-0005-0000-0000-0000BAD80000}"/>
    <cellStyle name="Total 4 3 2 2 2 3 3" xfId="55274" xr:uid="{00000000-0005-0000-0000-0000BBD80000}"/>
    <cellStyle name="Total 4 3 2 2 2 3 4" xfId="55275" xr:uid="{00000000-0005-0000-0000-0000BCD80000}"/>
    <cellStyle name="Total 4 3 2 2 2 4" xfId="55276" xr:uid="{00000000-0005-0000-0000-0000BDD80000}"/>
    <cellStyle name="Total 4 3 2 2 2 5" xfId="55277" xr:uid="{00000000-0005-0000-0000-0000BED80000}"/>
    <cellStyle name="Total 4 3 2 2 2 6" xfId="55278" xr:uid="{00000000-0005-0000-0000-0000BFD80000}"/>
    <cellStyle name="Total 4 3 2 2 3" xfId="55279" xr:uid="{00000000-0005-0000-0000-0000C0D80000}"/>
    <cellStyle name="Total 4 3 2 2 3 2" xfId="55280" xr:uid="{00000000-0005-0000-0000-0000C1D80000}"/>
    <cellStyle name="Total 4 3 2 2 3 2 2" xfId="55281" xr:uid="{00000000-0005-0000-0000-0000C2D80000}"/>
    <cellStyle name="Total 4 3 2 2 3 2 3" xfId="55282" xr:uid="{00000000-0005-0000-0000-0000C3D80000}"/>
    <cellStyle name="Total 4 3 2 2 3 2 4" xfId="55283" xr:uid="{00000000-0005-0000-0000-0000C4D80000}"/>
    <cellStyle name="Total 4 3 2 2 3 3" xfId="55284" xr:uid="{00000000-0005-0000-0000-0000C5D80000}"/>
    <cellStyle name="Total 4 3 2 2 3 3 2" xfId="55285" xr:uid="{00000000-0005-0000-0000-0000C6D80000}"/>
    <cellStyle name="Total 4 3 2 2 3 3 3" xfId="55286" xr:uid="{00000000-0005-0000-0000-0000C7D80000}"/>
    <cellStyle name="Total 4 3 2 2 3 3 4" xfId="55287" xr:uid="{00000000-0005-0000-0000-0000C8D80000}"/>
    <cellStyle name="Total 4 3 2 2 3 4" xfId="55288" xr:uid="{00000000-0005-0000-0000-0000C9D80000}"/>
    <cellStyle name="Total 4 3 2 2 3 5" xfId="55289" xr:uid="{00000000-0005-0000-0000-0000CAD80000}"/>
    <cellStyle name="Total 4 3 2 2 3 6" xfId="55290" xr:uid="{00000000-0005-0000-0000-0000CBD80000}"/>
    <cellStyle name="Total 4 3 2 2 4" xfId="55291" xr:uid="{00000000-0005-0000-0000-0000CCD80000}"/>
    <cellStyle name="Total 4 3 2 2 5" xfId="55292" xr:uid="{00000000-0005-0000-0000-0000CDD80000}"/>
    <cellStyle name="Total 4 3 2 2 6" xfId="55293" xr:uid="{00000000-0005-0000-0000-0000CED80000}"/>
    <cellStyle name="Total 4 3 2 3" xfId="55294" xr:uid="{00000000-0005-0000-0000-0000CFD80000}"/>
    <cellStyle name="Total 4 3 2 4" xfId="55295" xr:uid="{00000000-0005-0000-0000-0000D0D80000}"/>
    <cellStyle name="Total 4 3 3" xfId="55296" xr:uid="{00000000-0005-0000-0000-0000D1D80000}"/>
    <cellStyle name="Total 4 3 3 2" xfId="55297" xr:uid="{00000000-0005-0000-0000-0000D2D80000}"/>
    <cellStyle name="Total 4 3 3 2 2" xfId="55298" xr:uid="{00000000-0005-0000-0000-0000D3D80000}"/>
    <cellStyle name="Total 4 3 3 2 2 2" xfId="55299" xr:uid="{00000000-0005-0000-0000-0000D4D80000}"/>
    <cellStyle name="Total 4 3 3 2 2 2 2" xfId="55300" xr:uid="{00000000-0005-0000-0000-0000D5D80000}"/>
    <cellStyle name="Total 4 3 3 2 2 2 3" xfId="55301" xr:uid="{00000000-0005-0000-0000-0000D6D80000}"/>
    <cellStyle name="Total 4 3 3 2 2 2 4" xfId="55302" xr:uid="{00000000-0005-0000-0000-0000D7D80000}"/>
    <cellStyle name="Total 4 3 3 2 2 3" xfId="55303" xr:uid="{00000000-0005-0000-0000-0000D8D80000}"/>
    <cellStyle name="Total 4 3 3 2 2 3 2" xfId="55304" xr:uid="{00000000-0005-0000-0000-0000D9D80000}"/>
    <cellStyle name="Total 4 3 3 2 2 3 3" xfId="55305" xr:uid="{00000000-0005-0000-0000-0000DAD80000}"/>
    <cellStyle name="Total 4 3 3 2 2 3 4" xfId="55306" xr:uid="{00000000-0005-0000-0000-0000DBD80000}"/>
    <cellStyle name="Total 4 3 3 2 2 4" xfId="55307" xr:uid="{00000000-0005-0000-0000-0000DCD80000}"/>
    <cellStyle name="Total 4 3 3 2 2 5" xfId="55308" xr:uid="{00000000-0005-0000-0000-0000DDD80000}"/>
    <cellStyle name="Total 4 3 3 2 2 6" xfId="55309" xr:uid="{00000000-0005-0000-0000-0000DED80000}"/>
    <cellStyle name="Total 4 3 3 2 3" xfId="55310" xr:uid="{00000000-0005-0000-0000-0000DFD80000}"/>
    <cellStyle name="Total 4 3 3 2 3 2" xfId="55311" xr:uid="{00000000-0005-0000-0000-0000E0D80000}"/>
    <cellStyle name="Total 4 3 3 2 3 2 2" xfId="55312" xr:uid="{00000000-0005-0000-0000-0000E1D80000}"/>
    <cellStyle name="Total 4 3 3 2 3 2 3" xfId="55313" xr:uid="{00000000-0005-0000-0000-0000E2D80000}"/>
    <cellStyle name="Total 4 3 3 2 3 2 4" xfId="55314" xr:uid="{00000000-0005-0000-0000-0000E3D80000}"/>
    <cellStyle name="Total 4 3 3 2 3 3" xfId="55315" xr:uid="{00000000-0005-0000-0000-0000E4D80000}"/>
    <cellStyle name="Total 4 3 3 2 3 3 2" xfId="55316" xr:uid="{00000000-0005-0000-0000-0000E5D80000}"/>
    <cellStyle name="Total 4 3 3 2 3 3 3" xfId="55317" xr:uid="{00000000-0005-0000-0000-0000E6D80000}"/>
    <cellStyle name="Total 4 3 3 2 3 3 4" xfId="55318" xr:uid="{00000000-0005-0000-0000-0000E7D80000}"/>
    <cellStyle name="Total 4 3 3 2 3 4" xfId="55319" xr:uid="{00000000-0005-0000-0000-0000E8D80000}"/>
    <cellStyle name="Total 4 3 3 2 3 5" xfId="55320" xr:uid="{00000000-0005-0000-0000-0000E9D80000}"/>
    <cellStyle name="Total 4 3 3 2 3 6" xfId="55321" xr:uid="{00000000-0005-0000-0000-0000EAD80000}"/>
    <cellStyle name="Total 4 3 3 2 4" xfId="55322" xr:uid="{00000000-0005-0000-0000-0000EBD80000}"/>
    <cellStyle name="Total 4 3 3 2 5" xfId="55323" xr:uid="{00000000-0005-0000-0000-0000ECD80000}"/>
    <cellStyle name="Total 4 3 3 2 6" xfId="55324" xr:uid="{00000000-0005-0000-0000-0000EDD80000}"/>
    <cellStyle name="Total 4 3 3 3" xfId="55325" xr:uid="{00000000-0005-0000-0000-0000EED80000}"/>
    <cellStyle name="Total 4 3 3 4" xfId="55326" xr:uid="{00000000-0005-0000-0000-0000EFD80000}"/>
    <cellStyle name="Total 4 3 4" xfId="55327" xr:uid="{00000000-0005-0000-0000-0000F0D80000}"/>
    <cellStyle name="Total 4 3 4 2" xfId="55328" xr:uid="{00000000-0005-0000-0000-0000F1D80000}"/>
    <cellStyle name="Total 4 3 4 2 2" xfId="55329" xr:uid="{00000000-0005-0000-0000-0000F2D80000}"/>
    <cellStyle name="Total 4 3 4 2 2 2" xfId="55330" xr:uid="{00000000-0005-0000-0000-0000F3D80000}"/>
    <cellStyle name="Total 4 3 4 2 2 2 2" xfId="55331" xr:uid="{00000000-0005-0000-0000-0000F4D80000}"/>
    <cellStyle name="Total 4 3 4 2 2 2 3" xfId="55332" xr:uid="{00000000-0005-0000-0000-0000F5D80000}"/>
    <cellStyle name="Total 4 3 4 2 2 2 4" xfId="55333" xr:uid="{00000000-0005-0000-0000-0000F6D80000}"/>
    <cellStyle name="Total 4 3 4 2 2 3" xfId="55334" xr:uid="{00000000-0005-0000-0000-0000F7D80000}"/>
    <cellStyle name="Total 4 3 4 2 2 3 2" xfId="55335" xr:uid="{00000000-0005-0000-0000-0000F8D80000}"/>
    <cellStyle name="Total 4 3 4 2 2 3 3" xfId="55336" xr:uid="{00000000-0005-0000-0000-0000F9D80000}"/>
    <cellStyle name="Total 4 3 4 2 2 3 4" xfId="55337" xr:uid="{00000000-0005-0000-0000-0000FAD80000}"/>
    <cellStyle name="Total 4 3 4 2 2 4" xfId="55338" xr:uid="{00000000-0005-0000-0000-0000FBD80000}"/>
    <cellStyle name="Total 4 3 4 2 2 5" xfId="55339" xr:uid="{00000000-0005-0000-0000-0000FCD80000}"/>
    <cellStyle name="Total 4 3 4 2 2 6" xfId="55340" xr:uid="{00000000-0005-0000-0000-0000FDD80000}"/>
    <cellStyle name="Total 4 3 4 2 3" xfId="55341" xr:uid="{00000000-0005-0000-0000-0000FED80000}"/>
    <cellStyle name="Total 4 3 4 2 3 2" xfId="55342" xr:uid="{00000000-0005-0000-0000-0000FFD80000}"/>
    <cellStyle name="Total 4 3 4 2 3 2 2" xfId="55343" xr:uid="{00000000-0005-0000-0000-000000D90000}"/>
    <cellStyle name="Total 4 3 4 2 3 2 3" xfId="55344" xr:uid="{00000000-0005-0000-0000-000001D90000}"/>
    <cellStyle name="Total 4 3 4 2 3 2 4" xfId="55345" xr:uid="{00000000-0005-0000-0000-000002D90000}"/>
    <cellStyle name="Total 4 3 4 2 3 3" xfId="55346" xr:uid="{00000000-0005-0000-0000-000003D90000}"/>
    <cellStyle name="Total 4 3 4 2 3 3 2" xfId="55347" xr:uid="{00000000-0005-0000-0000-000004D90000}"/>
    <cellStyle name="Total 4 3 4 2 3 3 3" xfId="55348" xr:uid="{00000000-0005-0000-0000-000005D90000}"/>
    <cellStyle name="Total 4 3 4 2 3 3 4" xfId="55349" xr:uid="{00000000-0005-0000-0000-000006D90000}"/>
    <cellStyle name="Total 4 3 4 2 3 4" xfId="55350" xr:uid="{00000000-0005-0000-0000-000007D90000}"/>
    <cellStyle name="Total 4 3 4 2 3 5" xfId="55351" xr:uid="{00000000-0005-0000-0000-000008D90000}"/>
    <cellStyle name="Total 4 3 4 2 3 6" xfId="55352" xr:uid="{00000000-0005-0000-0000-000009D90000}"/>
    <cellStyle name="Total 4 3 4 2 4" xfId="55353" xr:uid="{00000000-0005-0000-0000-00000AD90000}"/>
    <cellStyle name="Total 4 3 4 2 5" xfId="55354" xr:uid="{00000000-0005-0000-0000-00000BD90000}"/>
    <cellStyle name="Total 4 3 4 2 6" xfId="55355" xr:uid="{00000000-0005-0000-0000-00000CD90000}"/>
    <cellStyle name="Total 4 3 4 3" xfId="55356" xr:uid="{00000000-0005-0000-0000-00000DD90000}"/>
    <cellStyle name="Total 4 3 4 4" xfId="55357" xr:uid="{00000000-0005-0000-0000-00000ED90000}"/>
    <cellStyle name="Total 4 3 5" xfId="55358" xr:uid="{00000000-0005-0000-0000-00000FD90000}"/>
    <cellStyle name="Total 4 3 5 2" xfId="55359" xr:uid="{00000000-0005-0000-0000-000010D90000}"/>
    <cellStyle name="Total 4 3 5 2 2" xfId="55360" xr:uid="{00000000-0005-0000-0000-000011D90000}"/>
    <cellStyle name="Total 4 3 5 2 2 2" xfId="55361" xr:uid="{00000000-0005-0000-0000-000012D90000}"/>
    <cellStyle name="Total 4 3 5 2 2 3" xfId="55362" xr:uid="{00000000-0005-0000-0000-000013D90000}"/>
    <cellStyle name="Total 4 3 5 2 2 4" xfId="55363" xr:uid="{00000000-0005-0000-0000-000014D90000}"/>
    <cellStyle name="Total 4 3 5 2 3" xfId="55364" xr:uid="{00000000-0005-0000-0000-000015D90000}"/>
    <cellStyle name="Total 4 3 5 2 4" xfId="55365" xr:uid="{00000000-0005-0000-0000-000016D90000}"/>
    <cellStyle name="Total 4 3 5 2 5" xfId="55366" xr:uid="{00000000-0005-0000-0000-000017D90000}"/>
    <cellStyle name="Total 4 3 5 3" xfId="55367" xr:uid="{00000000-0005-0000-0000-000018D90000}"/>
    <cellStyle name="Total 4 3 5 3 2" xfId="55368" xr:uid="{00000000-0005-0000-0000-000019D90000}"/>
    <cellStyle name="Total 4 3 5 3 2 2" xfId="55369" xr:uid="{00000000-0005-0000-0000-00001AD90000}"/>
    <cellStyle name="Total 4 3 5 3 2 3" xfId="55370" xr:uid="{00000000-0005-0000-0000-00001BD90000}"/>
    <cellStyle name="Total 4 3 5 3 2 4" xfId="55371" xr:uid="{00000000-0005-0000-0000-00001CD90000}"/>
    <cellStyle name="Total 4 3 5 3 3" xfId="55372" xr:uid="{00000000-0005-0000-0000-00001DD90000}"/>
    <cellStyle name="Total 4 3 5 3 3 2" xfId="55373" xr:uid="{00000000-0005-0000-0000-00001ED90000}"/>
    <cellStyle name="Total 4 3 5 3 3 3" xfId="55374" xr:uid="{00000000-0005-0000-0000-00001FD90000}"/>
    <cellStyle name="Total 4 3 5 3 3 4" xfId="55375" xr:uid="{00000000-0005-0000-0000-000020D90000}"/>
    <cellStyle name="Total 4 3 5 3 4" xfId="55376" xr:uid="{00000000-0005-0000-0000-000021D90000}"/>
    <cellStyle name="Total 4 3 5 3 5" xfId="55377" xr:uid="{00000000-0005-0000-0000-000022D90000}"/>
    <cellStyle name="Total 4 3 5 3 6" xfId="55378" xr:uid="{00000000-0005-0000-0000-000023D90000}"/>
    <cellStyle name="Total 4 3 5 4" xfId="55379" xr:uid="{00000000-0005-0000-0000-000024D90000}"/>
    <cellStyle name="Total 4 3 5 5" xfId="55380" xr:uid="{00000000-0005-0000-0000-000025D90000}"/>
    <cellStyle name="Total 4 3 6" xfId="55381" xr:uid="{00000000-0005-0000-0000-000026D90000}"/>
    <cellStyle name="Total 4 3 6 2" xfId="55382" xr:uid="{00000000-0005-0000-0000-000027D90000}"/>
    <cellStyle name="Total 4 3 6 2 2" xfId="55383" xr:uid="{00000000-0005-0000-0000-000028D90000}"/>
    <cellStyle name="Total 4 3 6 2 2 2" xfId="55384" xr:uid="{00000000-0005-0000-0000-000029D90000}"/>
    <cellStyle name="Total 4 3 6 2 2 3" xfId="55385" xr:uid="{00000000-0005-0000-0000-00002AD90000}"/>
    <cellStyle name="Total 4 3 6 2 2 4" xfId="55386" xr:uid="{00000000-0005-0000-0000-00002BD90000}"/>
    <cellStyle name="Total 4 3 6 2 3" xfId="55387" xr:uid="{00000000-0005-0000-0000-00002CD90000}"/>
    <cellStyle name="Total 4 3 6 2 4" xfId="55388" xr:uid="{00000000-0005-0000-0000-00002DD90000}"/>
    <cellStyle name="Total 4 3 6 2 5" xfId="55389" xr:uid="{00000000-0005-0000-0000-00002ED90000}"/>
    <cellStyle name="Total 4 3 6 3" xfId="55390" xr:uid="{00000000-0005-0000-0000-00002FD90000}"/>
    <cellStyle name="Total 4 3 6 3 2" xfId="55391" xr:uid="{00000000-0005-0000-0000-000030D90000}"/>
    <cellStyle name="Total 4 3 6 3 2 2" xfId="55392" xr:uid="{00000000-0005-0000-0000-000031D90000}"/>
    <cellStyle name="Total 4 3 6 3 2 3" xfId="55393" xr:uid="{00000000-0005-0000-0000-000032D90000}"/>
    <cellStyle name="Total 4 3 6 3 2 4" xfId="55394" xr:uid="{00000000-0005-0000-0000-000033D90000}"/>
    <cellStyle name="Total 4 3 6 3 3" xfId="55395" xr:uid="{00000000-0005-0000-0000-000034D90000}"/>
    <cellStyle name="Total 4 3 6 3 3 2" xfId="55396" xr:uid="{00000000-0005-0000-0000-000035D90000}"/>
    <cellStyle name="Total 4 3 6 3 3 3" xfId="55397" xr:uid="{00000000-0005-0000-0000-000036D90000}"/>
    <cellStyle name="Total 4 3 6 3 3 4" xfId="55398" xr:uid="{00000000-0005-0000-0000-000037D90000}"/>
    <cellStyle name="Total 4 3 6 3 4" xfId="55399" xr:uid="{00000000-0005-0000-0000-000038D90000}"/>
    <cellStyle name="Total 4 3 6 3 5" xfId="55400" xr:uid="{00000000-0005-0000-0000-000039D90000}"/>
    <cellStyle name="Total 4 3 6 3 6" xfId="55401" xr:uid="{00000000-0005-0000-0000-00003AD90000}"/>
    <cellStyle name="Total 4 3 6 4" xfId="55402" xr:uid="{00000000-0005-0000-0000-00003BD90000}"/>
    <cellStyle name="Total 4 3 6 5" xfId="55403" xr:uid="{00000000-0005-0000-0000-00003CD90000}"/>
    <cellStyle name="Total 4 3 7" xfId="55404" xr:uid="{00000000-0005-0000-0000-00003DD90000}"/>
    <cellStyle name="Total 4 3 7 2" xfId="55405" xr:uid="{00000000-0005-0000-0000-00003ED90000}"/>
    <cellStyle name="Total 4 3 7 2 2" xfId="55406" xr:uid="{00000000-0005-0000-0000-00003FD90000}"/>
    <cellStyle name="Total 4 3 7 2 2 2" xfId="55407" xr:uid="{00000000-0005-0000-0000-000040D90000}"/>
    <cellStyle name="Total 4 3 7 2 2 3" xfId="55408" xr:uid="{00000000-0005-0000-0000-000041D90000}"/>
    <cellStyle name="Total 4 3 7 2 2 4" xfId="55409" xr:uid="{00000000-0005-0000-0000-000042D90000}"/>
    <cellStyle name="Total 4 3 7 2 3" xfId="55410" xr:uid="{00000000-0005-0000-0000-000043D90000}"/>
    <cellStyle name="Total 4 3 7 2 4" xfId="55411" xr:uid="{00000000-0005-0000-0000-000044D90000}"/>
    <cellStyle name="Total 4 3 7 2 5" xfId="55412" xr:uid="{00000000-0005-0000-0000-000045D90000}"/>
    <cellStyle name="Total 4 3 7 3" xfId="55413" xr:uid="{00000000-0005-0000-0000-000046D90000}"/>
    <cellStyle name="Total 4 3 7 3 2" xfId="55414" xr:uid="{00000000-0005-0000-0000-000047D90000}"/>
    <cellStyle name="Total 4 3 7 3 2 2" xfId="55415" xr:uid="{00000000-0005-0000-0000-000048D90000}"/>
    <cellStyle name="Total 4 3 7 3 2 3" xfId="55416" xr:uid="{00000000-0005-0000-0000-000049D90000}"/>
    <cellStyle name="Total 4 3 7 3 2 4" xfId="55417" xr:uid="{00000000-0005-0000-0000-00004AD90000}"/>
    <cellStyle name="Total 4 3 7 3 3" xfId="55418" xr:uid="{00000000-0005-0000-0000-00004BD90000}"/>
    <cellStyle name="Total 4 3 7 3 3 2" xfId="55419" xr:uid="{00000000-0005-0000-0000-00004CD90000}"/>
    <cellStyle name="Total 4 3 7 3 3 3" xfId="55420" xr:uid="{00000000-0005-0000-0000-00004DD90000}"/>
    <cellStyle name="Total 4 3 7 3 3 4" xfId="55421" xr:uid="{00000000-0005-0000-0000-00004ED90000}"/>
    <cellStyle name="Total 4 3 7 3 4" xfId="55422" xr:uid="{00000000-0005-0000-0000-00004FD90000}"/>
    <cellStyle name="Total 4 3 7 3 5" xfId="55423" xr:uid="{00000000-0005-0000-0000-000050D90000}"/>
    <cellStyle name="Total 4 3 7 3 6" xfId="55424" xr:uid="{00000000-0005-0000-0000-000051D90000}"/>
    <cellStyle name="Total 4 3 7 4" xfId="55425" xr:uid="{00000000-0005-0000-0000-000052D90000}"/>
    <cellStyle name="Total 4 3 7 5" xfId="55426" xr:uid="{00000000-0005-0000-0000-000053D90000}"/>
    <cellStyle name="Total 4 3 8" xfId="55427" xr:uid="{00000000-0005-0000-0000-000054D90000}"/>
    <cellStyle name="Total 4 3 8 2" xfId="55428" xr:uid="{00000000-0005-0000-0000-000055D90000}"/>
    <cellStyle name="Total 4 3 8 2 2" xfId="55429" xr:uid="{00000000-0005-0000-0000-000056D90000}"/>
    <cellStyle name="Total 4 3 8 2 2 2" xfId="55430" xr:uid="{00000000-0005-0000-0000-000057D90000}"/>
    <cellStyle name="Total 4 3 8 2 2 3" xfId="55431" xr:uid="{00000000-0005-0000-0000-000058D90000}"/>
    <cellStyle name="Total 4 3 8 2 2 4" xfId="55432" xr:uid="{00000000-0005-0000-0000-000059D90000}"/>
    <cellStyle name="Total 4 3 8 2 3" xfId="55433" xr:uid="{00000000-0005-0000-0000-00005AD90000}"/>
    <cellStyle name="Total 4 3 8 2 4" xfId="55434" xr:uid="{00000000-0005-0000-0000-00005BD90000}"/>
    <cellStyle name="Total 4 3 8 2 5" xfId="55435" xr:uid="{00000000-0005-0000-0000-00005CD90000}"/>
    <cellStyle name="Total 4 3 8 3" xfId="55436" xr:uid="{00000000-0005-0000-0000-00005DD90000}"/>
    <cellStyle name="Total 4 3 8 3 2" xfId="55437" xr:uid="{00000000-0005-0000-0000-00005ED90000}"/>
    <cellStyle name="Total 4 3 8 3 2 2" xfId="55438" xr:uid="{00000000-0005-0000-0000-00005FD90000}"/>
    <cellStyle name="Total 4 3 8 3 2 3" xfId="55439" xr:uid="{00000000-0005-0000-0000-000060D90000}"/>
    <cellStyle name="Total 4 3 8 3 2 4" xfId="55440" xr:uid="{00000000-0005-0000-0000-000061D90000}"/>
    <cellStyle name="Total 4 3 8 3 3" xfId="55441" xr:uid="{00000000-0005-0000-0000-000062D90000}"/>
    <cellStyle name="Total 4 3 8 3 3 2" xfId="55442" xr:uid="{00000000-0005-0000-0000-000063D90000}"/>
    <cellStyle name="Total 4 3 8 3 3 3" xfId="55443" xr:uid="{00000000-0005-0000-0000-000064D90000}"/>
    <cellStyle name="Total 4 3 8 3 3 4" xfId="55444" xr:uid="{00000000-0005-0000-0000-000065D90000}"/>
    <cellStyle name="Total 4 3 8 3 4" xfId="55445" xr:uid="{00000000-0005-0000-0000-000066D90000}"/>
    <cellStyle name="Total 4 3 8 3 5" xfId="55446" xr:uid="{00000000-0005-0000-0000-000067D90000}"/>
    <cellStyle name="Total 4 3 8 3 6" xfId="55447" xr:uid="{00000000-0005-0000-0000-000068D90000}"/>
    <cellStyle name="Total 4 3 8 4" xfId="55448" xr:uid="{00000000-0005-0000-0000-000069D90000}"/>
    <cellStyle name="Total 4 3 8 5" xfId="55449" xr:uid="{00000000-0005-0000-0000-00006AD90000}"/>
    <cellStyle name="Total 4 3 9" xfId="55450" xr:uid="{00000000-0005-0000-0000-00006BD90000}"/>
    <cellStyle name="Total 4 3 9 2" xfId="55451" xr:uid="{00000000-0005-0000-0000-00006CD90000}"/>
    <cellStyle name="Total 4 3 9 2 2" xfId="55452" xr:uid="{00000000-0005-0000-0000-00006DD90000}"/>
    <cellStyle name="Total 4 3 9 2 2 2" xfId="55453" xr:uid="{00000000-0005-0000-0000-00006ED90000}"/>
    <cellStyle name="Total 4 3 9 2 2 3" xfId="55454" xr:uid="{00000000-0005-0000-0000-00006FD90000}"/>
    <cellStyle name="Total 4 3 9 2 2 4" xfId="55455" xr:uid="{00000000-0005-0000-0000-000070D90000}"/>
    <cellStyle name="Total 4 3 9 2 3" xfId="55456" xr:uid="{00000000-0005-0000-0000-000071D90000}"/>
    <cellStyle name="Total 4 3 9 2 4" xfId="55457" xr:uid="{00000000-0005-0000-0000-000072D90000}"/>
    <cellStyle name="Total 4 3 9 2 5" xfId="55458" xr:uid="{00000000-0005-0000-0000-000073D90000}"/>
    <cellStyle name="Total 4 3 9 3" xfId="55459" xr:uid="{00000000-0005-0000-0000-000074D90000}"/>
    <cellStyle name="Total 4 3 9 3 2" xfId="55460" xr:uid="{00000000-0005-0000-0000-000075D90000}"/>
    <cellStyle name="Total 4 3 9 3 2 2" xfId="55461" xr:uid="{00000000-0005-0000-0000-000076D90000}"/>
    <cellStyle name="Total 4 3 9 3 2 3" xfId="55462" xr:uid="{00000000-0005-0000-0000-000077D90000}"/>
    <cellStyle name="Total 4 3 9 3 2 4" xfId="55463" xr:uid="{00000000-0005-0000-0000-000078D90000}"/>
    <cellStyle name="Total 4 3 9 3 3" xfId="55464" xr:uid="{00000000-0005-0000-0000-000079D90000}"/>
    <cellStyle name="Total 4 3 9 3 3 2" xfId="55465" xr:uid="{00000000-0005-0000-0000-00007AD90000}"/>
    <cellStyle name="Total 4 3 9 3 3 3" xfId="55466" xr:uid="{00000000-0005-0000-0000-00007BD90000}"/>
    <cellStyle name="Total 4 3 9 3 3 4" xfId="55467" xr:uid="{00000000-0005-0000-0000-00007CD90000}"/>
    <cellStyle name="Total 4 3 9 3 4" xfId="55468" xr:uid="{00000000-0005-0000-0000-00007DD90000}"/>
    <cellStyle name="Total 4 3 9 3 5" xfId="55469" xr:uid="{00000000-0005-0000-0000-00007ED90000}"/>
    <cellStyle name="Total 4 3 9 3 6" xfId="55470" xr:uid="{00000000-0005-0000-0000-00007FD90000}"/>
    <cellStyle name="Total 4 3 9 4" xfId="55471" xr:uid="{00000000-0005-0000-0000-000080D90000}"/>
    <cellStyle name="Total 4 3 9 5" xfId="55472" xr:uid="{00000000-0005-0000-0000-000081D90000}"/>
    <cellStyle name="Total 4 4" xfId="55473" xr:uid="{00000000-0005-0000-0000-000082D90000}"/>
    <cellStyle name="Total 4 4 10" xfId="55474" xr:uid="{00000000-0005-0000-0000-000083D90000}"/>
    <cellStyle name="Total 4 4 10 2" xfId="55475" xr:uid="{00000000-0005-0000-0000-000084D90000}"/>
    <cellStyle name="Total 4 4 10 2 2" xfId="55476" xr:uid="{00000000-0005-0000-0000-000085D90000}"/>
    <cellStyle name="Total 4 4 10 2 2 2" xfId="55477" xr:uid="{00000000-0005-0000-0000-000086D90000}"/>
    <cellStyle name="Total 4 4 10 2 2 3" xfId="55478" xr:uid="{00000000-0005-0000-0000-000087D90000}"/>
    <cellStyle name="Total 4 4 10 2 2 4" xfId="55479" xr:uid="{00000000-0005-0000-0000-000088D90000}"/>
    <cellStyle name="Total 4 4 10 2 3" xfId="55480" xr:uid="{00000000-0005-0000-0000-000089D90000}"/>
    <cellStyle name="Total 4 4 10 2 4" xfId="55481" xr:uid="{00000000-0005-0000-0000-00008AD90000}"/>
    <cellStyle name="Total 4 4 10 2 5" xfId="55482" xr:uid="{00000000-0005-0000-0000-00008BD90000}"/>
    <cellStyle name="Total 4 4 10 3" xfId="55483" xr:uid="{00000000-0005-0000-0000-00008CD90000}"/>
    <cellStyle name="Total 4 4 10 3 2" xfId="55484" xr:uid="{00000000-0005-0000-0000-00008DD90000}"/>
    <cellStyle name="Total 4 4 10 3 2 2" xfId="55485" xr:uid="{00000000-0005-0000-0000-00008ED90000}"/>
    <cellStyle name="Total 4 4 10 3 2 3" xfId="55486" xr:uid="{00000000-0005-0000-0000-00008FD90000}"/>
    <cellStyle name="Total 4 4 10 3 2 4" xfId="55487" xr:uid="{00000000-0005-0000-0000-000090D90000}"/>
    <cellStyle name="Total 4 4 10 3 3" xfId="55488" xr:uid="{00000000-0005-0000-0000-000091D90000}"/>
    <cellStyle name="Total 4 4 10 3 3 2" xfId="55489" xr:uid="{00000000-0005-0000-0000-000092D90000}"/>
    <cellStyle name="Total 4 4 10 3 3 3" xfId="55490" xr:uid="{00000000-0005-0000-0000-000093D90000}"/>
    <cellStyle name="Total 4 4 10 3 3 4" xfId="55491" xr:uid="{00000000-0005-0000-0000-000094D90000}"/>
    <cellStyle name="Total 4 4 10 3 4" xfId="55492" xr:uid="{00000000-0005-0000-0000-000095D90000}"/>
    <cellStyle name="Total 4 4 10 3 5" xfId="55493" xr:uid="{00000000-0005-0000-0000-000096D90000}"/>
    <cellStyle name="Total 4 4 10 3 6" xfId="55494" xr:uid="{00000000-0005-0000-0000-000097D90000}"/>
    <cellStyle name="Total 4 4 10 4" xfId="55495" xr:uid="{00000000-0005-0000-0000-000098D90000}"/>
    <cellStyle name="Total 4 4 10 5" xfId="55496" xr:uid="{00000000-0005-0000-0000-000099D90000}"/>
    <cellStyle name="Total 4 4 11" xfId="55497" xr:uid="{00000000-0005-0000-0000-00009AD90000}"/>
    <cellStyle name="Total 4 4 11 2" xfId="55498" xr:uid="{00000000-0005-0000-0000-00009BD90000}"/>
    <cellStyle name="Total 4 4 11 2 2" xfId="55499" xr:uid="{00000000-0005-0000-0000-00009CD90000}"/>
    <cellStyle name="Total 4 4 11 2 2 2" xfId="55500" xr:uid="{00000000-0005-0000-0000-00009DD90000}"/>
    <cellStyle name="Total 4 4 11 2 2 3" xfId="55501" xr:uid="{00000000-0005-0000-0000-00009ED90000}"/>
    <cellStyle name="Total 4 4 11 2 2 4" xfId="55502" xr:uid="{00000000-0005-0000-0000-00009FD90000}"/>
    <cellStyle name="Total 4 4 11 2 3" xfId="55503" xr:uid="{00000000-0005-0000-0000-0000A0D90000}"/>
    <cellStyle name="Total 4 4 11 2 4" xfId="55504" xr:uid="{00000000-0005-0000-0000-0000A1D90000}"/>
    <cellStyle name="Total 4 4 11 2 5" xfId="55505" xr:uid="{00000000-0005-0000-0000-0000A2D90000}"/>
    <cellStyle name="Total 4 4 11 3" xfId="55506" xr:uid="{00000000-0005-0000-0000-0000A3D90000}"/>
    <cellStyle name="Total 4 4 11 3 2" xfId="55507" xr:uid="{00000000-0005-0000-0000-0000A4D90000}"/>
    <cellStyle name="Total 4 4 11 3 2 2" xfId="55508" xr:uid="{00000000-0005-0000-0000-0000A5D90000}"/>
    <cellStyle name="Total 4 4 11 3 2 3" xfId="55509" xr:uid="{00000000-0005-0000-0000-0000A6D90000}"/>
    <cellStyle name="Total 4 4 11 3 2 4" xfId="55510" xr:uid="{00000000-0005-0000-0000-0000A7D90000}"/>
    <cellStyle name="Total 4 4 11 3 3" xfId="55511" xr:uid="{00000000-0005-0000-0000-0000A8D90000}"/>
    <cellStyle name="Total 4 4 11 3 3 2" xfId="55512" xr:uid="{00000000-0005-0000-0000-0000A9D90000}"/>
    <cellStyle name="Total 4 4 11 3 3 3" xfId="55513" xr:uid="{00000000-0005-0000-0000-0000AAD90000}"/>
    <cellStyle name="Total 4 4 11 3 3 4" xfId="55514" xr:uid="{00000000-0005-0000-0000-0000ABD90000}"/>
    <cellStyle name="Total 4 4 11 3 4" xfId="55515" xr:uid="{00000000-0005-0000-0000-0000ACD90000}"/>
    <cellStyle name="Total 4 4 11 3 5" xfId="55516" xr:uid="{00000000-0005-0000-0000-0000ADD90000}"/>
    <cellStyle name="Total 4 4 11 3 6" xfId="55517" xr:uid="{00000000-0005-0000-0000-0000AED90000}"/>
    <cellStyle name="Total 4 4 11 4" xfId="55518" xr:uid="{00000000-0005-0000-0000-0000AFD90000}"/>
    <cellStyle name="Total 4 4 11 5" xfId="55519" xr:uid="{00000000-0005-0000-0000-0000B0D90000}"/>
    <cellStyle name="Total 4 4 12" xfId="55520" xr:uid="{00000000-0005-0000-0000-0000B1D90000}"/>
    <cellStyle name="Total 4 4 12 2" xfId="55521" xr:uid="{00000000-0005-0000-0000-0000B2D90000}"/>
    <cellStyle name="Total 4 4 12 2 2" xfId="55522" xr:uid="{00000000-0005-0000-0000-0000B3D90000}"/>
    <cellStyle name="Total 4 4 12 2 2 2" xfId="55523" xr:uid="{00000000-0005-0000-0000-0000B4D90000}"/>
    <cellStyle name="Total 4 4 12 2 2 3" xfId="55524" xr:uid="{00000000-0005-0000-0000-0000B5D90000}"/>
    <cellStyle name="Total 4 4 12 2 2 4" xfId="55525" xr:uid="{00000000-0005-0000-0000-0000B6D90000}"/>
    <cellStyle name="Total 4 4 12 2 3" xfId="55526" xr:uid="{00000000-0005-0000-0000-0000B7D90000}"/>
    <cellStyle name="Total 4 4 12 2 3 2" xfId="55527" xr:uid="{00000000-0005-0000-0000-0000B8D90000}"/>
    <cellStyle name="Total 4 4 12 2 3 3" xfId="55528" xr:uid="{00000000-0005-0000-0000-0000B9D90000}"/>
    <cellStyle name="Total 4 4 12 2 3 4" xfId="55529" xr:uid="{00000000-0005-0000-0000-0000BAD90000}"/>
    <cellStyle name="Total 4 4 12 2 4" xfId="55530" xr:uid="{00000000-0005-0000-0000-0000BBD90000}"/>
    <cellStyle name="Total 4 4 12 2 5" xfId="55531" xr:uid="{00000000-0005-0000-0000-0000BCD90000}"/>
    <cellStyle name="Total 4 4 12 2 6" xfId="55532" xr:uid="{00000000-0005-0000-0000-0000BDD90000}"/>
    <cellStyle name="Total 4 4 12 3" xfId="55533" xr:uid="{00000000-0005-0000-0000-0000BED90000}"/>
    <cellStyle name="Total 4 4 12 3 2" xfId="55534" xr:uid="{00000000-0005-0000-0000-0000BFD90000}"/>
    <cellStyle name="Total 4 4 12 3 2 2" xfId="55535" xr:uid="{00000000-0005-0000-0000-0000C0D90000}"/>
    <cellStyle name="Total 4 4 12 3 2 3" xfId="55536" xr:uid="{00000000-0005-0000-0000-0000C1D90000}"/>
    <cellStyle name="Total 4 4 12 3 2 4" xfId="55537" xr:uid="{00000000-0005-0000-0000-0000C2D90000}"/>
    <cellStyle name="Total 4 4 12 3 3" xfId="55538" xr:uid="{00000000-0005-0000-0000-0000C3D90000}"/>
    <cellStyle name="Total 4 4 12 3 3 2" xfId="55539" xr:uid="{00000000-0005-0000-0000-0000C4D90000}"/>
    <cellStyle name="Total 4 4 12 3 3 3" xfId="55540" xr:uid="{00000000-0005-0000-0000-0000C5D90000}"/>
    <cellStyle name="Total 4 4 12 3 3 4" xfId="55541" xr:uid="{00000000-0005-0000-0000-0000C6D90000}"/>
    <cellStyle name="Total 4 4 12 3 4" xfId="55542" xr:uid="{00000000-0005-0000-0000-0000C7D90000}"/>
    <cellStyle name="Total 4 4 12 3 5" xfId="55543" xr:uid="{00000000-0005-0000-0000-0000C8D90000}"/>
    <cellStyle name="Total 4 4 12 3 6" xfId="55544" xr:uid="{00000000-0005-0000-0000-0000C9D90000}"/>
    <cellStyle name="Total 4 4 12 4" xfId="55545" xr:uid="{00000000-0005-0000-0000-0000CAD90000}"/>
    <cellStyle name="Total 4 4 12 5" xfId="55546" xr:uid="{00000000-0005-0000-0000-0000CBD90000}"/>
    <cellStyle name="Total 4 4 12 6" xfId="55547" xr:uid="{00000000-0005-0000-0000-0000CCD90000}"/>
    <cellStyle name="Total 4 4 13" xfId="55548" xr:uid="{00000000-0005-0000-0000-0000CDD90000}"/>
    <cellStyle name="Total 4 4 14" xfId="55549" xr:uid="{00000000-0005-0000-0000-0000CED90000}"/>
    <cellStyle name="Total 4 4 15" xfId="58811" xr:uid="{00000000-0005-0000-0000-0000CFD90000}"/>
    <cellStyle name="Total 4 4 2" xfId="55550" xr:uid="{00000000-0005-0000-0000-0000D0D90000}"/>
    <cellStyle name="Total 4 4 2 2" xfId="55551" xr:uid="{00000000-0005-0000-0000-0000D1D90000}"/>
    <cellStyle name="Total 4 4 2 2 2" xfId="55552" xr:uid="{00000000-0005-0000-0000-0000D2D90000}"/>
    <cellStyle name="Total 4 4 2 2 2 2" xfId="55553" xr:uid="{00000000-0005-0000-0000-0000D3D90000}"/>
    <cellStyle name="Total 4 4 2 2 2 2 2" xfId="55554" xr:uid="{00000000-0005-0000-0000-0000D4D90000}"/>
    <cellStyle name="Total 4 4 2 2 2 2 3" xfId="55555" xr:uid="{00000000-0005-0000-0000-0000D5D90000}"/>
    <cellStyle name="Total 4 4 2 2 2 2 4" xfId="55556" xr:uid="{00000000-0005-0000-0000-0000D6D90000}"/>
    <cellStyle name="Total 4 4 2 2 2 3" xfId="55557" xr:uid="{00000000-0005-0000-0000-0000D7D90000}"/>
    <cellStyle name="Total 4 4 2 2 2 3 2" xfId="55558" xr:uid="{00000000-0005-0000-0000-0000D8D90000}"/>
    <cellStyle name="Total 4 4 2 2 2 3 3" xfId="55559" xr:uid="{00000000-0005-0000-0000-0000D9D90000}"/>
    <cellStyle name="Total 4 4 2 2 2 3 4" xfId="55560" xr:uid="{00000000-0005-0000-0000-0000DAD90000}"/>
    <cellStyle name="Total 4 4 2 2 2 4" xfId="55561" xr:uid="{00000000-0005-0000-0000-0000DBD90000}"/>
    <cellStyle name="Total 4 4 2 2 2 5" xfId="55562" xr:uid="{00000000-0005-0000-0000-0000DCD90000}"/>
    <cellStyle name="Total 4 4 2 2 2 6" xfId="55563" xr:uid="{00000000-0005-0000-0000-0000DDD90000}"/>
    <cellStyle name="Total 4 4 2 2 3" xfId="55564" xr:uid="{00000000-0005-0000-0000-0000DED90000}"/>
    <cellStyle name="Total 4 4 2 2 3 2" xfId="55565" xr:uid="{00000000-0005-0000-0000-0000DFD90000}"/>
    <cellStyle name="Total 4 4 2 2 3 2 2" xfId="55566" xr:uid="{00000000-0005-0000-0000-0000E0D90000}"/>
    <cellStyle name="Total 4 4 2 2 3 2 3" xfId="55567" xr:uid="{00000000-0005-0000-0000-0000E1D90000}"/>
    <cellStyle name="Total 4 4 2 2 3 2 4" xfId="55568" xr:uid="{00000000-0005-0000-0000-0000E2D90000}"/>
    <cellStyle name="Total 4 4 2 2 3 3" xfId="55569" xr:uid="{00000000-0005-0000-0000-0000E3D90000}"/>
    <cellStyle name="Total 4 4 2 2 3 3 2" xfId="55570" xr:uid="{00000000-0005-0000-0000-0000E4D90000}"/>
    <cellStyle name="Total 4 4 2 2 3 3 3" xfId="55571" xr:uid="{00000000-0005-0000-0000-0000E5D90000}"/>
    <cellStyle name="Total 4 4 2 2 3 3 4" xfId="55572" xr:uid="{00000000-0005-0000-0000-0000E6D90000}"/>
    <cellStyle name="Total 4 4 2 2 3 4" xfId="55573" xr:uid="{00000000-0005-0000-0000-0000E7D90000}"/>
    <cellStyle name="Total 4 4 2 2 3 5" xfId="55574" xr:uid="{00000000-0005-0000-0000-0000E8D90000}"/>
    <cellStyle name="Total 4 4 2 2 3 6" xfId="55575" xr:uid="{00000000-0005-0000-0000-0000E9D90000}"/>
    <cellStyle name="Total 4 4 2 2 4" xfId="55576" xr:uid="{00000000-0005-0000-0000-0000EAD90000}"/>
    <cellStyle name="Total 4 4 2 2 5" xfId="55577" xr:uid="{00000000-0005-0000-0000-0000EBD90000}"/>
    <cellStyle name="Total 4 4 2 2 6" xfId="55578" xr:uid="{00000000-0005-0000-0000-0000ECD90000}"/>
    <cellStyle name="Total 4 4 2 3" xfId="55579" xr:uid="{00000000-0005-0000-0000-0000EDD90000}"/>
    <cellStyle name="Total 4 4 2 4" xfId="55580" xr:uid="{00000000-0005-0000-0000-0000EED90000}"/>
    <cellStyle name="Total 4 4 3" xfId="55581" xr:uid="{00000000-0005-0000-0000-0000EFD90000}"/>
    <cellStyle name="Total 4 4 3 2" xfId="55582" xr:uid="{00000000-0005-0000-0000-0000F0D90000}"/>
    <cellStyle name="Total 4 4 3 2 2" xfId="55583" xr:uid="{00000000-0005-0000-0000-0000F1D90000}"/>
    <cellStyle name="Total 4 4 3 2 2 2" xfId="55584" xr:uid="{00000000-0005-0000-0000-0000F2D90000}"/>
    <cellStyle name="Total 4 4 3 2 2 2 2" xfId="55585" xr:uid="{00000000-0005-0000-0000-0000F3D90000}"/>
    <cellStyle name="Total 4 4 3 2 2 2 3" xfId="55586" xr:uid="{00000000-0005-0000-0000-0000F4D90000}"/>
    <cellStyle name="Total 4 4 3 2 2 2 4" xfId="55587" xr:uid="{00000000-0005-0000-0000-0000F5D90000}"/>
    <cellStyle name="Total 4 4 3 2 2 3" xfId="55588" xr:uid="{00000000-0005-0000-0000-0000F6D90000}"/>
    <cellStyle name="Total 4 4 3 2 2 3 2" xfId="55589" xr:uid="{00000000-0005-0000-0000-0000F7D90000}"/>
    <cellStyle name="Total 4 4 3 2 2 3 3" xfId="55590" xr:uid="{00000000-0005-0000-0000-0000F8D90000}"/>
    <cellStyle name="Total 4 4 3 2 2 3 4" xfId="55591" xr:uid="{00000000-0005-0000-0000-0000F9D90000}"/>
    <cellStyle name="Total 4 4 3 2 2 4" xfId="55592" xr:uid="{00000000-0005-0000-0000-0000FAD90000}"/>
    <cellStyle name="Total 4 4 3 2 2 5" xfId="55593" xr:uid="{00000000-0005-0000-0000-0000FBD90000}"/>
    <cellStyle name="Total 4 4 3 2 2 6" xfId="55594" xr:uid="{00000000-0005-0000-0000-0000FCD90000}"/>
    <cellStyle name="Total 4 4 3 2 3" xfId="55595" xr:uid="{00000000-0005-0000-0000-0000FDD90000}"/>
    <cellStyle name="Total 4 4 3 2 3 2" xfId="55596" xr:uid="{00000000-0005-0000-0000-0000FED90000}"/>
    <cellStyle name="Total 4 4 3 2 3 2 2" xfId="55597" xr:uid="{00000000-0005-0000-0000-0000FFD90000}"/>
    <cellStyle name="Total 4 4 3 2 3 2 3" xfId="55598" xr:uid="{00000000-0005-0000-0000-000000DA0000}"/>
    <cellStyle name="Total 4 4 3 2 3 2 4" xfId="55599" xr:uid="{00000000-0005-0000-0000-000001DA0000}"/>
    <cellStyle name="Total 4 4 3 2 3 3" xfId="55600" xr:uid="{00000000-0005-0000-0000-000002DA0000}"/>
    <cellStyle name="Total 4 4 3 2 3 3 2" xfId="55601" xr:uid="{00000000-0005-0000-0000-000003DA0000}"/>
    <cellStyle name="Total 4 4 3 2 3 3 3" xfId="55602" xr:uid="{00000000-0005-0000-0000-000004DA0000}"/>
    <cellStyle name="Total 4 4 3 2 3 3 4" xfId="55603" xr:uid="{00000000-0005-0000-0000-000005DA0000}"/>
    <cellStyle name="Total 4 4 3 2 3 4" xfId="55604" xr:uid="{00000000-0005-0000-0000-000006DA0000}"/>
    <cellStyle name="Total 4 4 3 2 3 5" xfId="55605" xr:uid="{00000000-0005-0000-0000-000007DA0000}"/>
    <cellStyle name="Total 4 4 3 2 3 6" xfId="55606" xr:uid="{00000000-0005-0000-0000-000008DA0000}"/>
    <cellStyle name="Total 4 4 3 2 4" xfId="55607" xr:uid="{00000000-0005-0000-0000-000009DA0000}"/>
    <cellStyle name="Total 4 4 3 2 5" xfId="55608" xr:uid="{00000000-0005-0000-0000-00000ADA0000}"/>
    <cellStyle name="Total 4 4 3 2 6" xfId="55609" xr:uid="{00000000-0005-0000-0000-00000BDA0000}"/>
    <cellStyle name="Total 4 4 3 3" xfId="55610" xr:uid="{00000000-0005-0000-0000-00000CDA0000}"/>
    <cellStyle name="Total 4 4 3 4" xfId="55611" xr:uid="{00000000-0005-0000-0000-00000DDA0000}"/>
    <cellStyle name="Total 4 4 4" xfId="55612" xr:uid="{00000000-0005-0000-0000-00000EDA0000}"/>
    <cellStyle name="Total 4 4 4 2" xfId="55613" xr:uid="{00000000-0005-0000-0000-00000FDA0000}"/>
    <cellStyle name="Total 4 4 4 2 2" xfId="55614" xr:uid="{00000000-0005-0000-0000-000010DA0000}"/>
    <cellStyle name="Total 4 4 4 2 2 2" xfId="55615" xr:uid="{00000000-0005-0000-0000-000011DA0000}"/>
    <cellStyle name="Total 4 4 4 2 2 2 2" xfId="55616" xr:uid="{00000000-0005-0000-0000-000012DA0000}"/>
    <cellStyle name="Total 4 4 4 2 2 2 3" xfId="55617" xr:uid="{00000000-0005-0000-0000-000013DA0000}"/>
    <cellStyle name="Total 4 4 4 2 2 2 4" xfId="55618" xr:uid="{00000000-0005-0000-0000-000014DA0000}"/>
    <cellStyle name="Total 4 4 4 2 2 3" xfId="55619" xr:uid="{00000000-0005-0000-0000-000015DA0000}"/>
    <cellStyle name="Total 4 4 4 2 2 3 2" xfId="55620" xr:uid="{00000000-0005-0000-0000-000016DA0000}"/>
    <cellStyle name="Total 4 4 4 2 2 3 3" xfId="55621" xr:uid="{00000000-0005-0000-0000-000017DA0000}"/>
    <cellStyle name="Total 4 4 4 2 2 3 4" xfId="55622" xr:uid="{00000000-0005-0000-0000-000018DA0000}"/>
    <cellStyle name="Total 4 4 4 2 2 4" xfId="55623" xr:uid="{00000000-0005-0000-0000-000019DA0000}"/>
    <cellStyle name="Total 4 4 4 2 2 5" xfId="55624" xr:uid="{00000000-0005-0000-0000-00001ADA0000}"/>
    <cellStyle name="Total 4 4 4 2 2 6" xfId="55625" xr:uid="{00000000-0005-0000-0000-00001BDA0000}"/>
    <cellStyle name="Total 4 4 4 2 3" xfId="55626" xr:uid="{00000000-0005-0000-0000-00001CDA0000}"/>
    <cellStyle name="Total 4 4 4 2 3 2" xfId="55627" xr:uid="{00000000-0005-0000-0000-00001DDA0000}"/>
    <cellStyle name="Total 4 4 4 2 3 2 2" xfId="55628" xr:uid="{00000000-0005-0000-0000-00001EDA0000}"/>
    <cellStyle name="Total 4 4 4 2 3 2 3" xfId="55629" xr:uid="{00000000-0005-0000-0000-00001FDA0000}"/>
    <cellStyle name="Total 4 4 4 2 3 2 4" xfId="55630" xr:uid="{00000000-0005-0000-0000-000020DA0000}"/>
    <cellStyle name="Total 4 4 4 2 3 3" xfId="55631" xr:uid="{00000000-0005-0000-0000-000021DA0000}"/>
    <cellStyle name="Total 4 4 4 2 3 3 2" xfId="55632" xr:uid="{00000000-0005-0000-0000-000022DA0000}"/>
    <cellStyle name="Total 4 4 4 2 3 3 3" xfId="55633" xr:uid="{00000000-0005-0000-0000-000023DA0000}"/>
    <cellStyle name="Total 4 4 4 2 3 3 4" xfId="55634" xr:uid="{00000000-0005-0000-0000-000024DA0000}"/>
    <cellStyle name="Total 4 4 4 2 3 4" xfId="55635" xr:uid="{00000000-0005-0000-0000-000025DA0000}"/>
    <cellStyle name="Total 4 4 4 2 3 5" xfId="55636" xr:uid="{00000000-0005-0000-0000-000026DA0000}"/>
    <cellStyle name="Total 4 4 4 2 3 6" xfId="55637" xr:uid="{00000000-0005-0000-0000-000027DA0000}"/>
    <cellStyle name="Total 4 4 4 2 4" xfId="55638" xr:uid="{00000000-0005-0000-0000-000028DA0000}"/>
    <cellStyle name="Total 4 4 4 2 5" xfId="55639" xr:uid="{00000000-0005-0000-0000-000029DA0000}"/>
    <cellStyle name="Total 4 4 4 2 6" xfId="55640" xr:uid="{00000000-0005-0000-0000-00002ADA0000}"/>
    <cellStyle name="Total 4 4 4 3" xfId="55641" xr:uid="{00000000-0005-0000-0000-00002BDA0000}"/>
    <cellStyle name="Total 4 4 4 4" xfId="55642" xr:uid="{00000000-0005-0000-0000-00002CDA0000}"/>
    <cellStyle name="Total 4 4 5" xfId="55643" xr:uid="{00000000-0005-0000-0000-00002DDA0000}"/>
    <cellStyle name="Total 4 4 5 2" xfId="55644" xr:uid="{00000000-0005-0000-0000-00002EDA0000}"/>
    <cellStyle name="Total 4 4 5 2 2" xfId="55645" xr:uid="{00000000-0005-0000-0000-00002FDA0000}"/>
    <cellStyle name="Total 4 4 5 2 2 2" xfId="55646" xr:uid="{00000000-0005-0000-0000-000030DA0000}"/>
    <cellStyle name="Total 4 4 5 2 2 3" xfId="55647" xr:uid="{00000000-0005-0000-0000-000031DA0000}"/>
    <cellStyle name="Total 4 4 5 2 2 4" xfId="55648" xr:uid="{00000000-0005-0000-0000-000032DA0000}"/>
    <cellStyle name="Total 4 4 5 2 3" xfId="55649" xr:uid="{00000000-0005-0000-0000-000033DA0000}"/>
    <cellStyle name="Total 4 4 5 2 4" xfId="55650" xr:uid="{00000000-0005-0000-0000-000034DA0000}"/>
    <cellStyle name="Total 4 4 5 2 5" xfId="55651" xr:uid="{00000000-0005-0000-0000-000035DA0000}"/>
    <cellStyle name="Total 4 4 5 3" xfId="55652" xr:uid="{00000000-0005-0000-0000-000036DA0000}"/>
    <cellStyle name="Total 4 4 5 3 2" xfId="55653" xr:uid="{00000000-0005-0000-0000-000037DA0000}"/>
    <cellStyle name="Total 4 4 5 3 2 2" xfId="55654" xr:uid="{00000000-0005-0000-0000-000038DA0000}"/>
    <cellStyle name="Total 4 4 5 3 2 3" xfId="55655" xr:uid="{00000000-0005-0000-0000-000039DA0000}"/>
    <cellStyle name="Total 4 4 5 3 2 4" xfId="55656" xr:uid="{00000000-0005-0000-0000-00003ADA0000}"/>
    <cellStyle name="Total 4 4 5 3 3" xfId="55657" xr:uid="{00000000-0005-0000-0000-00003BDA0000}"/>
    <cellStyle name="Total 4 4 5 3 3 2" xfId="55658" xr:uid="{00000000-0005-0000-0000-00003CDA0000}"/>
    <cellStyle name="Total 4 4 5 3 3 3" xfId="55659" xr:uid="{00000000-0005-0000-0000-00003DDA0000}"/>
    <cellStyle name="Total 4 4 5 3 3 4" xfId="55660" xr:uid="{00000000-0005-0000-0000-00003EDA0000}"/>
    <cellStyle name="Total 4 4 5 3 4" xfId="55661" xr:uid="{00000000-0005-0000-0000-00003FDA0000}"/>
    <cellStyle name="Total 4 4 5 3 5" xfId="55662" xr:uid="{00000000-0005-0000-0000-000040DA0000}"/>
    <cellStyle name="Total 4 4 5 3 6" xfId="55663" xr:uid="{00000000-0005-0000-0000-000041DA0000}"/>
    <cellStyle name="Total 4 4 5 4" xfId="55664" xr:uid="{00000000-0005-0000-0000-000042DA0000}"/>
    <cellStyle name="Total 4 4 5 5" xfId="55665" xr:uid="{00000000-0005-0000-0000-000043DA0000}"/>
    <cellStyle name="Total 4 4 6" xfId="55666" xr:uid="{00000000-0005-0000-0000-000044DA0000}"/>
    <cellStyle name="Total 4 4 6 2" xfId="55667" xr:uid="{00000000-0005-0000-0000-000045DA0000}"/>
    <cellStyle name="Total 4 4 6 2 2" xfId="55668" xr:uid="{00000000-0005-0000-0000-000046DA0000}"/>
    <cellStyle name="Total 4 4 6 2 2 2" xfId="55669" xr:uid="{00000000-0005-0000-0000-000047DA0000}"/>
    <cellStyle name="Total 4 4 6 2 2 3" xfId="55670" xr:uid="{00000000-0005-0000-0000-000048DA0000}"/>
    <cellStyle name="Total 4 4 6 2 2 4" xfId="55671" xr:uid="{00000000-0005-0000-0000-000049DA0000}"/>
    <cellStyle name="Total 4 4 6 2 3" xfId="55672" xr:uid="{00000000-0005-0000-0000-00004ADA0000}"/>
    <cellStyle name="Total 4 4 6 2 4" xfId="55673" xr:uid="{00000000-0005-0000-0000-00004BDA0000}"/>
    <cellStyle name="Total 4 4 6 2 5" xfId="55674" xr:uid="{00000000-0005-0000-0000-00004CDA0000}"/>
    <cellStyle name="Total 4 4 6 3" xfId="55675" xr:uid="{00000000-0005-0000-0000-00004DDA0000}"/>
    <cellStyle name="Total 4 4 6 3 2" xfId="55676" xr:uid="{00000000-0005-0000-0000-00004EDA0000}"/>
    <cellStyle name="Total 4 4 6 3 2 2" xfId="55677" xr:uid="{00000000-0005-0000-0000-00004FDA0000}"/>
    <cellStyle name="Total 4 4 6 3 2 3" xfId="55678" xr:uid="{00000000-0005-0000-0000-000050DA0000}"/>
    <cellStyle name="Total 4 4 6 3 2 4" xfId="55679" xr:uid="{00000000-0005-0000-0000-000051DA0000}"/>
    <cellStyle name="Total 4 4 6 3 3" xfId="55680" xr:uid="{00000000-0005-0000-0000-000052DA0000}"/>
    <cellStyle name="Total 4 4 6 3 3 2" xfId="55681" xr:uid="{00000000-0005-0000-0000-000053DA0000}"/>
    <cellStyle name="Total 4 4 6 3 3 3" xfId="55682" xr:uid="{00000000-0005-0000-0000-000054DA0000}"/>
    <cellStyle name="Total 4 4 6 3 3 4" xfId="55683" xr:uid="{00000000-0005-0000-0000-000055DA0000}"/>
    <cellStyle name="Total 4 4 6 3 4" xfId="55684" xr:uid="{00000000-0005-0000-0000-000056DA0000}"/>
    <cellStyle name="Total 4 4 6 3 5" xfId="55685" xr:uid="{00000000-0005-0000-0000-000057DA0000}"/>
    <cellStyle name="Total 4 4 6 3 6" xfId="55686" xr:uid="{00000000-0005-0000-0000-000058DA0000}"/>
    <cellStyle name="Total 4 4 6 4" xfId="55687" xr:uid="{00000000-0005-0000-0000-000059DA0000}"/>
    <cellStyle name="Total 4 4 6 5" xfId="55688" xr:uid="{00000000-0005-0000-0000-00005ADA0000}"/>
    <cellStyle name="Total 4 4 7" xfId="55689" xr:uid="{00000000-0005-0000-0000-00005BDA0000}"/>
    <cellStyle name="Total 4 4 7 2" xfId="55690" xr:uid="{00000000-0005-0000-0000-00005CDA0000}"/>
    <cellStyle name="Total 4 4 7 2 2" xfId="55691" xr:uid="{00000000-0005-0000-0000-00005DDA0000}"/>
    <cellStyle name="Total 4 4 7 2 2 2" xfId="55692" xr:uid="{00000000-0005-0000-0000-00005EDA0000}"/>
    <cellStyle name="Total 4 4 7 2 2 3" xfId="55693" xr:uid="{00000000-0005-0000-0000-00005FDA0000}"/>
    <cellStyle name="Total 4 4 7 2 2 4" xfId="55694" xr:uid="{00000000-0005-0000-0000-000060DA0000}"/>
    <cellStyle name="Total 4 4 7 2 3" xfId="55695" xr:uid="{00000000-0005-0000-0000-000061DA0000}"/>
    <cellStyle name="Total 4 4 7 2 4" xfId="55696" xr:uid="{00000000-0005-0000-0000-000062DA0000}"/>
    <cellStyle name="Total 4 4 7 2 5" xfId="55697" xr:uid="{00000000-0005-0000-0000-000063DA0000}"/>
    <cellStyle name="Total 4 4 7 3" xfId="55698" xr:uid="{00000000-0005-0000-0000-000064DA0000}"/>
    <cellStyle name="Total 4 4 7 3 2" xfId="55699" xr:uid="{00000000-0005-0000-0000-000065DA0000}"/>
    <cellStyle name="Total 4 4 7 3 2 2" xfId="55700" xr:uid="{00000000-0005-0000-0000-000066DA0000}"/>
    <cellStyle name="Total 4 4 7 3 2 3" xfId="55701" xr:uid="{00000000-0005-0000-0000-000067DA0000}"/>
    <cellStyle name="Total 4 4 7 3 2 4" xfId="55702" xr:uid="{00000000-0005-0000-0000-000068DA0000}"/>
    <cellStyle name="Total 4 4 7 3 3" xfId="55703" xr:uid="{00000000-0005-0000-0000-000069DA0000}"/>
    <cellStyle name="Total 4 4 7 3 3 2" xfId="55704" xr:uid="{00000000-0005-0000-0000-00006ADA0000}"/>
    <cellStyle name="Total 4 4 7 3 3 3" xfId="55705" xr:uid="{00000000-0005-0000-0000-00006BDA0000}"/>
    <cellStyle name="Total 4 4 7 3 3 4" xfId="55706" xr:uid="{00000000-0005-0000-0000-00006CDA0000}"/>
    <cellStyle name="Total 4 4 7 3 4" xfId="55707" xr:uid="{00000000-0005-0000-0000-00006DDA0000}"/>
    <cellStyle name="Total 4 4 7 3 5" xfId="55708" xr:uid="{00000000-0005-0000-0000-00006EDA0000}"/>
    <cellStyle name="Total 4 4 7 3 6" xfId="55709" xr:uid="{00000000-0005-0000-0000-00006FDA0000}"/>
    <cellStyle name="Total 4 4 7 4" xfId="55710" xr:uid="{00000000-0005-0000-0000-000070DA0000}"/>
    <cellStyle name="Total 4 4 7 5" xfId="55711" xr:uid="{00000000-0005-0000-0000-000071DA0000}"/>
    <cellStyle name="Total 4 4 8" xfId="55712" xr:uid="{00000000-0005-0000-0000-000072DA0000}"/>
    <cellStyle name="Total 4 4 8 2" xfId="55713" xr:uid="{00000000-0005-0000-0000-000073DA0000}"/>
    <cellStyle name="Total 4 4 8 2 2" xfId="55714" xr:uid="{00000000-0005-0000-0000-000074DA0000}"/>
    <cellStyle name="Total 4 4 8 2 2 2" xfId="55715" xr:uid="{00000000-0005-0000-0000-000075DA0000}"/>
    <cellStyle name="Total 4 4 8 2 2 3" xfId="55716" xr:uid="{00000000-0005-0000-0000-000076DA0000}"/>
    <cellStyle name="Total 4 4 8 2 2 4" xfId="55717" xr:uid="{00000000-0005-0000-0000-000077DA0000}"/>
    <cellStyle name="Total 4 4 8 2 3" xfId="55718" xr:uid="{00000000-0005-0000-0000-000078DA0000}"/>
    <cellStyle name="Total 4 4 8 2 4" xfId="55719" xr:uid="{00000000-0005-0000-0000-000079DA0000}"/>
    <cellStyle name="Total 4 4 8 2 5" xfId="55720" xr:uid="{00000000-0005-0000-0000-00007ADA0000}"/>
    <cellStyle name="Total 4 4 8 3" xfId="55721" xr:uid="{00000000-0005-0000-0000-00007BDA0000}"/>
    <cellStyle name="Total 4 4 8 3 2" xfId="55722" xr:uid="{00000000-0005-0000-0000-00007CDA0000}"/>
    <cellStyle name="Total 4 4 8 3 2 2" xfId="55723" xr:uid="{00000000-0005-0000-0000-00007DDA0000}"/>
    <cellStyle name="Total 4 4 8 3 2 3" xfId="55724" xr:uid="{00000000-0005-0000-0000-00007EDA0000}"/>
    <cellStyle name="Total 4 4 8 3 2 4" xfId="55725" xr:uid="{00000000-0005-0000-0000-00007FDA0000}"/>
    <cellStyle name="Total 4 4 8 3 3" xfId="55726" xr:uid="{00000000-0005-0000-0000-000080DA0000}"/>
    <cellStyle name="Total 4 4 8 3 3 2" xfId="55727" xr:uid="{00000000-0005-0000-0000-000081DA0000}"/>
    <cellStyle name="Total 4 4 8 3 3 3" xfId="55728" xr:uid="{00000000-0005-0000-0000-000082DA0000}"/>
    <cellStyle name="Total 4 4 8 3 3 4" xfId="55729" xr:uid="{00000000-0005-0000-0000-000083DA0000}"/>
    <cellStyle name="Total 4 4 8 3 4" xfId="55730" xr:uid="{00000000-0005-0000-0000-000084DA0000}"/>
    <cellStyle name="Total 4 4 8 3 5" xfId="55731" xr:uid="{00000000-0005-0000-0000-000085DA0000}"/>
    <cellStyle name="Total 4 4 8 3 6" xfId="55732" xr:uid="{00000000-0005-0000-0000-000086DA0000}"/>
    <cellStyle name="Total 4 4 8 4" xfId="55733" xr:uid="{00000000-0005-0000-0000-000087DA0000}"/>
    <cellStyle name="Total 4 4 8 5" xfId="55734" xr:uid="{00000000-0005-0000-0000-000088DA0000}"/>
    <cellStyle name="Total 4 4 9" xfId="55735" xr:uid="{00000000-0005-0000-0000-000089DA0000}"/>
    <cellStyle name="Total 4 4 9 2" xfId="55736" xr:uid="{00000000-0005-0000-0000-00008ADA0000}"/>
    <cellStyle name="Total 4 4 9 2 2" xfId="55737" xr:uid="{00000000-0005-0000-0000-00008BDA0000}"/>
    <cellStyle name="Total 4 4 9 2 2 2" xfId="55738" xr:uid="{00000000-0005-0000-0000-00008CDA0000}"/>
    <cellStyle name="Total 4 4 9 2 2 3" xfId="55739" xr:uid="{00000000-0005-0000-0000-00008DDA0000}"/>
    <cellStyle name="Total 4 4 9 2 2 4" xfId="55740" xr:uid="{00000000-0005-0000-0000-00008EDA0000}"/>
    <cellStyle name="Total 4 4 9 2 3" xfId="55741" xr:uid="{00000000-0005-0000-0000-00008FDA0000}"/>
    <cellStyle name="Total 4 4 9 2 4" xfId="55742" xr:uid="{00000000-0005-0000-0000-000090DA0000}"/>
    <cellStyle name="Total 4 4 9 2 5" xfId="55743" xr:uid="{00000000-0005-0000-0000-000091DA0000}"/>
    <cellStyle name="Total 4 4 9 3" xfId="55744" xr:uid="{00000000-0005-0000-0000-000092DA0000}"/>
    <cellStyle name="Total 4 4 9 3 2" xfId="55745" xr:uid="{00000000-0005-0000-0000-000093DA0000}"/>
    <cellStyle name="Total 4 4 9 3 2 2" xfId="55746" xr:uid="{00000000-0005-0000-0000-000094DA0000}"/>
    <cellStyle name="Total 4 4 9 3 2 3" xfId="55747" xr:uid="{00000000-0005-0000-0000-000095DA0000}"/>
    <cellStyle name="Total 4 4 9 3 2 4" xfId="55748" xr:uid="{00000000-0005-0000-0000-000096DA0000}"/>
    <cellStyle name="Total 4 4 9 3 3" xfId="55749" xr:uid="{00000000-0005-0000-0000-000097DA0000}"/>
    <cellStyle name="Total 4 4 9 3 3 2" xfId="55750" xr:uid="{00000000-0005-0000-0000-000098DA0000}"/>
    <cellStyle name="Total 4 4 9 3 3 3" xfId="55751" xr:uid="{00000000-0005-0000-0000-000099DA0000}"/>
    <cellStyle name="Total 4 4 9 3 3 4" xfId="55752" xr:uid="{00000000-0005-0000-0000-00009ADA0000}"/>
    <cellStyle name="Total 4 4 9 3 4" xfId="55753" xr:uid="{00000000-0005-0000-0000-00009BDA0000}"/>
    <cellStyle name="Total 4 4 9 3 5" xfId="55754" xr:uid="{00000000-0005-0000-0000-00009CDA0000}"/>
    <cellStyle name="Total 4 4 9 3 6" xfId="55755" xr:uid="{00000000-0005-0000-0000-00009DDA0000}"/>
    <cellStyle name="Total 4 4 9 4" xfId="55756" xr:uid="{00000000-0005-0000-0000-00009EDA0000}"/>
    <cellStyle name="Total 4 4 9 5" xfId="55757" xr:uid="{00000000-0005-0000-0000-00009FDA0000}"/>
    <cellStyle name="Total 4 5" xfId="55758" xr:uid="{00000000-0005-0000-0000-0000A0DA0000}"/>
    <cellStyle name="Total 4 5 2" xfId="55759" xr:uid="{00000000-0005-0000-0000-0000A1DA0000}"/>
    <cellStyle name="Total 4 5 2 2" xfId="55760" xr:uid="{00000000-0005-0000-0000-0000A2DA0000}"/>
    <cellStyle name="Total 4 5 2 2 2" xfId="55761" xr:uid="{00000000-0005-0000-0000-0000A3DA0000}"/>
    <cellStyle name="Total 4 5 2 2 3" xfId="55762" xr:uid="{00000000-0005-0000-0000-0000A4DA0000}"/>
    <cellStyle name="Total 4 5 2 2 4" xfId="55763" xr:uid="{00000000-0005-0000-0000-0000A5DA0000}"/>
    <cellStyle name="Total 4 5 2 3" xfId="55764" xr:uid="{00000000-0005-0000-0000-0000A6DA0000}"/>
    <cellStyle name="Total 4 5 2 4" xfId="55765" xr:uid="{00000000-0005-0000-0000-0000A7DA0000}"/>
    <cellStyle name="Total 4 5 2 5" xfId="55766" xr:uid="{00000000-0005-0000-0000-0000A8DA0000}"/>
    <cellStyle name="Total 4 5 3" xfId="55767" xr:uid="{00000000-0005-0000-0000-0000A9DA0000}"/>
    <cellStyle name="Total 4 5 3 2" xfId="55768" xr:uid="{00000000-0005-0000-0000-0000AADA0000}"/>
    <cellStyle name="Total 4 5 3 2 2" xfId="55769" xr:uid="{00000000-0005-0000-0000-0000ABDA0000}"/>
    <cellStyle name="Total 4 5 3 2 3" xfId="55770" xr:uid="{00000000-0005-0000-0000-0000ACDA0000}"/>
    <cellStyle name="Total 4 5 3 2 4" xfId="55771" xr:uid="{00000000-0005-0000-0000-0000ADDA0000}"/>
    <cellStyle name="Total 4 5 3 3" xfId="55772" xr:uid="{00000000-0005-0000-0000-0000AEDA0000}"/>
    <cellStyle name="Total 4 5 3 3 2" xfId="55773" xr:uid="{00000000-0005-0000-0000-0000AFDA0000}"/>
    <cellStyle name="Total 4 5 3 3 3" xfId="55774" xr:uid="{00000000-0005-0000-0000-0000B0DA0000}"/>
    <cellStyle name="Total 4 5 3 3 4" xfId="55775" xr:uid="{00000000-0005-0000-0000-0000B1DA0000}"/>
    <cellStyle name="Total 4 5 3 4" xfId="55776" xr:uid="{00000000-0005-0000-0000-0000B2DA0000}"/>
    <cellStyle name="Total 4 5 3 5" xfId="55777" xr:uid="{00000000-0005-0000-0000-0000B3DA0000}"/>
    <cellStyle name="Total 4 5 3 6" xfId="55778" xr:uid="{00000000-0005-0000-0000-0000B4DA0000}"/>
    <cellStyle name="Total 4 5 4" xfId="55779" xr:uid="{00000000-0005-0000-0000-0000B5DA0000}"/>
    <cellStyle name="Total 4 5 5" xfId="55780" xr:uid="{00000000-0005-0000-0000-0000B6DA0000}"/>
    <cellStyle name="Total 4 6" xfId="55781" xr:uid="{00000000-0005-0000-0000-0000B7DA0000}"/>
    <cellStyle name="Total 4 6 2" xfId="55782" xr:uid="{00000000-0005-0000-0000-0000B8DA0000}"/>
    <cellStyle name="Total 4 6 2 2" xfId="55783" xr:uid="{00000000-0005-0000-0000-0000B9DA0000}"/>
    <cellStyle name="Total 4 6 2 2 2" xfId="55784" xr:uid="{00000000-0005-0000-0000-0000BADA0000}"/>
    <cellStyle name="Total 4 6 2 2 3" xfId="55785" xr:uid="{00000000-0005-0000-0000-0000BBDA0000}"/>
    <cellStyle name="Total 4 6 2 2 4" xfId="55786" xr:uid="{00000000-0005-0000-0000-0000BCDA0000}"/>
    <cellStyle name="Total 4 6 2 3" xfId="55787" xr:uid="{00000000-0005-0000-0000-0000BDDA0000}"/>
    <cellStyle name="Total 4 6 2 3 2" xfId="55788" xr:uid="{00000000-0005-0000-0000-0000BEDA0000}"/>
    <cellStyle name="Total 4 6 2 3 3" xfId="55789" xr:uid="{00000000-0005-0000-0000-0000BFDA0000}"/>
    <cellStyle name="Total 4 6 2 3 4" xfId="55790" xr:uid="{00000000-0005-0000-0000-0000C0DA0000}"/>
    <cellStyle name="Total 4 6 2 4" xfId="55791" xr:uid="{00000000-0005-0000-0000-0000C1DA0000}"/>
    <cellStyle name="Total 4 6 2 5" xfId="55792" xr:uid="{00000000-0005-0000-0000-0000C2DA0000}"/>
    <cellStyle name="Total 4 6 2 6" xfId="55793" xr:uid="{00000000-0005-0000-0000-0000C3DA0000}"/>
    <cellStyle name="Total 4 6 3" xfId="55794" xr:uid="{00000000-0005-0000-0000-0000C4DA0000}"/>
    <cellStyle name="Total 4 6 3 2" xfId="55795" xr:uid="{00000000-0005-0000-0000-0000C5DA0000}"/>
    <cellStyle name="Total 4 6 3 2 2" xfId="55796" xr:uid="{00000000-0005-0000-0000-0000C6DA0000}"/>
    <cellStyle name="Total 4 6 3 2 3" xfId="55797" xr:uid="{00000000-0005-0000-0000-0000C7DA0000}"/>
    <cellStyle name="Total 4 6 3 2 4" xfId="55798" xr:uid="{00000000-0005-0000-0000-0000C8DA0000}"/>
    <cellStyle name="Total 4 6 3 3" xfId="55799" xr:uid="{00000000-0005-0000-0000-0000C9DA0000}"/>
    <cellStyle name="Total 4 6 3 3 2" xfId="55800" xr:uid="{00000000-0005-0000-0000-0000CADA0000}"/>
    <cellStyle name="Total 4 6 3 3 3" xfId="55801" xr:uid="{00000000-0005-0000-0000-0000CBDA0000}"/>
    <cellStyle name="Total 4 6 3 3 4" xfId="55802" xr:uid="{00000000-0005-0000-0000-0000CCDA0000}"/>
    <cellStyle name="Total 4 6 3 4" xfId="55803" xr:uid="{00000000-0005-0000-0000-0000CDDA0000}"/>
    <cellStyle name="Total 4 6 3 5" xfId="55804" xr:uid="{00000000-0005-0000-0000-0000CEDA0000}"/>
    <cellStyle name="Total 4 6 3 6" xfId="55805" xr:uid="{00000000-0005-0000-0000-0000CFDA0000}"/>
    <cellStyle name="Total 4 6 4" xfId="55806" xr:uid="{00000000-0005-0000-0000-0000D0DA0000}"/>
    <cellStyle name="Total 4 6 5" xfId="55807" xr:uid="{00000000-0005-0000-0000-0000D1DA0000}"/>
    <cellStyle name="Total 4 6 6" xfId="55808" xr:uid="{00000000-0005-0000-0000-0000D2DA0000}"/>
    <cellStyle name="Total 4 7" xfId="55809" xr:uid="{00000000-0005-0000-0000-0000D3DA0000}"/>
    <cellStyle name="Total 4 8" xfId="55810" xr:uid="{00000000-0005-0000-0000-0000D4DA0000}"/>
    <cellStyle name="Total 5" xfId="55811" xr:uid="{00000000-0005-0000-0000-0000D5DA0000}"/>
    <cellStyle name="Total 5 2" xfId="55812" xr:uid="{00000000-0005-0000-0000-0000D6DA0000}"/>
    <cellStyle name="Total 5 2 2" xfId="55813" xr:uid="{00000000-0005-0000-0000-0000D7DA0000}"/>
    <cellStyle name="Total 5 2 2 10" xfId="55814" xr:uid="{00000000-0005-0000-0000-0000D8DA0000}"/>
    <cellStyle name="Total 5 2 2 10 2" xfId="55815" xr:uid="{00000000-0005-0000-0000-0000D9DA0000}"/>
    <cellStyle name="Total 5 2 2 10 2 2" xfId="55816" xr:uid="{00000000-0005-0000-0000-0000DADA0000}"/>
    <cellStyle name="Total 5 2 2 10 2 2 2" xfId="55817" xr:uid="{00000000-0005-0000-0000-0000DBDA0000}"/>
    <cellStyle name="Total 5 2 2 10 2 2 3" xfId="55818" xr:uid="{00000000-0005-0000-0000-0000DCDA0000}"/>
    <cellStyle name="Total 5 2 2 10 2 2 4" xfId="55819" xr:uid="{00000000-0005-0000-0000-0000DDDA0000}"/>
    <cellStyle name="Total 5 2 2 10 2 3" xfId="55820" xr:uid="{00000000-0005-0000-0000-0000DEDA0000}"/>
    <cellStyle name="Total 5 2 2 10 2 4" xfId="55821" xr:uid="{00000000-0005-0000-0000-0000DFDA0000}"/>
    <cellStyle name="Total 5 2 2 10 2 5" xfId="55822" xr:uid="{00000000-0005-0000-0000-0000E0DA0000}"/>
    <cellStyle name="Total 5 2 2 10 3" xfId="55823" xr:uid="{00000000-0005-0000-0000-0000E1DA0000}"/>
    <cellStyle name="Total 5 2 2 10 3 2" xfId="55824" xr:uid="{00000000-0005-0000-0000-0000E2DA0000}"/>
    <cellStyle name="Total 5 2 2 10 3 2 2" xfId="55825" xr:uid="{00000000-0005-0000-0000-0000E3DA0000}"/>
    <cellStyle name="Total 5 2 2 10 3 2 3" xfId="55826" xr:uid="{00000000-0005-0000-0000-0000E4DA0000}"/>
    <cellStyle name="Total 5 2 2 10 3 2 4" xfId="55827" xr:uid="{00000000-0005-0000-0000-0000E5DA0000}"/>
    <cellStyle name="Total 5 2 2 10 3 3" xfId="55828" xr:uid="{00000000-0005-0000-0000-0000E6DA0000}"/>
    <cellStyle name="Total 5 2 2 10 3 3 2" xfId="55829" xr:uid="{00000000-0005-0000-0000-0000E7DA0000}"/>
    <cellStyle name="Total 5 2 2 10 3 3 3" xfId="55830" xr:uid="{00000000-0005-0000-0000-0000E8DA0000}"/>
    <cellStyle name="Total 5 2 2 10 3 3 4" xfId="55831" xr:uid="{00000000-0005-0000-0000-0000E9DA0000}"/>
    <cellStyle name="Total 5 2 2 10 3 4" xfId="55832" xr:uid="{00000000-0005-0000-0000-0000EADA0000}"/>
    <cellStyle name="Total 5 2 2 10 3 5" xfId="55833" xr:uid="{00000000-0005-0000-0000-0000EBDA0000}"/>
    <cellStyle name="Total 5 2 2 10 3 6" xfId="55834" xr:uid="{00000000-0005-0000-0000-0000ECDA0000}"/>
    <cellStyle name="Total 5 2 2 10 4" xfId="55835" xr:uid="{00000000-0005-0000-0000-0000EDDA0000}"/>
    <cellStyle name="Total 5 2 2 10 5" xfId="55836" xr:uid="{00000000-0005-0000-0000-0000EEDA0000}"/>
    <cellStyle name="Total 5 2 2 11" xfId="55837" xr:uid="{00000000-0005-0000-0000-0000EFDA0000}"/>
    <cellStyle name="Total 5 2 2 11 2" xfId="55838" xr:uid="{00000000-0005-0000-0000-0000F0DA0000}"/>
    <cellStyle name="Total 5 2 2 11 2 2" xfId="55839" xr:uid="{00000000-0005-0000-0000-0000F1DA0000}"/>
    <cellStyle name="Total 5 2 2 11 2 2 2" xfId="55840" xr:uid="{00000000-0005-0000-0000-0000F2DA0000}"/>
    <cellStyle name="Total 5 2 2 11 2 2 3" xfId="55841" xr:uid="{00000000-0005-0000-0000-0000F3DA0000}"/>
    <cellStyle name="Total 5 2 2 11 2 2 4" xfId="55842" xr:uid="{00000000-0005-0000-0000-0000F4DA0000}"/>
    <cellStyle name="Total 5 2 2 11 2 3" xfId="55843" xr:uid="{00000000-0005-0000-0000-0000F5DA0000}"/>
    <cellStyle name="Total 5 2 2 11 2 4" xfId="55844" xr:uid="{00000000-0005-0000-0000-0000F6DA0000}"/>
    <cellStyle name="Total 5 2 2 11 2 5" xfId="55845" xr:uid="{00000000-0005-0000-0000-0000F7DA0000}"/>
    <cellStyle name="Total 5 2 2 11 3" xfId="55846" xr:uid="{00000000-0005-0000-0000-0000F8DA0000}"/>
    <cellStyle name="Total 5 2 2 11 3 2" xfId="55847" xr:uid="{00000000-0005-0000-0000-0000F9DA0000}"/>
    <cellStyle name="Total 5 2 2 11 3 2 2" xfId="55848" xr:uid="{00000000-0005-0000-0000-0000FADA0000}"/>
    <cellStyle name="Total 5 2 2 11 3 2 3" xfId="55849" xr:uid="{00000000-0005-0000-0000-0000FBDA0000}"/>
    <cellStyle name="Total 5 2 2 11 3 2 4" xfId="55850" xr:uid="{00000000-0005-0000-0000-0000FCDA0000}"/>
    <cellStyle name="Total 5 2 2 11 3 3" xfId="55851" xr:uid="{00000000-0005-0000-0000-0000FDDA0000}"/>
    <cellStyle name="Total 5 2 2 11 3 3 2" xfId="55852" xr:uid="{00000000-0005-0000-0000-0000FEDA0000}"/>
    <cellStyle name="Total 5 2 2 11 3 3 3" xfId="55853" xr:uid="{00000000-0005-0000-0000-0000FFDA0000}"/>
    <cellStyle name="Total 5 2 2 11 3 3 4" xfId="55854" xr:uid="{00000000-0005-0000-0000-000000DB0000}"/>
    <cellStyle name="Total 5 2 2 11 3 4" xfId="55855" xr:uid="{00000000-0005-0000-0000-000001DB0000}"/>
    <cellStyle name="Total 5 2 2 11 3 5" xfId="55856" xr:uid="{00000000-0005-0000-0000-000002DB0000}"/>
    <cellStyle name="Total 5 2 2 11 3 6" xfId="55857" xr:uid="{00000000-0005-0000-0000-000003DB0000}"/>
    <cellStyle name="Total 5 2 2 11 4" xfId="55858" xr:uid="{00000000-0005-0000-0000-000004DB0000}"/>
    <cellStyle name="Total 5 2 2 11 5" xfId="55859" xr:uid="{00000000-0005-0000-0000-000005DB0000}"/>
    <cellStyle name="Total 5 2 2 12" xfId="55860" xr:uid="{00000000-0005-0000-0000-000006DB0000}"/>
    <cellStyle name="Total 5 2 2 12 2" xfId="55861" xr:uid="{00000000-0005-0000-0000-000007DB0000}"/>
    <cellStyle name="Total 5 2 2 12 2 2" xfId="55862" xr:uid="{00000000-0005-0000-0000-000008DB0000}"/>
    <cellStyle name="Total 5 2 2 12 2 2 2" xfId="55863" xr:uid="{00000000-0005-0000-0000-000009DB0000}"/>
    <cellStyle name="Total 5 2 2 12 2 2 3" xfId="55864" xr:uid="{00000000-0005-0000-0000-00000ADB0000}"/>
    <cellStyle name="Total 5 2 2 12 2 2 4" xfId="55865" xr:uid="{00000000-0005-0000-0000-00000BDB0000}"/>
    <cellStyle name="Total 5 2 2 12 2 3" xfId="55866" xr:uid="{00000000-0005-0000-0000-00000CDB0000}"/>
    <cellStyle name="Total 5 2 2 12 2 3 2" xfId="55867" xr:uid="{00000000-0005-0000-0000-00000DDB0000}"/>
    <cellStyle name="Total 5 2 2 12 2 3 3" xfId="55868" xr:uid="{00000000-0005-0000-0000-00000EDB0000}"/>
    <cellStyle name="Total 5 2 2 12 2 3 4" xfId="55869" xr:uid="{00000000-0005-0000-0000-00000FDB0000}"/>
    <cellStyle name="Total 5 2 2 12 2 4" xfId="55870" xr:uid="{00000000-0005-0000-0000-000010DB0000}"/>
    <cellStyle name="Total 5 2 2 12 2 5" xfId="55871" xr:uid="{00000000-0005-0000-0000-000011DB0000}"/>
    <cellStyle name="Total 5 2 2 12 2 6" xfId="55872" xr:uid="{00000000-0005-0000-0000-000012DB0000}"/>
    <cellStyle name="Total 5 2 2 12 3" xfId="55873" xr:uid="{00000000-0005-0000-0000-000013DB0000}"/>
    <cellStyle name="Total 5 2 2 12 3 2" xfId="55874" xr:uid="{00000000-0005-0000-0000-000014DB0000}"/>
    <cellStyle name="Total 5 2 2 12 3 2 2" xfId="55875" xr:uid="{00000000-0005-0000-0000-000015DB0000}"/>
    <cellStyle name="Total 5 2 2 12 3 2 3" xfId="55876" xr:uid="{00000000-0005-0000-0000-000016DB0000}"/>
    <cellStyle name="Total 5 2 2 12 3 2 4" xfId="55877" xr:uid="{00000000-0005-0000-0000-000017DB0000}"/>
    <cellStyle name="Total 5 2 2 12 3 3" xfId="55878" xr:uid="{00000000-0005-0000-0000-000018DB0000}"/>
    <cellStyle name="Total 5 2 2 12 3 3 2" xfId="55879" xr:uid="{00000000-0005-0000-0000-000019DB0000}"/>
    <cellStyle name="Total 5 2 2 12 3 3 3" xfId="55880" xr:uid="{00000000-0005-0000-0000-00001ADB0000}"/>
    <cellStyle name="Total 5 2 2 12 3 3 4" xfId="55881" xr:uid="{00000000-0005-0000-0000-00001BDB0000}"/>
    <cellStyle name="Total 5 2 2 12 3 4" xfId="55882" xr:uid="{00000000-0005-0000-0000-00001CDB0000}"/>
    <cellStyle name="Total 5 2 2 12 3 5" xfId="55883" xr:uid="{00000000-0005-0000-0000-00001DDB0000}"/>
    <cellStyle name="Total 5 2 2 12 3 6" xfId="55884" xr:uid="{00000000-0005-0000-0000-00001EDB0000}"/>
    <cellStyle name="Total 5 2 2 12 4" xfId="55885" xr:uid="{00000000-0005-0000-0000-00001FDB0000}"/>
    <cellStyle name="Total 5 2 2 12 5" xfId="55886" xr:uid="{00000000-0005-0000-0000-000020DB0000}"/>
    <cellStyle name="Total 5 2 2 12 6" xfId="55887" xr:uid="{00000000-0005-0000-0000-000021DB0000}"/>
    <cellStyle name="Total 5 2 2 13" xfId="55888" xr:uid="{00000000-0005-0000-0000-000022DB0000}"/>
    <cellStyle name="Total 5 2 2 14" xfId="55889" xr:uid="{00000000-0005-0000-0000-000023DB0000}"/>
    <cellStyle name="Total 5 2 2 15" xfId="58812" xr:uid="{00000000-0005-0000-0000-000024DB0000}"/>
    <cellStyle name="Total 5 2 2 2" xfId="55890" xr:uid="{00000000-0005-0000-0000-000025DB0000}"/>
    <cellStyle name="Total 5 2 2 2 2" xfId="55891" xr:uid="{00000000-0005-0000-0000-000026DB0000}"/>
    <cellStyle name="Total 5 2 2 2 2 2" xfId="55892" xr:uid="{00000000-0005-0000-0000-000027DB0000}"/>
    <cellStyle name="Total 5 2 2 2 2 2 2" xfId="55893" xr:uid="{00000000-0005-0000-0000-000028DB0000}"/>
    <cellStyle name="Total 5 2 2 2 2 2 2 2" xfId="55894" xr:uid="{00000000-0005-0000-0000-000029DB0000}"/>
    <cellStyle name="Total 5 2 2 2 2 2 2 3" xfId="55895" xr:uid="{00000000-0005-0000-0000-00002ADB0000}"/>
    <cellStyle name="Total 5 2 2 2 2 2 2 4" xfId="55896" xr:uid="{00000000-0005-0000-0000-00002BDB0000}"/>
    <cellStyle name="Total 5 2 2 2 2 2 3" xfId="55897" xr:uid="{00000000-0005-0000-0000-00002CDB0000}"/>
    <cellStyle name="Total 5 2 2 2 2 2 3 2" xfId="55898" xr:uid="{00000000-0005-0000-0000-00002DDB0000}"/>
    <cellStyle name="Total 5 2 2 2 2 2 3 3" xfId="55899" xr:uid="{00000000-0005-0000-0000-00002EDB0000}"/>
    <cellStyle name="Total 5 2 2 2 2 2 3 4" xfId="55900" xr:uid="{00000000-0005-0000-0000-00002FDB0000}"/>
    <cellStyle name="Total 5 2 2 2 2 2 4" xfId="55901" xr:uid="{00000000-0005-0000-0000-000030DB0000}"/>
    <cellStyle name="Total 5 2 2 2 2 2 5" xfId="55902" xr:uid="{00000000-0005-0000-0000-000031DB0000}"/>
    <cellStyle name="Total 5 2 2 2 2 2 6" xfId="55903" xr:uid="{00000000-0005-0000-0000-000032DB0000}"/>
    <cellStyle name="Total 5 2 2 2 2 3" xfId="55904" xr:uid="{00000000-0005-0000-0000-000033DB0000}"/>
    <cellStyle name="Total 5 2 2 2 2 3 2" xfId="55905" xr:uid="{00000000-0005-0000-0000-000034DB0000}"/>
    <cellStyle name="Total 5 2 2 2 2 3 2 2" xfId="55906" xr:uid="{00000000-0005-0000-0000-000035DB0000}"/>
    <cellStyle name="Total 5 2 2 2 2 3 2 3" xfId="55907" xr:uid="{00000000-0005-0000-0000-000036DB0000}"/>
    <cellStyle name="Total 5 2 2 2 2 3 2 4" xfId="55908" xr:uid="{00000000-0005-0000-0000-000037DB0000}"/>
    <cellStyle name="Total 5 2 2 2 2 3 3" xfId="55909" xr:uid="{00000000-0005-0000-0000-000038DB0000}"/>
    <cellStyle name="Total 5 2 2 2 2 3 3 2" xfId="55910" xr:uid="{00000000-0005-0000-0000-000039DB0000}"/>
    <cellStyle name="Total 5 2 2 2 2 3 3 3" xfId="55911" xr:uid="{00000000-0005-0000-0000-00003ADB0000}"/>
    <cellStyle name="Total 5 2 2 2 2 3 3 4" xfId="55912" xr:uid="{00000000-0005-0000-0000-00003BDB0000}"/>
    <cellStyle name="Total 5 2 2 2 2 3 4" xfId="55913" xr:uid="{00000000-0005-0000-0000-00003CDB0000}"/>
    <cellStyle name="Total 5 2 2 2 2 3 5" xfId="55914" xr:uid="{00000000-0005-0000-0000-00003DDB0000}"/>
    <cellStyle name="Total 5 2 2 2 2 3 6" xfId="55915" xr:uid="{00000000-0005-0000-0000-00003EDB0000}"/>
    <cellStyle name="Total 5 2 2 2 2 4" xfId="55916" xr:uid="{00000000-0005-0000-0000-00003FDB0000}"/>
    <cellStyle name="Total 5 2 2 2 2 5" xfId="55917" xr:uid="{00000000-0005-0000-0000-000040DB0000}"/>
    <cellStyle name="Total 5 2 2 2 2 6" xfId="55918" xr:uid="{00000000-0005-0000-0000-000041DB0000}"/>
    <cellStyle name="Total 5 2 2 2 3" xfId="55919" xr:uid="{00000000-0005-0000-0000-000042DB0000}"/>
    <cellStyle name="Total 5 2 2 2 4" xfId="55920" xr:uid="{00000000-0005-0000-0000-000043DB0000}"/>
    <cellStyle name="Total 5 2 2 3" xfId="55921" xr:uid="{00000000-0005-0000-0000-000044DB0000}"/>
    <cellStyle name="Total 5 2 2 3 2" xfId="55922" xr:uid="{00000000-0005-0000-0000-000045DB0000}"/>
    <cellStyle name="Total 5 2 2 3 2 2" xfId="55923" xr:uid="{00000000-0005-0000-0000-000046DB0000}"/>
    <cellStyle name="Total 5 2 2 3 2 2 2" xfId="55924" xr:uid="{00000000-0005-0000-0000-000047DB0000}"/>
    <cellStyle name="Total 5 2 2 3 2 2 2 2" xfId="55925" xr:uid="{00000000-0005-0000-0000-000048DB0000}"/>
    <cellStyle name="Total 5 2 2 3 2 2 2 3" xfId="55926" xr:uid="{00000000-0005-0000-0000-000049DB0000}"/>
    <cellStyle name="Total 5 2 2 3 2 2 2 4" xfId="55927" xr:uid="{00000000-0005-0000-0000-00004ADB0000}"/>
    <cellStyle name="Total 5 2 2 3 2 2 3" xfId="55928" xr:uid="{00000000-0005-0000-0000-00004BDB0000}"/>
    <cellStyle name="Total 5 2 2 3 2 2 3 2" xfId="55929" xr:uid="{00000000-0005-0000-0000-00004CDB0000}"/>
    <cellStyle name="Total 5 2 2 3 2 2 3 3" xfId="55930" xr:uid="{00000000-0005-0000-0000-00004DDB0000}"/>
    <cellStyle name="Total 5 2 2 3 2 2 3 4" xfId="55931" xr:uid="{00000000-0005-0000-0000-00004EDB0000}"/>
    <cellStyle name="Total 5 2 2 3 2 2 4" xfId="55932" xr:uid="{00000000-0005-0000-0000-00004FDB0000}"/>
    <cellStyle name="Total 5 2 2 3 2 2 5" xfId="55933" xr:uid="{00000000-0005-0000-0000-000050DB0000}"/>
    <cellStyle name="Total 5 2 2 3 2 2 6" xfId="55934" xr:uid="{00000000-0005-0000-0000-000051DB0000}"/>
    <cellStyle name="Total 5 2 2 3 2 3" xfId="55935" xr:uid="{00000000-0005-0000-0000-000052DB0000}"/>
    <cellStyle name="Total 5 2 2 3 2 3 2" xfId="55936" xr:uid="{00000000-0005-0000-0000-000053DB0000}"/>
    <cellStyle name="Total 5 2 2 3 2 3 2 2" xfId="55937" xr:uid="{00000000-0005-0000-0000-000054DB0000}"/>
    <cellStyle name="Total 5 2 2 3 2 3 2 3" xfId="55938" xr:uid="{00000000-0005-0000-0000-000055DB0000}"/>
    <cellStyle name="Total 5 2 2 3 2 3 2 4" xfId="55939" xr:uid="{00000000-0005-0000-0000-000056DB0000}"/>
    <cellStyle name="Total 5 2 2 3 2 3 3" xfId="55940" xr:uid="{00000000-0005-0000-0000-000057DB0000}"/>
    <cellStyle name="Total 5 2 2 3 2 3 3 2" xfId="55941" xr:uid="{00000000-0005-0000-0000-000058DB0000}"/>
    <cellStyle name="Total 5 2 2 3 2 3 3 3" xfId="55942" xr:uid="{00000000-0005-0000-0000-000059DB0000}"/>
    <cellStyle name="Total 5 2 2 3 2 3 3 4" xfId="55943" xr:uid="{00000000-0005-0000-0000-00005ADB0000}"/>
    <cellStyle name="Total 5 2 2 3 2 3 4" xfId="55944" xr:uid="{00000000-0005-0000-0000-00005BDB0000}"/>
    <cellStyle name="Total 5 2 2 3 2 3 5" xfId="55945" xr:uid="{00000000-0005-0000-0000-00005CDB0000}"/>
    <cellStyle name="Total 5 2 2 3 2 3 6" xfId="55946" xr:uid="{00000000-0005-0000-0000-00005DDB0000}"/>
    <cellStyle name="Total 5 2 2 3 2 4" xfId="55947" xr:uid="{00000000-0005-0000-0000-00005EDB0000}"/>
    <cellStyle name="Total 5 2 2 3 2 5" xfId="55948" xr:uid="{00000000-0005-0000-0000-00005FDB0000}"/>
    <cellStyle name="Total 5 2 2 3 2 6" xfId="55949" xr:uid="{00000000-0005-0000-0000-000060DB0000}"/>
    <cellStyle name="Total 5 2 2 3 3" xfId="55950" xr:uid="{00000000-0005-0000-0000-000061DB0000}"/>
    <cellStyle name="Total 5 2 2 3 4" xfId="55951" xr:uid="{00000000-0005-0000-0000-000062DB0000}"/>
    <cellStyle name="Total 5 2 2 4" xfId="55952" xr:uid="{00000000-0005-0000-0000-000063DB0000}"/>
    <cellStyle name="Total 5 2 2 4 2" xfId="55953" xr:uid="{00000000-0005-0000-0000-000064DB0000}"/>
    <cellStyle name="Total 5 2 2 4 2 2" xfId="55954" xr:uid="{00000000-0005-0000-0000-000065DB0000}"/>
    <cellStyle name="Total 5 2 2 4 2 2 2" xfId="55955" xr:uid="{00000000-0005-0000-0000-000066DB0000}"/>
    <cellStyle name="Total 5 2 2 4 2 2 2 2" xfId="55956" xr:uid="{00000000-0005-0000-0000-000067DB0000}"/>
    <cellStyle name="Total 5 2 2 4 2 2 2 3" xfId="55957" xr:uid="{00000000-0005-0000-0000-000068DB0000}"/>
    <cellStyle name="Total 5 2 2 4 2 2 2 4" xfId="55958" xr:uid="{00000000-0005-0000-0000-000069DB0000}"/>
    <cellStyle name="Total 5 2 2 4 2 2 3" xfId="55959" xr:uid="{00000000-0005-0000-0000-00006ADB0000}"/>
    <cellStyle name="Total 5 2 2 4 2 2 3 2" xfId="55960" xr:uid="{00000000-0005-0000-0000-00006BDB0000}"/>
    <cellStyle name="Total 5 2 2 4 2 2 3 3" xfId="55961" xr:uid="{00000000-0005-0000-0000-00006CDB0000}"/>
    <cellStyle name="Total 5 2 2 4 2 2 3 4" xfId="55962" xr:uid="{00000000-0005-0000-0000-00006DDB0000}"/>
    <cellStyle name="Total 5 2 2 4 2 2 4" xfId="55963" xr:uid="{00000000-0005-0000-0000-00006EDB0000}"/>
    <cellStyle name="Total 5 2 2 4 2 2 5" xfId="55964" xr:uid="{00000000-0005-0000-0000-00006FDB0000}"/>
    <cellStyle name="Total 5 2 2 4 2 2 6" xfId="55965" xr:uid="{00000000-0005-0000-0000-000070DB0000}"/>
    <cellStyle name="Total 5 2 2 4 2 3" xfId="55966" xr:uid="{00000000-0005-0000-0000-000071DB0000}"/>
    <cellStyle name="Total 5 2 2 4 2 3 2" xfId="55967" xr:uid="{00000000-0005-0000-0000-000072DB0000}"/>
    <cellStyle name="Total 5 2 2 4 2 3 2 2" xfId="55968" xr:uid="{00000000-0005-0000-0000-000073DB0000}"/>
    <cellStyle name="Total 5 2 2 4 2 3 2 3" xfId="55969" xr:uid="{00000000-0005-0000-0000-000074DB0000}"/>
    <cellStyle name="Total 5 2 2 4 2 3 2 4" xfId="55970" xr:uid="{00000000-0005-0000-0000-000075DB0000}"/>
    <cellStyle name="Total 5 2 2 4 2 3 3" xfId="55971" xr:uid="{00000000-0005-0000-0000-000076DB0000}"/>
    <cellStyle name="Total 5 2 2 4 2 3 3 2" xfId="55972" xr:uid="{00000000-0005-0000-0000-000077DB0000}"/>
    <cellStyle name="Total 5 2 2 4 2 3 3 3" xfId="55973" xr:uid="{00000000-0005-0000-0000-000078DB0000}"/>
    <cellStyle name="Total 5 2 2 4 2 3 3 4" xfId="55974" xr:uid="{00000000-0005-0000-0000-000079DB0000}"/>
    <cellStyle name="Total 5 2 2 4 2 3 4" xfId="55975" xr:uid="{00000000-0005-0000-0000-00007ADB0000}"/>
    <cellStyle name="Total 5 2 2 4 2 3 5" xfId="55976" xr:uid="{00000000-0005-0000-0000-00007BDB0000}"/>
    <cellStyle name="Total 5 2 2 4 2 3 6" xfId="55977" xr:uid="{00000000-0005-0000-0000-00007CDB0000}"/>
    <cellStyle name="Total 5 2 2 4 2 4" xfId="55978" xr:uid="{00000000-0005-0000-0000-00007DDB0000}"/>
    <cellStyle name="Total 5 2 2 4 2 5" xfId="55979" xr:uid="{00000000-0005-0000-0000-00007EDB0000}"/>
    <cellStyle name="Total 5 2 2 4 2 6" xfId="55980" xr:uid="{00000000-0005-0000-0000-00007FDB0000}"/>
    <cellStyle name="Total 5 2 2 4 3" xfId="55981" xr:uid="{00000000-0005-0000-0000-000080DB0000}"/>
    <cellStyle name="Total 5 2 2 4 4" xfId="55982" xr:uid="{00000000-0005-0000-0000-000081DB0000}"/>
    <cellStyle name="Total 5 2 2 5" xfId="55983" xr:uid="{00000000-0005-0000-0000-000082DB0000}"/>
    <cellStyle name="Total 5 2 2 5 2" xfId="55984" xr:uid="{00000000-0005-0000-0000-000083DB0000}"/>
    <cellStyle name="Total 5 2 2 5 2 2" xfId="55985" xr:uid="{00000000-0005-0000-0000-000084DB0000}"/>
    <cellStyle name="Total 5 2 2 5 2 2 2" xfId="55986" xr:uid="{00000000-0005-0000-0000-000085DB0000}"/>
    <cellStyle name="Total 5 2 2 5 2 2 3" xfId="55987" xr:uid="{00000000-0005-0000-0000-000086DB0000}"/>
    <cellStyle name="Total 5 2 2 5 2 2 4" xfId="55988" xr:uid="{00000000-0005-0000-0000-000087DB0000}"/>
    <cellStyle name="Total 5 2 2 5 2 3" xfId="55989" xr:uid="{00000000-0005-0000-0000-000088DB0000}"/>
    <cellStyle name="Total 5 2 2 5 2 4" xfId="55990" xr:uid="{00000000-0005-0000-0000-000089DB0000}"/>
    <cellStyle name="Total 5 2 2 5 2 5" xfId="55991" xr:uid="{00000000-0005-0000-0000-00008ADB0000}"/>
    <cellStyle name="Total 5 2 2 5 3" xfId="55992" xr:uid="{00000000-0005-0000-0000-00008BDB0000}"/>
    <cellStyle name="Total 5 2 2 5 3 2" xfId="55993" xr:uid="{00000000-0005-0000-0000-00008CDB0000}"/>
    <cellStyle name="Total 5 2 2 5 3 2 2" xfId="55994" xr:uid="{00000000-0005-0000-0000-00008DDB0000}"/>
    <cellStyle name="Total 5 2 2 5 3 2 3" xfId="55995" xr:uid="{00000000-0005-0000-0000-00008EDB0000}"/>
    <cellStyle name="Total 5 2 2 5 3 2 4" xfId="55996" xr:uid="{00000000-0005-0000-0000-00008FDB0000}"/>
    <cellStyle name="Total 5 2 2 5 3 3" xfId="55997" xr:uid="{00000000-0005-0000-0000-000090DB0000}"/>
    <cellStyle name="Total 5 2 2 5 3 3 2" xfId="55998" xr:uid="{00000000-0005-0000-0000-000091DB0000}"/>
    <cellStyle name="Total 5 2 2 5 3 3 3" xfId="55999" xr:uid="{00000000-0005-0000-0000-000092DB0000}"/>
    <cellStyle name="Total 5 2 2 5 3 3 4" xfId="56000" xr:uid="{00000000-0005-0000-0000-000093DB0000}"/>
    <cellStyle name="Total 5 2 2 5 3 4" xfId="56001" xr:uid="{00000000-0005-0000-0000-000094DB0000}"/>
    <cellStyle name="Total 5 2 2 5 3 5" xfId="56002" xr:uid="{00000000-0005-0000-0000-000095DB0000}"/>
    <cellStyle name="Total 5 2 2 5 3 6" xfId="56003" xr:uid="{00000000-0005-0000-0000-000096DB0000}"/>
    <cellStyle name="Total 5 2 2 5 4" xfId="56004" xr:uid="{00000000-0005-0000-0000-000097DB0000}"/>
    <cellStyle name="Total 5 2 2 5 5" xfId="56005" xr:uid="{00000000-0005-0000-0000-000098DB0000}"/>
    <cellStyle name="Total 5 2 2 6" xfId="56006" xr:uid="{00000000-0005-0000-0000-000099DB0000}"/>
    <cellStyle name="Total 5 2 2 6 2" xfId="56007" xr:uid="{00000000-0005-0000-0000-00009ADB0000}"/>
    <cellStyle name="Total 5 2 2 6 2 2" xfId="56008" xr:uid="{00000000-0005-0000-0000-00009BDB0000}"/>
    <cellStyle name="Total 5 2 2 6 2 2 2" xfId="56009" xr:uid="{00000000-0005-0000-0000-00009CDB0000}"/>
    <cellStyle name="Total 5 2 2 6 2 2 3" xfId="56010" xr:uid="{00000000-0005-0000-0000-00009DDB0000}"/>
    <cellStyle name="Total 5 2 2 6 2 2 4" xfId="56011" xr:uid="{00000000-0005-0000-0000-00009EDB0000}"/>
    <cellStyle name="Total 5 2 2 6 2 3" xfId="56012" xr:uid="{00000000-0005-0000-0000-00009FDB0000}"/>
    <cellStyle name="Total 5 2 2 6 2 4" xfId="56013" xr:uid="{00000000-0005-0000-0000-0000A0DB0000}"/>
    <cellStyle name="Total 5 2 2 6 2 5" xfId="56014" xr:uid="{00000000-0005-0000-0000-0000A1DB0000}"/>
    <cellStyle name="Total 5 2 2 6 3" xfId="56015" xr:uid="{00000000-0005-0000-0000-0000A2DB0000}"/>
    <cellStyle name="Total 5 2 2 6 3 2" xfId="56016" xr:uid="{00000000-0005-0000-0000-0000A3DB0000}"/>
    <cellStyle name="Total 5 2 2 6 3 2 2" xfId="56017" xr:uid="{00000000-0005-0000-0000-0000A4DB0000}"/>
    <cellStyle name="Total 5 2 2 6 3 2 3" xfId="56018" xr:uid="{00000000-0005-0000-0000-0000A5DB0000}"/>
    <cellStyle name="Total 5 2 2 6 3 2 4" xfId="56019" xr:uid="{00000000-0005-0000-0000-0000A6DB0000}"/>
    <cellStyle name="Total 5 2 2 6 3 3" xfId="56020" xr:uid="{00000000-0005-0000-0000-0000A7DB0000}"/>
    <cellStyle name="Total 5 2 2 6 3 3 2" xfId="56021" xr:uid="{00000000-0005-0000-0000-0000A8DB0000}"/>
    <cellStyle name="Total 5 2 2 6 3 3 3" xfId="56022" xr:uid="{00000000-0005-0000-0000-0000A9DB0000}"/>
    <cellStyle name="Total 5 2 2 6 3 3 4" xfId="56023" xr:uid="{00000000-0005-0000-0000-0000AADB0000}"/>
    <cellStyle name="Total 5 2 2 6 3 4" xfId="56024" xr:uid="{00000000-0005-0000-0000-0000ABDB0000}"/>
    <cellStyle name="Total 5 2 2 6 3 5" xfId="56025" xr:uid="{00000000-0005-0000-0000-0000ACDB0000}"/>
    <cellStyle name="Total 5 2 2 6 3 6" xfId="56026" xr:uid="{00000000-0005-0000-0000-0000ADDB0000}"/>
    <cellStyle name="Total 5 2 2 6 4" xfId="56027" xr:uid="{00000000-0005-0000-0000-0000AEDB0000}"/>
    <cellStyle name="Total 5 2 2 6 5" xfId="56028" xr:uid="{00000000-0005-0000-0000-0000AFDB0000}"/>
    <cellStyle name="Total 5 2 2 7" xfId="56029" xr:uid="{00000000-0005-0000-0000-0000B0DB0000}"/>
    <cellStyle name="Total 5 2 2 7 2" xfId="56030" xr:uid="{00000000-0005-0000-0000-0000B1DB0000}"/>
    <cellStyle name="Total 5 2 2 7 2 2" xfId="56031" xr:uid="{00000000-0005-0000-0000-0000B2DB0000}"/>
    <cellStyle name="Total 5 2 2 7 2 2 2" xfId="56032" xr:uid="{00000000-0005-0000-0000-0000B3DB0000}"/>
    <cellStyle name="Total 5 2 2 7 2 2 3" xfId="56033" xr:uid="{00000000-0005-0000-0000-0000B4DB0000}"/>
    <cellStyle name="Total 5 2 2 7 2 2 4" xfId="56034" xr:uid="{00000000-0005-0000-0000-0000B5DB0000}"/>
    <cellStyle name="Total 5 2 2 7 2 3" xfId="56035" xr:uid="{00000000-0005-0000-0000-0000B6DB0000}"/>
    <cellStyle name="Total 5 2 2 7 2 4" xfId="56036" xr:uid="{00000000-0005-0000-0000-0000B7DB0000}"/>
    <cellStyle name="Total 5 2 2 7 2 5" xfId="56037" xr:uid="{00000000-0005-0000-0000-0000B8DB0000}"/>
    <cellStyle name="Total 5 2 2 7 3" xfId="56038" xr:uid="{00000000-0005-0000-0000-0000B9DB0000}"/>
    <cellStyle name="Total 5 2 2 7 3 2" xfId="56039" xr:uid="{00000000-0005-0000-0000-0000BADB0000}"/>
    <cellStyle name="Total 5 2 2 7 3 2 2" xfId="56040" xr:uid="{00000000-0005-0000-0000-0000BBDB0000}"/>
    <cellStyle name="Total 5 2 2 7 3 2 3" xfId="56041" xr:uid="{00000000-0005-0000-0000-0000BCDB0000}"/>
    <cellStyle name="Total 5 2 2 7 3 2 4" xfId="56042" xr:uid="{00000000-0005-0000-0000-0000BDDB0000}"/>
    <cellStyle name="Total 5 2 2 7 3 3" xfId="56043" xr:uid="{00000000-0005-0000-0000-0000BEDB0000}"/>
    <cellStyle name="Total 5 2 2 7 3 3 2" xfId="56044" xr:uid="{00000000-0005-0000-0000-0000BFDB0000}"/>
    <cellStyle name="Total 5 2 2 7 3 3 3" xfId="56045" xr:uid="{00000000-0005-0000-0000-0000C0DB0000}"/>
    <cellStyle name="Total 5 2 2 7 3 3 4" xfId="56046" xr:uid="{00000000-0005-0000-0000-0000C1DB0000}"/>
    <cellStyle name="Total 5 2 2 7 3 4" xfId="56047" xr:uid="{00000000-0005-0000-0000-0000C2DB0000}"/>
    <cellStyle name="Total 5 2 2 7 3 5" xfId="56048" xr:uid="{00000000-0005-0000-0000-0000C3DB0000}"/>
    <cellStyle name="Total 5 2 2 7 3 6" xfId="56049" xr:uid="{00000000-0005-0000-0000-0000C4DB0000}"/>
    <cellStyle name="Total 5 2 2 7 4" xfId="56050" xr:uid="{00000000-0005-0000-0000-0000C5DB0000}"/>
    <cellStyle name="Total 5 2 2 7 5" xfId="56051" xr:uid="{00000000-0005-0000-0000-0000C6DB0000}"/>
    <cellStyle name="Total 5 2 2 8" xfId="56052" xr:uid="{00000000-0005-0000-0000-0000C7DB0000}"/>
    <cellStyle name="Total 5 2 2 8 2" xfId="56053" xr:uid="{00000000-0005-0000-0000-0000C8DB0000}"/>
    <cellStyle name="Total 5 2 2 8 2 2" xfId="56054" xr:uid="{00000000-0005-0000-0000-0000C9DB0000}"/>
    <cellStyle name="Total 5 2 2 8 2 2 2" xfId="56055" xr:uid="{00000000-0005-0000-0000-0000CADB0000}"/>
    <cellStyle name="Total 5 2 2 8 2 2 3" xfId="56056" xr:uid="{00000000-0005-0000-0000-0000CBDB0000}"/>
    <cellStyle name="Total 5 2 2 8 2 2 4" xfId="56057" xr:uid="{00000000-0005-0000-0000-0000CCDB0000}"/>
    <cellStyle name="Total 5 2 2 8 2 3" xfId="56058" xr:uid="{00000000-0005-0000-0000-0000CDDB0000}"/>
    <cellStyle name="Total 5 2 2 8 2 4" xfId="56059" xr:uid="{00000000-0005-0000-0000-0000CEDB0000}"/>
    <cellStyle name="Total 5 2 2 8 2 5" xfId="56060" xr:uid="{00000000-0005-0000-0000-0000CFDB0000}"/>
    <cellStyle name="Total 5 2 2 8 3" xfId="56061" xr:uid="{00000000-0005-0000-0000-0000D0DB0000}"/>
    <cellStyle name="Total 5 2 2 8 3 2" xfId="56062" xr:uid="{00000000-0005-0000-0000-0000D1DB0000}"/>
    <cellStyle name="Total 5 2 2 8 3 2 2" xfId="56063" xr:uid="{00000000-0005-0000-0000-0000D2DB0000}"/>
    <cellStyle name="Total 5 2 2 8 3 2 3" xfId="56064" xr:uid="{00000000-0005-0000-0000-0000D3DB0000}"/>
    <cellStyle name="Total 5 2 2 8 3 2 4" xfId="56065" xr:uid="{00000000-0005-0000-0000-0000D4DB0000}"/>
    <cellStyle name="Total 5 2 2 8 3 3" xfId="56066" xr:uid="{00000000-0005-0000-0000-0000D5DB0000}"/>
    <cellStyle name="Total 5 2 2 8 3 3 2" xfId="56067" xr:uid="{00000000-0005-0000-0000-0000D6DB0000}"/>
    <cellStyle name="Total 5 2 2 8 3 3 3" xfId="56068" xr:uid="{00000000-0005-0000-0000-0000D7DB0000}"/>
    <cellStyle name="Total 5 2 2 8 3 3 4" xfId="56069" xr:uid="{00000000-0005-0000-0000-0000D8DB0000}"/>
    <cellStyle name="Total 5 2 2 8 3 4" xfId="56070" xr:uid="{00000000-0005-0000-0000-0000D9DB0000}"/>
    <cellStyle name="Total 5 2 2 8 3 5" xfId="56071" xr:uid="{00000000-0005-0000-0000-0000DADB0000}"/>
    <cellStyle name="Total 5 2 2 8 3 6" xfId="56072" xr:uid="{00000000-0005-0000-0000-0000DBDB0000}"/>
    <cellStyle name="Total 5 2 2 8 4" xfId="56073" xr:uid="{00000000-0005-0000-0000-0000DCDB0000}"/>
    <cellStyle name="Total 5 2 2 8 5" xfId="56074" xr:uid="{00000000-0005-0000-0000-0000DDDB0000}"/>
    <cellStyle name="Total 5 2 2 9" xfId="56075" xr:uid="{00000000-0005-0000-0000-0000DEDB0000}"/>
    <cellStyle name="Total 5 2 2 9 2" xfId="56076" xr:uid="{00000000-0005-0000-0000-0000DFDB0000}"/>
    <cellStyle name="Total 5 2 2 9 2 2" xfId="56077" xr:uid="{00000000-0005-0000-0000-0000E0DB0000}"/>
    <cellStyle name="Total 5 2 2 9 2 2 2" xfId="56078" xr:uid="{00000000-0005-0000-0000-0000E1DB0000}"/>
    <cellStyle name="Total 5 2 2 9 2 2 3" xfId="56079" xr:uid="{00000000-0005-0000-0000-0000E2DB0000}"/>
    <cellStyle name="Total 5 2 2 9 2 2 4" xfId="56080" xr:uid="{00000000-0005-0000-0000-0000E3DB0000}"/>
    <cellStyle name="Total 5 2 2 9 2 3" xfId="56081" xr:uid="{00000000-0005-0000-0000-0000E4DB0000}"/>
    <cellStyle name="Total 5 2 2 9 2 4" xfId="56082" xr:uid="{00000000-0005-0000-0000-0000E5DB0000}"/>
    <cellStyle name="Total 5 2 2 9 2 5" xfId="56083" xr:uid="{00000000-0005-0000-0000-0000E6DB0000}"/>
    <cellStyle name="Total 5 2 2 9 3" xfId="56084" xr:uid="{00000000-0005-0000-0000-0000E7DB0000}"/>
    <cellStyle name="Total 5 2 2 9 3 2" xfId="56085" xr:uid="{00000000-0005-0000-0000-0000E8DB0000}"/>
    <cellStyle name="Total 5 2 2 9 3 2 2" xfId="56086" xr:uid="{00000000-0005-0000-0000-0000E9DB0000}"/>
    <cellStyle name="Total 5 2 2 9 3 2 3" xfId="56087" xr:uid="{00000000-0005-0000-0000-0000EADB0000}"/>
    <cellStyle name="Total 5 2 2 9 3 2 4" xfId="56088" xr:uid="{00000000-0005-0000-0000-0000EBDB0000}"/>
    <cellStyle name="Total 5 2 2 9 3 3" xfId="56089" xr:uid="{00000000-0005-0000-0000-0000ECDB0000}"/>
    <cellStyle name="Total 5 2 2 9 3 3 2" xfId="56090" xr:uid="{00000000-0005-0000-0000-0000EDDB0000}"/>
    <cellStyle name="Total 5 2 2 9 3 3 3" xfId="56091" xr:uid="{00000000-0005-0000-0000-0000EEDB0000}"/>
    <cellStyle name="Total 5 2 2 9 3 3 4" xfId="56092" xr:uid="{00000000-0005-0000-0000-0000EFDB0000}"/>
    <cellStyle name="Total 5 2 2 9 3 4" xfId="56093" xr:uid="{00000000-0005-0000-0000-0000F0DB0000}"/>
    <cellStyle name="Total 5 2 2 9 3 5" xfId="56094" xr:uid="{00000000-0005-0000-0000-0000F1DB0000}"/>
    <cellStyle name="Total 5 2 2 9 3 6" xfId="56095" xr:uid="{00000000-0005-0000-0000-0000F2DB0000}"/>
    <cellStyle name="Total 5 2 2 9 4" xfId="56096" xr:uid="{00000000-0005-0000-0000-0000F3DB0000}"/>
    <cellStyle name="Total 5 2 2 9 5" xfId="56097" xr:uid="{00000000-0005-0000-0000-0000F4DB0000}"/>
    <cellStyle name="Total 5 2 3" xfId="56098" xr:uid="{00000000-0005-0000-0000-0000F5DB0000}"/>
    <cellStyle name="Total 5 2 3 2" xfId="56099" xr:uid="{00000000-0005-0000-0000-0000F6DB0000}"/>
    <cellStyle name="Total 5 2 3 2 2" xfId="56100" xr:uid="{00000000-0005-0000-0000-0000F7DB0000}"/>
    <cellStyle name="Total 5 2 3 2 2 2" xfId="56101" xr:uid="{00000000-0005-0000-0000-0000F8DB0000}"/>
    <cellStyle name="Total 5 2 3 2 2 3" xfId="56102" xr:uid="{00000000-0005-0000-0000-0000F9DB0000}"/>
    <cellStyle name="Total 5 2 3 2 2 4" xfId="56103" xr:uid="{00000000-0005-0000-0000-0000FADB0000}"/>
    <cellStyle name="Total 5 2 3 2 3" xfId="56104" xr:uid="{00000000-0005-0000-0000-0000FBDB0000}"/>
    <cellStyle name="Total 5 2 3 2 4" xfId="56105" xr:uid="{00000000-0005-0000-0000-0000FCDB0000}"/>
    <cellStyle name="Total 5 2 3 2 5" xfId="56106" xr:uid="{00000000-0005-0000-0000-0000FDDB0000}"/>
    <cellStyle name="Total 5 2 3 3" xfId="56107" xr:uid="{00000000-0005-0000-0000-0000FEDB0000}"/>
    <cellStyle name="Total 5 2 3 3 2" xfId="56108" xr:uid="{00000000-0005-0000-0000-0000FFDB0000}"/>
    <cellStyle name="Total 5 2 3 3 2 2" xfId="56109" xr:uid="{00000000-0005-0000-0000-000000DC0000}"/>
    <cellStyle name="Total 5 2 3 3 2 3" xfId="56110" xr:uid="{00000000-0005-0000-0000-000001DC0000}"/>
    <cellStyle name="Total 5 2 3 3 2 4" xfId="56111" xr:uid="{00000000-0005-0000-0000-000002DC0000}"/>
    <cellStyle name="Total 5 2 3 3 3" xfId="56112" xr:uid="{00000000-0005-0000-0000-000003DC0000}"/>
    <cellStyle name="Total 5 2 3 3 3 2" xfId="56113" xr:uid="{00000000-0005-0000-0000-000004DC0000}"/>
    <cellStyle name="Total 5 2 3 3 3 3" xfId="56114" xr:uid="{00000000-0005-0000-0000-000005DC0000}"/>
    <cellStyle name="Total 5 2 3 3 3 4" xfId="56115" xr:uid="{00000000-0005-0000-0000-000006DC0000}"/>
    <cellStyle name="Total 5 2 3 3 4" xfId="56116" xr:uid="{00000000-0005-0000-0000-000007DC0000}"/>
    <cellStyle name="Total 5 2 3 3 5" xfId="56117" xr:uid="{00000000-0005-0000-0000-000008DC0000}"/>
    <cellStyle name="Total 5 2 3 3 6" xfId="56118" xr:uid="{00000000-0005-0000-0000-000009DC0000}"/>
    <cellStyle name="Total 5 2 3 4" xfId="56119" xr:uid="{00000000-0005-0000-0000-00000ADC0000}"/>
    <cellStyle name="Total 5 2 3 5" xfId="56120" xr:uid="{00000000-0005-0000-0000-00000BDC0000}"/>
    <cellStyle name="Total 5 2 4" xfId="56121" xr:uid="{00000000-0005-0000-0000-00000CDC0000}"/>
    <cellStyle name="Total 5 2 4 2" xfId="56122" xr:uid="{00000000-0005-0000-0000-00000DDC0000}"/>
    <cellStyle name="Total 5 2 4 2 2" xfId="56123" xr:uid="{00000000-0005-0000-0000-00000EDC0000}"/>
    <cellStyle name="Total 5 2 4 2 2 2" xfId="56124" xr:uid="{00000000-0005-0000-0000-00000FDC0000}"/>
    <cellStyle name="Total 5 2 4 2 2 3" xfId="56125" xr:uid="{00000000-0005-0000-0000-000010DC0000}"/>
    <cellStyle name="Total 5 2 4 2 2 4" xfId="56126" xr:uid="{00000000-0005-0000-0000-000011DC0000}"/>
    <cellStyle name="Total 5 2 4 2 3" xfId="56127" xr:uid="{00000000-0005-0000-0000-000012DC0000}"/>
    <cellStyle name="Total 5 2 4 2 3 2" xfId="56128" xr:uid="{00000000-0005-0000-0000-000013DC0000}"/>
    <cellStyle name="Total 5 2 4 2 3 3" xfId="56129" xr:uid="{00000000-0005-0000-0000-000014DC0000}"/>
    <cellStyle name="Total 5 2 4 2 3 4" xfId="56130" xr:uid="{00000000-0005-0000-0000-000015DC0000}"/>
    <cellStyle name="Total 5 2 4 2 4" xfId="56131" xr:uid="{00000000-0005-0000-0000-000016DC0000}"/>
    <cellStyle name="Total 5 2 4 2 5" xfId="56132" xr:uid="{00000000-0005-0000-0000-000017DC0000}"/>
    <cellStyle name="Total 5 2 4 2 6" xfId="56133" xr:uid="{00000000-0005-0000-0000-000018DC0000}"/>
    <cellStyle name="Total 5 2 4 3" xfId="56134" xr:uid="{00000000-0005-0000-0000-000019DC0000}"/>
    <cellStyle name="Total 5 2 4 3 2" xfId="56135" xr:uid="{00000000-0005-0000-0000-00001ADC0000}"/>
    <cellStyle name="Total 5 2 4 3 2 2" xfId="56136" xr:uid="{00000000-0005-0000-0000-00001BDC0000}"/>
    <cellStyle name="Total 5 2 4 3 2 3" xfId="56137" xr:uid="{00000000-0005-0000-0000-00001CDC0000}"/>
    <cellStyle name="Total 5 2 4 3 2 4" xfId="56138" xr:uid="{00000000-0005-0000-0000-00001DDC0000}"/>
    <cellStyle name="Total 5 2 4 3 3" xfId="56139" xr:uid="{00000000-0005-0000-0000-00001EDC0000}"/>
    <cellStyle name="Total 5 2 4 3 3 2" xfId="56140" xr:uid="{00000000-0005-0000-0000-00001FDC0000}"/>
    <cellStyle name="Total 5 2 4 3 3 3" xfId="56141" xr:uid="{00000000-0005-0000-0000-000020DC0000}"/>
    <cellStyle name="Total 5 2 4 3 3 4" xfId="56142" xr:uid="{00000000-0005-0000-0000-000021DC0000}"/>
    <cellStyle name="Total 5 2 4 3 4" xfId="56143" xr:uid="{00000000-0005-0000-0000-000022DC0000}"/>
    <cellStyle name="Total 5 2 4 3 5" xfId="56144" xr:uid="{00000000-0005-0000-0000-000023DC0000}"/>
    <cellStyle name="Total 5 2 4 3 6" xfId="56145" xr:uid="{00000000-0005-0000-0000-000024DC0000}"/>
    <cellStyle name="Total 5 2 4 4" xfId="56146" xr:uid="{00000000-0005-0000-0000-000025DC0000}"/>
    <cellStyle name="Total 5 2 4 5" xfId="56147" xr:uid="{00000000-0005-0000-0000-000026DC0000}"/>
    <cellStyle name="Total 5 2 4 6" xfId="56148" xr:uid="{00000000-0005-0000-0000-000027DC0000}"/>
    <cellStyle name="Total 5 2 5" xfId="56149" xr:uid="{00000000-0005-0000-0000-000028DC0000}"/>
    <cellStyle name="Total 5 2 6" xfId="56150" xr:uid="{00000000-0005-0000-0000-000029DC0000}"/>
    <cellStyle name="Total 5 3" xfId="56151" xr:uid="{00000000-0005-0000-0000-00002ADC0000}"/>
    <cellStyle name="Total 5 3 10" xfId="56152" xr:uid="{00000000-0005-0000-0000-00002BDC0000}"/>
    <cellStyle name="Total 5 3 10 2" xfId="56153" xr:uid="{00000000-0005-0000-0000-00002CDC0000}"/>
    <cellStyle name="Total 5 3 10 2 2" xfId="56154" xr:uid="{00000000-0005-0000-0000-00002DDC0000}"/>
    <cellStyle name="Total 5 3 10 2 2 2" xfId="56155" xr:uid="{00000000-0005-0000-0000-00002EDC0000}"/>
    <cellStyle name="Total 5 3 10 2 2 3" xfId="56156" xr:uid="{00000000-0005-0000-0000-00002FDC0000}"/>
    <cellStyle name="Total 5 3 10 2 2 4" xfId="56157" xr:uid="{00000000-0005-0000-0000-000030DC0000}"/>
    <cellStyle name="Total 5 3 10 2 3" xfId="56158" xr:uid="{00000000-0005-0000-0000-000031DC0000}"/>
    <cellStyle name="Total 5 3 10 2 4" xfId="56159" xr:uid="{00000000-0005-0000-0000-000032DC0000}"/>
    <cellStyle name="Total 5 3 10 2 5" xfId="56160" xr:uid="{00000000-0005-0000-0000-000033DC0000}"/>
    <cellStyle name="Total 5 3 10 3" xfId="56161" xr:uid="{00000000-0005-0000-0000-000034DC0000}"/>
    <cellStyle name="Total 5 3 10 3 2" xfId="56162" xr:uid="{00000000-0005-0000-0000-000035DC0000}"/>
    <cellStyle name="Total 5 3 10 3 2 2" xfId="56163" xr:uid="{00000000-0005-0000-0000-000036DC0000}"/>
    <cellStyle name="Total 5 3 10 3 2 3" xfId="56164" xr:uid="{00000000-0005-0000-0000-000037DC0000}"/>
    <cellStyle name="Total 5 3 10 3 2 4" xfId="56165" xr:uid="{00000000-0005-0000-0000-000038DC0000}"/>
    <cellStyle name="Total 5 3 10 3 3" xfId="56166" xr:uid="{00000000-0005-0000-0000-000039DC0000}"/>
    <cellStyle name="Total 5 3 10 3 3 2" xfId="56167" xr:uid="{00000000-0005-0000-0000-00003ADC0000}"/>
    <cellStyle name="Total 5 3 10 3 3 3" xfId="56168" xr:uid="{00000000-0005-0000-0000-00003BDC0000}"/>
    <cellStyle name="Total 5 3 10 3 3 4" xfId="56169" xr:uid="{00000000-0005-0000-0000-00003CDC0000}"/>
    <cellStyle name="Total 5 3 10 3 4" xfId="56170" xr:uid="{00000000-0005-0000-0000-00003DDC0000}"/>
    <cellStyle name="Total 5 3 10 3 5" xfId="56171" xr:uid="{00000000-0005-0000-0000-00003EDC0000}"/>
    <cellStyle name="Total 5 3 10 3 6" xfId="56172" xr:uid="{00000000-0005-0000-0000-00003FDC0000}"/>
    <cellStyle name="Total 5 3 10 4" xfId="56173" xr:uid="{00000000-0005-0000-0000-000040DC0000}"/>
    <cellStyle name="Total 5 3 10 5" xfId="56174" xr:uid="{00000000-0005-0000-0000-000041DC0000}"/>
    <cellStyle name="Total 5 3 11" xfId="56175" xr:uid="{00000000-0005-0000-0000-000042DC0000}"/>
    <cellStyle name="Total 5 3 11 2" xfId="56176" xr:uid="{00000000-0005-0000-0000-000043DC0000}"/>
    <cellStyle name="Total 5 3 11 2 2" xfId="56177" xr:uid="{00000000-0005-0000-0000-000044DC0000}"/>
    <cellStyle name="Total 5 3 11 2 2 2" xfId="56178" xr:uid="{00000000-0005-0000-0000-000045DC0000}"/>
    <cellStyle name="Total 5 3 11 2 2 3" xfId="56179" xr:uid="{00000000-0005-0000-0000-000046DC0000}"/>
    <cellStyle name="Total 5 3 11 2 2 4" xfId="56180" xr:uid="{00000000-0005-0000-0000-000047DC0000}"/>
    <cellStyle name="Total 5 3 11 2 3" xfId="56181" xr:uid="{00000000-0005-0000-0000-000048DC0000}"/>
    <cellStyle name="Total 5 3 11 2 4" xfId="56182" xr:uid="{00000000-0005-0000-0000-000049DC0000}"/>
    <cellStyle name="Total 5 3 11 2 5" xfId="56183" xr:uid="{00000000-0005-0000-0000-00004ADC0000}"/>
    <cellStyle name="Total 5 3 11 3" xfId="56184" xr:uid="{00000000-0005-0000-0000-00004BDC0000}"/>
    <cellStyle name="Total 5 3 11 3 2" xfId="56185" xr:uid="{00000000-0005-0000-0000-00004CDC0000}"/>
    <cellStyle name="Total 5 3 11 3 2 2" xfId="56186" xr:uid="{00000000-0005-0000-0000-00004DDC0000}"/>
    <cellStyle name="Total 5 3 11 3 2 3" xfId="56187" xr:uid="{00000000-0005-0000-0000-00004EDC0000}"/>
    <cellStyle name="Total 5 3 11 3 2 4" xfId="56188" xr:uid="{00000000-0005-0000-0000-00004FDC0000}"/>
    <cellStyle name="Total 5 3 11 3 3" xfId="56189" xr:uid="{00000000-0005-0000-0000-000050DC0000}"/>
    <cellStyle name="Total 5 3 11 3 3 2" xfId="56190" xr:uid="{00000000-0005-0000-0000-000051DC0000}"/>
    <cellStyle name="Total 5 3 11 3 3 3" xfId="56191" xr:uid="{00000000-0005-0000-0000-000052DC0000}"/>
    <cellStyle name="Total 5 3 11 3 3 4" xfId="56192" xr:uid="{00000000-0005-0000-0000-000053DC0000}"/>
    <cellStyle name="Total 5 3 11 3 4" xfId="56193" xr:uid="{00000000-0005-0000-0000-000054DC0000}"/>
    <cellStyle name="Total 5 3 11 3 5" xfId="56194" xr:uid="{00000000-0005-0000-0000-000055DC0000}"/>
    <cellStyle name="Total 5 3 11 3 6" xfId="56195" xr:uid="{00000000-0005-0000-0000-000056DC0000}"/>
    <cellStyle name="Total 5 3 11 4" xfId="56196" xr:uid="{00000000-0005-0000-0000-000057DC0000}"/>
    <cellStyle name="Total 5 3 11 5" xfId="56197" xr:uid="{00000000-0005-0000-0000-000058DC0000}"/>
    <cellStyle name="Total 5 3 12" xfId="56198" xr:uid="{00000000-0005-0000-0000-000059DC0000}"/>
    <cellStyle name="Total 5 3 12 2" xfId="56199" xr:uid="{00000000-0005-0000-0000-00005ADC0000}"/>
    <cellStyle name="Total 5 3 12 2 2" xfId="56200" xr:uid="{00000000-0005-0000-0000-00005BDC0000}"/>
    <cellStyle name="Total 5 3 12 2 2 2" xfId="56201" xr:uid="{00000000-0005-0000-0000-00005CDC0000}"/>
    <cellStyle name="Total 5 3 12 2 2 3" xfId="56202" xr:uid="{00000000-0005-0000-0000-00005DDC0000}"/>
    <cellStyle name="Total 5 3 12 2 2 4" xfId="56203" xr:uid="{00000000-0005-0000-0000-00005EDC0000}"/>
    <cellStyle name="Total 5 3 12 2 3" xfId="56204" xr:uid="{00000000-0005-0000-0000-00005FDC0000}"/>
    <cellStyle name="Total 5 3 12 2 3 2" xfId="56205" xr:uid="{00000000-0005-0000-0000-000060DC0000}"/>
    <cellStyle name="Total 5 3 12 2 3 3" xfId="56206" xr:uid="{00000000-0005-0000-0000-000061DC0000}"/>
    <cellStyle name="Total 5 3 12 2 3 4" xfId="56207" xr:uid="{00000000-0005-0000-0000-000062DC0000}"/>
    <cellStyle name="Total 5 3 12 2 4" xfId="56208" xr:uid="{00000000-0005-0000-0000-000063DC0000}"/>
    <cellStyle name="Total 5 3 12 2 5" xfId="56209" xr:uid="{00000000-0005-0000-0000-000064DC0000}"/>
    <cellStyle name="Total 5 3 12 2 6" xfId="56210" xr:uid="{00000000-0005-0000-0000-000065DC0000}"/>
    <cellStyle name="Total 5 3 12 3" xfId="56211" xr:uid="{00000000-0005-0000-0000-000066DC0000}"/>
    <cellStyle name="Total 5 3 12 3 2" xfId="56212" xr:uid="{00000000-0005-0000-0000-000067DC0000}"/>
    <cellStyle name="Total 5 3 12 3 2 2" xfId="56213" xr:uid="{00000000-0005-0000-0000-000068DC0000}"/>
    <cellStyle name="Total 5 3 12 3 2 3" xfId="56214" xr:uid="{00000000-0005-0000-0000-000069DC0000}"/>
    <cellStyle name="Total 5 3 12 3 2 4" xfId="56215" xr:uid="{00000000-0005-0000-0000-00006ADC0000}"/>
    <cellStyle name="Total 5 3 12 3 3" xfId="56216" xr:uid="{00000000-0005-0000-0000-00006BDC0000}"/>
    <cellStyle name="Total 5 3 12 3 3 2" xfId="56217" xr:uid="{00000000-0005-0000-0000-00006CDC0000}"/>
    <cellStyle name="Total 5 3 12 3 3 3" xfId="56218" xr:uid="{00000000-0005-0000-0000-00006DDC0000}"/>
    <cellStyle name="Total 5 3 12 3 3 4" xfId="56219" xr:uid="{00000000-0005-0000-0000-00006EDC0000}"/>
    <cellStyle name="Total 5 3 12 3 4" xfId="56220" xr:uid="{00000000-0005-0000-0000-00006FDC0000}"/>
    <cellStyle name="Total 5 3 12 3 5" xfId="56221" xr:uid="{00000000-0005-0000-0000-000070DC0000}"/>
    <cellStyle name="Total 5 3 12 3 6" xfId="56222" xr:uid="{00000000-0005-0000-0000-000071DC0000}"/>
    <cellStyle name="Total 5 3 12 4" xfId="56223" xr:uid="{00000000-0005-0000-0000-000072DC0000}"/>
    <cellStyle name="Total 5 3 12 5" xfId="56224" xr:uid="{00000000-0005-0000-0000-000073DC0000}"/>
    <cellStyle name="Total 5 3 12 6" xfId="56225" xr:uid="{00000000-0005-0000-0000-000074DC0000}"/>
    <cellStyle name="Total 5 3 13" xfId="56226" xr:uid="{00000000-0005-0000-0000-000075DC0000}"/>
    <cellStyle name="Total 5 3 14" xfId="56227" xr:uid="{00000000-0005-0000-0000-000076DC0000}"/>
    <cellStyle name="Total 5 3 15" xfId="58813" xr:uid="{00000000-0005-0000-0000-000077DC0000}"/>
    <cellStyle name="Total 5 3 2" xfId="56228" xr:uid="{00000000-0005-0000-0000-000078DC0000}"/>
    <cellStyle name="Total 5 3 2 2" xfId="56229" xr:uid="{00000000-0005-0000-0000-000079DC0000}"/>
    <cellStyle name="Total 5 3 2 2 2" xfId="56230" xr:uid="{00000000-0005-0000-0000-00007ADC0000}"/>
    <cellStyle name="Total 5 3 2 2 2 2" xfId="56231" xr:uid="{00000000-0005-0000-0000-00007BDC0000}"/>
    <cellStyle name="Total 5 3 2 2 2 2 2" xfId="56232" xr:uid="{00000000-0005-0000-0000-00007CDC0000}"/>
    <cellStyle name="Total 5 3 2 2 2 2 3" xfId="56233" xr:uid="{00000000-0005-0000-0000-00007DDC0000}"/>
    <cellStyle name="Total 5 3 2 2 2 2 4" xfId="56234" xr:uid="{00000000-0005-0000-0000-00007EDC0000}"/>
    <cellStyle name="Total 5 3 2 2 2 3" xfId="56235" xr:uid="{00000000-0005-0000-0000-00007FDC0000}"/>
    <cellStyle name="Total 5 3 2 2 2 3 2" xfId="56236" xr:uid="{00000000-0005-0000-0000-000080DC0000}"/>
    <cellStyle name="Total 5 3 2 2 2 3 3" xfId="56237" xr:uid="{00000000-0005-0000-0000-000081DC0000}"/>
    <cellStyle name="Total 5 3 2 2 2 3 4" xfId="56238" xr:uid="{00000000-0005-0000-0000-000082DC0000}"/>
    <cellStyle name="Total 5 3 2 2 2 4" xfId="56239" xr:uid="{00000000-0005-0000-0000-000083DC0000}"/>
    <cellStyle name="Total 5 3 2 2 2 5" xfId="56240" xr:uid="{00000000-0005-0000-0000-000084DC0000}"/>
    <cellStyle name="Total 5 3 2 2 2 6" xfId="56241" xr:uid="{00000000-0005-0000-0000-000085DC0000}"/>
    <cellStyle name="Total 5 3 2 2 3" xfId="56242" xr:uid="{00000000-0005-0000-0000-000086DC0000}"/>
    <cellStyle name="Total 5 3 2 2 3 2" xfId="56243" xr:uid="{00000000-0005-0000-0000-000087DC0000}"/>
    <cellStyle name="Total 5 3 2 2 3 2 2" xfId="56244" xr:uid="{00000000-0005-0000-0000-000088DC0000}"/>
    <cellStyle name="Total 5 3 2 2 3 2 3" xfId="56245" xr:uid="{00000000-0005-0000-0000-000089DC0000}"/>
    <cellStyle name="Total 5 3 2 2 3 2 4" xfId="56246" xr:uid="{00000000-0005-0000-0000-00008ADC0000}"/>
    <cellStyle name="Total 5 3 2 2 3 3" xfId="56247" xr:uid="{00000000-0005-0000-0000-00008BDC0000}"/>
    <cellStyle name="Total 5 3 2 2 3 3 2" xfId="56248" xr:uid="{00000000-0005-0000-0000-00008CDC0000}"/>
    <cellStyle name="Total 5 3 2 2 3 3 3" xfId="56249" xr:uid="{00000000-0005-0000-0000-00008DDC0000}"/>
    <cellStyle name="Total 5 3 2 2 3 3 4" xfId="56250" xr:uid="{00000000-0005-0000-0000-00008EDC0000}"/>
    <cellStyle name="Total 5 3 2 2 3 4" xfId="56251" xr:uid="{00000000-0005-0000-0000-00008FDC0000}"/>
    <cellStyle name="Total 5 3 2 2 3 5" xfId="56252" xr:uid="{00000000-0005-0000-0000-000090DC0000}"/>
    <cellStyle name="Total 5 3 2 2 3 6" xfId="56253" xr:uid="{00000000-0005-0000-0000-000091DC0000}"/>
    <cellStyle name="Total 5 3 2 2 4" xfId="56254" xr:uid="{00000000-0005-0000-0000-000092DC0000}"/>
    <cellStyle name="Total 5 3 2 2 5" xfId="56255" xr:uid="{00000000-0005-0000-0000-000093DC0000}"/>
    <cellStyle name="Total 5 3 2 2 6" xfId="56256" xr:uid="{00000000-0005-0000-0000-000094DC0000}"/>
    <cellStyle name="Total 5 3 2 3" xfId="56257" xr:uid="{00000000-0005-0000-0000-000095DC0000}"/>
    <cellStyle name="Total 5 3 2 4" xfId="56258" xr:uid="{00000000-0005-0000-0000-000096DC0000}"/>
    <cellStyle name="Total 5 3 3" xfId="56259" xr:uid="{00000000-0005-0000-0000-000097DC0000}"/>
    <cellStyle name="Total 5 3 3 2" xfId="56260" xr:uid="{00000000-0005-0000-0000-000098DC0000}"/>
    <cellStyle name="Total 5 3 3 2 2" xfId="56261" xr:uid="{00000000-0005-0000-0000-000099DC0000}"/>
    <cellStyle name="Total 5 3 3 2 2 2" xfId="56262" xr:uid="{00000000-0005-0000-0000-00009ADC0000}"/>
    <cellStyle name="Total 5 3 3 2 2 2 2" xfId="56263" xr:uid="{00000000-0005-0000-0000-00009BDC0000}"/>
    <cellStyle name="Total 5 3 3 2 2 2 3" xfId="56264" xr:uid="{00000000-0005-0000-0000-00009CDC0000}"/>
    <cellStyle name="Total 5 3 3 2 2 2 4" xfId="56265" xr:uid="{00000000-0005-0000-0000-00009DDC0000}"/>
    <cellStyle name="Total 5 3 3 2 2 3" xfId="56266" xr:uid="{00000000-0005-0000-0000-00009EDC0000}"/>
    <cellStyle name="Total 5 3 3 2 2 3 2" xfId="56267" xr:uid="{00000000-0005-0000-0000-00009FDC0000}"/>
    <cellStyle name="Total 5 3 3 2 2 3 3" xfId="56268" xr:uid="{00000000-0005-0000-0000-0000A0DC0000}"/>
    <cellStyle name="Total 5 3 3 2 2 3 4" xfId="56269" xr:uid="{00000000-0005-0000-0000-0000A1DC0000}"/>
    <cellStyle name="Total 5 3 3 2 2 4" xfId="56270" xr:uid="{00000000-0005-0000-0000-0000A2DC0000}"/>
    <cellStyle name="Total 5 3 3 2 2 5" xfId="56271" xr:uid="{00000000-0005-0000-0000-0000A3DC0000}"/>
    <cellStyle name="Total 5 3 3 2 2 6" xfId="56272" xr:uid="{00000000-0005-0000-0000-0000A4DC0000}"/>
    <cellStyle name="Total 5 3 3 2 3" xfId="56273" xr:uid="{00000000-0005-0000-0000-0000A5DC0000}"/>
    <cellStyle name="Total 5 3 3 2 3 2" xfId="56274" xr:uid="{00000000-0005-0000-0000-0000A6DC0000}"/>
    <cellStyle name="Total 5 3 3 2 3 2 2" xfId="56275" xr:uid="{00000000-0005-0000-0000-0000A7DC0000}"/>
    <cellStyle name="Total 5 3 3 2 3 2 3" xfId="56276" xr:uid="{00000000-0005-0000-0000-0000A8DC0000}"/>
    <cellStyle name="Total 5 3 3 2 3 2 4" xfId="56277" xr:uid="{00000000-0005-0000-0000-0000A9DC0000}"/>
    <cellStyle name="Total 5 3 3 2 3 3" xfId="56278" xr:uid="{00000000-0005-0000-0000-0000AADC0000}"/>
    <cellStyle name="Total 5 3 3 2 3 3 2" xfId="56279" xr:uid="{00000000-0005-0000-0000-0000ABDC0000}"/>
    <cellStyle name="Total 5 3 3 2 3 3 3" xfId="56280" xr:uid="{00000000-0005-0000-0000-0000ACDC0000}"/>
    <cellStyle name="Total 5 3 3 2 3 3 4" xfId="56281" xr:uid="{00000000-0005-0000-0000-0000ADDC0000}"/>
    <cellStyle name="Total 5 3 3 2 3 4" xfId="56282" xr:uid="{00000000-0005-0000-0000-0000AEDC0000}"/>
    <cellStyle name="Total 5 3 3 2 3 5" xfId="56283" xr:uid="{00000000-0005-0000-0000-0000AFDC0000}"/>
    <cellStyle name="Total 5 3 3 2 3 6" xfId="56284" xr:uid="{00000000-0005-0000-0000-0000B0DC0000}"/>
    <cellStyle name="Total 5 3 3 2 4" xfId="56285" xr:uid="{00000000-0005-0000-0000-0000B1DC0000}"/>
    <cellStyle name="Total 5 3 3 2 5" xfId="56286" xr:uid="{00000000-0005-0000-0000-0000B2DC0000}"/>
    <cellStyle name="Total 5 3 3 2 6" xfId="56287" xr:uid="{00000000-0005-0000-0000-0000B3DC0000}"/>
    <cellStyle name="Total 5 3 3 3" xfId="56288" xr:uid="{00000000-0005-0000-0000-0000B4DC0000}"/>
    <cellStyle name="Total 5 3 3 4" xfId="56289" xr:uid="{00000000-0005-0000-0000-0000B5DC0000}"/>
    <cellStyle name="Total 5 3 4" xfId="56290" xr:uid="{00000000-0005-0000-0000-0000B6DC0000}"/>
    <cellStyle name="Total 5 3 4 2" xfId="56291" xr:uid="{00000000-0005-0000-0000-0000B7DC0000}"/>
    <cellStyle name="Total 5 3 4 2 2" xfId="56292" xr:uid="{00000000-0005-0000-0000-0000B8DC0000}"/>
    <cellStyle name="Total 5 3 4 2 2 2" xfId="56293" xr:uid="{00000000-0005-0000-0000-0000B9DC0000}"/>
    <cellStyle name="Total 5 3 4 2 2 2 2" xfId="56294" xr:uid="{00000000-0005-0000-0000-0000BADC0000}"/>
    <cellStyle name="Total 5 3 4 2 2 2 3" xfId="56295" xr:uid="{00000000-0005-0000-0000-0000BBDC0000}"/>
    <cellStyle name="Total 5 3 4 2 2 2 4" xfId="56296" xr:uid="{00000000-0005-0000-0000-0000BCDC0000}"/>
    <cellStyle name="Total 5 3 4 2 2 3" xfId="56297" xr:uid="{00000000-0005-0000-0000-0000BDDC0000}"/>
    <cellStyle name="Total 5 3 4 2 2 3 2" xfId="56298" xr:uid="{00000000-0005-0000-0000-0000BEDC0000}"/>
    <cellStyle name="Total 5 3 4 2 2 3 3" xfId="56299" xr:uid="{00000000-0005-0000-0000-0000BFDC0000}"/>
    <cellStyle name="Total 5 3 4 2 2 3 4" xfId="56300" xr:uid="{00000000-0005-0000-0000-0000C0DC0000}"/>
    <cellStyle name="Total 5 3 4 2 2 4" xfId="56301" xr:uid="{00000000-0005-0000-0000-0000C1DC0000}"/>
    <cellStyle name="Total 5 3 4 2 2 5" xfId="56302" xr:uid="{00000000-0005-0000-0000-0000C2DC0000}"/>
    <cellStyle name="Total 5 3 4 2 2 6" xfId="56303" xr:uid="{00000000-0005-0000-0000-0000C3DC0000}"/>
    <cellStyle name="Total 5 3 4 2 3" xfId="56304" xr:uid="{00000000-0005-0000-0000-0000C4DC0000}"/>
    <cellStyle name="Total 5 3 4 2 3 2" xfId="56305" xr:uid="{00000000-0005-0000-0000-0000C5DC0000}"/>
    <cellStyle name="Total 5 3 4 2 3 2 2" xfId="56306" xr:uid="{00000000-0005-0000-0000-0000C6DC0000}"/>
    <cellStyle name="Total 5 3 4 2 3 2 3" xfId="56307" xr:uid="{00000000-0005-0000-0000-0000C7DC0000}"/>
    <cellStyle name="Total 5 3 4 2 3 2 4" xfId="56308" xr:uid="{00000000-0005-0000-0000-0000C8DC0000}"/>
    <cellStyle name="Total 5 3 4 2 3 3" xfId="56309" xr:uid="{00000000-0005-0000-0000-0000C9DC0000}"/>
    <cellStyle name="Total 5 3 4 2 3 3 2" xfId="56310" xr:uid="{00000000-0005-0000-0000-0000CADC0000}"/>
    <cellStyle name="Total 5 3 4 2 3 3 3" xfId="56311" xr:uid="{00000000-0005-0000-0000-0000CBDC0000}"/>
    <cellStyle name="Total 5 3 4 2 3 3 4" xfId="56312" xr:uid="{00000000-0005-0000-0000-0000CCDC0000}"/>
    <cellStyle name="Total 5 3 4 2 3 4" xfId="56313" xr:uid="{00000000-0005-0000-0000-0000CDDC0000}"/>
    <cellStyle name="Total 5 3 4 2 3 5" xfId="56314" xr:uid="{00000000-0005-0000-0000-0000CEDC0000}"/>
    <cellStyle name="Total 5 3 4 2 3 6" xfId="56315" xr:uid="{00000000-0005-0000-0000-0000CFDC0000}"/>
    <cellStyle name="Total 5 3 4 2 4" xfId="56316" xr:uid="{00000000-0005-0000-0000-0000D0DC0000}"/>
    <cellStyle name="Total 5 3 4 2 5" xfId="56317" xr:uid="{00000000-0005-0000-0000-0000D1DC0000}"/>
    <cellStyle name="Total 5 3 4 2 6" xfId="56318" xr:uid="{00000000-0005-0000-0000-0000D2DC0000}"/>
    <cellStyle name="Total 5 3 4 3" xfId="56319" xr:uid="{00000000-0005-0000-0000-0000D3DC0000}"/>
    <cellStyle name="Total 5 3 4 4" xfId="56320" xr:uid="{00000000-0005-0000-0000-0000D4DC0000}"/>
    <cellStyle name="Total 5 3 5" xfId="56321" xr:uid="{00000000-0005-0000-0000-0000D5DC0000}"/>
    <cellStyle name="Total 5 3 5 2" xfId="56322" xr:uid="{00000000-0005-0000-0000-0000D6DC0000}"/>
    <cellStyle name="Total 5 3 5 2 2" xfId="56323" xr:uid="{00000000-0005-0000-0000-0000D7DC0000}"/>
    <cellStyle name="Total 5 3 5 2 2 2" xfId="56324" xr:uid="{00000000-0005-0000-0000-0000D8DC0000}"/>
    <cellStyle name="Total 5 3 5 2 2 3" xfId="56325" xr:uid="{00000000-0005-0000-0000-0000D9DC0000}"/>
    <cellStyle name="Total 5 3 5 2 2 4" xfId="56326" xr:uid="{00000000-0005-0000-0000-0000DADC0000}"/>
    <cellStyle name="Total 5 3 5 2 3" xfId="56327" xr:uid="{00000000-0005-0000-0000-0000DBDC0000}"/>
    <cellStyle name="Total 5 3 5 2 4" xfId="56328" xr:uid="{00000000-0005-0000-0000-0000DCDC0000}"/>
    <cellStyle name="Total 5 3 5 2 5" xfId="56329" xr:uid="{00000000-0005-0000-0000-0000DDDC0000}"/>
    <cellStyle name="Total 5 3 5 3" xfId="56330" xr:uid="{00000000-0005-0000-0000-0000DEDC0000}"/>
    <cellStyle name="Total 5 3 5 3 2" xfId="56331" xr:uid="{00000000-0005-0000-0000-0000DFDC0000}"/>
    <cellStyle name="Total 5 3 5 3 2 2" xfId="56332" xr:uid="{00000000-0005-0000-0000-0000E0DC0000}"/>
    <cellStyle name="Total 5 3 5 3 2 3" xfId="56333" xr:uid="{00000000-0005-0000-0000-0000E1DC0000}"/>
    <cellStyle name="Total 5 3 5 3 2 4" xfId="56334" xr:uid="{00000000-0005-0000-0000-0000E2DC0000}"/>
    <cellStyle name="Total 5 3 5 3 3" xfId="56335" xr:uid="{00000000-0005-0000-0000-0000E3DC0000}"/>
    <cellStyle name="Total 5 3 5 3 3 2" xfId="56336" xr:uid="{00000000-0005-0000-0000-0000E4DC0000}"/>
    <cellStyle name="Total 5 3 5 3 3 3" xfId="56337" xr:uid="{00000000-0005-0000-0000-0000E5DC0000}"/>
    <cellStyle name="Total 5 3 5 3 3 4" xfId="56338" xr:uid="{00000000-0005-0000-0000-0000E6DC0000}"/>
    <cellStyle name="Total 5 3 5 3 4" xfId="56339" xr:uid="{00000000-0005-0000-0000-0000E7DC0000}"/>
    <cellStyle name="Total 5 3 5 3 5" xfId="56340" xr:uid="{00000000-0005-0000-0000-0000E8DC0000}"/>
    <cellStyle name="Total 5 3 5 3 6" xfId="56341" xr:uid="{00000000-0005-0000-0000-0000E9DC0000}"/>
    <cellStyle name="Total 5 3 5 4" xfId="56342" xr:uid="{00000000-0005-0000-0000-0000EADC0000}"/>
    <cellStyle name="Total 5 3 5 5" xfId="56343" xr:uid="{00000000-0005-0000-0000-0000EBDC0000}"/>
    <cellStyle name="Total 5 3 6" xfId="56344" xr:uid="{00000000-0005-0000-0000-0000ECDC0000}"/>
    <cellStyle name="Total 5 3 6 2" xfId="56345" xr:uid="{00000000-0005-0000-0000-0000EDDC0000}"/>
    <cellStyle name="Total 5 3 6 2 2" xfId="56346" xr:uid="{00000000-0005-0000-0000-0000EEDC0000}"/>
    <cellStyle name="Total 5 3 6 2 2 2" xfId="56347" xr:uid="{00000000-0005-0000-0000-0000EFDC0000}"/>
    <cellStyle name="Total 5 3 6 2 2 3" xfId="56348" xr:uid="{00000000-0005-0000-0000-0000F0DC0000}"/>
    <cellStyle name="Total 5 3 6 2 2 4" xfId="56349" xr:uid="{00000000-0005-0000-0000-0000F1DC0000}"/>
    <cellStyle name="Total 5 3 6 2 3" xfId="56350" xr:uid="{00000000-0005-0000-0000-0000F2DC0000}"/>
    <cellStyle name="Total 5 3 6 2 4" xfId="56351" xr:uid="{00000000-0005-0000-0000-0000F3DC0000}"/>
    <cellStyle name="Total 5 3 6 2 5" xfId="56352" xr:uid="{00000000-0005-0000-0000-0000F4DC0000}"/>
    <cellStyle name="Total 5 3 6 3" xfId="56353" xr:uid="{00000000-0005-0000-0000-0000F5DC0000}"/>
    <cellStyle name="Total 5 3 6 3 2" xfId="56354" xr:uid="{00000000-0005-0000-0000-0000F6DC0000}"/>
    <cellStyle name="Total 5 3 6 3 2 2" xfId="56355" xr:uid="{00000000-0005-0000-0000-0000F7DC0000}"/>
    <cellStyle name="Total 5 3 6 3 2 3" xfId="56356" xr:uid="{00000000-0005-0000-0000-0000F8DC0000}"/>
    <cellStyle name="Total 5 3 6 3 2 4" xfId="56357" xr:uid="{00000000-0005-0000-0000-0000F9DC0000}"/>
    <cellStyle name="Total 5 3 6 3 3" xfId="56358" xr:uid="{00000000-0005-0000-0000-0000FADC0000}"/>
    <cellStyle name="Total 5 3 6 3 3 2" xfId="56359" xr:uid="{00000000-0005-0000-0000-0000FBDC0000}"/>
    <cellStyle name="Total 5 3 6 3 3 3" xfId="56360" xr:uid="{00000000-0005-0000-0000-0000FCDC0000}"/>
    <cellStyle name="Total 5 3 6 3 3 4" xfId="56361" xr:uid="{00000000-0005-0000-0000-0000FDDC0000}"/>
    <cellStyle name="Total 5 3 6 3 4" xfId="56362" xr:uid="{00000000-0005-0000-0000-0000FEDC0000}"/>
    <cellStyle name="Total 5 3 6 3 5" xfId="56363" xr:uid="{00000000-0005-0000-0000-0000FFDC0000}"/>
    <cellStyle name="Total 5 3 6 3 6" xfId="56364" xr:uid="{00000000-0005-0000-0000-000000DD0000}"/>
    <cellStyle name="Total 5 3 6 4" xfId="56365" xr:uid="{00000000-0005-0000-0000-000001DD0000}"/>
    <cellStyle name="Total 5 3 6 5" xfId="56366" xr:uid="{00000000-0005-0000-0000-000002DD0000}"/>
    <cellStyle name="Total 5 3 7" xfId="56367" xr:uid="{00000000-0005-0000-0000-000003DD0000}"/>
    <cellStyle name="Total 5 3 7 2" xfId="56368" xr:uid="{00000000-0005-0000-0000-000004DD0000}"/>
    <cellStyle name="Total 5 3 7 2 2" xfId="56369" xr:uid="{00000000-0005-0000-0000-000005DD0000}"/>
    <cellStyle name="Total 5 3 7 2 2 2" xfId="56370" xr:uid="{00000000-0005-0000-0000-000006DD0000}"/>
    <cellStyle name="Total 5 3 7 2 2 3" xfId="56371" xr:uid="{00000000-0005-0000-0000-000007DD0000}"/>
    <cellStyle name="Total 5 3 7 2 2 4" xfId="56372" xr:uid="{00000000-0005-0000-0000-000008DD0000}"/>
    <cellStyle name="Total 5 3 7 2 3" xfId="56373" xr:uid="{00000000-0005-0000-0000-000009DD0000}"/>
    <cellStyle name="Total 5 3 7 2 4" xfId="56374" xr:uid="{00000000-0005-0000-0000-00000ADD0000}"/>
    <cellStyle name="Total 5 3 7 2 5" xfId="56375" xr:uid="{00000000-0005-0000-0000-00000BDD0000}"/>
    <cellStyle name="Total 5 3 7 3" xfId="56376" xr:uid="{00000000-0005-0000-0000-00000CDD0000}"/>
    <cellStyle name="Total 5 3 7 3 2" xfId="56377" xr:uid="{00000000-0005-0000-0000-00000DDD0000}"/>
    <cellStyle name="Total 5 3 7 3 2 2" xfId="56378" xr:uid="{00000000-0005-0000-0000-00000EDD0000}"/>
    <cellStyle name="Total 5 3 7 3 2 3" xfId="56379" xr:uid="{00000000-0005-0000-0000-00000FDD0000}"/>
    <cellStyle name="Total 5 3 7 3 2 4" xfId="56380" xr:uid="{00000000-0005-0000-0000-000010DD0000}"/>
    <cellStyle name="Total 5 3 7 3 3" xfId="56381" xr:uid="{00000000-0005-0000-0000-000011DD0000}"/>
    <cellStyle name="Total 5 3 7 3 3 2" xfId="56382" xr:uid="{00000000-0005-0000-0000-000012DD0000}"/>
    <cellStyle name="Total 5 3 7 3 3 3" xfId="56383" xr:uid="{00000000-0005-0000-0000-000013DD0000}"/>
    <cellStyle name="Total 5 3 7 3 3 4" xfId="56384" xr:uid="{00000000-0005-0000-0000-000014DD0000}"/>
    <cellStyle name="Total 5 3 7 3 4" xfId="56385" xr:uid="{00000000-0005-0000-0000-000015DD0000}"/>
    <cellStyle name="Total 5 3 7 3 5" xfId="56386" xr:uid="{00000000-0005-0000-0000-000016DD0000}"/>
    <cellStyle name="Total 5 3 7 3 6" xfId="56387" xr:uid="{00000000-0005-0000-0000-000017DD0000}"/>
    <cellStyle name="Total 5 3 7 4" xfId="56388" xr:uid="{00000000-0005-0000-0000-000018DD0000}"/>
    <cellStyle name="Total 5 3 7 5" xfId="56389" xr:uid="{00000000-0005-0000-0000-000019DD0000}"/>
    <cellStyle name="Total 5 3 8" xfId="56390" xr:uid="{00000000-0005-0000-0000-00001ADD0000}"/>
    <cellStyle name="Total 5 3 8 2" xfId="56391" xr:uid="{00000000-0005-0000-0000-00001BDD0000}"/>
    <cellStyle name="Total 5 3 8 2 2" xfId="56392" xr:uid="{00000000-0005-0000-0000-00001CDD0000}"/>
    <cellStyle name="Total 5 3 8 2 2 2" xfId="56393" xr:uid="{00000000-0005-0000-0000-00001DDD0000}"/>
    <cellStyle name="Total 5 3 8 2 2 3" xfId="56394" xr:uid="{00000000-0005-0000-0000-00001EDD0000}"/>
    <cellStyle name="Total 5 3 8 2 2 4" xfId="56395" xr:uid="{00000000-0005-0000-0000-00001FDD0000}"/>
    <cellStyle name="Total 5 3 8 2 3" xfId="56396" xr:uid="{00000000-0005-0000-0000-000020DD0000}"/>
    <cellStyle name="Total 5 3 8 2 4" xfId="56397" xr:uid="{00000000-0005-0000-0000-000021DD0000}"/>
    <cellStyle name="Total 5 3 8 2 5" xfId="56398" xr:uid="{00000000-0005-0000-0000-000022DD0000}"/>
    <cellStyle name="Total 5 3 8 3" xfId="56399" xr:uid="{00000000-0005-0000-0000-000023DD0000}"/>
    <cellStyle name="Total 5 3 8 3 2" xfId="56400" xr:uid="{00000000-0005-0000-0000-000024DD0000}"/>
    <cellStyle name="Total 5 3 8 3 2 2" xfId="56401" xr:uid="{00000000-0005-0000-0000-000025DD0000}"/>
    <cellStyle name="Total 5 3 8 3 2 3" xfId="56402" xr:uid="{00000000-0005-0000-0000-000026DD0000}"/>
    <cellStyle name="Total 5 3 8 3 2 4" xfId="56403" xr:uid="{00000000-0005-0000-0000-000027DD0000}"/>
    <cellStyle name="Total 5 3 8 3 3" xfId="56404" xr:uid="{00000000-0005-0000-0000-000028DD0000}"/>
    <cellStyle name="Total 5 3 8 3 3 2" xfId="56405" xr:uid="{00000000-0005-0000-0000-000029DD0000}"/>
    <cellStyle name="Total 5 3 8 3 3 3" xfId="56406" xr:uid="{00000000-0005-0000-0000-00002ADD0000}"/>
    <cellStyle name="Total 5 3 8 3 3 4" xfId="56407" xr:uid="{00000000-0005-0000-0000-00002BDD0000}"/>
    <cellStyle name="Total 5 3 8 3 4" xfId="56408" xr:uid="{00000000-0005-0000-0000-00002CDD0000}"/>
    <cellStyle name="Total 5 3 8 3 5" xfId="56409" xr:uid="{00000000-0005-0000-0000-00002DDD0000}"/>
    <cellStyle name="Total 5 3 8 3 6" xfId="56410" xr:uid="{00000000-0005-0000-0000-00002EDD0000}"/>
    <cellStyle name="Total 5 3 8 4" xfId="56411" xr:uid="{00000000-0005-0000-0000-00002FDD0000}"/>
    <cellStyle name="Total 5 3 8 5" xfId="56412" xr:uid="{00000000-0005-0000-0000-000030DD0000}"/>
    <cellStyle name="Total 5 3 9" xfId="56413" xr:uid="{00000000-0005-0000-0000-000031DD0000}"/>
    <cellStyle name="Total 5 3 9 2" xfId="56414" xr:uid="{00000000-0005-0000-0000-000032DD0000}"/>
    <cellStyle name="Total 5 3 9 2 2" xfId="56415" xr:uid="{00000000-0005-0000-0000-000033DD0000}"/>
    <cellStyle name="Total 5 3 9 2 2 2" xfId="56416" xr:uid="{00000000-0005-0000-0000-000034DD0000}"/>
    <cellStyle name="Total 5 3 9 2 2 3" xfId="56417" xr:uid="{00000000-0005-0000-0000-000035DD0000}"/>
    <cellStyle name="Total 5 3 9 2 2 4" xfId="56418" xr:uid="{00000000-0005-0000-0000-000036DD0000}"/>
    <cellStyle name="Total 5 3 9 2 3" xfId="56419" xr:uid="{00000000-0005-0000-0000-000037DD0000}"/>
    <cellStyle name="Total 5 3 9 2 4" xfId="56420" xr:uid="{00000000-0005-0000-0000-000038DD0000}"/>
    <cellStyle name="Total 5 3 9 2 5" xfId="56421" xr:uid="{00000000-0005-0000-0000-000039DD0000}"/>
    <cellStyle name="Total 5 3 9 3" xfId="56422" xr:uid="{00000000-0005-0000-0000-00003ADD0000}"/>
    <cellStyle name="Total 5 3 9 3 2" xfId="56423" xr:uid="{00000000-0005-0000-0000-00003BDD0000}"/>
    <cellStyle name="Total 5 3 9 3 2 2" xfId="56424" xr:uid="{00000000-0005-0000-0000-00003CDD0000}"/>
    <cellStyle name="Total 5 3 9 3 2 3" xfId="56425" xr:uid="{00000000-0005-0000-0000-00003DDD0000}"/>
    <cellStyle name="Total 5 3 9 3 2 4" xfId="56426" xr:uid="{00000000-0005-0000-0000-00003EDD0000}"/>
    <cellStyle name="Total 5 3 9 3 3" xfId="56427" xr:uid="{00000000-0005-0000-0000-00003FDD0000}"/>
    <cellStyle name="Total 5 3 9 3 3 2" xfId="56428" xr:uid="{00000000-0005-0000-0000-000040DD0000}"/>
    <cellStyle name="Total 5 3 9 3 3 3" xfId="56429" xr:uid="{00000000-0005-0000-0000-000041DD0000}"/>
    <cellStyle name="Total 5 3 9 3 3 4" xfId="56430" xr:uid="{00000000-0005-0000-0000-000042DD0000}"/>
    <cellStyle name="Total 5 3 9 3 4" xfId="56431" xr:uid="{00000000-0005-0000-0000-000043DD0000}"/>
    <cellStyle name="Total 5 3 9 3 5" xfId="56432" xr:uid="{00000000-0005-0000-0000-000044DD0000}"/>
    <cellStyle name="Total 5 3 9 3 6" xfId="56433" xr:uid="{00000000-0005-0000-0000-000045DD0000}"/>
    <cellStyle name="Total 5 3 9 4" xfId="56434" xr:uid="{00000000-0005-0000-0000-000046DD0000}"/>
    <cellStyle name="Total 5 3 9 5" xfId="56435" xr:uid="{00000000-0005-0000-0000-000047DD0000}"/>
    <cellStyle name="Total 5 4" xfId="56436" xr:uid="{00000000-0005-0000-0000-000048DD0000}"/>
    <cellStyle name="Total 5 4 10" xfId="56437" xr:uid="{00000000-0005-0000-0000-000049DD0000}"/>
    <cellStyle name="Total 5 4 10 2" xfId="56438" xr:uid="{00000000-0005-0000-0000-00004ADD0000}"/>
    <cellStyle name="Total 5 4 10 2 2" xfId="56439" xr:uid="{00000000-0005-0000-0000-00004BDD0000}"/>
    <cellStyle name="Total 5 4 10 2 2 2" xfId="56440" xr:uid="{00000000-0005-0000-0000-00004CDD0000}"/>
    <cellStyle name="Total 5 4 10 2 2 3" xfId="56441" xr:uid="{00000000-0005-0000-0000-00004DDD0000}"/>
    <cellStyle name="Total 5 4 10 2 2 4" xfId="56442" xr:uid="{00000000-0005-0000-0000-00004EDD0000}"/>
    <cellStyle name="Total 5 4 10 2 3" xfId="56443" xr:uid="{00000000-0005-0000-0000-00004FDD0000}"/>
    <cellStyle name="Total 5 4 10 2 4" xfId="56444" xr:uid="{00000000-0005-0000-0000-000050DD0000}"/>
    <cellStyle name="Total 5 4 10 2 5" xfId="56445" xr:uid="{00000000-0005-0000-0000-000051DD0000}"/>
    <cellStyle name="Total 5 4 10 3" xfId="56446" xr:uid="{00000000-0005-0000-0000-000052DD0000}"/>
    <cellStyle name="Total 5 4 10 3 2" xfId="56447" xr:uid="{00000000-0005-0000-0000-000053DD0000}"/>
    <cellStyle name="Total 5 4 10 3 2 2" xfId="56448" xr:uid="{00000000-0005-0000-0000-000054DD0000}"/>
    <cellStyle name="Total 5 4 10 3 2 3" xfId="56449" xr:uid="{00000000-0005-0000-0000-000055DD0000}"/>
    <cellStyle name="Total 5 4 10 3 2 4" xfId="56450" xr:uid="{00000000-0005-0000-0000-000056DD0000}"/>
    <cellStyle name="Total 5 4 10 3 3" xfId="56451" xr:uid="{00000000-0005-0000-0000-000057DD0000}"/>
    <cellStyle name="Total 5 4 10 3 3 2" xfId="56452" xr:uid="{00000000-0005-0000-0000-000058DD0000}"/>
    <cellStyle name="Total 5 4 10 3 3 3" xfId="56453" xr:uid="{00000000-0005-0000-0000-000059DD0000}"/>
    <cellStyle name="Total 5 4 10 3 3 4" xfId="56454" xr:uid="{00000000-0005-0000-0000-00005ADD0000}"/>
    <cellStyle name="Total 5 4 10 3 4" xfId="56455" xr:uid="{00000000-0005-0000-0000-00005BDD0000}"/>
    <cellStyle name="Total 5 4 10 3 5" xfId="56456" xr:uid="{00000000-0005-0000-0000-00005CDD0000}"/>
    <cellStyle name="Total 5 4 10 3 6" xfId="56457" xr:uid="{00000000-0005-0000-0000-00005DDD0000}"/>
    <cellStyle name="Total 5 4 10 4" xfId="56458" xr:uid="{00000000-0005-0000-0000-00005EDD0000}"/>
    <cellStyle name="Total 5 4 10 5" xfId="56459" xr:uid="{00000000-0005-0000-0000-00005FDD0000}"/>
    <cellStyle name="Total 5 4 11" xfId="56460" xr:uid="{00000000-0005-0000-0000-000060DD0000}"/>
    <cellStyle name="Total 5 4 11 2" xfId="56461" xr:uid="{00000000-0005-0000-0000-000061DD0000}"/>
    <cellStyle name="Total 5 4 11 2 2" xfId="56462" xr:uid="{00000000-0005-0000-0000-000062DD0000}"/>
    <cellStyle name="Total 5 4 11 2 2 2" xfId="56463" xr:uid="{00000000-0005-0000-0000-000063DD0000}"/>
    <cellStyle name="Total 5 4 11 2 2 3" xfId="56464" xr:uid="{00000000-0005-0000-0000-000064DD0000}"/>
    <cellStyle name="Total 5 4 11 2 2 4" xfId="56465" xr:uid="{00000000-0005-0000-0000-000065DD0000}"/>
    <cellStyle name="Total 5 4 11 2 3" xfId="56466" xr:uid="{00000000-0005-0000-0000-000066DD0000}"/>
    <cellStyle name="Total 5 4 11 2 4" xfId="56467" xr:uid="{00000000-0005-0000-0000-000067DD0000}"/>
    <cellStyle name="Total 5 4 11 2 5" xfId="56468" xr:uid="{00000000-0005-0000-0000-000068DD0000}"/>
    <cellStyle name="Total 5 4 11 3" xfId="56469" xr:uid="{00000000-0005-0000-0000-000069DD0000}"/>
    <cellStyle name="Total 5 4 11 3 2" xfId="56470" xr:uid="{00000000-0005-0000-0000-00006ADD0000}"/>
    <cellStyle name="Total 5 4 11 3 2 2" xfId="56471" xr:uid="{00000000-0005-0000-0000-00006BDD0000}"/>
    <cellStyle name="Total 5 4 11 3 2 3" xfId="56472" xr:uid="{00000000-0005-0000-0000-00006CDD0000}"/>
    <cellStyle name="Total 5 4 11 3 2 4" xfId="56473" xr:uid="{00000000-0005-0000-0000-00006DDD0000}"/>
    <cellStyle name="Total 5 4 11 3 3" xfId="56474" xr:uid="{00000000-0005-0000-0000-00006EDD0000}"/>
    <cellStyle name="Total 5 4 11 3 3 2" xfId="56475" xr:uid="{00000000-0005-0000-0000-00006FDD0000}"/>
    <cellStyle name="Total 5 4 11 3 3 3" xfId="56476" xr:uid="{00000000-0005-0000-0000-000070DD0000}"/>
    <cellStyle name="Total 5 4 11 3 3 4" xfId="56477" xr:uid="{00000000-0005-0000-0000-000071DD0000}"/>
    <cellStyle name="Total 5 4 11 3 4" xfId="56478" xr:uid="{00000000-0005-0000-0000-000072DD0000}"/>
    <cellStyle name="Total 5 4 11 3 5" xfId="56479" xr:uid="{00000000-0005-0000-0000-000073DD0000}"/>
    <cellStyle name="Total 5 4 11 3 6" xfId="56480" xr:uid="{00000000-0005-0000-0000-000074DD0000}"/>
    <cellStyle name="Total 5 4 11 4" xfId="56481" xr:uid="{00000000-0005-0000-0000-000075DD0000}"/>
    <cellStyle name="Total 5 4 11 5" xfId="56482" xr:uid="{00000000-0005-0000-0000-000076DD0000}"/>
    <cellStyle name="Total 5 4 12" xfId="56483" xr:uid="{00000000-0005-0000-0000-000077DD0000}"/>
    <cellStyle name="Total 5 4 12 2" xfId="56484" xr:uid="{00000000-0005-0000-0000-000078DD0000}"/>
    <cellStyle name="Total 5 4 12 2 2" xfId="56485" xr:uid="{00000000-0005-0000-0000-000079DD0000}"/>
    <cellStyle name="Total 5 4 12 2 2 2" xfId="56486" xr:uid="{00000000-0005-0000-0000-00007ADD0000}"/>
    <cellStyle name="Total 5 4 12 2 2 3" xfId="56487" xr:uid="{00000000-0005-0000-0000-00007BDD0000}"/>
    <cellStyle name="Total 5 4 12 2 2 4" xfId="56488" xr:uid="{00000000-0005-0000-0000-00007CDD0000}"/>
    <cellStyle name="Total 5 4 12 2 3" xfId="56489" xr:uid="{00000000-0005-0000-0000-00007DDD0000}"/>
    <cellStyle name="Total 5 4 12 2 3 2" xfId="56490" xr:uid="{00000000-0005-0000-0000-00007EDD0000}"/>
    <cellStyle name="Total 5 4 12 2 3 3" xfId="56491" xr:uid="{00000000-0005-0000-0000-00007FDD0000}"/>
    <cellStyle name="Total 5 4 12 2 3 4" xfId="56492" xr:uid="{00000000-0005-0000-0000-000080DD0000}"/>
    <cellStyle name="Total 5 4 12 2 4" xfId="56493" xr:uid="{00000000-0005-0000-0000-000081DD0000}"/>
    <cellStyle name="Total 5 4 12 2 5" xfId="56494" xr:uid="{00000000-0005-0000-0000-000082DD0000}"/>
    <cellStyle name="Total 5 4 12 2 6" xfId="56495" xr:uid="{00000000-0005-0000-0000-000083DD0000}"/>
    <cellStyle name="Total 5 4 12 3" xfId="56496" xr:uid="{00000000-0005-0000-0000-000084DD0000}"/>
    <cellStyle name="Total 5 4 12 3 2" xfId="56497" xr:uid="{00000000-0005-0000-0000-000085DD0000}"/>
    <cellStyle name="Total 5 4 12 3 2 2" xfId="56498" xr:uid="{00000000-0005-0000-0000-000086DD0000}"/>
    <cellStyle name="Total 5 4 12 3 2 3" xfId="56499" xr:uid="{00000000-0005-0000-0000-000087DD0000}"/>
    <cellStyle name="Total 5 4 12 3 2 4" xfId="56500" xr:uid="{00000000-0005-0000-0000-000088DD0000}"/>
    <cellStyle name="Total 5 4 12 3 3" xfId="56501" xr:uid="{00000000-0005-0000-0000-000089DD0000}"/>
    <cellStyle name="Total 5 4 12 3 3 2" xfId="56502" xr:uid="{00000000-0005-0000-0000-00008ADD0000}"/>
    <cellStyle name="Total 5 4 12 3 3 3" xfId="56503" xr:uid="{00000000-0005-0000-0000-00008BDD0000}"/>
    <cellStyle name="Total 5 4 12 3 3 4" xfId="56504" xr:uid="{00000000-0005-0000-0000-00008CDD0000}"/>
    <cellStyle name="Total 5 4 12 3 4" xfId="56505" xr:uid="{00000000-0005-0000-0000-00008DDD0000}"/>
    <cellStyle name="Total 5 4 12 3 5" xfId="56506" xr:uid="{00000000-0005-0000-0000-00008EDD0000}"/>
    <cellStyle name="Total 5 4 12 3 6" xfId="56507" xr:uid="{00000000-0005-0000-0000-00008FDD0000}"/>
    <cellStyle name="Total 5 4 12 4" xfId="56508" xr:uid="{00000000-0005-0000-0000-000090DD0000}"/>
    <cellStyle name="Total 5 4 12 5" xfId="56509" xr:uid="{00000000-0005-0000-0000-000091DD0000}"/>
    <cellStyle name="Total 5 4 12 6" xfId="56510" xr:uid="{00000000-0005-0000-0000-000092DD0000}"/>
    <cellStyle name="Total 5 4 13" xfId="56511" xr:uid="{00000000-0005-0000-0000-000093DD0000}"/>
    <cellStyle name="Total 5 4 14" xfId="56512" xr:uid="{00000000-0005-0000-0000-000094DD0000}"/>
    <cellStyle name="Total 5 4 15" xfId="58814" xr:uid="{00000000-0005-0000-0000-000095DD0000}"/>
    <cellStyle name="Total 5 4 2" xfId="56513" xr:uid="{00000000-0005-0000-0000-000096DD0000}"/>
    <cellStyle name="Total 5 4 2 2" xfId="56514" xr:uid="{00000000-0005-0000-0000-000097DD0000}"/>
    <cellStyle name="Total 5 4 2 2 2" xfId="56515" xr:uid="{00000000-0005-0000-0000-000098DD0000}"/>
    <cellStyle name="Total 5 4 2 2 2 2" xfId="56516" xr:uid="{00000000-0005-0000-0000-000099DD0000}"/>
    <cellStyle name="Total 5 4 2 2 2 2 2" xfId="56517" xr:uid="{00000000-0005-0000-0000-00009ADD0000}"/>
    <cellStyle name="Total 5 4 2 2 2 2 3" xfId="56518" xr:uid="{00000000-0005-0000-0000-00009BDD0000}"/>
    <cellStyle name="Total 5 4 2 2 2 2 4" xfId="56519" xr:uid="{00000000-0005-0000-0000-00009CDD0000}"/>
    <cellStyle name="Total 5 4 2 2 2 3" xfId="56520" xr:uid="{00000000-0005-0000-0000-00009DDD0000}"/>
    <cellStyle name="Total 5 4 2 2 2 3 2" xfId="56521" xr:uid="{00000000-0005-0000-0000-00009EDD0000}"/>
    <cellStyle name="Total 5 4 2 2 2 3 3" xfId="56522" xr:uid="{00000000-0005-0000-0000-00009FDD0000}"/>
    <cellStyle name="Total 5 4 2 2 2 3 4" xfId="56523" xr:uid="{00000000-0005-0000-0000-0000A0DD0000}"/>
    <cellStyle name="Total 5 4 2 2 2 4" xfId="56524" xr:uid="{00000000-0005-0000-0000-0000A1DD0000}"/>
    <cellStyle name="Total 5 4 2 2 2 5" xfId="56525" xr:uid="{00000000-0005-0000-0000-0000A2DD0000}"/>
    <cellStyle name="Total 5 4 2 2 2 6" xfId="56526" xr:uid="{00000000-0005-0000-0000-0000A3DD0000}"/>
    <cellStyle name="Total 5 4 2 2 3" xfId="56527" xr:uid="{00000000-0005-0000-0000-0000A4DD0000}"/>
    <cellStyle name="Total 5 4 2 2 3 2" xfId="56528" xr:uid="{00000000-0005-0000-0000-0000A5DD0000}"/>
    <cellStyle name="Total 5 4 2 2 3 2 2" xfId="56529" xr:uid="{00000000-0005-0000-0000-0000A6DD0000}"/>
    <cellStyle name="Total 5 4 2 2 3 2 3" xfId="56530" xr:uid="{00000000-0005-0000-0000-0000A7DD0000}"/>
    <cellStyle name="Total 5 4 2 2 3 2 4" xfId="56531" xr:uid="{00000000-0005-0000-0000-0000A8DD0000}"/>
    <cellStyle name="Total 5 4 2 2 3 3" xfId="56532" xr:uid="{00000000-0005-0000-0000-0000A9DD0000}"/>
    <cellStyle name="Total 5 4 2 2 3 3 2" xfId="56533" xr:uid="{00000000-0005-0000-0000-0000AADD0000}"/>
    <cellStyle name="Total 5 4 2 2 3 3 3" xfId="56534" xr:uid="{00000000-0005-0000-0000-0000ABDD0000}"/>
    <cellStyle name="Total 5 4 2 2 3 3 4" xfId="56535" xr:uid="{00000000-0005-0000-0000-0000ACDD0000}"/>
    <cellStyle name="Total 5 4 2 2 3 4" xfId="56536" xr:uid="{00000000-0005-0000-0000-0000ADDD0000}"/>
    <cellStyle name="Total 5 4 2 2 3 5" xfId="56537" xr:uid="{00000000-0005-0000-0000-0000AEDD0000}"/>
    <cellStyle name="Total 5 4 2 2 3 6" xfId="56538" xr:uid="{00000000-0005-0000-0000-0000AFDD0000}"/>
    <cellStyle name="Total 5 4 2 2 4" xfId="56539" xr:uid="{00000000-0005-0000-0000-0000B0DD0000}"/>
    <cellStyle name="Total 5 4 2 2 5" xfId="56540" xr:uid="{00000000-0005-0000-0000-0000B1DD0000}"/>
    <cellStyle name="Total 5 4 2 2 6" xfId="56541" xr:uid="{00000000-0005-0000-0000-0000B2DD0000}"/>
    <cellStyle name="Total 5 4 2 3" xfId="56542" xr:uid="{00000000-0005-0000-0000-0000B3DD0000}"/>
    <cellStyle name="Total 5 4 2 4" xfId="56543" xr:uid="{00000000-0005-0000-0000-0000B4DD0000}"/>
    <cellStyle name="Total 5 4 3" xfId="56544" xr:uid="{00000000-0005-0000-0000-0000B5DD0000}"/>
    <cellStyle name="Total 5 4 3 2" xfId="56545" xr:uid="{00000000-0005-0000-0000-0000B6DD0000}"/>
    <cellStyle name="Total 5 4 3 2 2" xfId="56546" xr:uid="{00000000-0005-0000-0000-0000B7DD0000}"/>
    <cellStyle name="Total 5 4 3 2 2 2" xfId="56547" xr:uid="{00000000-0005-0000-0000-0000B8DD0000}"/>
    <cellStyle name="Total 5 4 3 2 2 2 2" xfId="56548" xr:uid="{00000000-0005-0000-0000-0000B9DD0000}"/>
    <cellStyle name="Total 5 4 3 2 2 2 3" xfId="56549" xr:uid="{00000000-0005-0000-0000-0000BADD0000}"/>
    <cellStyle name="Total 5 4 3 2 2 2 4" xfId="56550" xr:uid="{00000000-0005-0000-0000-0000BBDD0000}"/>
    <cellStyle name="Total 5 4 3 2 2 3" xfId="56551" xr:uid="{00000000-0005-0000-0000-0000BCDD0000}"/>
    <cellStyle name="Total 5 4 3 2 2 3 2" xfId="56552" xr:uid="{00000000-0005-0000-0000-0000BDDD0000}"/>
    <cellStyle name="Total 5 4 3 2 2 3 3" xfId="56553" xr:uid="{00000000-0005-0000-0000-0000BEDD0000}"/>
    <cellStyle name="Total 5 4 3 2 2 3 4" xfId="56554" xr:uid="{00000000-0005-0000-0000-0000BFDD0000}"/>
    <cellStyle name="Total 5 4 3 2 2 4" xfId="56555" xr:uid="{00000000-0005-0000-0000-0000C0DD0000}"/>
    <cellStyle name="Total 5 4 3 2 2 5" xfId="56556" xr:uid="{00000000-0005-0000-0000-0000C1DD0000}"/>
    <cellStyle name="Total 5 4 3 2 2 6" xfId="56557" xr:uid="{00000000-0005-0000-0000-0000C2DD0000}"/>
    <cellStyle name="Total 5 4 3 2 3" xfId="56558" xr:uid="{00000000-0005-0000-0000-0000C3DD0000}"/>
    <cellStyle name="Total 5 4 3 2 3 2" xfId="56559" xr:uid="{00000000-0005-0000-0000-0000C4DD0000}"/>
    <cellStyle name="Total 5 4 3 2 3 2 2" xfId="56560" xr:uid="{00000000-0005-0000-0000-0000C5DD0000}"/>
    <cellStyle name="Total 5 4 3 2 3 2 3" xfId="56561" xr:uid="{00000000-0005-0000-0000-0000C6DD0000}"/>
    <cellStyle name="Total 5 4 3 2 3 2 4" xfId="56562" xr:uid="{00000000-0005-0000-0000-0000C7DD0000}"/>
    <cellStyle name="Total 5 4 3 2 3 3" xfId="56563" xr:uid="{00000000-0005-0000-0000-0000C8DD0000}"/>
    <cellStyle name="Total 5 4 3 2 3 3 2" xfId="56564" xr:uid="{00000000-0005-0000-0000-0000C9DD0000}"/>
    <cellStyle name="Total 5 4 3 2 3 3 3" xfId="56565" xr:uid="{00000000-0005-0000-0000-0000CADD0000}"/>
    <cellStyle name="Total 5 4 3 2 3 3 4" xfId="56566" xr:uid="{00000000-0005-0000-0000-0000CBDD0000}"/>
    <cellStyle name="Total 5 4 3 2 3 4" xfId="56567" xr:uid="{00000000-0005-0000-0000-0000CCDD0000}"/>
    <cellStyle name="Total 5 4 3 2 3 5" xfId="56568" xr:uid="{00000000-0005-0000-0000-0000CDDD0000}"/>
    <cellStyle name="Total 5 4 3 2 3 6" xfId="56569" xr:uid="{00000000-0005-0000-0000-0000CEDD0000}"/>
    <cellStyle name="Total 5 4 3 2 4" xfId="56570" xr:uid="{00000000-0005-0000-0000-0000CFDD0000}"/>
    <cellStyle name="Total 5 4 3 2 5" xfId="56571" xr:uid="{00000000-0005-0000-0000-0000D0DD0000}"/>
    <cellStyle name="Total 5 4 3 2 6" xfId="56572" xr:uid="{00000000-0005-0000-0000-0000D1DD0000}"/>
    <cellStyle name="Total 5 4 3 3" xfId="56573" xr:uid="{00000000-0005-0000-0000-0000D2DD0000}"/>
    <cellStyle name="Total 5 4 3 4" xfId="56574" xr:uid="{00000000-0005-0000-0000-0000D3DD0000}"/>
    <cellStyle name="Total 5 4 4" xfId="56575" xr:uid="{00000000-0005-0000-0000-0000D4DD0000}"/>
    <cellStyle name="Total 5 4 4 2" xfId="56576" xr:uid="{00000000-0005-0000-0000-0000D5DD0000}"/>
    <cellStyle name="Total 5 4 4 2 2" xfId="56577" xr:uid="{00000000-0005-0000-0000-0000D6DD0000}"/>
    <cellStyle name="Total 5 4 4 2 2 2" xfId="56578" xr:uid="{00000000-0005-0000-0000-0000D7DD0000}"/>
    <cellStyle name="Total 5 4 4 2 2 2 2" xfId="56579" xr:uid="{00000000-0005-0000-0000-0000D8DD0000}"/>
    <cellStyle name="Total 5 4 4 2 2 2 3" xfId="56580" xr:uid="{00000000-0005-0000-0000-0000D9DD0000}"/>
    <cellStyle name="Total 5 4 4 2 2 2 4" xfId="56581" xr:uid="{00000000-0005-0000-0000-0000DADD0000}"/>
    <cellStyle name="Total 5 4 4 2 2 3" xfId="56582" xr:uid="{00000000-0005-0000-0000-0000DBDD0000}"/>
    <cellStyle name="Total 5 4 4 2 2 3 2" xfId="56583" xr:uid="{00000000-0005-0000-0000-0000DCDD0000}"/>
    <cellStyle name="Total 5 4 4 2 2 3 3" xfId="56584" xr:uid="{00000000-0005-0000-0000-0000DDDD0000}"/>
    <cellStyle name="Total 5 4 4 2 2 3 4" xfId="56585" xr:uid="{00000000-0005-0000-0000-0000DEDD0000}"/>
    <cellStyle name="Total 5 4 4 2 2 4" xfId="56586" xr:uid="{00000000-0005-0000-0000-0000DFDD0000}"/>
    <cellStyle name="Total 5 4 4 2 2 5" xfId="56587" xr:uid="{00000000-0005-0000-0000-0000E0DD0000}"/>
    <cellStyle name="Total 5 4 4 2 2 6" xfId="56588" xr:uid="{00000000-0005-0000-0000-0000E1DD0000}"/>
    <cellStyle name="Total 5 4 4 2 3" xfId="56589" xr:uid="{00000000-0005-0000-0000-0000E2DD0000}"/>
    <cellStyle name="Total 5 4 4 2 3 2" xfId="56590" xr:uid="{00000000-0005-0000-0000-0000E3DD0000}"/>
    <cellStyle name="Total 5 4 4 2 3 2 2" xfId="56591" xr:uid="{00000000-0005-0000-0000-0000E4DD0000}"/>
    <cellStyle name="Total 5 4 4 2 3 2 3" xfId="56592" xr:uid="{00000000-0005-0000-0000-0000E5DD0000}"/>
    <cellStyle name="Total 5 4 4 2 3 2 4" xfId="56593" xr:uid="{00000000-0005-0000-0000-0000E6DD0000}"/>
    <cellStyle name="Total 5 4 4 2 3 3" xfId="56594" xr:uid="{00000000-0005-0000-0000-0000E7DD0000}"/>
    <cellStyle name="Total 5 4 4 2 3 3 2" xfId="56595" xr:uid="{00000000-0005-0000-0000-0000E8DD0000}"/>
    <cellStyle name="Total 5 4 4 2 3 3 3" xfId="56596" xr:uid="{00000000-0005-0000-0000-0000E9DD0000}"/>
    <cellStyle name="Total 5 4 4 2 3 3 4" xfId="56597" xr:uid="{00000000-0005-0000-0000-0000EADD0000}"/>
    <cellStyle name="Total 5 4 4 2 3 4" xfId="56598" xr:uid="{00000000-0005-0000-0000-0000EBDD0000}"/>
    <cellStyle name="Total 5 4 4 2 3 5" xfId="56599" xr:uid="{00000000-0005-0000-0000-0000ECDD0000}"/>
    <cellStyle name="Total 5 4 4 2 3 6" xfId="56600" xr:uid="{00000000-0005-0000-0000-0000EDDD0000}"/>
    <cellStyle name="Total 5 4 4 2 4" xfId="56601" xr:uid="{00000000-0005-0000-0000-0000EEDD0000}"/>
    <cellStyle name="Total 5 4 4 2 5" xfId="56602" xr:uid="{00000000-0005-0000-0000-0000EFDD0000}"/>
    <cellStyle name="Total 5 4 4 2 6" xfId="56603" xr:uid="{00000000-0005-0000-0000-0000F0DD0000}"/>
    <cellStyle name="Total 5 4 4 3" xfId="56604" xr:uid="{00000000-0005-0000-0000-0000F1DD0000}"/>
    <cellStyle name="Total 5 4 4 4" xfId="56605" xr:uid="{00000000-0005-0000-0000-0000F2DD0000}"/>
    <cellStyle name="Total 5 4 5" xfId="56606" xr:uid="{00000000-0005-0000-0000-0000F3DD0000}"/>
    <cellStyle name="Total 5 4 5 2" xfId="56607" xr:uid="{00000000-0005-0000-0000-0000F4DD0000}"/>
    <cellStyle name="Total 5 4 5 2 2" xfId="56608" xr:uid="{00000000-0005-0000-0000-0000F5DD0000}"/>
    <cellStyle name="Total 5 4 5 2 2 2" xfId="56609" xr:uid="{00000000-0005-0000-0000-0000F6DD0000}"/>
    <cellStyle name="Total 5 4 5 2 2 3" xfId="56610" xr:uid="{00000000-0005-0000-0000-0000F7DD0000}"/>
    <cellStyle name="Total 5 4 5 2 2 4" xfId="56611" xr:uid="{00000000-0005-0000-0000-0000F8DD0000}"/>
    <cellStyle name="Total 5 4 5 2 3" xfId="56612" xr:uid="{00000000-0005-0000-0000-0000F9DD0000}"/>
    <cellStyle name="Total 5 4 5 2 4" xfId="56613" xr:uid="{00000000-0005-0000-0000-0000FADD0000}"/>
    <cellStyle name="Total 5 4 5 2 5" xfId="56614" xr:uid="{00000000-0005-0000-0000-0000FBDD0000}"/>
    <cellStyle name="Total 5 4 5 3" xfId="56615" xr:uid="{00000000-0005-0000-0000-0000FCDD0000}"/>
    <cellStyle name="Total 5 4 5 3 2" xfId="56616" xr:uid="{00000000-0005-0000-0000-0000FDDD0000}"/>
    <cellStyle name="Total 5 4 5 3 2 2" xfId="56617" xr:uid="{00000000-0005-0000-0000-0000FEDD0000}"/>
    <cellStyle name="Total 5 4 5 3 2 3" xfId="56618" xr:uid="{00000000-0005-0000-0000-0000FFDD0000}"/>
    <cellStyle name="Total 5 4 5 3 2 4" xfId="56619" xr:uid="{00000000-0005-0000-0000-000000DE0000}"/>
    <cellStyle name="Total 5 4 5 3 3" xfId="56620" xr:uid="{00000000-0005-0000-0000-000001DE0000}"/>
    <cellStyle name="Total 5 4 5 3 3 2" xfId="56621" xr:uid="{00000000-0005-0000-0000-000002DE0000}"/>
    <cellStyle name="Total 5 4 5 3 3 3" xfId="56622" xr:uid="{00000000-0005-0000-0000-000003DE0000}"/>
    <cellStyle name="Total 5 4 5 3 3 4" xfId="56623" xr:uid="{00000000-0005-0000-0000-000004DE0000}"/>
    <cellStyle name="Total 5 4 5 3 4" xfId="56624" xr:uid="{00000000-0005-0000-0000-000005DE0000}"/>
    <cellStyle name="Total 5 4 5 3 5" xfId="56625" xr:uid="{00000000-0005-0000-0000-000006DE0000}"/>
    <cellStyle name="Total 5 4 5 3 6" xfId="56626" xr:uid="{00000000-0005-0000-0000-000007DE0000}"/>
    <cellStyle name="Total 5 4 5 4" xfId="56627" xr:uid="{00000000-0005-0000-0000-000008DE0000}"/>
    <cellStyle name="Total 5 4 5 5" xfId="56628" xr:uid="{00000000-0005-0000-0000-000009DE0000}"/>
    <cellStyle name="Total 5 4 6" xfId="56629" xr:uid="{00000000-0005-0000-0000-00000ADE0000}"/>
    <cellStyle name="Total 5 4 6 2" xfId="56630" xr:uid="{00000000-0005-0000-0000-00000BDE0000}"/>
    <cellStyle name="Total 5 4 6 2 2" xfId="56631" xr:uid="{00000000-0005-0000-0000-00000CDE0000}"/>
    <cellStyle name="Total 5 4 6 2 2 2" xfId="56632" xr:uid="{00000000-0005-0000-0000-00000DDE0000}"/>
    <cellStyle name="Total 5 4 6 2 2 3" xfId="56633" xr:uid="{00000000-0005-0000-0000-00000EDE0000}"/>
    <cellStyle name="Total 5 4 6 2 2 4" xfId="56634" xr:uid="{00000000-0005-0000-0000-00000FDE0000}"/>
    <cellStyle name="Total 5 4 6 2 3" xfId="56635" xr:uid="{00000000-0005-0000-0000-000010DE0000}"/>
    <cellStyle name="Total 5 4 6 2 4" xfId="56636" xr:uid="{00000000-0005-0000-0000-000011DE0000}"/>
    <cellStyle name="Total 5 4 6 2 5" xfId="56637" xr:uid="{00000000-0005-0000-0000-000012DE0000}"/>
    <cellStyle name="Total 5 4 6 3" xfId="56638" xr:uid="{00000000-0005-0000-0000-000013DE0000}"/>
    <cellStyle name="Total 5 4 6 3 2" xfId="56639" xr:uid="{00000000-0005-0000-0000-000014DE0000}"/>
    <cellStyle name="Total 5 4 6 3 2 2" xfId="56640" xr:uid="{00000000-0005-0000-0000-000015DE0000}"/>
    <cellStyle name="Total 5 4 6 3 2 3" xfId="56641" xr:uid="{00000000-0005-0000-0000-000016DE0000}"/>
    <cellStyle name="Total 5 4 6 3 2 4" xfId="56642" xr:uid="{00000000-0005-0000-0000-000017DE0000}"/>
    <cellStyle name="Total 5 4 6 3 3" xfId="56643" xr:uid="{00000000-0005-0000-0000-000018DE0000}"/>
    <cellStyle name="Total 5 4 6 3 3 2" xfId="56644" xr:uid="{00000000-0005-0000-0000-000019DE0000}"/>
    <cellStyle name="Total 5 4 6 3 3 3" xfId="56645" xr:uid="{00000000-0005-0000-0000-00001ADE0000}"/>
    <cellStyle name="Total 5 4 6 3 3 4" xfId="56646" xr:uid="{00000000-0005-0000-0000-00001BDE0000}"/>
    <cellStyle name="Total 5 4 6 3 4" xfId="56647" xr:uid="{00000000-0005-0000-0000-00001CDE0000}"/>
    <cellStyle name="Total 5 4 6 3 5" xfId="56648" xr:uid="{00000000-0005-0000-0000-00001DDE0000}"/>
    <cellStyle name="Total 5 4 6 3 6" xfId="56649" xr:uid="{00000000-0005-0000-0000-00001EDE0000}"/>
    <cellStyle name="Total 5 4 6 4" xfId="56650" xr:uid="{00000000-0005-0000-0000-00001FDE0000}"/>
    <cellStyle name="Total 5 4 6 5" xfId="56651" xr:uid="{00000000-0005-0000-0000-000020DE0000}"/>
    <cellStyle name="Total 5 4 7" xfId="56652" xr:uid="{00000000-0005-0000-0000-000021DE0000}"/>
    <cellStyle name="Total 5 4 7 2" xfId="56653" xr:uid="{00000000-0005-0000-0000-000022DE0000}"/>
    <cellStyle name="Total 5 4 7 2 2" xfId="56654" xr:uid="{00000000-0005-0000-0000-000023DE0000}"/>
    <cellStyle name="Total 5 4 7 2 2 2" xfId="56655" xr:uid="{00000000-0005-0000-0000-000024DE0000}"/>
    <cellStyle name="Total 5 4 7 2 2 3" xfId="56656" xr:uid="{00000000-0005-0000-0000-000025DE0000}"/>
    <cellStyle name="Total 5 4 7 2 2 4" xfId="56657" xr:uid="{00000000-0005-0000-0000-000026DE0000}"/>
    <cellStyle name="Total 5 4 7 2 3" xfId="56658" xr:uid="{00000000-0005-0000-0000-000027DE0000}"/>
    <cellStyle name="Total 5 4 7 2 4" xfId="56659" xr:uid="{00000000-0005-0000-0000-000028DE0000}"/>
    <cellStyle name="Total 5 4 7 2 5" xfId="56660" xr:uid="{00000000-0005-0000-0000-000029DE0000}"/>
    <cellStyle name="Total 5 4 7 3" xfId="56661" xr:uid="{00000000-0005-0000-0000-00002ADE0000}"/>
    <cellStyle name="Total 5 4 7 3 2" xfId="56662" xr:uid="{00000000-0005-0000-0000-00002BDE0000}"/>
    <cellStyle name="Total 5 4 7 3 2 2" xfId="56663" xr:uid="{00000000-0005-0000-0000-00002CDE0000}"/>
    <cellStyle name="Total 5 4 7 3 2 3" xfId="56664" xr:uid="{00000000-0005-0000-0000-00002DDE0000}"/>
    <cellStyle name="Total 5 4 7 3 2 4" xfId="56665" xr:uid="{00000000-0005-0000-0000-00002EDE0000}"/>
    <cellStyle name="Total 5 4 7 3 3" xfId="56666" xr:uid="{00000000-0005-0000-0000-00002FDE0000}"/>
    <cellStyle name="Total 5 4 7 3 3 2" xfId="56667" xr:uid="{00000000-0005-0000-0000-000030DE0000}"/>
    <cellStyle name="Total 5 4 7 3 3 3" xfId="56668" xr:uid="{00000000-0005-0000-0000-000031DE0000}"/>
    <cellStyle name="Total 5 4 7 3 3 4" xfId="56669" xr:uid="{00000000-0005-0000-0000-000032DE0000}"/>
    <cellStyle name="Total 5 4 7 3 4" xfId="56670" xr:uid="{00000000-0005-0000-0000-000033DE0000}"/>
    <cellStyle name="Total 5 4 7 3 5" xfId="56671" xr:uid="{00000000-0005-0000-0000-000034DE0000}"/>
    <cellStyle name="Total 5 4 7 3 6" xfId="56672" xr:uid="{00000000-0005-0000-0000-000035DE0000}"/>
    <cellStyle name="Total 5 4 7 4" xfId="56673" xr:uid="{00000000-0005-0000-0000-000036DE0000}"/>
    <cellStyle name="Total 5 4 7 5" xfId="56674" xr:uid="{00000000-0005-0000-0000-000037DE0000}"/>
    <cellStyle name="Total 5 4 8" xfId="56675" xr:uid="{00000000-0005-0000-0000-000038DE0000}"/>
    <cellStyle name="Total 5 4 8 2" xfId="56676" xr:uid="{00000000-0005-0000-0000-000039DE0000}"/>
    <cellStyle name="Total 5 4 8 2 2" xfId="56677" xr:uid="{00000000-0005-0000-0000-00003ADE0000}"/>
    <cellStyle name="Total 5 4 8 2 2 2" xfId="56678" xr:uid="{00000000-0005-0000-0000-00003BDE0000}"/>
    <cellStyle name="Total 5 4 8 2 2 3" xfId="56679" xr:uid="{00000000-0005-0000-0000-00003CDE0000}"/>
    <cellStyle name="Total 5 4 8 2 2 4" xfId="56680" xr:uid="{00000000-0005-0000-0000-00003DDE0000}"/>
    <cellStyle name="Total 5 4 8 2 3" xfId="56681" xr:uid="{00000000-0005-0000-0000-00003EDE0000}"/>
    <cellStyle name="Total 5 4 8 2 4" xfId="56682" xr:uid="{00000000-0005-0000-0000-00003FDE0000}"/>
    <cellStyle name="Total 5 4 8 2 5" xfId="56683" xr:uid="{00000000-0005-0000-0000-000040DE0000}"/>
    <cellStyle name="Total 5 4 8 3" xfId="56684" xr:uid="{00000000-0005-0000-0000-000041DE0000}"/>
    <cellStyle name="Total 5 4 8 3 2" xfId="56685" xr:uid="{00000000-0005-0000-0000-000042DE0000}"/>
    <cellStyle name="Total 5 4 8 3 2 2" xfId="56686" xr:uid="{00000000-0005-0000-0000-000043DE0000}"/>
    <cellStyle name="Total 5 4 8 3 2 3" xfId="56687" xr:uid="{00000000-0005-0000-0000-000044DE0000}"/>
    <cellStyle name="Total 5 4 8 3 2 4" xfId="56688" xr:uid="{00000000-0005-0000-0000-000045DE0000}"/>
    <cellStyle name="Total 5 4 8 3 3" xfId="56689" xr:uid="{00000000-0005-0000-0000-000046DE0000}"/>
    <cellStyle name="Total 5 4 8 3 3 2" xfId="56690" xr:uid="{00000000-0005-0000-0000-000047DE0000}"/>
    <cellStyle name="Total 5 4 8 3 3 3" xfId="56691" xr:uid="{00000000-0005-0000-0000-000048DE0000}"/>
    <cellStyle name="Total 5 4 8 3 3 4" xfId="56692" xr:uid="{00000000-0005-0000-0000-000049DE0000}"/>
    <cellStyle name="Total 5 4 8 3 4" xfId="56693" xr:uid="{00000000-0005-0000-0000-00004ADE0000}"/>
    <cellStyle name="Total 5 4 8 3 5" xfId="56694" xr:uid="{00000000-0005-0000-0000-00004BDE0000}"/>
    <cellStyle name="Total 5 4 8 3 6" xfId="56695" xr:uid="{00000000-0005-0000-0000-00004CDE0000}"/>
    <cellStyle name="Total 5 4 8 4" xfId="56696" xr:uid="{00000000-0005-0000-0000-00004DDE0000}"/>
    <cellStyle name="Total 5 4 8 5" xfId="56697" xr:uid="{00000000-0005-0000-0000-00004EDE0000}"/>
    <cellStyle name="Total 5 4 9" xfId="56698" xr:uid="{00000000-0005-0000-0000-00004FDE0000}"/>
    <cellStyle name="Total 5 4 9 2" xfId="56699" xr:uid="{00000000-0005-0000-0000-000050DE0000}"/>
    <cellStyle name="Total 5 4 9 2 2" xfId="56700" xr:uid="{00000000-0005-0000-0000-000051DE0000}"/>
    <cellStyle name="Total 5 4 9 2 2 2" xfId="56701" xr:uid="{00000000-0005-0000-0000-000052DE0000}"/>
    <cellStyle name="Total 5 4 9 2 2 3" xfId="56702" xr:uid="{00000000-0005-0000-0000-000053DE0000}"/>
    <cellStyle name="Total 5 4 9 2 2 4" xfId="56703" xr:uid="{00000000-0005-0000-0000-000054DE0000}"/>
    <cellStyle name="Total 5 4 9 2 3" xfId="56704" xr:uid="{00000000-0005-0000-0000-000055DE0000}"/>
    <cellStyle name="Total 5 4 9 2 4" xfId="56705" xr:uid="{00000000-0005-0000-0000-000056DE0000}"/>
    <cellStyle name="Total 5 4 9 2 5" xfId="56706" xr:uid="{00000000-0005-0000-0000-000057DE0000}"/>
    <cellStyle name="Total 5 4 9 3" xfId="56707" xr:uid="{00000000-0005-0000-0000-000058DE0000}"/>
    <cellStyle name="Total 5 4 9 3 2" xfId="56708" xr:uid="{00000000-0005-0000-0000-000059DE0000}"/>
    <cellStyle name="Total 5 4 9 3 2 2" xfId="56709" xr:uid="{00000000-0005-0000-0000-00005ADE0000}"/>
    <cellStyle name="Total 5 4 9 3 2 3" xfId="56710" xr:uid="{00000000-0005-0000-0000-00005BDE0000}"/>
    <cellStyle name="Total 5 4 9 3 2 4" xfId="56711" xr:uid="{00000000-0005-0000-0000-00005CDE0000}"/>
    <cellStyle name="Total 5 4 9 3 3" xfId="56712" xr:uid="{00000000-0005-0000-0000-00005DDE0000}"/>
    <cellStyle name="Total 5 4 9 3 3 2" xfId="56713" xr:uid="{00000000-0005-0000-0000-00005EDE0000}"/>
    <cellStyle name="Total 5 4 9 3 3 3" xfId="56714" xr:uid="{00000000-0005-0000-0000-00005FDE0000}"/>
    <cellStyle name="Total 5 4 9 3 3 4" xfId="56715" xr:uid="{00000000-0005-0000-0000-000060DE0000}"/>
    <cellStyle name="Total 5 4 9 3 4" xfId="56716" xr:uid="{00000000-0005-0000-0000-000061DE0000}"/>
    <cellStyle name="Total 5 4 9 3 5" xfId="56717" xr:uid="{00000000-0005-0000-0000-000062DE0000}"/>
    <cellStyle name="Total 5 4 9 3 6" xfId="56718" xr:uid="{00000000-0005-0000-0000-000063DE0000}"/>
    <cellStyle name="Total 5 4 9 4" xfId="56719" xr:uid="{00000000-0005-0000-0000-000064DE0000}"/>
    <cellStyle name="Total 5 4 9 5" xfId="56720" xr:uid="{00000000-0005-0000-0000-000065DE0000}"/>
    <cellStyle name="Total 5 5" xfId="56721" xr:uid="{00000000-0005-0000-0000-000066DE0000}"/>
    <cellStyle name="Total 5 5 2" xfId="56722" xr:uid="{00000000-0005-0000-0000-000067DE0000}"/>
    <cellStyle name="Total 5 5 2 2" xfId="56723" xr:uid="{00000000-0005-0000-0000-000068DE0000}"/>
    <cellStyle name="Total 5 5 2 2 2" xfId="56724" xr:uid="{00000000-0005-0000-0000-000069DE0000}"/>
    <cellStyle name="Total 5 5 2 2 3" xfId="56725" xr:uid="{00000000-0005-0000-0000-00006ADE0000}"/>
    <cellStyle name="Total 5 5 2 2 4" xfId="56726" xr:uid="{00000000-0005-0000-0000-00006BDE0000}"/>
    <cellStyle name="Total 5 5 2 3" xfId="56727" xr:uid="{00000000-0005-0000-0000-00006CDE0000}"/>
    <cellStyle name="Total 5 5 2 4" xfId="56728" xr:uid="{00000000-0005-0000-0000-00006DDE0000}"/>
    <cellStyle name="Total 5 5 2 5" xfId="56729" xr:uid="{00000000-0005-0000-0000-00006EDE0000}"/>
    <cellStyle name="Total 5 5 3" xfId="56730" xr:uid="{00000000-0005-0000-0000-00006FDE0000}"/>
    <cellStyle name="Total 5 5 3 2" xfId="56731" xr:uid="{00000000-0005-0000-0000-000070DE0000}"/>
    <cellStyle name="Total 5 5 3 2 2" xfId="56732" xr:uid="{00000000-0005-0000-0000-000071DE0000}"/>
    <cellStyle name="Total 5 5 3 2 3" xfId="56733" xr:uid="{00000000-0005-0000-0000-000072DE0000}"/>
    <cellStyle name="Total 5 5 3 2 4" xfId="56734" xr:uid="{00000000-0005-0000-0000-000073DE0000}"/>
    <cellStyle name="Total 5 5 3 3" xfId="56735" xr:uid="{00000000-0005-0000-0000-000074DE0000}"/>
    <cellStyle name="Total 5 5 3 3 2" xfId="56736" xr:uid="{00000000-0005-0000-0000-000075DE0000}"/>
    <cellStyle name="Total 5 5 3 3 3" xfId="56737" xr:uid="{00000000-0005-0000-0000-000076DE0000}"/>
    <cellStyle name="Total 5 5 3 3 4" xfId="56738" xr:uid="{00000000-0005-0000-0000-000077DE0000}"/>
    <cellStyle name="Total 5 5 3 4" xfId="56739" xr:uid="{00000000-0005-0000-0000-000078DE0000}"/>
    <cellStyle name="Total 5 5 3 5" xfId="56740" xr:uid="{00000000-0005-0000-0000-000079DE0000}"/>
    <cellStyle name="Total 5 5 3 6" xfId="56741" xr:uid="{00000000-0005-0000-0000-00007ADE0000}"/>
    <cellStyle name="Total 5 5 4" xfId="56742" xr:uid="{00000000-0005-0000-0000-00007BDE0000}"/>
    <cellStyle name="Total 5 5 5" xfId="56743" xr:uid="{00000000-0005-0000-0000-00007CDE0000}"/>
    <cellStyle name="Total 5 6" xfId="56744" xr:uid="{00000000-0005-0000-0000-00007DDE0000}"/>
    <cellStyle name="Total 5 6 2" xfId="56745" xr:uid="{00000000-0005-0000-0000-00007EDE0000}"/>
    <cellStyle name="Total 5 6 2 2" xfId="56746" xr:uid="{00000000-0005-0000-0000-00007FDE0000}"/>
    <cellStyle name="Total 5 6 2 2 2" xfId="56747" xr:uid="{00000000-0005-0000-0000-000080DE0000}"/>
    <cellStyle name="Total 5 6 2 2 3" xfId="56748" xr:uid="{00000000-0005-0000-0000-000081DE0000}"/>
    <cellStyle name="Total 5 6 2 2 4" xfId="56749" xr:uid="{00000000-0005-0000-0000-000082DE0000}"/>
    <cellStyle name="Total 5 6 2 3" xfId="56750" xr:uid="{00000000-0005-0000-0000-000083DE0000}"/>
    <cellStyle name="Total 5 6 2 3 2" xfId="56751" xr:uid="{00000000-0005-0000-0000-000084DE0000}"/>
    <cellStyle name="Total 5 6 2 3 3" xfId="56752" xr:uid="{00000000-0005-0000-0000-000085DE0000}"/>
    <cellStyle name="Total 5 6 2 3 4" xfId="56753" xr:uid="{00000000-0005-0000-0000-000086DE0000}"/>
    <cellStyle name="Total 5 6 2 4" xfId="56754" xr:uid="{00000000-0005-0000-0000-000087DE0000}"/>
    <cellStyle name="Total 5 6 2 5" xfId="56755" xr:uid="{00000000-0005-0000-0000-000088DE0000}"/>
    <cellStyle name="Total 5 6 2 6" xfId="56756" xr:uid="{00000000-0005-0000-0000-000089DE0000}"/>
    <cellStyle name="Total 5 6 3" xfId="56757" xr:uid="{00000000-0005-0000-0000-00008ADE0000}"/>
    <cellStyle name="Total 5 6 3 2" xfId="56758" xr:uid="{00000000-0005-0000-0000-00008BDE0000}"/>
    <cellStyle name="Total 5 6 3 2 2" xfId="56759" xr:uid="{00000000-0005-0000-0000-00008CDE0000}"/>
    <cellStyle name="Total 5 6 3 2 3" xfId="56760" xr:uid="{00000000-0005-0000-0000-00008DDE0000}"/>
    <cellStyle name="Total 5 6 3 2 4" xfId="56761" xr:uid="{00000000-0005-0000-0000-00008EDE0000}"/>
    <cellStyle name="Total 5 6 3 3" xfId="56762" xr:uid="{00000000-0005-0000-0000-00008FDE0000}"/>
    <cellStyle name="Total 5 6 3 3 2" xfId="56763" xr:uid="{00000000-0005-0000-0000-000090DE0000}"/>
    <cellStyle name="Total 5 6 3 3 3" xfId="56764" xr:uid="{00000000-0005-0000-0000-000091DE0000}"/>
    <cellStyle name="Total 5 6 3 3 4" xfId="56765" xr:uid="{00000000-0005-0000-0000-000092DE0000}"/>
    <cellStyle name="Total 5 6 3 4" xfId="56766" xr:uid="{00000000-0005-0000-0000-000093DE0000}"/>
    <cellStyle name="Total 5 6 3 5" xfId="56767" xr:uid="{00000000-0005-0000-0000-000094DE0000}"/>
    <cellStyle name="Total 5 6 3 6" xfId="56768" xr:uid="{00000000-0005-0000-0000-000095DE0000}"/>
    <cellStyle name="Total 5 6 4" xfId="56769" xr:uid="{00000000-0005-0000-0000-000096DE0000}"/>
    <cellStyle name="Total 5 6 5" xfId="56770" xr:uid="{00000000-0005-0000-0000-000097DE0000}"/>
    <cellStyle name="Total 5 6 6" xfId="56771" xr:uid="{00000000-0005-0000-0000-000098DE0000}"/>
    <cellStyle name="Total 5 7" xfId="56772" xr:uid="{00000000-0005-0000-0000-000099DE0000}"/>
    <cellStyle name="Total 5 8" xfId="56773" xr:uid="{00000000-0005-0000-0000-00009ADE0000}"/>
    <cellStyle name="Total 6" xfId="56774" xr:uid="{00000000-0005-0000-0000-00009BDE0000}"/>
    <cellStyle name="Total 6 2" xfId="56775" xr:uid="{00000000-0005-0000-0000-00009CDE0000}"/>
    <cellStyle name="Total 6 2 2" xfId="56776" xr:uid="{00000000-0005-0000-0000-00009DDE0000}"/>
    <cellStyle name="Total 6 2 2 10" xfId="56777" xr:uid="{00000000-0005-0000-0000-00009EDE0000}"/>
    <cellStyle name="Total 6 2 2 10 2" xfId="56778" xr:uid="{00000000-0005-0000-0000-00009FDE0000}"/>
    <cellStyle name="Total 6 2 2 10 2 2" xfId="56779" xr:uid="{00000000-0005-0000-0000-0000A0DE0000}"/>
    <cellStyle name="Total 6 2 2 10 2 2 2" xfId="56780" xr:uid="{00000000-0005-0000-0000-0000A1DE0000}"/>
    <cellStyle name="Total 6 2 2 10 2 2 3" xfId="56781" xr:uid="{00000000-0005-0000-0000-0000A2DE0000}"/>
    <cellStyle name="Total 6 2 2 10 2 2 4" xfId="56782" xr:uid="{00000000-0005-0000-0000-0000A3DE0000}"/>
    <cellStyle name="Total 6 2 2 10 2 3" xfId="56783" xr:uid="{00000000-0005-0000-0000-0000A4DE0000}"/>
    <cellStyle name="Total 6 2 2 10 2 4" xfId="56784" xr:uid="{00000000-0005-0000-0000-0000A5DE0000}"/>
    <cellStyle name="Total 6 2 2 10 2 5" xfId="56785" xr:uid="{00000000-0005-0000-0000-0000A6DE0000}"/>
    <cellStyle name="Total 6 2 2 10 3" xfId="56786" xr:uid="{00000000-0005-0000-0000-0000A7DE0000}"/>
    <cellStyle name="Total 6 2 2 10 3 2" xfId="56787" xr:uid="{00000000-0005-0000-0000-0000A8DE0000}"/>
    <cellStyle name="Total 6 2 2 10 3 2 2" xfId="56788" xr:uid="{00000000-0005-0000-0000-0000A9DE0000}"/>
    <cellStyle name="Total 6 2 2 10 3 2 3" xfId="56789" xr:uid="{00000000-0005-0000-0000-0000AADE0000}"/>
    <cellStyle name="Total 6 2 2 10 3 2 4" xfId="56790" xr:uid="{00000000-0005-0000-0000-0000ABDE0000}"/>
    <cellStyle name="Total 6 2 2 10 3 3" xfId="56791" xr:uid="{00000000-0005-0000-0000-0000ACDE0000}"/>
    <cellStyle name="Total 6 2 2 10 3 3 2" xfId="56792" xr:uid="{00000000-0005-0000-0000-0000ADDE0000}"/>
    <cellStyle name="Total 6 2 2 10 3 3 3" xfId="56793" xr:uid="{00000000-0005-0000-0000-0000AEDE0000}"/>
    <cellStyle name="Total 6 2 2 10 3 3 4" xfId="56794" xr:uid="{00000000-0005-0000-0000-0000AFDE0000}"/>
    <cellStyle name="Total 6 2 2 10 3 4" xfId="56795" xr:uid="{00000000-0005-0000-0000-0000B0DE0000}"/>
    <cellStyle name="Total 6 2 2 10 3 5" xfId="56796" xr:uid="{00000000-0005-0000-0000-0000B1DE0000}"/>
    <cellStyle name="Total 6 2 2 10 3 6" xfId="56797" xr:uid="{00000000-0005-0000-0000-0000B2DE0000}"/>
    <cellStyle name="Total 6 2 2 10 4" xfId="56798" xr:uid="{00000000-0005-0000-0000-0000B3DE0000}"/>
    <cellStyle name="Total 6 2 2 10 5" xfId="56799" xr:uid="{00000000-0005-0000-0000-0000B4DE0000}"/>
    <cellStyle name="Total 6 2 2 11" xfId="56800" xr:uid="{00000000-0005-0000-0000-0000B5DE0000}"/>
    <cellStyle name="Total 6 2 2 11 2" xfId="56801" xr:uid="{00000000-0005-0000-0000-0000B6DE0000}"/>
    <cellStyle name="Total 6 2 2 11 2 2" xfId="56802" xr:uid="{00000000-0005-0000-0000-0000B7DE0000}"/>
    <cellStyle name="Total 6 2 2 11 2 2 2" xfId="56803" xr:uid="{00000000-0005-0000-0000-0000B8DE0000}"/>
    <cellStyle name="Total 6 2 2 11 2 2 3" xfId="56804" xr:uid="{00000000-0005-0000-0000-0000B9DE0000}"/>
    <cellStyle name="Total 6 2 2 11 2 2 4" xfId="56805" xr:uid="{00000000-0005-0000-0000-0000BADE0000}"/>
    <cellStyle name="Total 6 2 2 11 2 3" xfId="56806" xr:uid="{00000000-0005-0000-0000-0000BBDE0000}"/>
    <cellStyle name="Total 6 2 2 11 2 4" xfId="56807" xr:uid="{00000000-0005-0000-0000-0000BCDE0000}"/>
    <cellStyle name="Total 6 2 2 11 2 5" xfId="56808" xr:uid="{00000000-0005-0000-0000-0000BDDE0000}"/>
    <cellStyle name="Total 6 2 2 11 3" xfId="56809" xr:uid="{00000000-0005-0000-0000-0000BEDE0000}"/>
    <cellStyle name="Total 6 2 2 11 3 2" xfId="56810" xr:uid="{00000000-0005-0000-0000-0000BFDE0000}"/>
    <cellStyle name="Total 6 2 2 11 3 2 2" xfId="56811" xr:uid="{00000000-0005-0000-0000-0000C0DE0000}"/>
    <cellStyle name="Total 6 2 2 11 3 2 3" xfId="56812" xr:uid="{00000000-0005-0000-0000-0000C1DE0000}"/>
    <cellStyle name="Total 6 2 2 11 3 2 4" xfId="56813" xr:uid="{00000000-0005-0000-0000-0000C2DE0000}"/>
    <cellStyle name="Total 6 2 2 11 3 3" xfId="56814" xr:uid="{00000000-0005-0000-0000-0000C3DE0000}"/>
    <cellStyle name="Total 6 2 2 11 3 3 2" xfId="56815" xr:uid="{00000000-0005-0000-0000-0000C4DE0000}"/>
    <cellStyle name="Total 6 2 2 11 3 3 3" xfId="56816" xr:uid="{00000000-0005-0000-0000-0000C5DE0000}"/>
    <cellStyle name="Total 6 2 2 11 3 3 4" xfId="56817" xr:uid="{00000000-0005-0000-0000-0000C6DE0000}"/>
    <cellStyle name="Total 6 2 2 11 3 4" xfId="56818" xr:uid="{00000000-0005-0000-0000-0000C7DE0000}"/>
    <cellStyle name="Total 6 2 2 11 3 5" xfId="56819" xr:uid="{00000000-0005-0000-0000-0000C8DE0000}"/>
    <cellStyle name="Total 6 2 2 11 3 6" xfId="56820" xr:uid="{00000000-0005-0000-0000-0000C9DE0000}"/>
    <cellStyle name="Total 6 2 2 11 4" xfId="56821" xr:uid="{00000000-0005-0000-0000-0000CADE0000}"/>
    <cellStyle name="Total 6 2 2 11 5" xfId="56822" xr:uid="{00000000-0005-0000-0000-0000CBDE0000}"/>
    <cellStyle name="Total 6 2 2 12" xfId="56823" xr:uid="{00000000-0005-0000-0000-0000CCDE0000}"/>
    <cellStyle name="Total 6 2 2 12 2" xfId="56824" xr:uid="{00000000-0005-0000-0000-0000CDDE0000}"/>
    <cellStyle name="Total 6 2 2 12 2 2" xfId="56825" xr:uid="{00000000-0005-0000-0000-0000CEDE0000}"/>
    <cellStyle name="Total 6 2 2 12 2 2 2" xfId="56826" xr:uid="{00000000-0005-0000-0000-0000CFDE0000}"/>
    <cellStyle name="Total 6 2 2 12 2 2 3" xfId="56827" xr:uid="{00000000-0005-0000-0000-0000D0DE0000}"/>
    <cellStyle name="Total 6 2 2 12 2 2 4" xfId="56828" xr:uid="{00000000-0005-0000-0000-0000D1DE0000}"/>
    <cellStyle name="Total 6 2 2 12 2 3" xfId="56829" xr:uid="{00000000-0005-0000-0000-0000D2DE0000}"/>
    <cellStyle name="Total 6 2 2 12 2 3 2" xfId="56830" xr:uid="{00000000-0005-0000-0000-0000D3DE0000}"/>
    <cellStyle name="Total 6 2 2 12 2 3 3" xfId="56831" xr:uid="{00000000-0005-0000-0000-0000D4DE0000}"/>
    <cellStyle name="Total 6 2 2 12 2 3 4" xfId="56832" xr:uid="{00000000-0005-0000-0000-0000D5DE0000}"/>
    <cellStyle name="Total 6 2 2 12 2 4" xfId="56833" xr:uid="{00000000-0005-0000-0000-0000D6DE0000}"/>
    <cellStyle name="Total 6 2 2 12 2 5" xfId="56834" xr:uid="{00000000-0005-0000-0000-0000D7DE0000}"/>
    <cellStyle name="Total 6 2 2 12 2 6" xfId="56835" xr:uid="{00000000-0005-0000-0000-0000D8DE0000}"/>
    <cellStyle name="Total 6 2 2 12 3" xfId="56836" xr:uid="{00000000-0005-0000-0000-0000D9DE0000}"/>
    <cellStyle name="Total 6 2 2 12 3 2" xfId="56837" xr:uid="{00000000-0005-0000-0000-0000DADE0000}"/>
    <cellStyle name="Total 6 2 2 12 3 2 2" xfId="56838" xr:uid="{00000000-0005-0000-0000-0000DBDE0000}"/>
    <cellStyle name="Total 6 2 2 12 3 2 3" xfId="56839" xr:uid="{00000000-0005-0000-0000-0000DCDE0000}"/>
    <cellStyle name="Total 6 2 2 12 3 2 4" xfId="56840" xr:uid="{00000000-0005-0000-0000-0000DDDE0000}"/>
    <cellStyle name="Total 6 2 2 12 3 3" xfId="56841" xr:uid="{00000000-0005-0000-0000-0000DEDE0000}"/>
    <cellStyle name="Total 6 2 2 12 3 3 2" xfId="56842" xr:uid="{00000000-0005-0000-0000-0000DFDE0000}"/>
    <cellStyle name="Total 6 2 2 12 3 3 3" xfId="56843" xr:uid="{00000000-0005-0000-0000-0000E0DE0000}"/>
    <cellStyle name="Total 6 2 2 12 3 3 4" xfId="56844" xr:uid="{00000000-0005-0000-0000-0000E1DE0000}"/>
    <cellStyle name="Total 6 2 2 12 3 4" xfId="56845" xr:uid="{00000000-0005-0000-0000-0000E2DE0000}"/>
    <cellStyle name="Total 6 2 2 12 3 5" xfId="56846" xr:uid="{00000000-0005-0000-0000-0000E3DE0000}"/>
    <cellStyle name="Total 6 2 2 12 3 6" xfId="56847" xr:uid="{00000000-0005-0000-0000-0000E4DE0000}"/>
    <cellStyle name="Total 6 2 2 12 4" xfId="56848" xr:uid="{00000000-0005-0000-0000-0000E5DE0000}"/>
    <cellStyle name="Total 6 2 2 12 5" xfId="56849" xr:uid="{00000000-0005-0000-0000-0000E6DE0000}"/>
    <cellStyle name="Total 6 2 2 12 6" xfId="56850" xr:uid="{00000000-0005-0000-0000-0000E7DE0000}"/>
    <cellStyle name="Total 6 2 2 13" xfId="56851" xr:uid="{00000000-0005-0000-0000-0000E8DE0000}"/>
    <cellStyle name="Total 6 2 2 14" xfId="56852" xr:uid="{00000000-0005-0000-0000-0000E9DE0000}"/>
    <cellStyle name="Total 6 2 2 15" xfId="58815" xr:uid="{00000000-0005-0000-0000-0000EADE0000}"/>
    <cellStyle name="Total 6 2 2 2" xfId="56853" xr:uid="{00000000-0005-0000-0000-0000EBDE0000}"/>
    <cellStyle name="Total 6 2 2 2 2" xfId="56854" xr:uid="{00000000-0005-0000-0000-0000ECDE0000}"/>
    <cellStyle name="Total 6 2 2 2 2 2" xfId="56855" xr:uid="{00000000-0005-0000-0000-0000EDDE0000}"/>
    <cellStyle name="Total 6 2 2 2 2 2 2" xfId="56856" xr:uid="{00000000-0005-0000-0000-0000EEDE0000}"/>
    <cellStyle name="Total 6 2 2 2 2 2 2 2" xfId="56857" xr:uid="{00000000-0005-0000-0000-0000EFDE0000}"/>
    <cellStyle name="Total 6 2 2 2 2 2 2 3" xfId="56858" xr:uid="{00000000-0005-0000-0000-0000F0DE0000}"/>
    <cellStyle name="Total 6 2 2 2 2 2 2 4" xfId="56859" xr:uid="{00000000-0005-0000-0000-0000F1DE0000}"/>
    <cellStyle name="Total 6 2 2 2 2 2 3" xfId="56860" xr:uid="{00000000-0005-0000-0000-0000F2DE0000}"/>
    <cellStyle name="Total 6 2 2 2 2 2 3 2" xfId="56861" xr:uid="{00000000-0005-0000-0000-0000F3DE0000}"/>
    <cellStyle name="Total 6 2 2 2 2 2 3 3" xfId="56862" xr:uid="{00000000-0005-0000-0000-0000F4DE0000}"/>
    <cellStyle name="Total 6 2 2 2 2 2 3 4" xfId="56863" xr:uid="{00000000-0005-0000-0000-0000F5DE0000}"/>
    <cellStyle name="Total 6 2 2 2 2 2 4" xfId="56864" xr:uid="{00000000-0005-0000-0000-0000F6DE0000}"/>
    <cellStyle name="Total 6 2 2 2 2 2 5" xfId="56865" xr:uid="{00000000-0005-0000-0000-0000F7DE0000}"/>
    <cellStyle name="Total 6 2 2 2 2 2 6" xfId="56866" xr:uid="{00000000-0005-0000-0000-0000F8DE0000}"/>
    <cellStyle name="Total 6 2 2 2 2 3" xfId="56867" xr:uid="{00000000-0005-0000-0000-0000F9DE0000}"/>
    <cellStyle name="Total 6 2 2 2 2 3 2" xfId="56868" xr:uid="{00000000-0005-0000-0000-0000FADE0000}"/>
    <cellStyle name="Total 6 2 2 2 2 3 2 2" xfId="56869" xr:uid="{00000000-0005-0000-0000-0000FBDE0000}"/>
    <cellStyle name="Total 6 2 2 2 2 3 2 3" xfId="56870" xr:uid="{00000000-0005-0000-0000-0000FCDE0000}"/>
    <cellStyle name="Total 6 2 2 2 2 3 2 4" xfId="56871" xr:uid="{00000000-0005-0000-0000-0000FDDE0000}"/>
    <cellStyle name="Total 6 2 2 2 2 3 3" xfId="56872" xr:uid="{00000000-0005-0000-0000-0000FEDE0000}"/>
    <cellStyle name="Total 6 2 2 2 2 3 3 2" xfId="56873" xr:uid="{00000000-0005-0000-0000-0000FFDE0000}"/>
    <cellStyle name="Total 6 2 2 2 2 3 3 3" xfId="56874" xr:uid="{00000000-0005-0000-0000-000000DF0000}"/>
    <cellStyle name="Total 6 2 2 2 2 3 3 4" xfId="56875" xr:uid="{00000000-0005-0000-0000-000001DF0000}"/>
    <cellStyle name="Total 6 2 2 2 2 3 4" xfId="56876" xr:uid="{00000000-0005-0000-0000-000002DF0000}"/>
    <cellStyle name="Total 6 2 2 2 2 3 5" xfId="56877" xr:uid="{00000000-0005-0000-0000-000003DF0000}"/>
    <cellStyle name="Total 6 2 2 2 2 3 6" xfId="56878" xr:uid="{00000000-0005-0000-0000-000004DF0000}"/>
    <cellStyle name="Total 6 2 2 2 2 4" xfId="56879" xr:uid="{00000000-0005-0000-0000-000005DF0000}"/>
    <cellStyle name="Total 6 2 2 2 2 5" xfId="56880" xr:uid="{00000000-0005-0000-0000-000006DF0000}"/>
    <cellStyle name="Total 6 2 2 2 2 6" xfId="56881" xr:uid="{00000000-0005-0000-0000-000007DF0000}"/>
    <cellStyle name="Total 6 2 2 2 3" xfId="56882" xr:uid="{00000000-0005-0000-0000-000008DF0000}"/>
    <cellStyle name="Total 6 2 2 2 4" xfId="56883" xr:uid="{00000000-0005-0000-0000-000009DF0000}"/>
    <cellStyle name="Total 6 2 2 3" xfId="56884" xr:uid="{00000000-0005-0000-0000-00000ADF0000}"/>
    <cellStyle name="Total 6 2 2 3 2" xfId="56885" xr:uid="{00000000-0005-0000-0000-00000BDF0000}"/>
    <cellStyle name="Total 6 2 2 3 2 2" xfId="56886" xr:uid="{00000000-0005-0000-0000-00000CDF0000}"/>
    <cellStyle name="Total 6 2 2 3 2 2 2" xfId="56887" xr:uid="{00000000-0005-0000-0000-00000DDF0000}"/>
    <cellStyle name="Total 6 2 2 3 2 2 2 2" xfId="56888" xr:uid="{00000000-0005-0000-0000-00000EDF0000}"/>
    <cellStyle name="Total 6 2 2 3 2 2 2 3" xfId="56889" xr:uid="{00000000-0005-0000-0000-00000FDF0000}"/>
    <cellStyle name="Total 6 2 2 3 2 2 2 4" xfId="56890" xr:uid="{00000000-0005-0000-0000-000010DF0000}"/>
    <cellStyle name="Total 6 2 2 3 2 2 3" xfId="56891" xr:uid="{00000000-0005-0000-0000-000011DF0000}"/>
    <cellStyle name="Total 6 2 2 3 2 2 3 2" xfId="56892" xr:uid="{00000000-0005-0000-0000-000012DF0000}"/>
    <cellStyle name="Total 6 2 2 3 2 2 3 3" xfId="56893" xr:uid="{00000000-0005-0000-0000-000013DF0000}"/>
    <cellStyle name="Total 6 2 2 3 2 2 3 4" xfId="56894" xr:uid="{00000000-0005-0000-0000-000014DF0000}"/>
    <cellStyle name="Total 6 2 2 3 2 2 4" xfId="56895" xr:uid="{00000000-0005-0000-0000-000015DF0000}"/>
    <cellStyle name="Total 6 2 2 3 2 2 5" xfId="56896" xr:uid="{00000000-0005-0000-0000-000016DF0000}"/>
    <cellStyle name="Total 6 2 2 3 2 2 6" xfId="56897" xr:uid="{00000000-0005-0000-0000-000017DF0000}"/>
    <cellStyle name="Total 6 2 2 3 2 3" xfId="56898" xr:uid="{00000000-0005-0000-0000-000018DF0000}"/>
    <cellStyle name="Total 6 2 2 3 2 3 2" xfId="56899" xr:uid="{00000000-0005-0000-0000-000019DF0000}"/>
    <cellStyle name="Total 6 2 2 3 2 3 2 2" xfId="56900" xr:uid="{00000000-0005-0000-0000-00001ADF0000}"/>
    <cellStyle name="Total 6 2 2 3 2 3 2 3" xfId="56901" xr:uid="{00000000-0005-0000-0000-00001BDF0000}"/>
    <cellStyle name="Total 6 2 2 3 2 3 2 4" xfId="56902" xr:uid="{00000000-0005-0000-0000-00001CDF0000}"/>
    <cellStyle name="Total 6 2 2 3 2 3 3" xfId="56903" xr:uid="{00000000-0005-0000-0000-00001DDF0000}"/>
    <cellStyle name="Total 6 2 2 3 2 3 3 2" xfId="56904" xr:uid="{00000000-0005-0000-0000-00001EDF0000}"/>
    <cellStyle name="Total 6 2 2 3 2 3 3 3" xfId="56905" xr:uid="{00000000-0005-0000-0000-00001FDF0000}"/>
    <cellStyle name="Total 6 2 2 3 2 3 3 4" xfId="56906" xr:uid="{00000000-0005-0000-0000-000020DF0000}"/>
    <cellStyle name="Total 6 2 2 3 2 3 4" xfId="56907" xr:uid="{00000000-0005-0000-0000-000021DF0000}"/>
    <cellStyle name="Total 6 2 2 3 2 3 5" xfId="56908" xr:uid="{00000000-0005-0000-0000-000022DF0000}"/>
    <cellStyle name="Total 6 2 2 3 2 3 6" xfId="56909" xr:uid="{00000000-0005-0000-0000-000023DF0000}"/>
    <cellStyle name="Total 6 2 2 3 2 4" xfId="56910" xr:uid="{00000000-0005-0000-0000-000024DF0000}"/>
    <cellStyle name="Total 6 2 2 3 2 5" xfId="56911" xr:uid="{00000000-0005-0000-0000-000025DF0000}"/>
    <cellStyle name="Total 6 2 2 3 2 6" xfId="56912" xr:uid="{00000000-0005-0000-0000-000026DF0000}"/>
    <cellStyle name="Total 6 2 2 3 3" xfId="56913" xr:uid="{00000000-0005-0000-0000-000027DF0000}"/>
    <cellStyle name="Total 6 2 2 3 4" xfId="56914" xr:uid="{00000000-0005-0000-0000-000028DF0000}"/>
    <cellStyle name="Total 6 2 2 4" xfId="56915" xr:uid="{00000000-0005-0000-0000-000029DF0000}"/>
    <cellStyle name="Total 6 2 2 4 2" xfId="56916" xr:uid="{00000000-0005-0000-0000-00002ADF0000}"/>
    <cellStyle name="Total 6 2 2 4 2 2" xfId="56917" xr:uid="{00000000-0005-0000-0000-00002BDF0000}"/>
    <cellStyle name="Total 6 2 2 4 2 2 2" xfId="56918" xr:uid="{00000000-0005-0000-0000-00002CDF0000}"/>
    <cellStyle name="Total 6 2 2 4 2 2 2 2" xfId="56919" xr:uid="{00000000-0005-0000-0000-00002DDF0000}"/>
    <cellStyle name="Total 6 2 2 4 2 2 2 3" xfId="56920" xr:uid="{00000000-0005-0000-0000-00002EDF0000}"/>
    <cellStyle name="Total 6 2 2 4 2 2 2 4" xfId="56921" xr:uid="{00000000-0005-0000-0000-00002FDF0000}"/>
    <cellStyle name="Total 6 2 2 4 2 2 3" xfId="56922" xr:uid="{00000000-0005-0000-0000-000030DF0000}"/>
    <cellStyle name="Total 6 2 2 4 2 2 3 2" xfId="56923" xr:uid="{00000000-0005-0000-0000-000031DF0000}"/>
    <cellStyle name="Total 6 2 2 4 2 2 3 3" xfId="56924" xr:uid="{00000000-0005-0000-0000-000032DF0000}"/>
    <cellStyle name="Total 6 2 2 4 2 2 3 4" xfId="56925" xr:uid="{00000000-0005-0000-0000-000033DF0000}"/>
    <cellStyle name="Total 6 2 2 4 2 2 4" xfId="56926" xr:uid="{00000000-0005-0000-0000-000034DF0000}"/>
    <cellStyle name="Total 6 2 2 4 2 2 5" xfId="56927" xr:uid="{00000000-0005-0000-0000-000035DF0000}"/>
    <cellStyle name="Total 6 2 2 4 2 2 6" xfId="56928" xr:uid="{00000000-0005-0000-0000-000036DF0000}"/>
    <cellStyle name="Total 6 2 2 4 2 3" xfId="56929" xr:uid="{00000000-0005-0000-0000-000037DF0000}"/>
    <cellStyle name="Total 6 2 2 4 2 3 2" xfId="56930" xr:uid="{00000000-0005-0000-0000-000038DF0000}"/>
    <cellStyle name="Total 6 2 2 4 2 3 2 2" xfId="56931" xr:uid="{00000000-0005-0000-0000-000039DF0000}"/>
    <cellStyle name="Total 6 2 2 4 2 3 2 3" xfId="56932" xr:uid="{00000000-0005-0000-0000-00003ADF0000}"/>
    <cellStyle name="Total 6 2 2 4 2 3 2 4" xfId="56933" xr:uid="{00000000-0005-0000-0000-00003BDF0000}"/>
    <cellStyle name="Total 6 2 2 4 2 3 3" xfId="56934" xr:uid="{00000000-0005-0000-0000-00003CDF0000}"/>
    <cellStyle name="Total 6 2 2 4 2 3 3 2" xfId="56935" xr:uid="{00000000-0005-0000-0000-00003DDF0000}"/>
    <cellStyle name="Total 6 2 2 4 2 3 3 3" xfId="56936" xr:uid="{00000000-0005-0000-0000-00003EDF0000}"/>
    <cellStyle name="Total 6 2 2 4 2 3 3 4" xfId="56937" xr:uid="{00000000-0005-0000-0000-00003FDF0000}"/>
    <cellStyle name="Total 6 2 2 4 2 3 4" xfId="56938" xr:uid="{00000000-0005-0000-0000-000040DF0000}"/>
    <cellStyle name="Total 6 2 2 4 2 3 5" xfId="56939" xr:uid="{00000000-0005-0000-0000-000041DF0000}"/>
    <cellStyle name="Total 6 2 2 4 2 3 6" xfId="56940" xr:uid="{00000000-0005-0000-0000-000042DF0000}"/>
    <cellStyle name="Total 6 2 2 4 2 4" xfId="56941" xr:uid="{00000000-0005-0000-0000-000043DF0000}"/>
    <cellStyle name="Total 6 2 2 4 2 5" xfId="56942" xr:uid="{00000000-0005-0000-0000-000044DF0000}"/>
    <cellStyle name="Total 6 2 2 4 2 6" xfId="56943" xr:uid="{00000000-0005-0000-0000-000045DF0000}"/>
    <cellStyle name="Total 6 2 2 4 3" xfId="56944" xr:uid="{00000000-0005-0000-0000-000046DF0000}"/>
    <cellStyle name="Total 6 2 2 4 4" xfId="56945" xr:uid="{00000000-0005-0000-0000-000047DF0000}"/>
    <cellStyle name="Total 6 2 2 5" xfId="56946" xr:uid="{00000000-0005-0000-0000-000048DF0000}"/>
    <cellStyle name="Total 6 2 2 5 2" xfId="56947" xr:uid="{00000000-0005-0000-0000-000049DF0000}"/>
    <cellStyle name="Total 6 2 2 5 2 2" xfId="56948" xr:uid="{00000000-0005-0000-0000-00004ADF0000}"/>
    <cellStyle name="Total 6 2 2 5 2 2 2" xfId="56949" xr:uid="{00000000-0005-0000-0000-00004BDF0000}"/>
    <cellStyle name="Total 6 2 2 5 2 2 3" xfId="56950" xr:uid="{00000000-0005-0000-0000-00004CDF0000}"/>
    <cellStyle name="Total 6 2 2 5 2 2 4" xfId="56951" xr:uid="{00000000-0005-0000-0000-00004DDF0000}"/>
    <cellStyle name="Total 6 2 2 5 2 3" xfId="56952" xr:uid="{00000000-0005-0000-0000-00004EDF0000}"/>
    <cellStyle name="Total 6 2 2 5 2 4" xfId="56953" xr:uid="{00000000-0005-0000-0000-00004FDF0000}"/>
    <cellStyle name="Total 6 2 2 5 2 5" xfId="56954" xr:uid="{00000000-0005-0000-0000-000050DF0000}"/>
    <cellStyle name="Total 6 2 2 5 3" xfId="56955" xr:uid="{00000000-0005-0000-0000-000051DF0000}"/>
    <cellStyle name="Total 6 2 2 5 3 2" xfId="56956" xr:uid="{00000000-0005-0000-0000-000052DF0000}"/>
    <cellStyle name="Total 6 2 2 5 3 2 2" xfId="56957" xr:uid="{00000000-0005-0000-0000-000053DF0000}"/>
    <cellStyle name="Total 6 2 2 5 3 2 3" xfId="56958" xr:uid="{00000000-0005-0000-0000-000054DF0000}"/>
    <cellStyle name="Total 6 2 2 5 3 2 4" xfId="56959" xr:uid="{00000000-0005-0000-0000-000055DF0000}"/>
    <cellStyle name="Total 6 2 2 5 3 3" xfId="56960" xr:uid="{00000000-0005-0000-0000-000056DF0000}"/>
    <cellStyle name="Total 6 2 2 5 3 3 2" xfId="56961" xr:uid="{00000000-0005-0000-0000-000057DF0000}"/>
    <cellStyle name="Total 6 2 2 5 3 3 3" xfId="56962" xr:uid="{00000000-0005-0000-0000-000058DF0000}"/>
    <cellStyle name="Total 6 2 2 5 3 3 4" xfId="56963" xr:uid="{00000000-0005-0000-0000-000059DF0000}"/>
    <cellStyle name="Total 6 2 2 5 3 4" xfId="56964" xr:uid="{00000000-0005-0000-0000-00005ADF0000}"/>
    <cellStyle name="Total 6 2 2 5 3 5" xfId="56965" xr:uid="{00000000-0005-0000-0000-00005BDF0000}"/>
    <cellStyle name="Total 6 2 2 5 3 6" xfId="56966" xr:uid="{00000000-0005-0000-0000-00005CDF0000}"/>
    <cellStyle name="Total 6 2 2 5 4" xfId="56967" xr:uid="{00000000-0005-0000-0000-00005DDF0000}"/>
    <cellStyle name="Total 6 2 2 5 5" xfId="56968" xr:uid="{00000000-0005-0000-0000-00005EDF0000}"/>
    <cellStyle name="Total 6 2 2 6" xfId="56969" xr:uid="{00000000-0005-0000-0000-00005FDF0000}"/>
    <cellStyle name="Total 6 2 2 6 2" xfId="56970" xr:uid="{00000000-0005-0000-0000-000060DF0000}"/>
    <cellStyle name="Total 6 2 2 6 2 2" xfId="56971" xr:uid="{00000000-0005-0000-0000-000061DF0000}"/>
    <cellStyle name="Total 6 2 2 6 2 2 2" xfId="56972" xr:uid="{00000000-0005-0000-0000-000062DF0000}"/>
    <cellStyle name="Total 6 2 2 6 2 2 3" xfId="56973" xr:uid="{00000000-0005-0000-0000-000063DF0000}"/>
    <cellStyle name="Total 6 2 2 6 2 2 4" xfId="56974" xr:uid="{00000000-0005-0000-0000-000064DF0000}"/>
    <cellStyle name="Total 6 2 2 6 2 3" xfId="56975" xr:uid="{00000000-0005-0000-0000-000065DF0000}"/>
    <cellStyle name="Total 6 2 2 6 2 4" xfId="56976" xr:uid="{00000000-0005-0000-0000-000066DF0000}"/>
    <cellStyle name="Total 6 2 2 6 2 5" xfId="56977" xr:uid="{00000000-0005-0000-0000-000067DF0000}"/>
    <cellStyle name="Total 6 2 2 6 3" xfId="56978" xr:uid="{00000000-0005-0000-0000-000068DF0000}"/>
    <cellStyle name="Total 6 2 2 6 3 2" xfId="56979" xr:uid="{00000000-0005-0000-0000-000069DF0000}"/>
    <cellStyle name="Total 6 2 2 6 3 2 2" xfId="56980" xr:uid="{00000000-0005-0000-0000-00006ADF0000}"/>
    <cellStyle name="Total 6 2 2 6 3 2 3" xfId="56981" xr:uid="{00000000-0005-0000-0000-00006BDF0000}"/>
    <cellStyle name="Total 6 2 2 6 3 2 4" xfId="56982" xr:uid="{00000000-0005-0000-0000-00006CDF0000}"/>
    <cellStyle name="Total 6 2 2 6 3 3" xfId="56983" xr:uid="{00000000-0005-0000-0000-00006DDF0000}"/>
    <cellStyle name="Total 6 2 2 6 3 3 2" xfId="56984" xr:uid="{00000000-0005-0000-0000-00006EDF0000}"/>
    <cellStyle name="Total 6 2 2 6 3 3 3" xfId="56985" xr:uid="{00000000-0005-0000-0000-00006FDF0000}"/>
    <cellStyle name="Total 6 2 2 6 3 3 4" xfId="56986" xr:uid="{00000000-0005-0000-0000-000070DF0000}"/>
    <cellStyle name="Total 6 2 2 6 3 4" xfId="56987" xr:uid="{00000000-0005-0000-0000-000071DF0000}"/>
    <cellStyle name="Total 6 2 2 6 3 5" xfId="56988" xr:uid="{00000000-0005-0000-0000-000072DF0000}"/>
    <cellStyle name="Total 6 2 2 6 3 6" xfId="56989" xr:uid="{00000000-0005-0000-0000-000073DF0000}"/>
    <cellStyle name="Total 6 2 2 6 4" xfId="56990" xr:uid="{00000000-0005-0000-0000-000074DF0000}"/>
    <cellStyle name="Total 6 2 2 6 5" xfId="56991" xr:uid="{00000000-0005-0000-0000-000075DF0000}"/>
    <cellStyle name="Total 6 2 2 7" xfId="56992" xr:uid="{00000000-0005-0000-0000-000076DF0000}"/>
    <cellStyle name="Total 6 2 2 7 2" xfId="56993" xr:uid="{00000000-0005-0000-0000-000077DF0000}"/>
    <cellStyle name="Total 6 2 2 7 2 2" xfId="56994" xr:uid="{00000000-0005-0000-0000-000078DF0000}"/>
    <cellStyle name="Total 6 2 2 7 2 2 2" xfId="56995" xr:uid="{00000000-0005-0000-0000-000079DF0000}"/>
    <cellStyle name="Total 6 2 2 7 2 2 3" xfId="56996" xr:uid="{00000000-0005-0000-0000-00007ADF0000}"/>
    <cellStyle name="Total 6 2 2 7 2 2 4" xfId="56997" xr:uid="{00000000-0005-0000-0000-00007BDF0000}"/>
    <cellStyle name="Total 6 2 2 7 2 3" xfId="56998" xr:uid="{00000000-0005-0000-0000-00007CDF0000}"/>
    <cellStyle name="Total 6 2 2 7 2 4" xfId="56999" xr:uid="{00000000-0005-0000-0000-00007DDF0000}"/>
    <cellStyle name="Total 6 2 2 7 2 5" xfId="57000" xr:uid="{00000000-0005-0000-0000-00007EDF0000}"/>
    <cellStyle name="Total 6 2 2 7 3" xfId="57001" xr:uid="{00000000-0005-0000-0000-00007FDF0000}"/>
    <cellStyle name="Total 6 2 2 7 3 2" xfId="57002" xr:uid="{00000000-0005-0000-0000-000080DF0000}"/>
    <cellStyle name="Total 6 2 2 7 3 2 2" xfId="57003" xr:uid="{00000000-0005-0000-0000-000081DF0000}"/>
    <cellStyle name="Total 6 2 2 7 3 2 3" xfId="57004" xr:uid="{00000000-0005-0000-0000-000082DF0000}"/>
    <cellStyle name="Total 6 2 2 7 3 2 4" xfId="57005" xr:uid="{00000000-0005-0000-0000-000083DF0000}"/>
    <cellStyle name="Total 6 2 2 7 3 3" xfId="57006" xr:uid="{00000000-0005-0000-0000-000084DF0000}"/>
    <cellStyle name="Total 6 2 2 7 3 3 2" xfId="57007" xr:uid="{00000000-0005-0000-0000-000085DF0000}"/>
    <cellStyle name="Total 6 2 2 7 3 3 3" xfId="57008" xr:uid="{00000000-0005-0000-0000-000086DF0000}"/>
    <cellStyle name="Total 6 2 2 7 3 3 4" xfId="57009" xr:uid="{00000000-0005-0000-0000-000087DF0000}"/>
    <cellStyle name="Total 6 2 2 7 3 4" xfId="57010" xr:uid="{00000000-0005-0000-0000-000088DF0000}"/>
    <cellStyle name="Total 6 2 2 7 3 5" xfId="57011" xr:uid="{00000000-0005-0000-0000-000089DF0000}"/>
    <cellStyle name="Total 6 2 2 7 3 6" xfId="57012" xr:uid="{00000000-0005-0000-0000-00008ADF0000}"/>
    <cellStyle name="Total 6 2 2 7 4" xfId="57013" xr:uid="{00000000-0005-0000-0000-00008BDF0000}"/>
    <cellStyle name="Total 6 2 2 7 5" xfId="57014" xr:uid="{00000000-0005-0000-0000-00008CDF0000}"/>
    <cellStyle name="Total 6 2 2 8" xfId="57015" xr:uid="{00000000-0005-0000-0000-00008DDF0000}"/>
    <cellStyle name="Total 6 2 2 8 2" xfId="57016" xr:uid="{00000000-0005-0000-0000-00008EDF0000}"/>
    <cellStyle name="Total 6 2 2 8 2 2" xfId="57017" xr:uid="{00000000-0005-0000-0000-00008FDF0000}"/>
    <cellStyle name="Total 6 2 2 8 2 2 2" xfId="57018" xr:uid="{00000000-0005-0000-0000-000090DF0000}"/>
    <cellStyle name="Total 6 2 2 8 2 2 3" xfId="57019" xr:uid="{00000000-0005-0000-0000-000091DF0000}"/>
    <cellStyle name="Total 6 2 2 8 2 2 4" xfId="57020" xr:uid="{00000000-0005-0000-0000-000092DF0000}"/>
    <cellStyle name="Total 6 2 2 8 2 3" xfId="57021" xr:uid="{00000000-0005-0000-0000-000093DF0000}"/>
    <cellStyle name="Total 6 2 2 8 2 4" xfId="57022" xr:uid="{00000000-0005-0000-0000-000094DF0000}"/>
    <cellStyle name="Total 6 2 2 8 2 5" xfId="57023" xr:uid="{00000000-0005-0000-0000-000095DF0000}"/>
    <cellStyle name="Total 6 2 2 8 3" xfId="57024" xr:uid="{00000000-0005-0000-0000-000096DF0000}"/>
    <cellStyle name="Total 6 2 2 8 3 2" xfId="57025" xr:uid="{00000000-0005-0000-0000-000097DF0000}"/>
    <cellStyle name="Total 6 2 2 8 3 2 2" xfId="57026" xr:uid="{00000000-0005-0000-0000-000098DF0000}"/>
    <cellStyle name="Total 6 2 2 8 3 2 3" xfId="57027" xr:uid="{00000000-0005-0000-0000-000099DF0000}"/>
    <cellStyle name="Total 6 2 2 8 3 2 4" xfId="57028" xr:uid="{00000000-0005-0000-0000-00009ADF0000}"/>
    <cellStyle name="Total 6 2 2 8 3 3" xfId="57029" xr:uid="{00000000-0005-0000-0000-00009BDF0000}"/>
    <cellStyle name="Total 6 2 2 8 3 3 2" xfId="57030" xr:uid="{00000000-0005-0000-0000-00009CDF0000}"/>
    <cellStyle name="Total 6 2 2 8 3 3 3" xfId="57031" xr:uid="{00000000-0005-0000-0000-00009DDF0000}"/>
    <cellStyle name="Total 6 2 2 8 3 3 4" xfId="57032" xr:uid="{00000000-0005-0000-0000-00009EDF0000}"/>
    <cellStyle name="Total 6 2 2 8 3 4" xfId="57033" xr:uid="{00000000-0005-0000-0000-00009FDF0000}"/>
    <cellStyle name="Total 6 2 2 8 3 5" xfId="57034" xr:uid="{00000000-0005-0000-0000-0000A0DF0000}"/>
    <cellStyle name="Total 6 2 2 8 3 6" xfId="57035" xr:uid="{00000000-0005-0000-0000-0000A1DF0000}"/>
    <cellStyle name="Total 6 2 2 8 4" xfId="57036" xr:uid="{00000000-0005-0000-0000-0000A2DF0000}"/>
    <cellStyle name="Total 6 2 2 8 5" xfId="57037" xr:uid="{00000000-0005-0000-0000-0000A3DF0000}"/>
    <cellStyle name="Total 6 2 2 9" xfId="57038" xr:uid="{00000000-0005-0000-0000-0000A4DF0000}"/>
    <cellStyle name="Total 6 2 2 9 2" xfId="57039" xr:uid="{00000000-0005-0000-0000-0000A5DF0000}"/>
    <cellStyle name="Total 6 2 2 9 2 2" xfId="57040" xr:uid="{00000000-0005-0000-0000-0000A6DF0000}"/>
    <cellStyle name="Total 6 2 2 9 2 2 2" xfId="57041" xr:uid="{00000000-0005-0000-0000-0000A7DF0000}"/>
    <cellStyle name="Total 6 2 2 9 2 2 3" xfId="57042" xr:uid="{00000000-0005-0000-0000-0000A8DF0000}"/>
    <cellStyle name="Total 6 2 2 9 2 2 4" xfId="57043" xr:uid="{00000000-0005-0000-0000-0000A9DF0000}"/>
    <cellStyle name="Total 6 2 2 9 2 3" xfId="57044" xr:uid="{00000000-0005-0000-0000-0000AADF0000}"/>
    <cellStyle name="Total 6 2 2 9 2 4" xfId="57045" xr:uid="{00000000-0005-0000-0000-0000ABDF0000}"/>
    <cellStyle name="Total 6 2 2 9 2 5" xfId="57046" xr:uid="{00000000-0005-0000-0000-0000ACDF0000}"/>
    <cellStyle name="Total 6 2 2 9 3" xfId="57047" xr:uid="{00000000-0005-0000-0000-0000ADDF0000}"/>
    <cellStyle name="Total 6 2 2 9 3 2" xfId="57048" xr:uid="{00000000-0005-0000-0000-0000AEDF0000}"/>
    <cellStyle name="Total 6 2 2 9 3 2 2" xfId="57049" xr:uid="{00000000-0005-0000-0000-0000AFDF0000}"/>
    <cellStyle name="Total 6 2 2 9 3 2 3" xfId="57050" xr:uid="{00000000-0005-0000-0000-0000B0DF0000}"/>
    <cellStyle name="Total 6 2 2 9 3 2 4" xfId="57051" xr:uid="{00000000-0005-0000-0000-0000B1DF0000}"/>
    <cellStyle name="Total 6 2 2 9 3 3" xfId="57052" xr:uid="{00000000-0005-0000-0000-0000B2DF0000}"/>
    <cellStyle name="Total 6 2 2 9 3 3 2" xfId="57053" xr:uid="{00000000-0005-0000-0000-0000B3DF0000}"/>
    <cellStyle name="Total 6 2 2 9 3 3 3" xfId="57054" xr:uid="{00000000-0005-0000-0000-0000B4DF0000}"/>
    <cellStyle name="Total 6 2 2 9 3 3 4" xfId="57055" xr:uid="{00000000-0005-0000-0000-0000B5DF0000}"/>
    <cellStyle name="Total 6 2 2 9 3 4" xfId="57056" xr:uid="{00000000-0005-0000-0000-0000B6DF0000}"/>
    <cellStyle name="Total 6 2 2 9 3 5" xfId="57057" xr:uid="{00000000-0005-0000-0000-0000B7DF0000}"/>
    <cellStyle name="Total 6 2 2 9 3 6" xfId="57058" xr:uid="{00000000-0005-0000-0000-0000B8DF0000}"/>
    <cellStyle name="Total 6 2 2 9 4" xfId="57059" xr:uid="{00000000-0005-0000-0000-0000B9DF0000}"/>
    <cellStyle name="Total 6 2 2 9 5" xfId="57060" xr:uid="{00000000-0005-0000-0000-0000BADF0000}"/>
    <cellStyle name="Total 6 2 3" xfId="57061" xr:uid="{00000000-0005-0000-0000-0000BBDF0000}"/>
    <cellStyle name="Total 6 2 3 2" xfId="57062" xr:uid="{00000000-0005-0000-0000-0000BCDF0000}"/>
    <cellStyle name="Total 6 2 3 2 2" xfId="57063" xr:uid="{00000000-0005-0000-0000-0000BDDF0000}"/>
    <cellStyle name="Total 6 2 3 2 2 2" xfId="57064" xr:uid="{00000000-0005-0000-0000-0000BEDF0000}"/>
    <cellStyle name="Total 6 2 3 2 2 3" xfId="57065" xr:uid="{00000000-0005-0000-0000-0000BFDF0000}"/>
    <cellStyle name="Total 6 2 3 2 2 4" xfId="57066" xr:uid="{00000000-0005-0000-0000-0000C0DF0000}"/>
    <cellStyle name="Total 6 2 3 2 3" xfId="57067" xr:uid="{00000000-0005-0000-0000-0000C1DF0000}"/>
    <cellStyle name="Total 6 2 3 2 4" xfId="57068" xr:uid="{00000000-0005-0000-0000-0000C2DF0000}"/>
    <cellStyle name="Total 6 2 3 2 5" xfId="57069" xr:uid="{00000000-0005-0000-0000-0000C3DF0000}"/>
    <cellStyle name="Total 6 2 3 3" xfId="57070" xr:uid="{00000000-0005-0000-0000-0000C4DF0000}"/>
    <cellStyle name="Total 6 2 3 3 2" xfId="57071" xr:uid="{00000000-0005-0000-0000-0000C5DF0000}"/>
    <cellStyle name="Total 6 2 3 3 2 2" xfId="57072" xr:uid="{00000000-0005-0000-0000-0000C6DF0000}"/>
    <cellStyle name="Total 6 2 3 3 2 3" xfId="57073" xr:uid="{00000000-0005-0000-0000-0000C7DF0000}"/>
    <cellStyle name="Total 6 2 3 3 2 4" xfId="57074" xr:uid="{00000000-0005-0000-0000-0000C8DF0000}"/>
    <cellStyle name="Total 6 2 3 3 3" xfId="57075" xr:uid="{00000000-0005-0000-0000-0000C9DF0000}"/>
    <cellStyle name="Total 6 2 3 3 3 2" xfId="57076" xr:uid="{00000000-0005-0000-0000-0000CADF0000}"/>
    <cellStyle name="Total 6 2 3 3 3 3" xfId="57077" xr:uid="{00000000-0005-0000-0000-0000CBDF0000}"/>
    <cellStyle name="Total 6 2 3 3 3 4" xfId="57078" xr:uid="{00000000-0005-0000-0000-0000CCDF0000}"/>
    <cellStyle name="Total 6 2 3 3 4" xfId="57079" xr:uid="{00000000-0005-0000-0000-0000CDDF0000}"/>
    <cellStyle name="Total 6 2 3 3 5" xfId="57080" xr:uid="{00000000-0005-0000-0000-0000CEDF0000}"/>
    <cellStyle name="Total 6 2 3 3 6" xfId="57081" xr:uid="{00000000-0005-0000-0000-0000CFDF0000}"/>
    <cellStyle name="Total 6 2 3 4" xfId="57082" xr:uid="{00000000-0005-0000-0000-0000D0DF0000}"/>
    <cellStyle name="Total 6 2 3 5" xfId="57083" xr:uid="{00000000-0005-0000-0000-0000D1DF0000}"/>
    <cellStyle name="Total 6 2 4" xfId="57084" xr:uid="{00000000-0005-0000-0000-0000D2DF0000}"/>
    <cellStyle name="Total 6 2 4 2" xfId="57085" xr:uid="{00000000-0005-0000-0000-0000D3DF0000}"/>
    <cellStyle name="Total 6 2 4 2 2" xfId="57086" xr:uid="{00000000-0005-0000-0000-0000D4DF0000}"/>
    <cellStyle name="Total 6 2 4 2 2 2" xfId="57087" xr:uid="{00000000-0005-0000-0000-0000D5DF0000}"/>
    <cellStyle name="Total 6 2 4 2 2 3" xfId="57088" xr:uid="{00000000-0005-0000-0000-0000D6DF0000}"/>
    <cellStyle name="Total 6 2 4 2 2 4" xfId="57089" xr:uid="{00000000-0005-0000-0000-0000D7DF0000}"/>
    <cellStyle name="Total 6 2 4 2 3" xfId="57090" xr:uid="{00000000-0005-0000-0000-0000D8DF0000}"/>
    <cellStyle name="Total 6 2 4 2 3 2" xfId="57091" xr:uid="{00000000-0005-0000-0000-0000D9DF0000}"/>
    <cellStyle name="Total 6 2 4 2 3 3" xfId="57092" xr:uid="{00000000-0005-0000-0000-0000DADF0000}"/>
    <cellStyle name="Total 6 2 4 2 3 4" xfId="57093" xr:uid="{00000000-0005-0000-0000-0000DBDF0000}"/>
    <cellStyle name="Total 6 2 4 2 4" xfId="57094" xr:uid="{00000000-0005-0000-0000-0000DCDF0000}"/>
    <cellStyle name="Total 6 2 4 2 5" xfId="57095" xr:uid="{00000000-0005-0000-0000-0000DDDF0000}"/>
    <cellStyle name="Total 6 2 4 2 6" xfId="57096" xr:uid="{00000000-0005-0000-0000-0000DEDF0000}"/>
    <cellStyle name="Total 6 2 4 3" xfId="57097" xr:uid="{00000000-0005-0000-0000-0000DFDF0000}"/>
    <cellStyle name="Total 6 2 4 3 2" xfId="57098" xr:uid="{00000000-0005-0000-0000-0000E0DF0000}"/>
    <cellStyle name="Total 6 2 4 3 2 2" xfId="57099" xr:uid="{00000000-0005-0000-0000-0000E1DF0000}"/>
    <cellStyle name="Total 6 2 4 3 2 3" xfId="57100" xr:uid="{00000000-0005-0000-0000-0000E2DF0000}"/>
    <cellStyle name="Total 6 2 4 3 2 4" xfId="57101" xr:uid="{00000000-0005-0000-0000-0000E3DF0000}"/>
    <cellStyle name="Total 6 2 4 3 3" xfId="57102" xr:uid="{00000000-0005-0000-0000-0000E4DF0000}"/>
    <cellStyle name="Total 6 2 4 3 3 2" xfId="57103" xr:uid="{00000000-0005-0000-0000-0000E5DF0000}"/>
    <cellStyle name="Total 6 2 4 3 3 3" xfId="57104" xr:uid="{00000000-0005-0000-0000-0000E6DF0000}"/>
    <cellStyle name="Total 6 2 4 3 3 4" xfId="57105" xr:uid="{00000000-0005-0000-0000-0000E7DF0000}"/>
    <cellStyle name="Total 6 2 4 3 4" xfId="57106" xr:uid="{00000000-0005-0000-0000-0000E8DF0000}"/>
    <cellStyle name="Total 6 2 4 3 5" xfId="57107" xr:uid="{00000000-0005-0000-0000-0000E9DF0000}"/>
    <cellStyle name="Total 6 2 4 3 6" xfId="57108" xr:uid="{00000000-0005-0000-0000-0000EADF0000}"/>
    <cellStyle name="Total 6 2 4 4" xfId="57109" xr:uid="{00000000-0005-0000-0000-0000EBDF0000}"/>
    <cellStyle name="Total 6 2 4 5" xfId="57110" xr:uid="{00000000-0005-0000-0000-0000ECDF0000}"/>
    <cellStyle name="Total 6 2 4 6" xfId="57111" xr:uid="{00000000-0005-0000-0000-0000EDDF0000}"/>
    <cellStyle name="Total 6 2 5" xfId="57112" xr:uid="{00000000-0005-0000-0000-0000EEDF0000}"/>
    <cellStyle name="Total 6 2 6" xfId="57113" xr:uid="{00000000-0005-0000-0000-0000EFDF0000}"/>
    <cellStyle name="Total 6 3" xfId="57114" xr:uid="{00000000-0005-0000-0000-0000F0DF0000}"/>
    <cellStyle name="Total 6 3 10" xfId="57115" xr:uid="{00000000-0005-0000-0000-0000F1DF0000}"/>
    <cellStyle name="Total 6 3 10 2" xfId="57116" xr:uid="{00000000-0005-0000-0000-0000F2DF0000}"/>
    <cellStyle name="Total 6 3 10 2 2" xfId="57117" xr:uid="{00000000-0005-0000-0000-0000F3DF0000}"/>
    <cellStyle name="Total 6 3 10 2 2 2" xfId="57118" xr:uid="{00000000-0005-0000-0000-0000F4DF0000}"/>
    <cellStyle name="Total 6 3 10 2 2 3" xfId="57119" xr:uid="{00000000-0005-0000-0000-0000F5DF0000}"/>
    <cellStyle name="Total 6 3 10 2 2 4" xfId="57120" xr:uid="{00000000-0005-0000-0000-0000F6DF0000}"/>
    <cellStyle name="Total 6 3 10 2 3" xfId="57121" xr:uid="{00000000-0005-0000-0000-0000F7DF0000}"/>
    <cellStyle name="Total 6 3 10 2 4" xfId="57122" xr:uid="{00000000-0005-0000-0000-0000F8DF0000}"/>
    <cellStyle name="Total 6 3 10 2 5" xfId="57123" xr:uid="{00000000-0005-0000-0000-0000F9DF0000}"/>
    <cellStyle name="Total 6 3 10 3" xfId="57124" xr:uid="{00000000-0005-0000-0000-0000FADF0000}"/>
    <cellStyle name="Total 6 3 10 3 2" xfId="57125" xr:uid="{00000000-0005-0000-0000-0000FBDF0000}"/>
    <cellStyle name="Total 6 3 10 3 2 2" xfId="57126" xr:uid="{00000000-0005-0000-0000-0000FCDF0000}"/>
    <cellStyle name="Total 6 3 10 3 2 3" xfId="57127" xr:uid="{00000000-0005-0000-0000-0000FDDF0000}"/>
    <cellStyle name="Total 6 3 10 3 2 4" xfId="57128" xr:uid="{00000000-0005-0000-0000-0000FEDF0000}"/>
    <cellStyle name="Total 6 3 10 3 3" xfId="57129" xr:uid="{00000000-0005-0000-0000-0000FFDF0000}"/>
    <cellStyle name="Total 6 3 10 3 3 2" xfId="57130" xr:uid="{00000000-0005-0000-0000-000000E00000}"/>
    <cellStyle name="Total 6 3 10 3 3 3" xfId="57131" xr:uid="{00000000-0005-0000-0000-000001E00000}"/>
    <cellStyle name="Total 6 3 10 3 3 4" xfId="57132" xr:uid="{00000000-0005-0000-0000-000002E00000}"/>
    <cellStyle name="Total 6 3 10 3 4" xfId="57133" xr:uid="{00000000-0005-0000-0000-000003E00000}"/>
    <cellStyle name="Total 6 3 10 3 5" xfId="57134" xr:uid="{00000000-0005-0000-0000-000004E00000}"/>
    <cellStyle name="Total 6 3 10 3 6" xfId="57135" xr:uid="{00000000-0005-0000-0000-000005E00000}"/>
    <cellStyle name="Total 6 3 10 4" xfId="57136" xr:uid="{00000000-0005-0000-0000-000006E00000}"/>
    <cellStyle name="Total 6 3 10 5" xfId="57137" xr:uid="{00000000-0005-0000-0000-000007E00000}"/>
    <cellStyle name="Total 6 3 11" xfId="57138" xr:uid="{00000000-0005-0000-0000-000008E00000}"/>
    <cellStyle name="Total 6 3 11 2" xfId="57139" xr:uid="{00000000-0005-0000-0000-000009E00000}"/>
    <cellStyle name="Total 6 3 11 2 2" xfId="57140" xr:uid="{00000000-0005-0000-0000-00000AE00000}"/>
    <cellStyle name="Total 6 3 11 2 2 2" xfId="57141" xr:uid="{00000000-0005-0000-0000-00000BE00000}"/>
    <cellStyle name="Total 6 3 11 2 2 3" xfId="57142" xr:uid="{00000000-0005-0000-0000-00000CE00000}"/>
    <cellStyle name="Total 6 3 11 2 2 4" xfId="57143" xr:uid="{00000000-0005-0000-0000-00000DE00000}"/>
    <cellStyle name="Total 6 3 11 2 3" xfId="57144" xr:uid="{00000000-0005-0000-0000-00000EE00000}"/>
    <cellStyle name="Total 6 3 11 2 4" xfId="57145" xr:uid="{00000000-0005-0000-0000-00000FE00000}"/>
    <cellStyle name="Total 6 3 11 2 5" xfId="57146" xr:uid="{00000000-0005-0000-0000-000010E00000}"/>
    <cellStyle name="Total 6 3 11 3" xfId="57147" xr:uid="{00000000-0005-0000-0000-000011E00000}"/>
    <cellStyle name="Total 6 3 11 3 2" xfId="57148" xr:uid="{00000000-0005-0000-0000-000012E00000}"/>
    <cellStyle name="Total 6 3 11 3 2 2" xfId="57149" xr:uid="{00000000-0005-0000-0000-000013E00000}"/>
    <cellStyle name="Total 6 3 11 3 2 3" xfId="57150" xr:uid="{00000000-0005-0000-0000-000014E00000}"/>
    <cellStyle name="Total 6 3 11 3 2 4" xfId="57151" xr:uid="{00000000-0005-0000-0000-000015E00000}"/>
    <cellStyle name="Total 6 3 11 3 3" xfId="57152" xr:uid="{00000000-0005-0000-0000-000016E00000}"/>
    <cellStyle name="Total 6 3 11 3 3 2" xfId="57153" xr:uid="{00000000-0005-0000-0000-000017E00000}"/>
    <cellStyle name="Total 6 3 11 3 3 3" xfId="57154" xr:uid="{00000000-0005-0000-0000-000018E00000}"/>
    <cellStyle name="Total 6 3 11 3 3 4" xfId="57155" xr:uid="{00000000-0005-0000-0000-000019E00000}"/>
    <cellStyle name="Total 6 3 11 3 4" xfId="57156" xr:uid="{00000000-0005-0000-0000-00001AE00000}"/>
    <cellStyle name="Total 6 3 11 3 5" xfId="57157" xr:uid="{00000000-0005-0000-0000-00001BE00000}"/>
    <cellStyle name="Total 6 3 11 3 6" xfId="57158" xr:uid="{00000000-0005-0000-0000-00001CE00000}"/>
    <cellStyle name="Total 6 3 11 4" xfId="57159" xr:uid="{00000000-0005-0000-0000-00001DE00000}"/>
    <cellStyle name="Total 6 3 11 5" xfId="57160" xr:uid="{00000000-0005-0000-0000-00001EE00000}"/>
    <cellStyle name="Total 6 3 12" xfId="57161" xr:uid="{00000000-0005-0000-0000-00001FE00000}"/>
    <cellStyle name="Total 6 3 12 2" xfId="57162" xr:uid="{00000000-0005-0000-0000-000020E00000}"/>
    <cellStyle name="Total 6 3 12 2 2" xfId="57163" xr:uid="{00000000-0005-0000-0000-000021E00000}"/>
    <cellStyle name="Total 6 3 12 2 2 2" xfId="57164" xr:uid="{00000000-0005-0000-0000-000022E00000}"/>
    <cellStyle name="Total 6 3 12 2 2 3" xfId="57165" xr:uid="{00000000-0005-0000-0000-000023E00000}"/>
    <cellStyle name="Total 6 3 12 2 2 4" xfId="57166" xr:uid="{00000000-0005-0000-0000-000024E00000}"/>
    <cellStyle name="Total 6 3 12 2 3" xfId="57167" xr:uid="{00000000-0005-0000-0000-000025E00000}"/>
    <cellStyle name="Total 6 3 12 2 3 2" xfId="57168" xr:uid="{00000000-0005-0000-0000-000026E00000}"/>
    <cellStyle name="Total 6 3 12 2 3 3" xfId="57169" xr:uid="{00000000-0005-0000-0000-000027E00000}"/>
    <cellStyle name="Total 6 3 12 2 3 4" xfId="57170" xr:uid="{00000000-0005-0000-0000-000028E00000}"/>
    <cellStyle name="Total 6 3 12 2 4" xfId="57171" xr:uid="{00000000-0005-0000-0000-000029E00000}"/>
    <cellStyle name="Total 6 3 12 2 5" xfId="57172" xr:uid="{00000000-0005-0000-0000-00002AE00000}"/>
    <cellStyle name="Total 6 3 12 2 6" xfId="57173" xr:uid="{00000000-0005-0000-0000-00002BE00000}"/>
    <cellStyle name="Total 6 3 12 3" xfId="57174" xr:uid="{00000000-0005-0000-0000-00002CE00000}"/>
    <cellStyle name="Total 6 3 12 3 2" xfId="57175" xr:uid="{00000000-0005-0000-0000-00002DE00000}"/>
    <cellStyle name="Total 6 3 12 3 2 2" xfId="57176" xr:uid="{00000000-0005-0000-0000-00002EE00000}"/>
    <cellStyle name="Total 6 3 12 3 2 3" xfId="57177" xr:uid="{00000000-0005-0000-0000-00002FE00000}"/>
    <cellStyle name="Total 6 3 12 3 2 4" xfId="57178" xr:uid="{00000000-0005-0000-0000-000030E00000}"/>
    <cellStyle name="Total 6 3 12 3 3" xfId="57179" xr:uid="{00000000-0005-0000-0000-000031E00000}"/>
    <cellStyle name="Total 6 3 12 3 3 2" xfId="57180" xr:uid="{00000000-0005-0000-0000-000032E00000}"/>
    <cellStyle name="Total 6 3 12 3 3 3" xfId="57181" xr:uid="{00000000-0005-0000-0000-000033E00000}"/>
    <cellStyle name="Total 6 3 12 3 3 4" xfId="57182" xr:uid="{00000000-0005-0000-0000-000034E00000}"/>
    <cellStyle name="Total 6 3 12 3 4" xfId="57183" xr:uid="{00000000-0005-0000-0000-000035E00000}"/>
    <cellStyle name="Total 6 3 12 3 5" xfId="57184" xr:uid="{00000000-0005-0000-0000-000036E00000}"/>
    <cellStyle name="Total 6 3 12 3 6" xfId="57185" xr:uid="{00000000-0005-0000-0000-000037E00000}"/>
    <cellStyle name="Total 6 3 12 4" xfId="57186" xr:uid="{00000000-0005-0000-0000-000038E00000}"/>
    <cellStyle name="Total 6 3 12 5" xfId="57187" xr:uid="{00000000-0005-0000-0000-000039E00000}"/>
    <cellStyle name="Total 6 3 12 6" xfId="57188" xr:uid="{00000000-0005-0000-0000-00003AE00000}"/>
    <cellStyle name="Total 6 3 13" xfId="57189" xr:uid="{00000000-0005-0000-0000-00003BE00000}"/>
    <cellStyle name="Total 6 3 14" xfId="57190" xr:uid="{00000000-0005-0000-0000-00003CE00000}"/>
    <cellStyle name="Total 6 3 15" xfId="58816" xr:uid="{00000000-0005-0000-0000-00003DE00000}"/>
    <cellStyle name="Total 6 3 2" xfId="57191" xr:uid="{00000000-0005-0000-0000-00003EE00000}"/>
    <cellStyle name="Total 6 3 2 2" xfId="57192" xr:uid="{00000000-0005-0000-0000-00003FE00000}"/>
    <cellStyle name="Total 6 3 2 2 2" xfId="57193" xr:uid="{00000000-0005-0000-0000-000040E00000}"/>
    <cellStyle name="Total 6 3 2 2 2 2" xfId="57194" xr:uid="{00000000-0005-0000-0000-000041E00000}"/>
    <cellStyle name="Total 6 3 2 2 2 2 2" xfId="57195" xr:uid="{00000000-0005-0000-0000-000042E00000}"/>
    <cellStyle name="Total 6 3 2 2 2 2 3" xfId="57196" xr:uid="{00000000-0005-0000-0000-000043E00000}"/>
    <cellStyle name="Total 6 3 2 2 2 2 4" xfId="57197" xr:uid="{00000000-0005-0000-0000-000044E00000}"/>
    <cellStyle name="Total 6 3 2 2 2 3" xfId="57198" xr:uid="{00000000-0005-0000-0000-000045E00000}"/>
    <cellStyle name="Total 6 3 2 2 2 3 2" xfId="57199" xr:uid="{00000000-0005-0000-0000-000046E00000}"/>
    <cellStyle name="Total 6 3 2 2 2 3 3" xfId="57200" xr:uid="{00000000-0005-0000-0000-000047E00000}"/>
    <cellStyle name="Total 6 3 2 2 2 3 4" xfId="57201" xr:uid="{00000000-0005-0000-0000-000048E00000}"/>
    <cellStyle name="Total 6 3 2 2 2 4" xfId="57202" xr:uid="{00000000-0005-0000-0000-000049E00000}"/>
    <cellStyle name="Total 6 3 2 2 2 5" xfId="57203" xr:uid="{00000000-0005-0000-0000-00004AE00000}"/>
    <cellStyle name="Total 6 3 2 2 2 6" xfId="57204" xr:uid="{00000000-0005-0000-0000-00004BE00000}"/>
    <cellStyle name="Total 6 3 2 2 3" xfId="57205" xr:uid="{00000000-0005-0000-0000-00004CE00000}"/>
    <cellStyle name="Total 6 3 2 2 3 2" xfId="57206" xr:uid="{00000000-0005-0000-0000-00004DE00000}"/>
    <cellStyle name="Total 6 3 2 2 3 2 2" xfId="57207" xr:uid="{00000000-0005-0000-0000-00004EE00000}"/>
    <cellStyle name="Total 6 3 2 2 3 2 3" xfId="57208" xr:uid="{00000000-0005-0000-0000-00004FE00000}"/>
    <cellStyle name="Total 6 3 2 2 3 2 4" xfId="57209" xr:uid="{00000000-0005-0000-0000-000050E00000}"/>
    <cellStyle name="Total 6 3 2 2 3 3" xfId="57210" xr:uid="{00000000-0005-0000-0000-000051E00000}"/>
    <cellStyle name="Total 6 3 2 2 3 3 2" xfId="57211" xr:uid="{00000000-0005-0000-0000-000052E00000}"/>
    <cellStyle name="Total 6 3 2 2 3 3 3" xfId="57212" xr:uid="{00000000-0005-0000-0000-000053E00000}"/>
    <cellStyle name="Total 6 3 2 2 3 3 4" xfId="57213" xr:uid="{00000000-0005-0000-0000-000054E00000}"/>
    <cellStyle name="Total 6 3 2 2 3 4" xfId="57214" xr:uid="{00000000-0005-0000-0000-000055E00000}"/>
    <cellStyle name="Total 6 3 2 2 3 5" xfId="57215" xr:uid="{00000000-0005-0000-0000-000056E00000}"/>
    <cellStyle name="Total 6 3 2 2 3 6" xfId="57216" xr:uid="{00000000-0005-0000-0000-000057E00000}"/>
    <cellStyle name="Total 6 3 2 2 4" xfId="57217" xr:uid="{00000000-0005-0000-0000-000058E00000}"/>
    <cellStyle name="Total 6 3 2 2 5" xfId="57218" xr:uid="{00000000-0005-0000-0000-000059E00000}"/>
    <cellStyle name="Total 6 3 2 2 6" xfId="57219" xr:uid="{00000000-0005-0000-0000-00005AE00000}"/>
    <cellStyle name="Total 6 3 2 3" xfId="57220" xr:uid="{00000000-0005-0000-0000-00005BE00000}"/>
    <cellStyle name="Total 6 3 2 4" xfId="57221" xr:uid="{00000000-0005-0000-0000-00005CE00000}"/>
    <cellStyle name="Total 6 3 3" xfId="57222" xr:uid="{00000000-0005-0000-0000-00005DE00000}"/>
    <cellStyle name="Total 6 3 3 2" xfId="57223" xr:uid="{00000000-0005-0000-0000-00005EE00000}"/>
    <cellStyle name="Total 6 3 3 2 2" xfId="57224" xr:uid="{00000000-0005-0000-0000-00005FE00000}"/>
    <cellStyle name="Total 6 3 3 2 2 2" xfId="57225" xr:uid="{00000000-0005-0000-0000-000060E00000}"/>
    <cellStyle name="Total 6 3 3 2 2 2 2" xfId="57226" xr:uid="{00000000-0005-0000-0000-000061E00000}"/>
    <cellStyle name="Total 6 3 3 2 2 2 3" xfId="57227" xr:uid="{00000000-0005-0000-0000-000062E00000}"/>
    <cellStyle name="Total 6 3 3 2 2 2 4" xfId="57228" xr:uid="{00000000-0005-0000-0000-000063E00000}"/>
    <cellStyle name="Total 6 3 3 2 2 3" xfId="57229" xr:uid="{00000000-0005-0000-0000-000064E00000}"/>
    <cellStyle name="Total 6 3 3 2 2 3 2" xfId="57230" xr:uid="{00000000-0005-0000-0000-000065E00000}"/>
    <cellStyle name="Total 6 3 3 2 2 3 3" xfId="57231" xr:uid="{00000000-0005-0000-0000-000066E00000}"/>
    <cellStyle name="Total 6 3 3 2 2 3 4" xfId="57232" xr:uid="{00000000-0005-0000-0000-000067E00000}"/>
    <cellStyle name="Total 6 3 3 2 2 4" xfId="57233" xr:uid="{00000000-0005-0000-0000-000068E00000}"/>
    <cellStyle name="Total 6 3 3 2 2 5" xfId="57234" xr:uid="{00000000-0005-0000-0000-000069E00000}"/>
    <cellStyle name="Total 6 3 3 2 2 6" xfId="57235" xr:uid="{00000000-0005-0000-0000-00006AE00000}"/>
    <cellStyle name="Total 6 3 3 2 3" xfId="57236" xr:uid="{00000000-0005-0000-0000-00006BE00000}"/>
    <cellStyle name="Total 6 3 3 2 3 2" xfId="57237" xr:uid="{00000000-0005-0000-0000-00006CE00000}"/>
    <cellStyle name="Total 6 3 3 2 3 2 2" xfId="57238" xr:uid="{00000000-0005-0000-0000-00006DE00000}"/>
    <cellStyle name="Total 6 3 3 2 3 2 3" xfId="57239" xr:uid="{00000000-0005-0000-0000-00006EE00000}"/>
    <cellStyle name="Total 6 3 3 2 3 2 4" xfId="57240" xr:uid="{00000000-0005-0000-0000-00006FE00000}"/>
    <cellStyle name="Total 6 3 3 2 3 3" xfId="57241" xr:uid="{00000000-0005-0000-0000-000070E00000}"/>
    <cellStyle name="Total 6 3 3 2 3 3 2" xfId="57242" xr:uid="{00000000-0005-0000-0000-000071E00000}"/>
    <cellStyle name="Total 6 3 3 2 3 3 3" xfId="57243" xr:uid="{00000000-0005-0000-0000-000072E00000}"/>
    <cellStyle name="Total 6 3 3 2 3 3 4" xfId="57244" xr:uid="{00000000-0005-0000-0000-000073E00000}"/>
    <cellStyle name="Total 6 3 3 2 3 4" xfId="57245" xr:uid="{00000000-0005-0000-0000-000074E00000}"/>
    <cellStyle name="Total 6 3 3 2 3 5" xfId="57246" xr:uid="{00000000-0005-0000-0000-000075E00000}"/>
    <cellStyle name="Total 6 3 3 2 3 6" xfId="57247" xr:uid="{00000000-0005-0000-0000-000076E00000}"/>
    <cellStyle name="Total 6 3 3 2 4" xfId="57248" xr:uid="{00000000-0005-0000-0000-000077E00000}"/>
    <cellStyle name="Total 6 3 3 2 5" xfId="57249" xr:uid="{00000000-0005-0000-0000-000078E00000}"/>
    <cellStyle name="Total 6 3 3 2 6" xfId="57250" xr:uid="{00000000-0005-0000-0000-000079E00000}"/>
    <cellStyle name="Total 6 3 3 3" xfId="57251" xr:uid="{00000000-0005-0000-0000-00007AE00000}"/>
    <cellStyle name="Total 6 3 3 4" xfId="57252" xr:uid="{00000000-0005-0000-0000-00007BE00000}"/>
    <cellStyle name="Total 6 3 4" xfId="57253" xr:uid="{00000000-0005-0000-0000-00007CE00000}"/>
    <cellStyle name="Total 6 3 4 2" xfId="57254" xr:uid="{00000000-0005-0000-0000-00007DE00000}"/>
    <cellStyle name="Total 6 3 4 2 2" xfId="57255" xr:uid="{00000000-0005-0000-0000-00007EE00000}"/>
    <cellStyle name="Total 6 3 4 2 2 2" xfId="57256" xr:uid="{00000000-0005-0000-0000-00007FE00000}"/>
    <cellStyle name="Total 6 3 4 2 2 2 2" xfId="57257" xr:uid="{00000000-0005-0000-0000-000080E00000}"/>
    <cellStyle name="Total 6 3 4 2 2 2 3" xfId="57258" xr:uid="{00000000-0005-0000-0000-000081E00000}"/>
    <cellStyle name="Total 6 3 4 2 2 2 4" xfId="57259" xr:uid="{00000000-0005-0000-0000-000082E00000}"/>
    <cellStyle name="Total 6 3 4 2 2 3" xfId="57260" xr:uid="{00000000-0005-0000-0000-000083E00000}"/>
    <cellStyle name="Total 6 3 4 2 2 3 2" xfId="57261" xr:uid="{00000000-0005-0000-0000-000084E00000}"/>
    <cellStyle name="Total 6 3 4 2 2 3 3" xfId="57262" xr:uid="{00000000-0005-0000-0000-000085E00000}"/>
    <cellStyle name="Total 6 3 4 2 2 3 4" xfId="57263" xr:uid="{00000000-0005-0000-0000-000086E00000}"/>
    <cellStyle name="Total 6 3 4 2 2 4" xfId="57264" xr:uid="{00000000-0005-0000-0000-000087E00000}"/>
    <cellStyle name="Total 6 3 4 2 2 5" xfId="57265" xr:uid="{00000000-0005-0000-0000-000088E00000}"/>
    <cellStyle name="Total 6 3 4 2 2 6" xfId="57266" xr:uid="{00000000-0005-0000-0000-000089E00000}"/>
    <cellStyle name="Total 6 3 4 2 3" xfId="57267" xr:uid="{00000000-0005-0000-0000-00008AE00000}"/>
    <cellStyle name="Total 6 3 4 2 3 2" xfId="57268" xr:uid="{00000000-0005-0000-0000-00008BE00000}"/>
    <cellStyle name="Total 6 3 4 2 3 2 2" xfId="57269" xr:uid="{00000000-0005-0000-0000-00008CE00000}"/>
    <cellStyle name="Total 6 3 4 2 3 2 3" xfId="57270" xr:uid="{00000000-0005-0000-0000-00008DE00000}"/>
    <cellStyle name="Total 6 3 4 2 3 2 4" xfId="57271" xr:uid="{00000000-0005-0000-0000-00008EE00000}"/>
    <cellStyle name="Total 6 3 4 2 3 3" xfId="57272" xr:uid="{00000000-0005-0000-0000-00008FE00000}"/>
    <cellStyle name="Total 6 3 4 2 3 3 2" xfId="57273" xr:uid="{00000000-0005-0000-0000-000090E00000}"/>
    <cellStyle name="Total 6 3 4 2 3 3 3" xfId="57274" xr:uid="{00000000-0005-0000-0000-000091E00000}"/>
    <cellStyle name="Total 6 3 4 2 3 3 4" xfId="57275" xr:uid="{00000000-0005-0000-0000-000092E00000}"/>
    <cellStyle name="Total 6 3 4 2 3 4" xfId="57276" xr:uid="{00000000-0005-0000-0000-000093E00000}"/>
    <cellStyle name="Total 6 3 4 2 3 5" xfId="57277" xr:uid="{00000000-0005-0000-0000-000094E00000}"/>
    <cellStyle name="Total 6 3 4 2 3 6" xfId="57278" xr:uid="{00000000-0005-0000-0000-000095E00000}"/>
    <cellStyle name="Total 6 3 4 2 4" xfId="57279" xr:uid="{00000000-0005-0000-0000-000096E00000}"/>
    <cellStyle name="Total 6 3 4 2 5" xfId="57280" xr:uid="{00000000-0005-0000-0000-000097E00000}"/>
    <cellStyle name="Total 6 3 4 2 6" xfId="57281" xr:uid="{00000000-0005-0000-0000-000098E00000}"/>
    <cellStyle name="Total 6 3 4 3" xfId="57282" xr:uid="{00000000-0005-0000-0000-000099E00000}"/>
    <cellStyle name="Total 6 3 4 4" xfId="57283" xr:uid="{00000000-0005-0000-0000-00009AE00000}"/>
    <cellStyle name="Total 6 3 5" xfId="57284" xr:uid="{00000000-0005-0000-0000-00009BE00000}"/>
    <cellStyle name="Total 6 3 5 2" xfId="57285" xr:uid="{00000000-0005-0000-0000-00009CE00000}"/>
    <cellStyle name="Total 6 3 5 2 2" xfId="57286" xr:uid="{00000000-0005-0000-0000-00009DE00000}"/>
    <cellStyle name="Total 6 3 5 2 2 2" xfId="57287" xr:uid="{00000000-0005-0000-0000-00009EE00000}"/>
    <cellStyle name="Total 6 3 5 2 2 3" xfId="57288" xr:uid="{00000000-0005-0000-0000-00009FE00000}"/>
    <cellStyle name="Total 6 3 5 2 2 4" xfId="57289" xr:uid="{00000000-0005-0000-0000-0000A0E00000}"/>
    <cellStyle name="Total 6 3 5 2 3" xfId="57290" xr:uid="{00000000-0005-0000-0000-0000A1E00000}"/>
    <cellStyle name="Total 6 3 5 2 4" xfId="57291" xr:uid="{00000000-0005-0000-0000-0000A2E00000}"/>
    <cellStyle name="Total 6 3 5 2 5" xfId="57292" xr:uid="{00000000-0005-0000-0000-0000A3E00000}"/>
    <cellStyle name="Total 6 3 5 3" xfId="57293" xr:uid="{00000000-0005-0000-0000-0000A4E00000}"/>
    <cellStyle name="Total 6 3 5 3 2" xfId="57294" xr:uid="{00000000-0005-0000-0000-0000A5E00000}"/>
    <cellStyle name="Total 6 3 5 3 2 2" xfId="57295" xr:uid="{00000000-0005-0000-0000-0000A6E00000}"/>
    <cellStyle name="Total 6 3 5 3 2 3" xfId="57296" xr:uid="{00000000-0005-0000-0000-0000A7E00000}"/>
    <cellStyle name="Total 6 3 5 3 2 4" xfId="57297" xr:uid="{00000000-0005-0000-0000-0000A8E00000}"/>
    <cellStyle name="Total 6 3 5 3 3" xfId="57298" xr:uid="{00000000-0005-0000-0000-0000A9E00000}"/>
    <cellStyle name="Total 6 3 5 3 3 2" xfId="57299" xr:uid="{00000000-0005-0000-0000-0000AAE00000}"/>
    <cellStyle name="Total 6 3 5 3 3 3" xfId="57300" xr:uid="{00000000-0005-0000-0000-0000ABE00000}"/>
    <cellStyle name="Total 6 3 5 3 3 4" xfId="57301" xr:uid="{00000000-0005-0000-0000-0000ACE00000}"/>
    <cellStyle name="Total 6 3 5 3 4" xfId="57302" xr:uid="{00000000-0005-0000-0000-0000ADE00000}"/>
    <cellStyle name="Total 6 3 5 3 5" xfId="57303" xr:uid="{00000000-0005-0000-0000-0000AEE00000}"/>
    <cellStyle name="Total 6 3 5 3 6" xfId="57304" xr:uid="{00000000-0005-0000-0000-0000AFE00000}"/>
    <cellStyle name="Total 6 3 5 4" xfId="57305" xr:uid="{00000000-0005-0000-0000-0000B0E00000}"/>
    <cellStyle name="Total 6 3 5 5" xfId="57306" xr:uid="{00000000-0005-0000-0000-0000B1E00000}"/>
    <cellStyle name="Total 6 3 6" xfId="57307" xr:uid="{00000000-0005-0000-0000-0000B2E00000}"/>
    <cellStyle name="Total 6 3 6 2" xfId="57308" xr:uid="{00000000-0005-0000-0000-0000B3E00000}"/>
    <cellStyle name="Total 6 3 6 2 2" xfId="57309" xr:uid="{00000000-0005-0000-0000-0000B4E00000}"/>
    <cellStyle name="Total 6 3 6 2 2 2" xfId="57310" xr:uid="{00000000-0005-0000-0000-0000B5E00000}"/>
    <cellStyle name="Total 6 3 6 2 2 3" xfId="57311" xr:uid="{00000000-0005-0000-0000-0000B6E00000}"/>
    <cellStyle name="Total 6 3 6 2 2 4" xfId="57312" xr:uid="{00000000-0005-0000-0000-0000B7E00000}"/>
    <cellStyle name="Total 6 3 6 2 3" xfId="57313" xr:uid="{00000000-0005-0000-0000-0000B8E00000}"/>
    <cellStyle name="Total 6 3 6 2 4" xfId="57314" xr:uid="{00000000-0005-0000-0000-0000B9E00000}"/>
    <cellStyle name="Total 6 3 6 2 5" xfId="57315" xr:uid="{00000000-0005-0000-0000-0000BAE00000}"/>
    <cellStyle name="Total 6 3 6 3" xfId="57316" xr:uid="{00000000-0005-0000-0000-0000BBE00000}"/>
    <cellStyle name="Total 6 3 6 3 2" xfId="57317" xr:uid="{00000000-0005-0000-0000-0000BCE00000}"/>
    <cellStyle name="Total 6 3 6 3 2 2" xfId="57318" xr:uid="{00000000-0005-0000-0000-0000BDE00000}"/>
    <cellStyle name="Total 6 3 6 3 2 3" xfId="57319" xr:uid="{00000000-0005-0000-0000-0000BEE00000}"/>
    <cellStyle name="Total 6 3 6 3 2 4" xfId="57320" xr:uid="{00000000-0005-0000-0000-0000BFE00000}"/>
    <cellStyle name="Total 6 3 6 3 3" xfId="57321" xr:uid="{00000000-0005-0000-0000-0000C0E00000}"/>
    <cellStyle name="Total 6 3 6 3 3 2" xfId="57322" xr:uid="{00000000-0005-0000-0000-0000C1E00000}"/>
    <cellStyle name="Total 6 3 6 3 3 3" xfId="57323" xr:uid="{00000000-0005-0000-0000-0000C2E00000}"/>
    <cellStyle name="Total 6 3 6 3 3 4" xfId="57324" xr:uid="{00000000-0005-0000-0000-0000C3E00000}"/>
    <cellStyle name="Total 6 3 6 3 4" xfId="57325" xr:uid="{00000000-0005-0000-0000-0000C4E00000}"/>
    <cellStyle name="Total 6 3 6 3 5" xfId="57326" xr:uid="{00000000-0005-0000-0000-0000C5E00000}"/>
    <cellStyle name="Total 6 3 6 3 6" xfId="57327" xr:uid="{00000000-0005-0000-0000-0000C6E00000}"/>
    <cellStyle name="Total 6 3 6 4" xfId="57328" xr:uid="{00000000-0005-0000-0000-0000C7E00000}"/>
    <cellStyle name="Total 6 3 6 5" xfId="57329" xr:uid="{00000000-0005-0000-0000-0000C8E00000}"/>
    <cellStyle name="Total 6 3 7" xfId="57330" xr:uid="{00000000-0005-0000-0000-0000C9E00000}"/>
    <cellStyle name="Total 6 3 7 2" xfId="57331" xr:uid="{00000000-0005-0000-0000-0000CAE00000}"/>
    <cellStyle name="Total 6 3 7 2 2" xfId="57332" xr:uid="{00000000-0005-0000-0000-0000CBE00000}"/>
    <cellStyle name="Total 6 3 7 2 2 2" xfId="57333" xr:uid="{00000000-0005-0000-0000-0000CCE00000}"/>
    <cellStyle name="Total 6 3 7 2 2 3" xfId="57334" xr:uid="{00000000-0005-0000-0000-0000CDE00000}"/>
    <cellStyle name="Total 6 3 7 2 2 4" xfId="57335" xr:uid="{00000000-0005-0000-0000-0000CEE00000}"/>
    <cellStyle name="Total 6 3 7 2 3" xfId="57336" xr:uid="{00000000-0005-0000-0000-0000CFE00000}"/>
    <cellStyle name="Total 6 3 7 2 4" xfId="57337" xr:uid="{00000000-0005-0000-0000-0000D0E00000}"/>
    <cellStyle name="Total 6 3 7 2 5" xfId="57338" xr:uid="{00000000-0005-0000-0000-0000D1E00000}"/>
    <cellStyle name="Total 6 3 7 3" xfId="57339" xr:uid="{00000000-0005-0000-0000-0000D2E00000}"/>
    <cellStyle name="Total 6 3 7 3 2" xfId="57340" xr:uid="{00000000-0005-0000-0000-0000D3E00000}"/>
    <cellStyle name="Total 6 3 7 3 2 2" xfId="57341" xr:uid="{00000000-0005-0000-0000-0000D4E00000}"/>
    <cellStyle name="Total 6 3 7 3 2 3" xfId="57342" xr:uid="{00000000-0005-0000-0000-0000D5E00000}"/>
    <cellStyle name="Total 6 3 7 3 2 4" xfId="57343" xr:uid="{00000000-0005-0000-0000-0000D6E00000}"/>
    <cellStyle name="Total 6 3 7 3 3" xfId="57344" xr:uid="{00000000-0005-0000-0000-0000D7E00000}"/>
    <cellStyle name="Total 6 3 7 3 3 2" xfId="57345" xr:uid="{00000000-0005-0000-0000-0000D8E00000}"/>
    <cellStyle name="Total 6 3 7 3 3 3" xfId="57346" xr:uid="{00000000-0005-0000-0000-0000D9E00000}"/>
    <cellStyle name="Total 6 3 7 3 3 4" xfId="57347" xr:uid="{00000000-0005-0000-0000-0000DAE00000}"/>
    <cellStyle name="Total 6 3 7 3 4" xfId="57348" xr:uid="{00000000-0005-0000-0000-0000DBE00000}"/>
    <cellStyle name="Total 6 3 7 3 5" xfId="57349" xr:uid="{00000000-0005-0000-0000-0000DCE00000}"/>
    <cellStyle name="Total 6 3 7 3 6" xfId="57350" xr:uid="{00000000-0005-0000-0000-0000DDE00000}"/>
    <cellStyle name="Total 6 3 7 4" xfId="57351" xr:uid="{00000000-0005-0000-0000-0000DEE00000}"/>
    <cellStyle name="Total 6 3 7 5" xfId="57352" xr:uid="{00000000-0005-0000-0000-0000DFE00000}"/>
    <cellStyle name="Total 6 3 8" xfId="57353" xr:uid="{00000000-0005-0000-0000-0000E0E00000}"/>
    <cellStyle name="Total 6 3 8 2" xfId="57354" xr:uid="{00000000-0005-0000-0000-0000E1E00000}"/>
    <cellStyle name="Total 6 3 8 2 2" xfId="57355" xr:uid="{00000000-0005-0000-0000-0000E2E00000}"/>
    <cellStyle name="Total 6 3 8 2 2 2" xfId="57356" xr:uid="{00000000-0005-0000-0000-0000E3E00000}"/>
    <cellStyle name="Total 6 3 8 2 2 3" xfId="57357" xr:uid="{00000000-0005-0000-0000-0000E4E00000}"/>
    <cellStyle name="Total 6 3 8 2 2 4" xfId="57358" xr:uid="{00000000-0005-0000-0000-0000E5E00000}"/>
    <cellStyle name="Total 6 3 8 2 3" xfId="57359" xr:uid="{00000000-0005-0000-0000-0000E6E00000}"/>
    <cellStyle name="Total 6 3 8 2 4" xfId="57360" xr:uid="{00000000-0005-0000-0000-0000E7E00000}"/>
    <cellStyle name="Total 6 3 8 2 5" xfId="57361" xr:uid="{00000000-0005-0000-0000-0000E8E00000}"/>
    <cellStyle name="Total 6 3 8 3" xfId="57362" xr:uid="{00000000-0005-0000-0000-0000E9E00000}"/>
    <cellStyle name="Total 6 3 8 3 2" xfId="57363" xr:uid="{00000000-0005-0000-0000-0000EAE00000}"/>
    <cellStyle name="Total 6 3 8 3 2 2" xfId="57364" xr:uid="{00000000-0005-0000-0000-0000EBE00000}"/>
    <cellStyle name="Total 6 3 8 3 2 3" xfId="57365" xr:uid="{00000000-0005-0000-0000-0000ECE00000}"/>
    <cellStyle name="Total 6 3 8 3 2 4" xfId="57366" xr:uid="{00000000-0005-0000-0000-0000EDE00000}"/>
    <cellStyle name="Total 6 3 8 3 3" xfId="57367" xr:uid="{00000000-0005-0000-0000-0000EEE00000}"/>
    <cellStyle name="Total 6 3 8 3 3 2" xfId="57368" xr:uid="{00000000-0005-0000-0000-0000EFE00000}"/>
    <cellStyle name="Total 6 3 8 3 3 3" xfId="57369" xr:uid="{00000000-0005-0000-0000-0000F0E00000}"/>
    <cellStyle name="Total 6 3 8 3 3 4" xfId="57370" xr:uid="{00000000-0005-0000-0000-0000F1E00000}"/>
    <cellStyle name="Total 6 3 8 3 4" xfId="57371" xr:uid="{00000000-0005-0000-0000-0000F2E00000}"/>
    <cellStyle name="Total 6 3 8 3 5" xfId="57372" xr:uid="{00000000-0005-0000-0000-0000F3E00000}"/>
    <cellStyle name="Total 6 3 8 3 6" xfId="57373" xr:uid="{00000000-0005-0000-0000-0000F4E00000}"/>
    <cellStyle name="Total 6 3 8 4" xfId="57374" xr:uid="{00000000-0005-0000-0000-0000F5E00000}"/>
    <cellStyle name="Total 6 3 8 5" xfId="57375" xr:uid="{00000000-0005-0000-0000-0000F6E00000}"/>
    <cellStyle name="Total 6 3 9" xfId="57376" xr:uid="{00000000-0005-0000-0000-0000F7E00000}"/>
    <cellStyle name="Total 6 3 9 2" xfId="57377" xr:uid="{00000000-0005-0000-0000-0000F8E00000}"/>
    <cellStyle name="Total 6 3 9 2 2" xfId="57378" xr:uid="{00000000-0005-0000-0000-0000F9E00000}"/>
    <cellStyle name="Total 6 3 9 2 2 2" xfId="57379" xr:uid="{00000000-0005-0000-0000-0000FAE00000}"/>
    <cellStyle name="Total 6 3 9 2 2 3" xfId="57380" xr:uid="{00000000-0005-0000-0000-0000FBE00000}"/>
    <cellStyle name="Total 6 3 9 2 2 4" xfId="57381" xr:uid="{00000000-0005-0000-0000-0000FCE00000}"/>
    <cellStyle name="Total 6 3 9 2 3" xfId="57382" xr:uid="{00000000-0005-0000-0000-0000FDE00000}"/>
    <cellStyle name="Total 6 3 9 2 4" xfId="57383" xr:uid="{00000000-0005-0000-0000-0000FEE00000}"/>
    <cellStyle name="Total 6 3 9 2 5" xfId="57384" xr:uid="{00000000-0005-0000-0000-0000FFE00000}"/>
    <cellStyle name="Total 6 3 9 3" xfId="57385" xr:uid="{00000000-0005-0000-0000-000000E10000}"/>
    <cellStyle name="Total 6 3 9 3 2" xfId="57386" xr:uid="{00000000-0005-0000-0000-000001E10000}"/>
    <cellStyle name="Total 6 3 9 3 2 2" xfId="57387" xr:uid="{00000000-0005-0000-0000-000002E10000}"/>
    <cellStyle name="Total 6 3 9 3 2 3" xfId="57388" xr:uid="{00000000-0005-0000-0000-000003E10000}"/>
    <cellStyle name="Total 6 3 9 3 2 4" xfId="57389" xr:uid="{00000000-0005-0000-0000-000004E10000}"/>
    <cellStyle name="Total 6 3 9 3 3" xfId="57390" xr:uid="{00000000-0005-0000-0000-000005E10000}"/>
    <cellStyle name="Total 6 3 9 3 3 2" xfId="57391" xr:uid="{00000000-0005-0000-0000-000006E10000}"/>
    <cellStyle name="Total 6 3 9 3 3 3" xfId="57392" xr:uid="{00000000-0005-0000-0000-000007E10000}"/>
    <cellStyle name="Total 6 3 9 3 3 4" xfId="57393" xr:uid="{00000000-0005-0000-0000-000008E10000}"/>
    <cellStyle name="Total 6 3 9 3 4" xfId="57394" xr:uid="{00000000-0005-0000-0000-000009E10000}"/>
    <cellStyle name="Total 6 3 9 3 5" xfId="57395" xr:uid="{00000000-0005-0000-0000-00000AE10000}"/>
    <cellStyle name="Total 6 3 9 3 6" xfId="57396" xr:uid="{00000000-0005-0000-0000-00000BE10000}"/>
    <cellStyle name="Total 6 3 9 4" xfId="57397" xr:uid="{00000000-0005-0000-0000-00000CE10000}"/>
    <cellStyle name="Total 6 3 9 5" xfId="57398" xr:uid="{00000000-0005-0000-0000-00000DE10000}"/>
    <cellStyle name="Total 6 4" xfId="57399" xr:uid="{00000000-0005-0000-0000-00000EE10000}"/>
    <cellStyle name="Total 6 4 10" xfId="57400" xr:uid="{00000000-0005-0000-0000-00000FE10000}"/>
    <cellStyle name="Total 6 4 10 2" xfId="57401" xr:uid="{00000000-0005-0000-0000-000010E10000}"/>
    <cellStyle name="Total 6 4 10 2 2" xfId="57402" xr:uid="{00000000-0005-0000-0000-000011E10000}"/>
    <cellStyle name="Total 6 4 10 2 2 2" xfId="57403" xr:uid="{00000000-0005-0000-0000-000012E10000}"/>
    <cellStyle name="Total 6 4 10 2 2 3" xfId="57404" xr:uid="{00000000-0005-0000-0000-000013E10000}"/>
    <cellStyle name="Total 6 4 10 2 2 4" xfId="57405" xr:uid="{00000000-0005-0000-0000-000014E10000}"/>
    <cellStyle name="Total 6 4 10 2 3" xfId="57406" xr:uid="{00000000-0005-0000-0000-000015E10000}"/>
    <cellStyle name="Total 6 4 10 2 4" xfId="57407" xr:uid="{00000000-0005-0000-0000-000016E10000}"/>
    <cellStyle name="Total 6 4 10 2 5" xfId="57408" xr:uid="{00000000-0005-0000-0000-000017E10000}"/>
    <cellStyle name="Total 6 4 10 3" xfId="57409" xr:uid="{00000000-0005-0000-0000-000018E10000}"/>
    <cellStyle name="Total 6 4 10 3 2" xfId="57410" xr:uid="{00000000-0005-0000-0000-000019E10000}"/>
    <cellStyle name="Total 6 4 10 3 2 2" xfId="57411" xr:uid="{00000000-0005-0000-0000-00001AE10000}"/>
    <cellStyle name="Total 6 4 10 3 2 3" xfId="57412" xr:uid="{00000000-0005-0000-0000-00001BE10000}"/>
    <cellStyle name="Total 6 4 10 3 2 4" xfId="57413" xr:uid="{00000000-0005-0000-0000-00001CE10000}"/>
    <cellStyle name="Total 6 4 10 3 3" xfId="57414" xr:uid="{00000000-0005-0000-0000-00001DE10000}"/>
    <cellStyle name="Total 6 4 10 3 3 2" xfId="57415" xr:uid="{00000000-0005-0000-0000-00001EE10000}"/>
    <cellStyle name="Total 6 4 10 3 3 3" xfId="57416" xr:uid="{00000000-0005-0000-0000-00001FE10000}"/>
    <cellStyle name="Total 6 4 10 3 3 4" xfId="57417" xr:uid="{00000000-0005-0000-0000-000020E10000}"/>
    <cellStyle name="Total 6 4 10 3 4" xfId="57418" xr:uid="{00000000-0005-0000-0000-000021E10000}"/>
    <cellStyle name="Total 6 4 10 3 5" xfId="57419" xr:uid="{00000000-0005-0000-0000-000022E10000}"/>
    <cellStyle name="Total 6 4 10 3 6" xfId="57420" xr:uid="{00000000-0005-0000-0000-000023E10000}"/>
    <cellStyle name="Total 6 4 10 4" xfId="57421" xr:uid="{00000000-0005-0000-0000-000024E10000}"/>
    <cellStyle name="Total 6 4 10 5" xfId="57422" xr:uid="{00000000-0005-0000-0000-000025E10000}"/>
    <cellStyle name="Total 6 4 11" xfId="57423" xr:uid="{00000000-0005-0000-0000-000026E10000}"/>
    <cellStyle name="Total 6 4 11 2" xfId="57424" xr:uid="{00000000-0005-0000-0000-000027E10000}"/>
    <cellStyle name="Total 6 4 11 2 2" xfId="57425" xr:uid="{00000000-0005-0000-0000-000028E10000}"/>
    <cellStyle name="Total 6 4 11 2 2 2" xfId="57426" xr:uid="{00000000-0005-0000-0000-000029E10000}"/>
    <cellStyle name="Total 6 4 11 2 2 3" xfId="57427" xr:uid="{00000000-0005-0000-0000-00002AE10000}"/>
    <cellStyle name="Total 6 4 11 2 2 4" xfId="57428" xr:uid="{00000000-0005-0000-0000-00002BE10000}"/>
    <cellStyle name="Total 6 4 11 2 3" xfId="57429" xr:uid="{00000000-0005-0000-0000-00002CE10000}"/>
    <cellStyle name="Total 6 4 11 2 4" xfId="57430" xr:uid="{00000000-0005-0000-0000-00002DE10000}"/>
    <cellStyle name="Total 6 4 11 2 5" xfId="57431" xr:uid="{00000000-0005-0000-0000-00002EE10000}"/>
    <cellStyle name="Total 6 4 11 3" xfId="57432" xr:uid="{00000000-0005-0000-0000-00002FE10000}"/>
    <cellStyle name="Total 6 4 11 3 2" xfId="57433" xr:uid="{00000000-0005-0000-0000-000030E10000}"/>
    <cellStyle name="Total 6 4 11 3 2 2" xfId="57434" xr:uid="{00000000-0005-0000-0000-000031E10000}"/>
    <cellStyle name="Total 6 4 11 3 2 3" xfId="57435" xr:uid="{00000000-0005-0000-0000-000032E10000}"/>
    <cellStyle name="Total 6 4 11 3 2 4" xfId="57436" xr:uid="{00000000-0005-0000-0000-000033E10000}"/>
    <cellStyle name="Total 6 4 11 3 3" xfId="57437" xr:uid="{00000000-0005-0000-0000-000034E10000}"/>
    <cellStyle name="Total 6 4 11 3 3 2" xfId="57438" xr:uid="{00000000-0005-0000-0000-000035E10000}"/>
    <cellStyle name="Total 6 4 11 3 3 3" xfId="57439" xr:uid="{00000000-0005-0000-0000-000036E10000}"/>
    <cellStyle name="Total 6 4 11 3 3 4" xfId="57440" xr:uid="{00000000-0005-0000-0000-000037E10000}"/>
    <cellStyle name="Total 6 4 11 3 4" xfId="57441" xr:uid="{00000000-0005-0000-0000-000038E10000}"/>
    <cellStyle name="Total 6 4 11 3 5" xfId="57442" xr:uid="{00000000-0005-0000-0000-000039E10000}"/>
    <cellStyle name="Total 6 4 11 3 6" xfId="57443" xr:uid="{00000000-0005-0000-0000-00003AE10000}"/>
    <cellStyle name="Total 6 4 11 4" xfId="57444" xr:uid="{00000000-0005-0000-0000-00003BE10000}"/>
    <cellStyle name="Total 6 4 11 5" xfId="57445" xr:uid="{00000000-0005-0000-0000-00003CE10000}"/>
    <cellStyle name="Total 6 4 12" xfId="57446" xr:uid="{00000000-0005-0000-0000-00003DE10000}"/>
    <cellStyle name="Total 6 4 12 2" xfId="57447" xr:uid="{00000000-0005-0000-0000-00003EE10000}"/>
    <cellStyle name="Total 6 4 12 2 2" xfId="57448" xr:uid="{00000000-0005-0000-0000-00003FE10000}"/>
    <cellStyle name="Total 6 4 12 2 2 2" xfId="57449" xr:uid="{00000000-0005-0000-0000-000040E10000}"/>
    <cellStyle name="Total 6 4 12 2 2 3" xfId="57450" xr:uid="{00000000-0005-0000-0000-000041E10000}"/>
    <cellStyle name="Total 6 4 12 2 2 4" xfId="57451" xr:uid="{00000000-0005-0000-0000-000042E10000}"/>
    <cellStyle name="Total 6 4 12 2 3" xfId="57452" xr:uid="{00000000-0005-0000-0000-000043E10000}"/>
    <cellStyle name="Total 6 4 12 2 3 2" xfId="57453" xr:uid="{00000000-0005-0000-0000-000044E10000}"/>
    <cellStyle name="Total 6 4 12 2 3 3" xfId="57454" xr:uid="{00000000-0005-0000-0000-000045E10000}"/>
    <cellStyle name="Total 6 4 12 2 3 4" xfId="57455" xr:uid="{00000000-0005-0000-0000-000046E10000}"/>
    <cellStyle name="Total 6 4 12 2 4" xfId="57456" xr:uid="{00000000-0005-0000-0000-000047E10000}"/>
    <cellStyle name="Total 6 4 12 2 5" xfId="57457" xr:uid="{00000000-0005-0000-0000-000048E10000}"/>
    <cellStyle name="Total 6 4 12 2 6" xfId="57458" xr:uid="{00000000-0005-0000-0000-000049E10000}"/>
    <cellStyle name="Total 6 4 12 3" xfId="57459" xr:uid="{00000000-0005-0000-0000-00004AE10000}"/>
    <cellStyle name="Total 6 4 12 3 2" xfId="57460" xr:uid="{00000000-0005-0000-0000-00004BE10000}"/>
    <cellStyle name="Total 6 4 12 3 2 2" xfId="57461" xr:uid="{00000000-0005-0000-0000-00004CE10000}"/>
    <cellStyle name="Total 6 4 12 3 2 3" xfId="57462" xr:uid="{00000000-0005-0000-0000-00004DE10000}"/>
    <cellStyle name="Total 6 4 12 3 2 4" xfId="57463" xr:uid="{00000000-0005-0000-0000-00004EE10000}"/>
    <cellStyle name="Total 6 4 12 3 3" xfId="57464" xr:uid="{00000000-0005-0000-0000-00004FE10000}"/>
    <cellStyle name="Total 6 4 12 3 3 2" xfId="57465" xr:uid="{00000000-0005-0000-0000-000050E10000}"/>
    <cellStyle name="Total 6 4 12 3 3 3" xfId="57466" xr:uid="{00000000-0005-0000-0000-000051E10000}"/>
    <cellStyle name="Total 6 4 12 3 3 4" xfId="57467" xr:uid="{00000000-0005-0000-0000-000052E10000}"/>
    <cellStyle name="Total 6 4 12 3 4" xfId="57468" xr:uid="{00000000-0005-0000-0000-000053E10000}"/>
    <cellStyle name="Total 6 4 12 3 5" xfId="57469" xr:uid="{00000000-0005-0000-0000-000054E10000}"/>
    <cellStyle name="Total 6 4 12 3 6" xfId="57470" xr:uid="{00000000-0005-0000-0000-000055E10000}"/>
    <cellStyle name="Total 6 4 12 4" xfId="57471" xr:uid="{00000000-0005-0000-0000-000056E10000}"/>
    <cellStyle name="Total 6 4 12 5" xfId="57472" xr:uid="{00000000-0005-0000-0000-000057E10000}"/>
    <cellStyle name="Total 6 4 12 6" xfId="57473" xr:uid="{00000000-0005-0000-0000-000058E10000}"/>
    <cellStyle name="Total 6 4 13" xfId="57474" xr:uid="{00000000-0005-0000-0000-000059E10000}"/>
    <cellStyle name="Total 6 4 14" xfId="57475" xr:uid="{00000000-0005-0000-0000-00005AE10000}"/>
    <cellStyle name="Total 6 4 15" xfId="58817" xr:uid="{00000000-0005-0000-0000-00005BE10000}"/>
    <cellStyle name="Total 6 4 2" xfId="57476" xr:uid="{00000000-0005-0000-0000-00005CE10000}"/>
    <cellStyle name="Total 6 4 2 2" xfId="57477" xr:uid="{00000000-0005-0000-0000-00005DE10000}"/>
    <cellStyle name="Total 6 4 2 2 2" xfId="57478" xr:uid="{00000000-0005-0000-0000-00005EE10000}"/>
    <cellStyle name="Total 6 4 2 2 2 2" xfId="57479" xr:uid="{00000000-0005-0000-0000-00005FE10000}"/>
    <cellStyle name="Total 6 4 2 2 2 2 2" xfId="57480" xr:uid="{00000000-0005-0000-0000-000060E10000}"/>
    <cellStyle name="Total 6 4 2 2 2 2 3" xfId="57481" xr:uid="{00000000-0005-0000-0000-000061E10000}"/>
    <cellStyle name="Total 6 4 2 2 2 2 4" xfId="57482" xr:uid="{00000000-0005-0000-0000-000062E10000}"/>
    <cellStyle name="Total 6 4 2 2 2 3" xfId="57483" xr:uid="{00000000-0005-0000-0000-000063E10000}"/>
    <cellStyle name="Total 6 4 2 2 2 3 2" xfId="57484" xr:uid="{00000000-0005-0000-0000-000064E10000}"/>
    <cellStyle name="Total 6 4 2 2 2 3 3" xfId="57485" xr:uid="{00000000-0005-0000-0000-000065E10000}"/>
    <cellStyle name="Total 6 4 2 2 2 3 4" xfId="57486" xr:uid="{00000000-0005-0000-0000-000066E10000}"/>
    <cellStyle name="Total 6 4 2 2 2 4" xfId="57487" xr:uid="{00000000-0005-0000-0000-000067E10000}"/>
    <cellStyle name="Total 6 4 2 2 2 5" xfId="57488" xr:uid="{00000000-0005-0000-0000-000068E10000}"/>
    <cellStyle name="Total 6 4 2 2 2 6" xfId="57489" xr:uid="{00000000-0005-0000-0000-000069E10000}"/>
    <cellStyle name="Total 6 4 2 2 3" xfId="57490" xr:uid="{00000000-0005-0000-0000-00006AE10000}"/>
    <cellStyle name="Total 6 4 2 2 3 2" xfId="57491" xr:uid="{00000000-0005-0000-0000-00006BE10000}"/>
    <cellStyle name="Total 6 4 2 2 3 2 2" xfId="57492" xr:uid="{00000000-0005-0000-0000-00006CE10000}"/>
    <cellStyle name="Total 6 4 2 2 3 2 3" xfId="57493" xr:uid="{00000000-0005-0000-0000-00006DE10000}"/>
    <cellStyle name="Total 6 4 2 2 3 2 4" xfId="57494" xr:uid="{00000000-0005-0000-0000-00006EE10000}"/>
    <cellStyle name="Total 6 4 2 2 3 3" xfId="57495" xr:uid="{00000000-0005-0000-0000-00006FE10000}"/>
    <cellStyle name="Total 6 4 2 2 3 3 2" xfId="57496" xr:uid="{00000000-0005-0000-0000-000070E10000}"/>
    <cellStyle name="Total 6 4 2 2 3 3 3" xfId="57497" xr:uid="{00000000-0005-0000-0000-000071E10000}"/>
    <cellStyle name="Total 6 4 2 2 3 3 4" xfId="57498" xr:uid="{00000000-0005-0000-0000-000072E10000}"/>
    <cellStyle name="Total 6 4 2 2 3 4" xfId="57499" xr:uid="{00000000-0005-0000-0000-000073E10000}"/>
    <cellStyle name="Total 6 4 2 2 3 5" xfId="57500" xr:uid="{00000000-0005-0000-0000-000074E10000}"/>
    <cellStyle name="Total 6 4 2 2 3 6" xfId="57501" xr:uid="{00000000-0005-0000-0000-000075E10000}"/>
    <cellStyle name="Total 6 4 2 2 4" xfId="57502" xr:uid="{00000000-0005-0000-0000-000076E10000}"/>
    <cellStyle name="Total 6 4 2 2 5" xfId="57503" xr:uid="{00000000-0005-0000-0000-000077E10000}"/>
    <cellStyle name="Total 6 4 2 2 6" xfId="57504" xr:uid="{00000000-0005-0000-0000-000078E10000}"/>
    <cellStyle name="Total 6 4 2 3" xfId="57505" xr:uid="{00000000-0005-0000-0000-000079E10000}"/>
    <cellStyle name="Total 6 4 2 4" xfId="57506" xr:uid="{00000000-0005-0000-0000-00007AE10000}"/>
    <cellStyle name="Total 6 4 3" xfId="57507" xr:uid="{00000000-0005-0000-0000-00007BE10000}"/>
    <cellStyle name="Total 6 4 3 2" xfId="57508" xr:uid="{00000000-0005-0000-0000-00007CE10000}"/>
    <cellStyle name="Total 6 4 3 2 2" xfId="57509" xr:uid="{00000000-0005-0000-0000-00007DE10000}"/>
    <cellStyle name="Total 6 4 3 2 2 2" xfId="57510" xr:uid="{00000000-0005-0000-0000-00007EE10000}"/>
    <cellStyle name="Total 6 4 3 2 2 2 2" xfId="57511" xr:uid="{00000000-0005-0000-0000-00007FE10000}"/>
    <cellStyle name="Total 6 4 3 2 2 2 3" xfId="57512" xr:uid="{00000000-0005-0000-0000-000080E10000}"/>
    <cellStyle name="Total 6 4 3 2 2 2 4" xfId="57513" xr:uid="{00000000-0005-0000-0000-000081E10000}"/>
    <cellStyle name="Total 6 4 3 2 2 3" xfId="57514" xr:uid="{00000000-0005-0000-0000-000082E10000}"/>
    <cellStyle name="Total 6 4 3 2 2 3 2" xfId="57515" xr:uid="{00000000-0005-0000-0000-000083E10000}"/>
    <cellStyle name="Total 6 4 3 2 2 3 3" xfId="57516" xr:uid="{00000000-0005-0000-0000-000084E10000}"/>
    <cellStyle name="Total 6 4 3 2 2 3 4" xfId="57517" xr:uid="{00000000-0005-0000-0000-000085E10000}"/>
    <cellStyle name="Total 6 4 3 2 2 4" xfId="57518" xr:uid="{00000000-0005-0000-0000-000086E10000}"/>
    <cellStyle name="Total 6 4 3 2 2 5" xfId="57519" xr:uid="{00000000-0005-0000-0000-000087E10000}"/>
    <cellStyle name="Total 6 4 3 2 2 6" xfId="57520" xr:uid="{00000000-0005-0000-0000-000088E10000}"/>
    <cellStyle name="Total 6 4 3 2 3" xfId="57521" xr:uid="{00000000-0005-0000-0000-000089E10000}"/>
    <cellStyle name="Total 6 4 3 2 3 2" xfId="57522" xr:uid="{00000000-0005-0000-0000-00008AE10000}"/>
    <cellStyle name="Total 6 4 3 2 3 2 2" xfId="57523" xr:uid="{00000000-0005-0000-0000-00008BE10000}"/>
    <cellStyle name="Total 6 4 3 2 3 2 3" xfId="57524" xr:uid="{00000000-0005-0000-0000-00008CE10000}"/>
    <cellStyle name="Total 6 4 3 2 3 2 4" xfId="57525" xr:uid="{00000000-0005-0000-0000-00008DE10000}"/>
    <cellStyle name="Total 6 4 3 2 3 3" xfId="57526" xr:uid="{00000000-0005-0000-0000-00008EE10000}"/>
    <cellStyle name="Total 6 4 3 2 3 3 2" xfId="57527" xr:uid="{00000000-0005-0000-0000-00008FE10000}"/>
    <cellStyle name="Total 6 4 3 2 3 3 3" xfId="57528" xr:uid="{00000000-0005-0000-0000-000090E10000}"/>
    <cellStyle name="Total 6 4 3 2 3 3 4" xfId="57529" xr:uid="{00000000-0005-0000-0000-000091E10000}"/>
    <cellStyle name="Total 6 4 3 2 3 4" xfId="57530" xr:uid="{00000000-0005-0000-0000-000092E10000}"/>
    <cellStyle name="Total 6 4 3 2 3 5" xfId="57531" xr:uid="{00000000-0005-0000-0000-000093E10000}"/>
    <cellStyle name="Total 6 4 3 2 3 6" xfId="57532" xr:uid="{00000000-0005-0000-0000-000094E10000}"/>
    <cellStyle name="Total 6 4 3 2 4" xfId="57533" xr:uid="{00000000-0005-0000-0000-000095E10000}"/>
    <cellStyle name="Total 6 4 3 2 5" xfId="57534" xr:uid="{00000000-0005-0000-0000-000096E10000}"/>
    <cellStyle name="Total 6 4 3 2 6" xfId="57535" xr:uid="{00000000-0005-0000-0000-000097E10000}"/>
    <cellStyle name="Total 6 4 3 3" xfId="57536" xr:uid="{00000000-0005-0000-0000-000098E10000}"/>
    <cellStyle name="Total 6 4 3 4" xfId="57537" xr:uid="{00000000-0005-0000-0000-000099E10000}"/>
    <cellStyle name="Total 6 4 4" xfId="57538" xr:uid="{00000000-0005-0000-0000-00009AE10000}"/>
    <cellStyle name="Total 6 4 4 2" xfId="57539" xr:uid="{00000000-0005-0000-0000-00009BE10000}"/>
    <cellStyle name="Total 6 4 4 2 2" xfId="57540" xr:uid="{00000000-0005-0000-0000-00009CE10000}"/>
    <cellStyle name="Total 6 4 4 2 2 2" xfId="57541" xr:uid="{00000000-0005-0000-0000-00009DE10000}"/>
    <cellStyle name="Total 6 4 4 2 2 2 2" xfId="57542" xr:uid="{00000000-0005-0000-0000-00009EE10000}"/>
    <cellStyle name="Total 6 4 4 2 2 2 3" xfId="57543" xr:uid="{00000000-0005-0000-0000-00009FE10000}"/>
    <cellStyle name="Total 6 4 4 2 2 2 4" xfId="57544" xr:uid="{00000000-0005-0000-0000-0000A0E10000}"/>
    <cellStyle name="Total 6 4 4 2 2 3" xfId="57545" xr:uid="{00000000-0005-0000-0000-0000A1E10000}"/>
    <cellStyle name="Total 6 4 4 2 2 3 2" xfId="57546" xr:uid="{00000000-0005-0000-0000-0000A2E10000}"/>
    <cellStyle name="Total 6 4 4 2 2 3 3" xfId="57547" xr:uid="{00000000-0005-0000-0000-0000A3E10000}"/>
    <cellStyle name="Total 6 4 4 2 2 3 4" xfId="57548" xr:uid="{00000000-0005-0000-0000-0000A4E10000}"/>
    <cellStyle name="Total 6 4 4 2 2 4" xfId="57549" xr:uid="{00000000-0005-0000-0000-0000A5E10000}"/>
    <cellStyle name="Total 6 4 4 2 2 5" xfId="57550" xr:uid="{00000000-0005-0000-0000-0000A6E10000}"/>
    <cellStyle name="Total 6 4 4 2 2 6" xfId="57551" xr:uid="{00000000-0005-0000-0000-0000A7E10000}"/>
    <cellStyle name="Total 6 4 4 2 3" xfId="57552" xr:uid="{00000000-0005-0000-0000-0000A8E10000}"/>
    <cellStyle name="Total 6 4 4 2 3 2" xfId="57553" xr:uid="{00000000-0005-0000-0000-0000A9E10000}"/>
    <cellStyle name="Total 6 4 4 2 3 2 2" xfId="57554" xr:uid="{00000000-0005-0000-0000-0000AAE10000}"/>
    <cellStyle name="Total 6 4 4 2 3 2 3" xfId="57555" xr:uid="{00000000-0005-0000-0000-0000ABE10000}"/>
    <cellStyle name="Total 6 4 4 2 3 2 4" xfId="57556" xr:uid="{00000000-0005-0000-0000-0000ACE10000}"/>
    <cellStyle name="Total 6 4 4 2 3 3" xfId="57557" xr:uid="{00000000-0005-0000-0000-0000ADE10000}"/>
    <cellStyle name="Total 6 4 4 2 3 3 2" xfId="57558" xr:uid="{00000000-0005-0000-0000-0000AEE10000}"/>
    <cellStyle name="Total 6 4 4 2 3 3 3" xfId="57559" xr:uid="{00000000-0005-0000-0000-0000AFE10000}"/>
    <cellStyle name="Total 6 4 4 2 3 3 4" xfId="57560" xr:uid="{00000000-0005-0000-0000-0000B0E10000}"/>
    <cellStyle name="Total 6 4 4 2 3 4" xfId="57561" xr:uid="{00000000-0005-0000-0000-0000B1E10000}"/>
    <cellStyle name="Total 6 4 4 2 3 5" xfId="57562" xr:uid="{00000000-0005-0000-0000-0000B2E10000}"/>
    <cellStyle name="Total 6 4 4 2 3 6" xfId="57563" xr:uid="{00000000-0005-0000-0000-0000B3E10000}"/>
    <cellStyle name="Total 6 4 4 2 4" xfId="57564" xr:uid="{00000000-0005-0000-0000-0000B4E10000}"/>
    <cellStyle name="Total 6 4 4 2 5" xfId="57565" xr:uid="{00000000-0005-0000-0000-0000B5E10000}"/>
    <cellStyle name="Total 6 4 4 2 6" xfId="57566" xr:uid="{00000000-0005-0000-0000-0000B6E10000}"/>
    <cellStyle name="Total 6 4 4 3" xfId="57567" xr:uid="{00000000-0005-0000-0000-0000B7E10000}"/>
    <cellStyle name="Total 6 4 4 4" xfId="57568" xr:uid="{00000000-0005-0000-0000-0000B8E10000}"/>
    <cellStyle name="Total 6 4 5" xfId="57569" xr:uid="{00000000-0005-0000-0000-0000B9E10000}"/>
    <cellStyle name="Total 6 4 5 2" xfId="57570" xr:uid="{00000000-0005-0000-0000-0000BAE10000}"/>
    <cellStyle name="Total 6 4 5 2 2" xfId="57571" xr:uid="{00000000-0005-0000-0000-0000BBE10000}"/>
    <cellStyle name="Total 6 4 5 2 2 2" xfId="57572" xr:uid="{00000000-0005-0000-0000-0000BCE10000}"/>
    <cellStyle name="Total 6 4 5 2 2 3" xfId="57573" xr:uid="{00000000-0005-0000-0000-0000BDE10000}"/>
    <cellStyle name="Total 6 4 5 2 2 4" xfId="57574" xr:uid="{00000000-0005-0000-0000-0000BEE10000}"/>
    <cellStyle name="Total 6 4 5 2 3" xfId="57575" xr:uid="{00000000-0005-0000-0000-0000BFE10000}"/>
    <cellStyle name="Total 6 4 5 2 4" xfId="57576" xr:uid="{00000000-0005-0000-0000-0000C0E10000}"/>
    <cellStyle name="Total 6 4 5 2 5" xfId="57577" xr:uid="{00000000-0005-0000-0000-0000C1E10000}"/>
    <cellStyle name="Total 6 4 5 3" xfId="57578" xr:uid="{00000000-0005-0000-0000-0000C2E10000}"/>
    <cellStyle name="Total 6 4 5 3 2" xfId="57579" xr:uid="{00000000-0005-0000-0000-0000C3E10000}"/>
    <cellStyle name="Total 6 4 5 3 2 2" xfId="57580" xr:uid="{00000000-0005-0000-0000-0000C4E10000}"/>
    <cellStyle name="Total 6 4 5 3 2 3" xfId="57581" xr:uid="{00000000-0005-0000-0000-0000C5E10000}"/>
    <cellStyle name="Total 6 4 5 3 2 4" xfId="57582" xr:uid="{00000000-0005-0000-0000-0000C6E10000}"/>
    <cellStyle name="Total 6 4 5 3 3" xfId="57583" xr:uid="{00000000-0005-0000-0000-0000C7E10000}"/>
    <cellStyle name="Total 6 4 5 3 3 2" xfId="57584" xr:uid="{00000000-0005-0000-0000-0000C8E10000}"/>
    <cellStyle name="Total 6 4 5 3 3 3" xfId="57585" xr:uid="{00000000-0005-0000-0000-0000C9E10000}"/>
    <cellStyle name="Total 6 4 5 3 3 4" xfId="57586" xr:uid="{00000000-0005-0000-0000-0000CAE10000}"/>
    <cellStyle name="Total 6 4 5 3 4" xfId="57587" xr:uid="{00000000-0005-0000-0000-0000CBE10000}"/>
    <cellStyle name="Total 6 4 5 3 5" xfId="57588" xr:uid="{00000000-0005-0000-0000-0000CCE10000}"/>
    <cellStyle name="Total 6 4 5 3 6" xfId="57589" xr:uid="{00000000-0005-0000-0000-0000CDE10000}"/>
    <cellStyle name="Total 6 4 5 4" xfId="57590" xr:uid="{00000000-0005-0000-0000-0000CEE10000}"/>
    <cellStyle name="Total 6 4 5 5" xfId="57591" xr:uid="{00000000-0005-0000-0000-0000CFE10000}"/>
    <cellStyle name="Total 6 4 6" xfId="57592" xr:uid="{00000000-0005-0000-0000-0000D0E10000}"/>
    <cellStyle name="Total 6 4 6 2" xfId="57593" xr:uid="{00000000-0005-0000-0000-0000D1E10000}"/>
    <cellStyle name="Total 6 4 6 2 2" xfId="57594" xr:uid="{00000000-0005-0000-0000-0000D2E10000}"/>
    <cellStyle name="Total 6 4 6 2 2 2" xfId="57595" xr:uid="{00000000-0005-0000-0000-0000D3E10000}"/>
    <cellStyle name="Total 6 4 6 2 2 3" xfId="57596" xr:uid="{00000000-0005-0000-0000-0000D4E10000}"/>
    <cellStyle name="Total 6 4 6 2 2 4" xfId="57597" xr:uid="{00000000-0005-0000-0000-0000D5E10000}"/>
    <cellStyle name="Total 6 4 6 2 3" xfId="57598" xr:uid="{00000000-0005-0000-0000-0000D6E10000}"/>
    <cellStyle name="Total 6 4 6 2 4" xfId="57599" xr:uid="{00000000-0005-0000-0000-0000D7E10000}"/>
    <cellStyle name="Total 6 4 6 2 5" xfId="57600" xr:uid="{00000000-0005-0000-0000-0000D8E10000}"/>
    <cellStyle name="Total 6 4 6 3" xfId="57601" xr:uid="{00000000-0005-0000-0000-0000D9E10000}"/>
    <cellStyle name="Total 6 4 6 3 2" xfId="57602" xr:uid="{00000000-0005-0000-0000-0000DAE10000}"/>
    <cellStyle name="Total 6 4 6 3 2 2" xfId="57603" xr:uid="{00000000-0005-0000-0000-0000DBE10000}"/>
    <cellStyle name="Total 6 4 6 3 2 3" xfId="57604" xr:uid="{00000000-0005-0000-0000-0000DCE10000}"/>
    <cellStyle name="Total 6 4 6 3 2 4" xfId="57605" xr:uid="{00000000-0005-0000-0000-0000DDE10000}"/>
    <cellStyle name="Total 6 4 6 3 3" xfId="57606" xr:uid="{00000000-0005-0000-0000-0000DEE10000}"/>
    <cellStyle name="Total 6 4 6 3 3 2" xfId="57607" xr:uid="{00000000-0005-0000-0000-0000DFE10000}"/>
    <cellStyle name="Total 6 4 6 3 3 3" xfId="57608" xr:uid="{00000000-0005-0000-0000-0000E0E10000}"/>
    <cellStyle name="Total 6 4 6 3 3 4" xfId="57609" xr:uid="{00000000-0005-0000-0000-0000E1E10000}"/>
    <cellStyle name="Total 6 4 6 3 4" xfId="57610" xr:uid="{00000000-0005-0000-0000-0000E2E10000}"/>
    <cellStyle name="Total 6 4 6 3 5" xfId="57611" xr:uid="{00000000-0005-0000-0000-0000E3E10000}"/>
    <cellStyle name="Total 6 4 6 3 6" xfId="57612" xr:uid="{00000000-0005-0000-0000-0000E4E10000}"/>
    <cellStyle name="Total 6 4 6 4" xfId="57613" xr:uid="{00000000-0005-0000-0000-0000E5E10000}"/>
    <cellStyle name="Total 6 4 6 5" xfId="57614" xr:uid="{00000000-0005-0000-0000-0000E6E10000}"/>
    <cellStyle name="Total 6 4 7" xfId="57615" xr:uid="{00000000-0005-0000-0000-0000E7E10000}"/>
    <cellStyle name="Total 6 4 7 2" xfId="57616" xr:uid="{00000000-0005-0000-0000-0000E8E10000}"/>
    <cellStyle name="Total 6 4 7 2 2" xfId="57617" xr:uid="{00000000-0005-0000-0000-0000E9E10000}"/>
    <cellStyle name="Total 6 4 7 2 2 2" xfId="57618" xr:uid="{00000000-0005-0000-0000-0000EAE10000}"/>
    <cellStyle name="Total 6 4 7 2 2 3" xfId="57619" xr:uid="{00000000-0005-0000-0000-0000EBE10000}"/>
    <cellStyle name="Total 6 4 7 2 2 4" xfId="57620" xr:uid="{00000000-0005-0000-0000-0000ECE10000}"/>
    <cellStyle name="Total 6 4 7 2 3" xfId="57621" xr:uid="{00000000-0005-0000-0000-0000EDE10000}"/>
    <cellStyle name="Total 6 4 7 2 4" xfId="57622" xr:uid="{00000000-0005-0000-0000-0000EEE10000}"/>
    <cellStyle name="Total 6 4 7 2 5" xfId="57623" xr:uid="{00000000-0005-0000-0000-0000EFE10000}"/>
    <cellStyle name="Total 6 4 7 3" xfId="57624" xr:uid="{00000000-0005-0000-0000-0000F0E10000}"/>
    <cellStyle name="Total 6 4 7 3 2" xfId="57625" xr:uid="{00000000-0005-0000-0000-0000F1E10000}"/>
    <cellStyle name="Total 6 4 7 3 2 2" xfId="57626" xr:uid="{00000000-0005-0000-0000-0000F2E10000}"/>
    <cellStyle name="Total 6 4 7 3 2 3" xfId="57627" xr:uid="{00000000-0005-0000-0000-0000F3E10000}"/>
    <cellStyle name="Total 6 4 7 3 2 4" xfId="57628" xr:uid="{00000000-0005-0000-0000-0000F4E10000}"/>
    <cellStyle name="Total 6 4 7 3 3" xfId="57629" xr:uid="{00000000-0005-0000-0000-0000F5E10000}"/>
    <cellStyle name="Total 6 4 7 3 3 2" xfId="57630" xr:uid="{00000000-0005-0000-0000-0000F6E10000}"/>
    <cellStyle name="Total 6 4 7 3 3 3" xfId="57631" xr:uid="{00000000-0005-0000-0000-0000F7E10000}"/>
    <cellStyle name="Total 6 4 7 3 3 4" xfId="57632" xr:uid="{00000000-0005-0000-0000-0000F8E10000}"/>
    <cellStyle name="Total 6 4 7 3 4" xfId="57633" xr:uid="{00000000-0005-0000-0000-0000F9E10000}"/>
    <cellStyle name="Total 6 4 7 3 5" xfId="57634" xr:uid="{00000000-0005-0000-0000-0000FAE10000}"/>
    <cellStyle name="Total 6 4 7 3 6" xfId="57635" xr:uid="{00000000-0005-0000-0000-0000FBE10000}"/>
    <cellStyle name="Total 6 4 7 4" xfId="57636" xr:uid="{00000000-0005-0000-0000-0000FCE10000}"/>
    <cellStyle name="Total 6 4 7 5" xfId="57637" xr:uid="{00000000-0005-0000-0000-0000FDE10000}"/>
    <cellStyle name="Total 6 4 8" xfId="57638" xr:uid="{00000000-0005-0000-0000-0000FEE10000}"/>
    <cellStyle name="Total 6 4 8 2" xfId="57639" xr:uid="{00000000-0005-0000-0000-0000FFE10000}"/>
    <cellStyle name="Total 6 4 8 2 2" xfId="57640" xr:uid="{00000000-0005-0000-0000-000000E20000}"/>
    <cellStyle name="Total 6 4 8 2 2 2" xfId="57641" xr:uid="{00000000-0005-0000-0000-000001E20000}"/>
    <cellStyle name="Total 6 4 8 2 2 3" xfId="57642" xr:uid="{00000000-0005-0000-0000-000002E20000}"/>
    <cellStyle name="Total 6 4 8 2 2 4" xfId="57643" xr:uid="{00000000-0005-0000-0000-000003E20000}"/>
    <cellStyle name="Total 6 4 8 2 3" xfId="57644" xr:uid="{00000000-0005-0000-0000-000004E20000}"/>
    <cellStyle name="Total 6 4 8 2 4" xfId="57645" xr:uid="{00000000-0005-0000-0000-000005E20000}"/>
    <cellStyle name="Total 6 4 8 2 5" xfId="57646" xr:uid="{00000000-0005-0000-0000-000006E20000}"/>
    <cellStyle name="Total 6 4 8 3" xfId="57647" xr:uid="{00000000-0005-0000-0000-000007E20000}"/>
    <cellStyle name="Total 6 4 8 3 2" xfId="57648" xr:uid="{00000000-0005-0000-0000-000008E20000}"/>
    <cellStyle name="Total 6 4 8 3 2 2" xfId="57649" xr:uid="{00000000-0005-0000-0000-000009E20000}"/>
    <cellStyle name="Total 6 4 8 3 2 3" xfId="57650" xr:uid="{00000000-0005-0000-0000-00000AE20000}"/>
    <cellStyle name="Total 6 4 8 3 2 4" xfId="57651" xr:uid="{00000000-0005-0000-0000-00000BE20000}"/>
    <cellStyle name="Total 6 4 8 3 3" xfId="57652" xr:uid="{00000000-0005-0000-0000-00000CE20000}"/>
    <cellStyle name="Total 6 4 8 3 3 2" xfId="57653" xr:uid="{00000000-0005-0000-0000-00000DE20000}"/>
    <cellStyle name="Total 6 4 8 3 3 3" xfId="57654" xr:uid="{00000000-0005-0000-0000-00000EE20000}"/>
    <cellStyle name="Total 6 4 8 3 3 4" xfId="57655" xr:uid="{00000000-0005-0000-0000-00000FE20000}"/>
    <cellStyle name="Total 6 4 8 3 4" xfId="57656" xr:uid="{00000000-0005-0000-0000-000010E20000}"/>
    <cellStyle name="Total 6 4 8 3 5" xfId="57657" xr:uid="{00000000-0005-0000-0000-000011E20000}"/>
    <cellStyle name="Total 6 4 8 3 6" xfId="57658" xr:uid="{00000000-0005-0000-0000-000012E20000}"/>
    <cellStyle name="Total 6 4 8 4" xfId="57659" xr:uid="{00000000-0005-0000-0000-000013E20000}"/>
    <cellStyle name="Total 6 4 8 5" xfId="57660" xr:uid="{00000000-0005-0000-0000-000014E20000}"/>
    <cellStyle name="Total 6 4 9" xfId="57661" xr:uid="{00000000-0005-0000-0000-000015E20000}"/>
    <cellStyle name="Total 6 4 9 2" xfId="57662" xr:uid="{00000000-0005-0000-0000-000016E20000}"/>
    <cellStyle name="Total 6 4 9 2 2" xfId="57663" xr:uid="{00000000-0005-0000-0000-000017E20000}"/>
    <cellStyle name="Total 6 4 9 2 2 2" xfId="57664" xr:uid="{00000000-0005-0000-0000-000018E20000}"/>
    <cellStyle name="Total 6 4 9 2 2 3" xfId="57665" xr:uid="{00000000-0005-0000-0000-000019E20000}"/>
    <cellStyle name="Total 6 4 9 2 2 4" xfId="57666" xr:uid="{00000000-0005-0000-0000-00001AE20000}"/>
    <cellStyle name="Total 6 4 9 2 3" xfId="57667" xr:uid="{00000000-0005-0000-0000-00001BE20000}"/>
    <cellStyle name="Total 6 4 9 2 4" xfId="57668" xr:uid="{00000000-0005-0000-0000-00001CE20000}"/>
    <cellStyle name="Total 6 4 9 2 5" xfId="57669" xr:uid="{00000000-0005-0000-0000-00001DE20000}"/>
    <cellStyle name="Total 6 4 9 3" xfId="57670" xr:uid="{00000000-0005-0000-0000-00001EE20000}"/>
    <cellStyle name="Total 6 4 9 3 2" xfId="57671" xr:uid="{00000000-0005-0000-0000-00001FE20000}"/>
    <cellStyle name="Total 6 4 9 3 2 2" xfId="57672" xr:uid="{00000000-0005-0000-0000-000020E20000}"/>
    <cellStyle name="Total 6 4 9 3 2 3" xfId="57673" xr:uid="{00000000-0005-0000-0000-000021E20000}"/>
    <cellStyle name="Total 6 4 9 3 2 4" xfId="57674" xr:uid="{00000000-0005-0000-0000-000022E20000}"/>
    <cellStyle name="Total 6 4 9 3 3" xfId="57675" xr:uid="{00000000-0005-0000-0000-000023E20000}"/>
    <cellStyle name="Total 6 4 9 3 3 2" xfId="57676" xr:uid="{00000000-0005-0000-0000-000024E20000}"/>
    <cellStyle name="Total 6 4 9 3 3 3" xfId="57677" xr:uid="{00000000-0005-0000-0000-000025E20000}"/>
    <cellStyle name="Total 6 4 9 3 3 4" xfId="57678" xr:uid="{00000000-0005-0000-0000-000026E20000}"/>
    <cellStyle name="Total 6 4 9 3 4" xfId="57679" xr:uid="{00000000-0005-0000-0000-000027E20000}"/>
    <cellStyle name="Total 6 4 9 3 5" xfId="57680" xr:uid="{00000000-0005-0000-0000-000028E20000}"/>
    <cellStyle name="Total 6 4 9 3 6" xfId="57681" xr:uid="{00000000-0005-0000-0000-000029E20000}"/>
    <cellStyle name="Total 6 4 9 4" xfId="57682" xr:uid="{00000000-0005-0000-0000-00002AE20000}"/>
    <cellStyle name="Total 6 4 9 5" xfId="57683" xr:uid="{00000000-0005-0000-0000-00002BE20000}"/>
    <cellStyle name="Total 6 5" xfId="57684" xr:uid="{00000000-0005-0000-0000-00002CE20000}"/>
    <cellStyle name="Total 6 5 2" xfId="57685" xr:uid="{00000000-0005-0000-0000-00002DE20000}"/>
    <cellStyle name="Total 6 5 2 2" xfId="57686" xr:uid="{00000000-0005-0000-0000-00002EE20000}"/>
    <cellStyle name="Total 6 5 2 2 2" xfId="57687" xr:uid="{00000000-0005-0000-0000-00002FE20000}"/>
    <cellStyle name="Total 6 5 2 2 3" xfId="57688" xr:uid="{00000000-0005-0000-0000-000030E20000}"/>
    <cellStyle name="Total 6 5 2 2 4" xfId="57689" xr:uid="{00000000-0005-0000-0000-000031E20000}"/>
    <cellStyle name="Total 6 5 2 3" xfId="57690" xr:uid="{00000000-0005-0000-0000-000032E20000}"/>
    <cellStyle name="Total 6 5 2 4" xfId="57691" xr:uid="{00000000-0005-0000-0000-000033E20000}"/>
    <cellStyle name="Total 6 5 2 5" xfId="57692" xr:uid="{00000000-0005-0000-0000-000034E20000}"/>
    <cellStyle name="Total 6 5 3" xfId="57693" xr:uid="{00000000-0005-0000-0000-000035E20000}"/>
    <cellStyle name="Total 6 5 3 2" xfId="57694" xr:uid="{00000000-0005-0000-0000-000036E20000}"/>
    <cellStyle name="Total 6 5 3 2 2" xfId="57695" xr:uid="{00000000-0005-0000-0000-000037E20000}"/>
    <cellStyle name="Total 6 5 3 2 3" xfId="57696" xr:uid="{00000000-0005-0000-0000-000038E20000}"/>
    <cellStyle name="Total 6 5 3 2 4" xfId="57697" xr:uid="{00000000-0005-0000-0000-000039E20000}"/>
    <cellStyle name="Total 6 5 3 3" xfId="57698" xr:uid="{00000000-0005-0000-0000-00003AE20000}"/>
    <cellStyle name="Total 6 5 3 3 2" xfId="57699" xr:uid="{00000000-0005-0000-0000-00003BE20000}"/>
    <cellStyle name="Total 6 5 3 3 3" xfId="57700" xr:uid="{00000000-0005-0000-0000-00003CE20000}"/>
    <cellStyle name="Total 6 5 3 3 4" xfId="57701" xr:uid="{00000000-0005-0000-0000-00003DE20000}"/>
    <cellStyle name="Total 6 5 3 4" xfId="57702" xr:uid="{00000000-0005-0000-0000-00003EE20000}"/>
    <cellStyle name="Total 6 5 3 5" xfId="57703" xr:uid="{00000000-0005-0000-0000-00003FE20000}"/>
    <cellStyle name="Total 6 5 3 6" xfId="57704" xr:uid="{00000000-0005-0000-0000-000040E20000}"/>
    <cellStyle name="Total 6 5 4" xfId="57705" xr:uid="{00000000-0005-0000-0000-000041E20000}"/>
    <cellStyle name="Total 6 5 5" xfId="57706" xr:uid="{00000000-0005-0000-0000-000042E20000}"/>
    <cellStyle name="Total 6 6" xfId="57707" xr:uid="{00000000-0005-0000-0000-000043E20000}"/>
    <cellStyle name="Total 6 6 2" xfId="57708" xr:uid="{00000000-0005-0000-0000-000044E20000}"/>
    <cellStyle name="Total 6 6 2 2" xfId="57709" xr:uid="{00000000-0005-0000-0000-000045E20000}"/>
    <cellStyle name="Total 6 6 2 2 2" xfId="57710" xr:uid="{00000000-0005-0000-0000-000046E20000}"/>
    <cellStyle name="Total 6 6 2 2 3" xfId="57711" xr:uid="{00000000-0005-0000-0000-000047E20000}"/>
    <cellStyle name="Total 6 6 2 2 4" xfId="57712" xr:uid="{00000000-0005-0000-0000-000048E20000}"/>
    <cellStyle name="Total 6 6 2 3" xfId="57713" xr:uid="{00000000-0005-0000-0000-000049E20000}"/>
    <cellStyle name="Total 6 6 2 3 2" xfId="57714" xr:uid="{00000000-0005-0000-0000-00004AE20000}"/>
    <cellStyle name="Total 6 6 2 3 3" xfId="57715" xr:uid="{00000000-0005-0000-0000-00004BE20000}"/>
    <cellStyle name="Total 6 6 2 3 4" xfId="57716" xr:uid="{00000000-0005-0000-0000-00004CE20000}"/>
    <cellStyle name="Total 6 6 2 4" xfId="57717" xr:uid="{00000000-0005-0000-0000-00004DE20000}"/>
    <cellStyle name="Total 6 6 2 5" xfId="57718" xr:uid="{00000000-0005-0000-0000-00004EE20000}"/>
    <cellStyle name="Total 6 6 2 6" xfId="57719" xr:uid="{00000000-0005-0000-0000-00004FE20000}"/>
    <cellStyle name="Total 6 6 3" xfId="57720" xr:uid="{00000000-0005-0000-0000-000050E20000}"/>
    <cellStyle name="Total 6 6 3 2" xfId="57721" xr:uid="{00000000-0005-0000-0000-000051E20000}"/>
    <cellStyle name="Total 6 6 3 2 2" xfId="57722" xr:uid="{00000000-0005-0000-0000-000052E20000}"/>
    <cellStyle name="Total 6 6 3 2 3" xfId="57723" xr:uid="{00000000-0005-0000-0000-000053E20000}"/>
    <cellStyle name="Total 6 6 3 2 4" xfId="57724" xr:uid="{00000000-0005-0000-0000-000054E20000}"/>
    <cellStyle name="Total 6 6 3 3" xfId="57725" xr:uid="{00000000-0005-0000-0000-000055E20000}"/>
    <cellStyle name="Total 6 6 3 3 2" xfId="57726" xr:uid="{00000000-0005-0000-0000-000056E20000}"/>
    <cellStyle name="Total 6 6 3 3 3" xfId="57727" xr:uid="{00000000-0005-0000-0000-000057E20000}"/>
    <cellStyle name="Total 6 6 3 3 4" xfId="57728" xr:uid="{00000000-0005-0000-0000-000058E20000}"/>
    <cellStyle name="Total 6 6 3 4" xfId="57729" xr:uid="{00000000-0005-0000-0000-000059E20000}"/>
    <cellStyle name="Total 6 6 3 5" xfId="57730" xr:uid="{00000000-0005-0000-0000-00005AE20000}"/>
    <cellStyle name="Total 6 6 3 6" xfId="57731" xr:uid="{00000000-0005-0000-0000-00005BE20000}"/>
    <cellStyle name="Total 6 6 4" xfId="57732" xr:uid="{00000000-0005-0000-0000-00005CE20000}"/>
    <cellStyle name="Total 6 6 5" xfId="57733" xr:uid="{00000000-0005-0000-0000-00005DE20000}"/>
    <cellStyle name="Total 6 6 6" xfId="57734" xr:uid="{00000000-0005-0000-0000-00005EE20000}"/>
    <cellStyle name="Total 6 7" xfId="57735" xr:uid="{00000000-0005-0000-0000-00005FE20000}"/>
    <cellStyle name="Total 6 8" xfId="57736" xr:uid="{00000000-0005-0000-0000-000060E20000}"/>
    <cellStyle name="Total 7" xfId="57737" xr:uid="{00000000-0005-0000-0000-000061E20000}"/>
    <cellStyle name="Total 7 2" xfId="57738" xr:uid="{00000000-0005-0000-0000-000062E20000}"/>
    <cellStyle name="Total 7 2 2" xfId="57739" xr:uid="{00000000-0005-0000-0000-000063E20000}"/>
    <cellStyle name="Total 7 2 2 10" xfId="57740" xr:uid="{00000000-0005-0000-0000-000064E20000}"/>
    <cellStyle name="Total 7 2 2 10 2" xfId="57741" xr:uid="{00000000-0005-0000-0000-000065E20000}"/>
    <cellStyle name="Total 7 2 2 10 2 2" xfId="57742" xr:uid="{00000000-0005-0000-0000-000066E20000}"/>
    <cellStyle name="Total 7 2 2 10 2 2 2" xfId="57743" xr:uid="{00000000-0005-0000-0000-000067E20000}"/>
    <cellStyle name="Total 7 2 2 10 2 2 3" xfId="57744" xr:uid="{00000000-0005-0000-0000-000068E20000}"/>
    <cellStyle name="Total 7 2 2 10 2 2 4" xfId="57745" xr:uid="{00000000-0005-0000-0000-000069E20000}"/>
    <cellStyle name="Total 7 2 2 10 2 3" xfId="57746" xr:uid="{00000000-0005-0000-0000-00006AE20000}"/>
    <cellStyle name="Total 7 2 2 10 2 4" xfId="57747" xr:uid="{00000000-0005-0000-0000-00006BE20000}"/>
    <cellStyle name="Total 7 2 2 10 2 5" xfId="57748" xr:uid="{00000000-0005-0000-0000-00006CE20000}"/>
    <cellStyle name="Total 7 2 2 10 3" xfId="57749" xr:uid="{00000000-0005-0000-0000-00006DE20000}"/>
    <cellStyle name="Total 7 2 2 10 3 2" xfId="57750" xr:uid="{00000000-0005-0000-0000-00006EE20000}"/>
    <cellStyle name="Total 7 2 2 10 3 2 2" xfId="57751" xr:uid="{00000000-0005-0000-0000-00006FE20000}"/>
    <cellStyle name="Total 7 2 2 10 3 2 3" xfId="57752" xr:uid="{00000000-0005-0000-0000-000070E20000}"/>
    <cellStyle name="Total 7 2 2 10 3 2 4" xfId="57753" xr:uid="{00000000-0005-0000-0000-000071E20000}"/>
    <cellStyle name="Total 7 2 2 10 3 3" xfId="57754" xr:uid="{00000000-0005-0000-0000-000072E20000}"/>
    <cellStyle name="Total 7 2 2 10 3 3 2" xfId="57755" xr:uid="{00000000-0005-0000-0000-000073E20000}"/>
    <cellStyle name="Total 7 2 2 10 3 3 3" xfId="57756" xr:uid="{00000000-0005-0000-0000-000074E20000}"/>
    <cellStyle name="Total 7 2 2 10 3 3 4" xfId="57757" xr:uid="{00000000-0005-0000-0000-000075E20000}"/>
    <cellStyle name="Total 7 2 2 10 3 4" xfId="57758" xr:uid="{00000000-0005-0000-0000-000076E20000}"/>
    <cellStyle name="Total 7 2 2 10 3 5" xfId="57759" xr:uid="{00000000-0005-0000-0000-000077E20000}"/>
    <cellStyle name="Total 7 2 2 10 3 6" xfId="57760" xr:uid="{00000000-0005-0000-0000-000078E20000}"/>
    <cellStyle name="Total 7 2 2 10 4" xfId="57761" xr:uid="{00000000-0005-0000-0000-000079E20000}"/>
    <cellStyle name="Total 7 2 2 10 5" xfId="57762" xr:uid="{00000000-0005-0000-0000-00007AE20000}"/>
    <cellStyle name="Total 7 2 2 11" xfId="57763" xr:uid="{00000000-0005-0000-0000-00007BE20000}"/>
    <cellStyle name="Total 7 2 2 11 2" xfId="57764" xr:uid="{00000000-0005-0000-0000-00007CE20000}"/>
    <cellStyle name="Total 7 2 2 11 2 2" xfId="57765" xr:uid="{00000000-0005-0000-0000-00007DE20000}"/>
    <cellStyle name="Total 7 2 2 11 2 2 2" xfId="57766" xr:uid="{00000000-0005-0000-0000-00007EE20000}"/>
    <cellStyle name="Total 7 2 2 11 2 2 3" xfId="57767" xr:uid="{00000000-0005-0000-0000-00007FE20000}"/>
    <cellStyle name="Total 7 2 2 11 2 2 4" xfId="57768" xr:uid="{00000000-0005-0000-0000-000080E20000}"/>
    <cellStyle name="Total 7 2 2 11 2 3" xfId="57769" xr:uid="{00000000-0005-0000-0000-000081E20000}"/>
    <cellStyle name="Total 7 2 2 11 2 4" xfId="57770" xr:uid="{00000000-0005-0000-0000-000082E20000}"/>
    <cellStyle name="Total 7 2 2 11 2 5" xfId="57771" xr:uid="{00000000-0005-0000-0000-000083E20000}"/>
    <cellStyle name="Total 7 2 2 11 3" xfId="57772" xr:uid="{00000000-0005-0000-0000-000084E20000}"/>
    <cellStyle name="Total 7 2 2 11 3 2" xfId="57773" xr:uid="{00000000-0005-0000-0000-000085E20000}"/>
    <cellStyle name="Total 7 2 2 11 3 2 2" xfId="57774" xr:uid="{00000000-0005-0000-0000-000086E20000}"/>
    <cellStyle name="Total 7 2 2 11 3 2 3" xfId="57775" xr:uid="{00000000-0005-0000-0000-000087E20000}"/>
    <cellStyle name="Total 7 2 2 11 3 2 4" xfId="57776" xr:uid="{00000000-0005-0000-0000-000088E20000}"/>
    <cellStyle name="Total 7 2 2 11 3 3" xfId="57777" xr:uid="{00000000-0005-0000-0000-000089E20000}"/>
    <cellStyle name="Total 7 2 2 11 3 3 2" xfId="57778" xr:uid="{00000000-0005-0000-0000-00008AE20000}"/>
    <cellStyle name="Total 7 2 2 11 3 3 3" xfId="57779" xr:uid="{00000000-0005-0000-0000-00008BE20000}"/>
    <cellStyle name="Total 7 2 2 11 3 3 4" xfId="57780" xr:uid="{00000000-0005-0000-0000-00008CE20000}"/>
    <cellStyle name="Total 7 2 2 11 3 4" xfId="57781" xr:uid="{00000000-0005-0000-0000-00008DE20000}"/>
    <cellStyle name="Total 7 2 2 11 3 5" xfId="57782" xr:uid="{00000000-0005-0000-0000-00008EE20000}"/>
    <cellStyle name="Total 7 2 2 11 3 6" xfId="57783" xr:uid="{00000000-0005-0000-0000-00008FE20000}"/>
    <cellStyle name="Total 7 2 2 11 4" xfId="57784" xr:uid="{00000000-0005-0000-0000-000090E20000}"/>
    <cellStyle name="Total 7 2 2 11 5" xfId="57785" xr:uid="{00000000-0005-0000-0000-000091E20000}"/>
    <cellStyle name="Total 7 2 2 12" xfId="57786" xr:uid="{00000000-0005-0000-0000-000092E20000}"/>
    <cellStyle name="Total 7 2 2 12 2" xfId="57787" xr:uid="{00000000-0005-0000-0000-000093E20000}"/>
    <cellStyle name="Total 7 2 2 12 2 2" xfId="57788" xr:uid="{00000000-0005-0000-0000-000094E20000}"/>
    <cellStyle name="Total 7 2 2 12 2 2 2" xfId="57789" xr:uid="{00000000-0005-0000-0000-000095E20000}"/>
    <cellStyle name="Total 7 2 2 12 2 2 3" xfId="57790" xr:uid="{00000000-0005-0000-0000-000096E20000}"/>
    <cellStyle name="Total 7 2 2 12 2 2 4" xfId="57791" xr:uid="{00000000-0005-0000-0000-000097E20000}"/>
    <cellStyle name="Total 7 2 2 12 2 3" xfId="57792" xr:uid="{00000000-0005-0000-0000-000098E20000}"/>
    <cellStyle name="Total 7 2 2 12 2 3 2" xfId="57793" xr:uid="{00000000-0005-0000-0000-000099E20000}"/>
    <cellStyle name="Total 7 2 2 12 2 3 3" xfId="57794" xr:uid="{00000000-0005-0000-0000-00009AE20000}"/>
    <cellStyle name="Total 7 2 2 12 2 3 4" xfId="57795" xr:uid="{00000000-0005-0000-0000-00009BE20000}"/>
    <cellStyle name="Total 7 2 2 12 2 4" xfId="57796" xr:uid="{00000000-0005-0000-0000-00009CE20000}"/>
    <cellStyle name="Total 7 2 2 12 2 5" xfId="57797" xr:uid="{00000000-0005-0000-0000-00009DE20000}"/>
    <cellStyle name="Total 7 2 2 12 2 6" xfId="57798" xr:uid="{00000000-0005-0000-0000-00009EE20000}"/>
    <cellStyle name="Total 7 2 2 12 3" xfId="57799" xr:uid="{00000000-0005-0000-0000-00009FE20000}"/>
    <cellStyle name="Total 7 2 2 12 3 2" xfId="57800" xr:uid="{00000000-0005-0000-0000-0000A0E20000}"/>
    <cellStyle name="Total 7 2 2 12 3 2 2" xfId="57801" xr:uid="{00000000-0005-0000-0000-0000A1E20000}"/>
    <cellStyle name="Total 7 2 2 12 3 2 3" xfId="57802" xr:uid="{00000000-0005-0000-0000-0000A2E20000}"/>
    <cellStyle name="Total 7 2 2 12 3 2 4" xfId="57803" xr:uid="{00000000-0005-0000-0000-0000A3E20000}"/>
    <cellStyle name="Total 7 2 2 12 3 3" xfId="57804" xr:uid="{00000000-0005-0000-0000-0000A4E20000}"/>
    <cellStyle name="Total 7 2 2 12 3 3 2" xfId="57805" xr:uid="{00000000-0005-0000-0000-0000A5E20000}"/>
    <cellStyle name="Total 7 2 2 12 3 3 3" xfId="57806" xr:uid="{00000000-0005-0000-0000-0000A6E20000}"/>
    <cellStyle name="Total 7 2 2 12 3 3 4" xfId="57807" xr:uid="{00000000-0005-0000-0000-0000A7E20000}"/>
    <cellStyle name="Total 7 2 2 12 3 4" xfId="57808" xr:uid="{00000000-0005-0000-0000-0000A8E20000}"/>
    <cellStyle name="Total 7 2 2 12 3 5" xfId="57809" xr:uid="{00000000-0005-0000-0000-0000A9E20000}"/>
    <cellStyle name="Total 7 2 2 12 3 6" xfId="57810" xr:uid="{00000000-0005-0000-0000-0000AAE20000}"/>
    <cellStyle name="Total 7 2 2 12 4" xfId="57811" xr:uid="{00000000-0005-0000-0000-0000ABE20000}"/>
    <cellStyle name="Total 7 2 2 12 5" xfId="57812" xr:uid="{00000000-0005-0000-0000-0000ACE20000}"/>
    <cellStyle name="Total 7 2 2 12 6" xfId="57813" xr:uid="{00000000-0005-0000-0000-0000ADE20000}"/>
    <cellStyle name="Total 7 2 2 13" xfId="57814" xr:uid="{00000000-0005-0000-0000-0000AEE20000}"/>
    <cellStyle name="Total 7 2 2 14" xfId="57815" xr:uid="{00000000-0005-0000-0000-0000AFE20000}"/>
    <cellStyle name="Total 7 2 2 15" xfId="58818" xr:uid="{00000000-0005-0000-0000-0000B0E20000}"/>
    <cellStyle name="Total 7 2 2 2" xfId="57816" xr:uid="{00000000-0005-0000-0000-0000B1E20000}"/>
    <cellStyle name="Total 7 2 2 2 2" xfId="57817" xr:uid="{00000000-0005-0000-0000-0000B2E20000}"/>
    <cellStyle name="Total 7 2 2 2 2 2" xfId="57818" xr:uid="{00000000-0005-0000-0000-0000B3E20000}"/>
    <cellStyle name="Total 7 2 2 2 2 2 2" xfId="57819" xr:uid="{00000000-0005-0000-0000-0000B4E20000}"/>
    <cellStyle name="Total 7 2 2 2 2 2 2 2" xfId="57820" xr:uid="{00000000-0005-0000-0000-0000B5E20000}"/>
    <cellStyle name="Total 7 2 2 2 2 2 2 3" xfId="57821" xr:uid="{00000000-0005-0000-0000-0000B6E20000}"/>
    <cellStyle name="Total 7 2 2 2 2 2 2 4" xfId="57822" xr:uid="{00000000-0005-0000-0000-0000B7E20000}"/>
    <cellStyle name="Total 7 2 2 2 2 2 3" xfId="57823" xr:uid="{00000000-0005-0000-0000-0000B8E20000}"/>
    <cellStyle name="Total 7 2 2 2 2 2 3 2" xfId="57824" xr:uid="{00000000-0005-0000-0000-0000B9E20000}"/>
    <cellStyle name="Total 7 2 2 2 2 2 3 3" xfId="57825" xr:uid="{00000000-0005-0000-0000-0000BAE20000}"/>
    <cellStyle name="Total 7 2 2 2 2 2 3 4" xfId="57826" xr:uid="{00000000-0005-0000-0000-0000BBE20000}"/>
    <cellStyle name="Total 7 2 2 2 2 2 4" xfId="57827" xr:uid="{00000000-0005-0000-0000-0000BCE20000}"/>
    <cellStyle name="Total 7 2 2 2 2 2 5" xfId="57828" xr:uid="{00000000-0005-0000-0000-0000BDE20000}"/>
    <cellStyle name="Total 7 2 2 2 2 2 6" xfId="57829" xr:uid="{00000000-0005-0000-0000-0000BEE20000}"/>
    <cellStyle name="Total 7 2 2 2 2 3" xfId="57830" xr:uid="{00000000-0005-0000-0000-0000BFE20000}"/>
    <cellStyle name="Total 7 2 2 2 2 3 2" xfId="57831" xr:uid="{00000000-0005-0000-0000-0000C0E20000}"/>
    <cellStyle name="Total 7 2 2 2 2 3 2 2" xfId="57832" xr:uid="{00000000-0005-0000-0000-0000C1E20000}"/>
    <cellStyle name="Total 7 2 2 2 2 3 2 3" xfId="57833" xr:uid="{00000000-0005-0000-0000-0000C2E20000}"/>
    <cellStyle name="Total 7 2 2 2 2 3 2 4" xfId="57834" xr:uid="{00000000-0005-0000-0000-0000C3E20000}"/>
    <cellStyle name="Total 7 2 2 2 2 3 3" xfId="57835" xr:uid="{00000000-0005-0000-0000-0000C4E20000}"/>
    <cellStyle name="Total 7 2 2 2 2 3 3 2" xfId="57836" xr:uid="{00000000-0005-0000-0000-0000C5E20000}"/>
    <cellStyle name="Total 7 2 2 2 2 3 3 3" xfId="57837" xr:uid="{00000000-0005-0000-0000-0000C6E20000}"/>
    <cellStyle name="Total 7 2 2 2 2 3 3 4" xfId="57838" xr:uid="{00000000-0005-0000-0000-0000C7E20000}"/>
    <cellStyle name="Total 7 2 2 2 2 3 4" xfId="57839" xr:uid="{00000000-0005-0000-0000-0000C8E20000}"/>
    <cellStyle name="Total 7 2 2 2 2 3 5" xfId="57840" xr:uid="{00000000-0005-0000-0000-0000C9E20000}"/>
    <cellStyle name="Total 7 2 2 2 2 3 6" xfId="57841" xr:uid="{00000000-0005-0000-0000-0000CAE20000}"/>
    <cellStyle name="Total 7 2 2 2 2 4" xfId="57842" xr:uid="{00000000-0005-0000-0000-0000CBE20000}"/>
    <cellStyle name="Total 7 2 2 2 2 5" xfId="57843" xr:uid="{00000000-0005-0000-0000-0000CCE20000}"/>
    <cellStyle name="Total 7 2 2 2 2 6" xfId="57844" xr:uid="{00000000-0005-0000-0000-0000CDE20000}"/>
    <cellStyle name="Total 7 2 2 2 3" xfId="57845" xr:uid="{00000000-0005-0000-0000-0000CEE20000}"/>
    <cellStyle name="Total 7 2 2 2 4" xfId="57846" xr:uid="{00000000-0005-0000-0000-0000CFE20000}"/>
    <cellStyle name="Total 7 2 2 3" xfId="57847" xr:uid="{00000000-0005-0000-0000-0000D0E20000}"/>
    <cellStyle name="Total 7 2 2 3 2" xfId="57848" xr:uid="{00000000-0005-0000-0000-0000D1E20000}"/>
    <cellStyle name="Total 7 2 2 3 2 2" xfId="57849" xr:uid="{00000000-0005-0000-0000-0000D2E20000}"/>
    <cellStyle name="Total 7 2 2 3 2 2 2" xfId="57850" xr:uid="{00000000-0005-0000-0000-0000D3E20000}"/>
    <cellStyle name="Total 7 2 2 3 2 2 2 2" xfId="57851" xr:uid="{00000000-0005-0000-0000-0000D4E20000}"/>
    <cellStyle name="Total 7 2 2 3 2 2 2 3" xfId="57852" xr:uid="{00000000-0005-0000-0000-0000D5E20000}"/>
    <cellStyle name="Total 7 2 2 3 2 2 2 4" xfId="57853" xr:uid="{00000000-0005-0000-0000-0000D6E20000}"/>
    <cellStyle name="Total 7 2 2 3 2 2 3" xfId="57854" xr:uid="{00000000-0005-0000-0000-0000D7E20000}"/>
    <cellStyle name="Total 7 2 2 3 2 2 3 2" xfId="57855" xr:uid="{00000000-0005-0000-0000-0000D8E20000}"/>
    <cellStyle name="Total 7 2 2 3 2 2 3 3" xfId="57856" xr:uid="{00000000-0005-0000-0000-0000D9E20000}"/>
    <cellStyle name="Total 7 2 2 3 2 2 3 4" xfId="57857" xr:uid="{00000000-0005-0000-0000-0000DAE20000}"/>
    <cellStyle name="Total 7 2 2 3 2 2 4" xfId="57858" xr:uid="{00000000-0005-0000-0000-0000DBE20000}"/>
    <cellStyle name="Total 7 2 2 3 2 2 5" xfId="57859" xr:uid="{00000000-0005-0000-0000-0000DCE20000}"/>
    <cellStyle name="Total 7 2 2 3 2 2 6" xfId="57860" xr:uid="{00000000-0005-0000-0000-0000DDE20000}"/>
    <cellStyle name="Total 7 2 2 3 2 3" xfId="57861" xr:uid="{00000000-0005-0000-0000-0000DEE20000}"/>
    <cellStyle name="Total 7 2 2 3 2 3 2" xfId="57862" xr:uid="{00000000-0005-0000-0000-0000DFE20000}"/>
    <cellStyle name="Total 7 2 2 3 2 3 2 2" xfId="57863" xr:uid="{00000000-0005-0000-0000-0000E0E20000}"/>
    <cellStyle name="Total 7 2 2 3 2 3 2 3" xfId="57864" xr:uid="{00000000-0005-0000-0000-0000E1E20000}"/>
    <cellStyle name="Total 7 2 2 3 2 3 2 4" xfId="57865" xr:uid="{00000000-0005-0000-0000-0000E2E20000}"/>
    <cellStyle name="Total 7 2 2 3 2 3 3" xfId="57866" xr:uid="{00000000-0005-0000-0000-0000E3E20000}"/>
    <cellStyle name="Total 7 2 2 3 2 3 3 2" xfId="57867" xr:uid="{00000000-0005-0000-0000-0000E4E20000}"/>
    <cellStyle name="Total 7 2 2 3 2 3 3 3" xfId="57868" xr:uid="{00000000-0005-0000-0000-0000E5E20000}"/>
    <cellStyle name="Total 7 2 2 3 2 3 3 4" xfId="57869" xr:uid="{00000000-0005-0000-0000-0000E6E20000}"/>
    <cellStyle name="Total 7 2 2 3 2 3 4" xfId="57870" xr:uid="{00000000-0005-0000-0000-0000E7E20000}"/>
    <cellStyle name="Total 7 2 2 3 2 3 5" xfId="57871" xr:uid="{00000000-0005-0000-0000-0000E8E20000}"/>
    <cellStyle name="Total 7 2 2 3 2 3 6" xfId="57872" xr:uid="{00000000-0005-0000-0000-0000E9E20000}"/>
    <cellStyle name="Total 7 2 2 3 2 4" xfId="57873" xr:uid="{00000000-0005-0000-0000-0000EAE20000}"/>
    <cellStyle name="Total 7 2 2 3 2 5" xfId="57874" xr:uid="{00000000-0005-0000-0000-0000EBE20000}"/>
    <cellStyle name="Total 7 2 2 3 2 6" xfId="57875" xr:uid="{00000000-0005-0000-0000-0000ECE20000}"/>
    <cellStyle name="Total 7 2 2 3 3" xfId="57876" xr:uid="{00000000-0005-0000-0000-0000EDE20000}"/>
    <cellStyle name="Total 7 2 2 3 4" xfId="57877" xr:uid="{00000000-0005-0000-0000-0000EEE20000}"/>
    <cellStyle name="Total 7 2 2 4" xfId="57878" xr:uid="{00000000-0005-0000-0000-0000EFE20000}"/>
    <cellStyle name="Total 7 2 2 4 2" xfId="57879" xr:uid="{00000000-0005-0000-0000-0000F0E20000}"/>
    <cellStyle name="Total 7 2 2 4 2 2" xfId="57880" xr:uid="{00000000-0005-0000-0000-0000F1E20000}"/>
    <cellStyle name="Total 7 2 2 4 2 2 2" xfId="57881" xr:uid="{00000000-0005-0000-0000-0000F2E20000}"/>
    <cellStyle name="Total 7 2 2 4 2 2 2 2" xfId="57882" xr:uid="{00000000-0005-0000-0000-0000F3E20000}"/>
    <cellStyle name="Total 7 2 2 4 2 2 2 3" xfId="57883" xr:uid="{00000000-0005-0000-0000-0000F4E20000}"/>
    <cellStyle name="Total 7 2 2 4 2 2 2 4" xfId="57884" xr:uid="{00000000-0005-0000-0000-0000F5E20000}"/>
    <cellStyle name="Total 7 2 2 4 2 2 3" xfId="57885" xr:uid="{00000000-0005-0000-0000-0000F6E20000}"/>
    <cellStyle name="Total 7 2 2 4 2 2 3 2" xfId="57886" xr:uid="{00000000-0005-0000-0000-0000F7E20000}"/>
    <cellStyle name="Total 7 2 2 4 2 2 3 3" xfId="57887" xr:uid="{00000000-0005-0000-0000-0000F8E20000}"/>
    <cellStyle name="Total 7 2 2 4 2 2 3 4" xfId="57888" xr:uid="{00000000-0005-0000-0000-0000F9E20000}"/>
    <cellStyle name="Total 7 2 2 4 2 2 4" xfId="57889" xr:uid="{00000000-0005-0000-0000-0000FAE20000}"/>
    <cellStyle name="Total 7 2 2 4 2 2 5" xfId="57890" xr:uid="{00000000-0005-0000-0000-0000FBE20000}"/>
    <cellStyle name="Total 7 2 2 4 2 2 6" xfId="57891" xr:uid="{00000000-0005-0000-0000-0000FCE20000}"/>
    <cellStyle name="Total 7 2 2 4 2 3" xfId="57892" xr:uid="{00000000-0005-0000-0000-0000FDE20000}"/>
    <cellStyle name="Total 7 2 2 4 2 3 2" xfId="57893" xr:uid="{00000000-0005-0000-0000-0000FEE20000}"/>
    <cellStyle name="Total 7 2 2 4 2 3 2 2" xfId="57894" xr:uid="{00000000-0005-0000-0000-0000FFE20000}"/>
    <cellStyle name="Total 7 2 2 4 2 3 2 3" xfId="57895" xr:uid="{00000000-0005-0000-0000-000000E30000}"/>
    <cellStyle name="Total 7 2 2 4 2 3 2 4" xfId="57896" xr:uid="{00000000-0005-0000-0000-000001E30000}"/>
    <cellStyle name="Total 7 2 2 4 2 3 3" xfId="57897" xr:uid="{00000000-0005-0000-0000-000002E30000}"/>
    <cellStyle name="Total 7 2 2 4 2 3 3 2" xfId="57898" xr:uid="{00000000-0005-0000-0000-000003E30000}"/>
    <cellStyle name="Total 7 2 2 4 2 3 3 3" xfId="57899" xr:uid="{00000000-0005-0000-0000-000004E30000}"/>
    <cellStyle name="Total 7 2 2 4 2 3 3 4" xfId="57900" xr:uid="{00000000-0005-0000-0000-000005E30000}"/>
    <cellStyle name="Total 7 2 2 4 2 3 4" xfId="57901" xr:uid="{00000000-0005-0000-0000-000006E30000}"/>
    <cellStyle name="Total 7 2 2 4 2 3 5" xfId="57902" xr:uid="{00000000-0005-0000-0000-000007E30000}"/>
    <cellStyle name="Total 7 2 2 4 2 3 6" xfId="57903" xr:uid="{00000000-0005-0000-0000-000008E30000}"/>
    <cellStyle name="Total 7 2 2 4 2 4" xfId="57904" xr:uid="{00000000-0005-0000-0000-000009E30000}"/>
    <cellStyle name="Total 7 2 2 4 2 5" xfId="57905" xr:uid="{00000000-0005-0000-0000-00000AE30000}"/>
    <cellStyle name="Total 7 2 2 4 2 6" xfId="57906" xr:uid="{00000000-0005-0000-0000-00000BE30000}"/>
    <cellStyle name="Total 7 2 2 4 3" xfId="57907" xr:uid="{00000000-0005-0000-0000-00000CE30000}"/>
    <cellStyle name="Total 7 2 2 4 4" xfId="57908" xr:uid="{00000000-0005-0000-0000-00000DE30000}"/>
    <cellStyle name="Total 7 2 2 5" xfId="57909" xr:uid="{00000000-0005-0000-0000-00000EE30000}"/>
    <cellStyle name="Total 7 2 2 5 2" xfId="57910" xr:uid="{00000000-0005-0000-0000-00000FE30000}"/>
    <cellStyle name="Total 7 2 2 5 2 2" xfId="57911" xr:uid="{00000000-0005-0000-0000-000010E30000}"/>
    <cellStyle name="Total 7 2 2 5 2 2 2" xfId="57912" xr:uid="{00000000-0005-0000-0000-000011E30000}"/>
    <cellStyle name="Total 7 2 2 5 2 2 3" xfId="57913" xr:uid="{00000000-0005-0000-0000-000012E30000}"/>
    <cellStyle name="Total 7 2 2 5 2 2 4" xfId="57914" xr:uid="{00000000-0005-0000-0000-000013E30000}"/>
    <cellStyle name="Total 7 2 2 5 2 3" xfId="57915" xr:uid="{00000000-0005-0000-0000-000014E30000}"/>
    <cellStyle name="Total 7 2 2 5 2 4" xfId="57916" xr:uid="{00000000-0005-0000-0000-000015E30000}"/>
    <cellStyle name="Total 7 2 2 5 2 5" xfId="57917" xr:uid="{00000000-0005-0000-0000-000016E30000}"/>
    <cellStyle name="Total 7 2 2 5 3" xfId="57918" xr:uid="{00000000-0005-0000-0000-000017E30000}"/>
    <cellStyle name="Total 7 2 2 5 3 2" xfId="57919" xr:uid="{00000000-0005-0000-0000-000018E30000}"/>
    <cellStyle name="Total 7 2 2 5 3 2 2" xfId="57920" xr:uid="{00000000-0005-0000-0000-000019E30000}"/>
    <cellStyle name="Total 7 2 2 5 3 2 3" xfId="57921" xr:uid="{00000000-0005-0000-0000-00001AE30000}"/>
    <cellStyle name="Total 7 2 2 5 3 2 4" xfId="57922" xr:uid="{00000000-0005-0000-0000-00001BE30000}"/>
    <cellStyle name="Total 7 2 2 5 3 3" xfId="57923" xr:uid="{00000000-0005-0000-0000-00001CE30000}"/>
    <cellStyle name="Total 7 2 2 5 3 3 2" xfId="57924" xr:uid="{00000000-0005-0000-0000-00001DE30000}"/>
    <cellStyle name="Total 7 2 2 5 3 3 3" xfId="57925" xr:uid="{00000000-0005-0000-0000-00001EE30000}"/>
    <cellStyle name="Total 7 2 2 5 3 3 4" xfId="57926" xr:uid="{00000000-0005-0000-0000-00001FE30000}"/>
    <cellStyle name="Total 7 2 2 5 3 4" xfId="57927" xr:uid="{00000000-0005-0000-0000-000020E30000}"/>
    <cellStyle name="Total 7 2 2 5 3 5" xfId="57928" xr:uid="{00000000-0005-0000-0000-000021E30000}"/>
    <cellStyle name="Total 7 2 2 5 3 6" xfId="57929" xr:uid="{00000000-0005-0000-0000-000022E30000}"/>
    <cellStyle name="Total 7 2 2 5 4" xfId="57930" xr:uid="{00000000-0005-0000-0000-000023E30000}"/>
    <cellStyle name="Total 7 2 2 5 5" xfId="57931" xr:uid="{00000000-0005-0000-0000-000024E30000}"/>
    <cellStyle name="Total 7 2 2 6" xfId="57932" xr:uid="{00000000-0005-0000-0000-000025E30000}"/>
    <cellStyle name="Total 7 2 2 6 2" xfId="57933" xr:uid="{00000000-0005-0000-0000-000026E30000}"/>
    <cellStyle name="Total 7 2 2 6 2 2" xfId="57934" xr:uid="{00000000-0005-0000-0000-000027E30000}"/>
    <cellStyle name="Total 7 2 2 6 2 2 2" xfId="57935" xr:uid="{00000000-0005-0000-0000-000028E30000}"/>
    <cellStyle name="Total 7 2 2 6 2 2 3" xfId="57936" xr:uid="{00000000-0005-0000-0000-000029E30000}"/>
    <cellStyle name="Total 7 2 2 6 2 2 4" xfId="57937" xr:uid="{00000000-0005-0000-0000-00002AE30000}"/>
    <cellStyle name="Total 7 2 2 6 2 3" xfId="57938" xr:uid="{00000000-0005-0000-0000-00002BE30000}"/>
    <cellStyle name="Total 7 2 2 6 2 4" xfId="57939" xr:uid="{00000000-0005-0000-0000-00002CE30000}"/>
    <cellStyle name="Total 7 2 2 6 2 5" xfId="57940" xr:uid="{00000000-0005-0000-0000-00002DE30000}"/>
    <cellStyle name="Total 7 2 2 6 3" xfId="57941" xr:uid="{00000000-0005-0000-0000-00002EE30000}"/>
    <cellStyle name="Total 7 2 2 6 3 2" xfId="57942" xr:uid="{00000000-0005-0000-0000-00002FE30000}"/>
    <cellStyle name="Total 7 2 2 6 3 2 2" xfId="57943" xr:uid="{00000000-0005-0000-0000-000030E30000}"/>
    <cellStyle name="Total 7 2 2 6 3 2 3" xfId="57944" xr:uid="{00000000-0005-0000-0000-000031E30000}"/>
    <cellStyle name="Total 7 2 2 6 3 2 4" xfId="57945" xr:uid="{00000000-0005-0000-0000-000032E30000}"/>
    <cellStyle name="Total 7 2 2 6 3 3" xfId="57946" xr:uid="{00000000-0005-0000-0000-000033E30000}"/>
    <cellStyle name="Total 7 2 2 6 3 3 2" xfId="57947" xr:uid="{00000000-0005-0000-0000-000034E30000}"/>
    <cellStyle name="Total 7 2 2 6 3 3 3" xfId="57948" xr:uid="{00000000-0005-0000-0000-000035E30000}"/>
    <cellStyle name="Total 7 2 2 6 3 3 4" xfId="57949" xr:uid="{00000000-0005-0000-0000-000036E30000}"/>
    <cellStyle name="Total 7 2 2 6 3 4" xfId="57950" xr:uid="{00000000-0005-0000-0000-000037E30000}"/>
    <cellStyle name="Total 7 2 2 6 3 5" xfId="57951" xr:uid="{00000000-0005-0000-0000-000038E30000}"/>
    <cellStyle name="Total 7 2 2 6 3 6" xfId="57952" xr:uid="{00000000-0005-0000-0000-000039E30000}"/>
    <cellStyle name="Total 7 2 2 6 4" xfId="57953" xr:uid="{00000000-0005-0000-0000-00003AE30000}"/>
    <cellStyle name="Total 7 2 2 6 5" xfId="57954" xr:uid="{00000000-0005-0000-0000-00003BE30000}"/>
    <cellStyle name="Total 7 2 2 7" xfId="57955" xr:uid="{00000000-0005-0000-0000-00003CE30000}"/>
    <cellStyle name="Total 7 2 2 7 2" xfId="57956" xr:uid="{00000000-0005-0000-0000-00003DE30000}"/>
    <cellStyle name="Total 7 2 2 7 2 2" xfId="57957" xr:uid="{00000000-0005-0000-0000-00003EE30000}"/>
    <cellStyle name="Total 7 2 2 7 2 2 2" xfId="57958" xr:uid="{00000000-0005-0000-0000-00003FE30000}"/>
    <cellStyle name="Total 7 2 2 7 2 2 3" xfId="57959" xr:uid="{00000000-0005-0000-0000-000040E30000}"/>
    <cellStyle name="Total 7 2 2 7 2 2 4" xfId="57960" xr:uid="{00000000-0005-0000-0000-000041E30000}"/>
    <cellStyle name="Total 7 2 2 7 2 3" xfId="57961" xr:uid="{00000000-0005-0000-0000-000042E30000}"/>
    <cellStyle name="Total 7 2 2 7 2 4" xfId="57962" xr:uid="{00000000-0005-0000-0000-000043E30000}"/>
    <cellStyle name="Total 7 2 2 7 2 5" xfId="57963" xr:uid="{00000000-0005-0000-0000-000044E30000}"/>
    <cellStyle name="Total 7 2 2 7 3" xfId="57964" xr:uid="{00000000-0005-0000-0000-000045E30000}"/>
    <cellStyle name="Total 7 2 2 7 3 2" xfId="57965" xr:uid="{00000000-0005-0000-0000-000046E30000}"/>
    <cellStyle name="Total 7 2 2 7 3 2 2" xfId="57966" xr:uid="{00000000-0005-0000-0000-000047E30000}"/>
    <cellStyle name="Total 7 2 2 7 3 2 3" xfId="57967" xr:uid="{00000000-0005-0000-0000-000048E30000}"/>
    <cellStyle name="Total 7 2 2 7 3 2 4" xfId="57968" xr:uid="{00000000-0005-0000-0000-000049E30000}"/>
    <cellStyle name="Total 7 2 2 7 3 3" xfId="57969" xr:uid="{00000000-0005-0000-0000-00004AE30000}"/>
    <cellStyle name="Total 7 2 2 7 3 3 2" xfId="57970" xr:uid="{00000000-0005-0000-0000-00004BE30000}"/>
    <cellStyle name="Total 7 2 2 7 3 3 3" xfId="57971" xr:uid="{00000000-0005-0000-0000-00004CE30000}"/>
    <cellStyle name="Total 7 2 2 7 3 3 4" xfId="57972" xr:uid="{00000000-0005-0000-0000-00004DE30000}"/>
    <cellStyle name="Total 7 2 2 7 3 4" xfId="57973" xr:uid="{00000000-0005-0000-0000-00004EE30000}"/>
    <cellStyle name="Total 7 2 2 7 3 5" xfId="57974" xr:uid="{00000000-0005-0000-0000-00004FE30000}"/>
    <cellStyle name="Total 7 2 2 7 3 6" xfId="57975" xr:uid="{00000000-0005-0000-0000-000050E30000}"/>
    <cellStyle name="Total 7 2 2 7 4" xfId="57976" xr:uid="{00000000-0005-0000-0000-000051E30000}"/>
    <cellStyle name="Total 7 2 2 7 5" xfId="57977" xr:uid="{00000000-0005-0000-0000-000052E30000}"/>
    <cellStyle name="Total 7 2 2 8" xfId="57978" xr:uid="{00000000-0005-0000-0000-000053E30000}"/>
    <cellStyle name="Total 7 2 2 8 2" xfId="57979" xr:uid="{00000000-0005-0000-0000-000054E30000}"/>
    <cellStyle name="Total 7 2 2 8 2 2" xfId="57980" xr:uid="{00000000-0005-0000-0000-000055E30000}"/>
    <cellStyle name="Total 7 2 2 8 2 2 2" xfId="57981" xr:uid="{00000000-0005-0000-0000-000056E30000}"/>
    <cellStyle name="Total 7 2 2 8 2 2 3" xfId="57982" xr:uid="{00000000-0005-0000-0000-000057E30000}"/>
    <cellStyle name="Total 7 2 2 8 2 2 4" xfId="57983" xr:uid="{00000000-0005-0000-0000-000058E30000}"/>
    <cellStyle name="Total 7 2 2 8 2 3" xfId="57984" xr:uid="{00000000-0005-0000-0000-000059E30000}"/>
    <cellStyle name="Total 7 2 2 8 2 4" xfId="57985" xr:uid="{00000000-0005-0000-0000-00005AE30000}"/>
    <cellStyle name="Total 7 2 2 8 2 5" xfId="57986" xr:uid="{00000000-0005-0000-0000-00005BE30000}"/>
    <cellStyle name="Total 7 2 2 8 3" xfId="57987" xr:uid="{00000000-0005-0000-0000-00005CE30000}"/>
    <cellStyle name="Total 7 2 2 8 3 2" xfId="57988" xr:uid="{00000000-0005-0000-0000-00005DE30000}"/>
    <cellStyle name="Total 7 2 2 8 3 2 2" xfId="57989" xr:uid="{00000000-0005-0000-0000-00005EE30000}"/>
    <cellStyle name="Total 7 2 2 8 3 2 3" xfId="57990" xr:uid="{00000000-0005-0000-0000-00005FE30000}"/>
    <cellStyle name="Total 7 2 2 8 3 2 4" xfId="57991" xr:uid="{00000000-0005-0000-0000-000060E30000}"/>
    <cellStyle name="Total 7 2 2 8 3 3" xfId="57992" xr:uid="{00000000-0005-0000-0000-000061E30000}"/>
    <cellStyle name="Total 7 2 2 8 3 3 2" xfId="57993" xr:uid="{00000000-0005-0000-0000-000062E30000}"/>
    <cellStyle name="Total 7 2 2 8 3 3 3" xfId="57994" xr:uid="{00000000-0005-0000-0000-000063E30000}"/>
    <cellStyle name="Total 7 2 2 8 3 3 4" xfId="57995" xr:uid="{00000000-0005-0000-0000-000064E30000}"/>
    <cellStyle name="Total 7 2 2 8 3 4" xfId="57996" xr:uid="{00000000-0005-0000-0000-000065E30000}"/>
    <cellStyle name="Total 7 2 2 8 3 5" xfId="57997" xr:uid="{00000000-0005-0000-0000-000066E30000}"/>
    <cellStyle name="Total 7 2 2 8 3 6" xfId="57998" xr:uid="{00000000-0005-0000-0000-000067E30000}"/>
    <cellStyle name="Total 7 2 2 8 4" xfId="57999" xr:uid="{00000000-0005-0000-0000-000068E30000}"/>
    <cellStyle name="Total 7 2 2 8 5" xfId="58000" xr:uid="{00000000-0005-0000-0000-000069E30000}"/>
    <cellStyle name="Total 7 2 2 9" xfId="58001" xr:uid="{00000000-0005-0000-0000-00006AE30000}"/>
    <cellStyle name="Total 7 2 2 9 2" xfId="58002" xr:uid="{00000000-0005-0000-0000-00006BE30000}"/>
    <cellStyle name="Total 7 2 2 9 2 2" xfId="58003" xr:uid="{00000000-0005-0000-0000-00006CE30000}"/>
    <cellStyle name="Total 7 2 2 9 2 2 2" xfId="58004" xr:uid="{00000000-0005-0000-0000-00006DE30000}"/>
    <cellStyle name="Total 7 2 2 9 2 2 3" xfId="58005" xr:uid="{00000000-0005-0000-0000-00006EE30000}"/>
    <cellStyle name="Total 7 2 2 9 2 2 4" xfId="58006" xr:uid="{00000000-0005-0000-0000-00006FE30000}"/>
    <cellStyle name="Total 7 2 2 9 2 3" xfId="58007" xr:uid="{00000000-0005-0000-0000-000070E30000}"/>
    <cellStyle name="Total 7 2 2 9 2 4" xfId="58008" xr:uid="{00000000-0005-0000-0000-000071E30000}"/>
    <cellStyle name="Total 7 2 2 9 2 5" xfId="58009" xr:uid="{00000000-0005-0000-0000-000072E30000}"/>
    <cellStyle name="Total 7 2 2 9 3" xfId="58010" xr:uid="{00000000-0005-0000-0000-000073E30000}"/>
    <cellStyle name="Total 7 2 2 9 3 2" xfId="58011" xr:uid="{00000000-0005-0000-0000-000074E30000}"/>
    <cellStyle name="Total 7 2 2 9 3 2 2" xfId="58012" xr:uid="{00000000-0005-0000-0000-000075E30000}"/>
    <cellStyle name="Total 7 2 2 9 3 2 3" xfId="58013" xr:uid="{00000000-0005-0000-0000-000076E30000}"/>
    <cellStyle name="Total 7 2 2 9 3 2 4" xfId="58014" xr:uid="{00000000-0005-0000-0000-000077E30000}"/>
    <cellStyle name="Total 7 2 2 9 3 3" xfId="58015" xr:uid="{00000000-0005-0000-0000-000078E30000}"/>
    <cellStyle name="Total 7 2 2 9 3 3 2" xfId="58016" xr:uid="{00000000-0005-0000-0000-000079E30000}"/>
    <cellStyle name="Total 7 2 2 9 3 3 3" xfId="58017" xr:uid="{00000000-0005-0000-0000-00007AE30000}"/>
    <cellStyle name="Total 7 2 2 9 3 3 4" xfId="58018" xr:uid="{00000000-0005-0000-0000-00007BE30000}"/>
    <cellStyle name="Total 7 2 2 9 3 4" xfId="58019" xr:uid="{00000000-0005-0000-0000-00007CE30000}"/>
    <cellStyle name="Total 7 2 2 9 3 5" xfId="58020" xr:uid="{00000000-0005-0000-0000-00007DE30000}"/>
    <cellStyle name="Total 7 2 2 9 3 6" xfId="58021" xr:uid="{00000000-0005-0000-0000-00007EE30000}"/>
    <cellStyle name="Total 7 2 2 9 4" xfId="58022" xr:uid="{00000000-0005-0000-0000-00007FE30000}"/>
    <cellStyle name="Total 7 2 2 9 5" xfId="58023" xr:uid="{00000000-0005-0000-0000-000080E30000}"/>
    <cellStyle name="Total 7 2 3" xfId="58024" xr:uid="{00000000-0005-0000-0000-000081E30000}"/>
    <cellStyle name="Total 7 2 3 2" xfId="58025" xr:uid="{00000000-0005-0000-0000-000082E30000}"/>
    <cellStyle name="Total 7 2 3 2 2" xfId="58026" xr:uid="{00000000-0005-0000-0000-000083E30000}"/>
    <cellStyle name="Total 7 2 3 2 2 2" xfId="58027" xr:uid="{00000000-0005-0000-0000-000084E30000}"/>
    <cellStyle name="Total 7 2 3 2 2 3" xfId="58028" xr:uid="{00000000-0005-0000-0000-000085E30000}"/>
    <cellStyle name="Total 7 2 3 2 2 4" xfId="58029" xr:uid="{00000000-0005-0000-0000-000086E30000}"/>
    <cellStyle name="Total 7 2 3 2 3" xfId="58030" xr:uid="{00000000-0005-0000-0000-000087E30000}"/>
    <cellStyle name="Total 7 2 3 2 4" xfId="58031" xr:uid="{00000000-0005-0000-0000-000088E30000}"/>
    <cellStyle name="Total 7 2 3 2 5" xfId="58032" xr:uid="{00000000-0005-0000-0000-000089E30000}"/>
    <cellStyle name="Total 7 2 3 3" xfId="58033" xr:uid="{00000000-0005-0000-0000-00008AE30000}"/>
    <cellStyle name="Total 7 2 3 3 2" xfId="58034" xr:uid="{00000000-0005-0000-0000-00008BE30000}"/>
    <cellStyle name="Total 7 2 3 3 2 2" xfId="58035" xr:uid="{00000000-0005-0000-0000-00008CE30000}"/>
    <cellStyle name="Total 7 2 3 3 2 3" xfId="58036" xr:uid="{00000000-0005-0000-0000-00008DE30000}"/>
    <cellStyle name="Total 7 2 3 3 2 4" xfId="58037" xr:uid="{00000000-0005-0000-0000-00008EE30000}"/>
    <cellStyle name="Total 7 2 3 3 3" xfId="58038" xr:uid="{00000000-0005-0000-0000-00008FE30000}"/>
    <cellStyle name="Total 7 2 3 3 3 2" xfId="58039" xr:uid="{00000000-0005-0000-0000-000090E30000}"/>
    <cellStyle name="Total 7 2 3 3 3 3" xfId="58040" xr:uid="{00000000-0005-0000-0000-000091E30000}"/>
    <cellStyle name="Total 7 2 3 3 3 4" xfId="58041" xr:uid="{00000000-0005-0000-0000-000092E30000}"/>
    <cellStyle name="Total 7 2 3 3 4" xfId="58042" xr:uid="{00000000-0005-0000-0000-000093E30000}"/>
    <cellStyle name="Total 7 2 3 3 5" xfId="58043" xr:uid="{00000000-0005-0000-0000-000094E30000}"/>
    <cellStyle name="Total 7 2 3 3 6" xfId="58044" xr:uid="{00000000-0005-0000-0000-000095E30000}"/>
    <cellStyle name="Total 7 2 3 4" xfId="58045" xr:uid="{00000000-0005-0000-0000-000096E30000}"/>
    <cellStyle name="Total 7 2 3 5" xfId="58046" xr:uid="{00000000-0005-0000-0000-000097E30000}"/>
    <cellStyle name="Total 7 2 4" xfId="58047" xr:uid="{00000000-0005-0000-0000-000098E30000}"/>
    <cellStyle name="Total 7 2 4 2" xfId="58048" xr:uid="{00000000-0005-0000-0000-000099E30000}"/>
    <cellStyle name="Total 7 2 4 2 2" xfId="58049" xr:uid="{00000000-0005-0000-0000-00009AE30000}"/>
    <cellStyle name="Total 7 2 4 2 2 2" xfId="58050" xr:uid="{00000000-0005-0000-0000-00009BE30000}"/>
    <cellStyle name="Total 7 2 4 2 2 3" xfId="58051" xr:uid="{00000000-0005-0000-0000-00009CE30000}"/>
    <cellStyle name="Total 7 2 4 2 2 4" xfId="58052" xr:uid="{00000000-0005-0000-0000-00009DE30000}"/>
    <cellStyle name="Total 7 2 4 2 3" xfId="58053" xr:uid="{00000000-0005-0000-0000-00009EE30000}"/>
    <cellStyle name="Total 7 2 4 2 3 2" xfId="58054" xr:uid="{00000000-0005-0000-0000-00009FE30000}"/>
    <cellStyle name="Total 7 2 4 2 3 3" xfId="58055" xr:uid="{00000000-0005-0000-0000-0000A0E30000}"/>
    <cellStyle name="Total 7 2 4 2 3 4" xfId="58056" xr:uid="{00000000-0005-0000-0000-0000A1E30000}"/>
    <cellStyle name="Total 7 2 4 2 4" xfId="58057" xr:uid="{00000000-0005-0000-0000-0000A2E30000}"/>
    <cellStyle name="Total 7 2 4 2 5" xfId="58058" xr:uid="{00000000-0005-0000-0000-0000A3E30000}"/>
    <cellStyle name="Total 7 2 4 2 6" xfId="58059" xr:uid="{00000000-0005-0000-0000-0000A4E30000}"/>
    <cellStyle name="Total 7 2 4 3" xfId="58060" xr:uid="{00000000-0005-0000-0000-0000A5E30000}"/>
    <cellStyle name="Total 7 2 4 3 2" xfId="58061" xr:uid="{00000000-0005-0000-0000-0000A6E30000}"/>
    <cellStyle name="Total 7 2 4 3 2 2" xfId="58062" xr:uid="{00000000-0005-0000-0000-0000A7E30000}"/>
    <cellStyle name="Total 7 2 4 3 2 3" xfId="58063" xr:uid="{00000000-0005-0000-0000-0000A8E30000}"/>
    <cellStyle name="Total 7 2 4 3 2 4" xfId="58064" xr:uid="{00000000-0005-0000-0000-0000A9E30000}"/>
    <cellStyle name="Total 7 2 4 3 3" xfId="58065" xr:uid="{00000000-0005-0000-0000-0000AAE30000}"/>
    <cellStyle name="Total 7 2 4 3 3 2" xfId="58066" xr:uid="{00000000-0005-0000-0000-0000ABE30000}"/>
    <cellStyle name="Total 7 2 4 3 3 3" xfId="58067" xr:uid="{00000000-0005-0000-0000-0000ACE30000}"/>
    <cellStyle name="Total 7 2 4 3 3 4" xfId="58068" xr:uid="{00000000-0005-0000-0000-0000ADE30000}"/>
    <cellStyle name="Total 7 2 4 3 4" xfId="58069" xr:uid="{00000000-0005-0000-0000-0000AEE30000}"/>
    <cellStyle name="Total 7 2 4 3 5" xfId="58070" xr:uid="{00000000-0005-0000-0000-0000AFE30000}"/>
    <cellStyle name="Total 7 2 4 3 6" xfId="58071" xr:uid="{00000000-0005-0000-0000-0000B0E30000}"/>
    <cellStyle name="Total 7 2 4 4" xfId="58072" xr:uid="{00000000-0005-0000-0000-0000B1E30000}"/>
    <cellStyle name="Total 7 2 4 5" xfId="58073" xr:uid="{00000000-0005-0000-0000-0000B2E30000}"/>
    <cellStyle name="Total 7 2 4 6" xfId="58074" xr:uid="{00000000-0005-0000-0000-0000B3E30000}"/>
    <cellStyle name="Total 7 2 5" xfId="58075" xr:uid="{00000000-0005-0000-0000-0000B4E30000}"/>
    <cellStyle name="Total 7 2 6" xfId="58076" xr:uid="{00000000-0005-0000-0000-0000B5E30000}"/>
    <cellStyle name="Total 7 3" xfId="58077" xr:uid="{00000000-0005-0000-0000-0000B6E30000}"/>
    <cellStyle name="Total 7 3 10" xfId="58078" xr:uid="{00000000-0005-0000-0000-0000B7E30000}"/>
    <cellStyle name="Total 7 3 10 2" xfId="58079" xr:uid="{00000000-0005-0000-0000-0000B8E30000}"/>
    <cellStyle name="Total 7 3 10 2 2" xfId="58080" xr:uid="{00000000-0005-0000-0000-0000B9E30000}"/>
    <cellStyle name="Total 7 3 10 2 2 2" xfId="58081" xr:uid="{00000000-0005-0000-0000-0000BAE30000}"/>
    <cellStyle name="Total 7 3 10 2 2 3" xfId="58082" xr:uid="{00000000-0005-0000-0000-0000BBE30000}"/>
    <cellStyle name="Total 7 3 10 2 2 4" xfId="58083" xr:uid="{00000000-0005-0000-0000-0000BCE30000}"/>
    <cellStyle name="Total 7 3 10 2 3" xfId="58084" xr:uid="{00000000-0005-0000-0000-0000BDE30000}"/>
    <cellStyle name="Total 7 3 10 2 4" xfId="58085" xr:uid="{00000000-0005-0000-0000-0000BEE30000}"/>
    <cellStyle name="Total 7 3 10 2 5" xfId="58086" xr:uid="{00000000-0005-0000-0000-0000BFE30000}"/>
    <cellStyle name="Total 7 3 10 3" xfId="58087" xr:uid="{00000000-0005-0000-0000-0000C0E30000}"/>
    <cellStyle name="Total 7 3 10 3 2" xfId="58088" xr:uid="{00000000-0005-0000-0000-0000C1E30000}"/>
    <cellStyle name="Total 7 3 10 3 2 2" xfId="58089" xr:uid="{00000000-0005-0000-0000-0000C2E30000}"/>
    <cellStyle name="Total 7 3 10 3 2 3" xfId="58090" xr:uid="{00000000-0005-0000-0000-0000C3E30000}"/>
    <cellStyle name="Total 7 3 10 3 2 4" xfId="58091" xr:uid="{00000000-0005-0000-0000-0000C4E30000}"/>
    <cellStyle name="Total 7 3 10 3 3" xfId="58092" xr:uid="{00000000-0005-0000-0000-0000C5E30000}"/>
    <cellStyle name="Total 7 3 10 3 3 2" xfId="58093" xr:uid="{00000000-0005-0000-0000-0000C6E30000}"/>
    <cellStyle name="Total 7 3 10 3 3 3" xfId="58094" xr:uid="{00000000-0005-0000-0000-0000C7E30000}"/>
    <cellStyle name="Total 7 3 10 3 3 4" xfId="58095" xr:uid="{00000000-0005-0000-0000-0000C8E30000}"/>
    <cellStyle name="Total 7 3 10 3 4" xfId="58096" xr:uid="{00000000-0005-0000-0000-0000C9E30000}"/>
    <cellStyle name="Total 7 3 10 3 5" xfId="58097" xr:uid="{00000000-0005-0000-0000-0000CAE30000}"/>
    <cellStyle name="Total 7 3 10 3 6" xfId="58098" xr:uid="{00000000-0005-0000-0000-0000CBE30000}"/>
    <cellStyle name="Total 7 3 10 4" xfId="58099" xr:uid="{00000000-0005-0000-0000-0000CCE30000}"/>
    <cellStyle name="Total 7 3 10 5" xfId="58100" xr:uid="{00000000-0005-0000-0000-0000CDE30000}"/>
    <cellStyle name="Total 7 3 11" xfId="58101" xr:uid="{00000000-0005-0000-0000-0000CEE30000}"/>
    <cellStyle name="Total 7 3 11 2" xfId="58102" xr:uid="{00000000-0005-0000-0000-0000CFE30000}"/>
    <cellStyle name="Total 7 3 11 2 2" xfId="58103" xr:uid="{00000000-0005-0000-0000-0000D0E30000}"/>
    <cellStyle name="Total 7 3 11 2 2 2" xfId="58104" xr:uid="{00000000-0005-0000-0000-0000D1E30000}"/>
    <cellStyle name="Total 7 3 11 2 2 3" xfId="58105" xr:uid="{00000000-0005-0000-0000-0000D2E30000}"/>
    <cellStyle name="Total 7 3 11 2 2 4" xfId="58106" xr:uid="{00000000-0005-0000-0000-0000D3E30000}"/>
    <cellStyle name="Total 7 3 11 2 3" xfId="58107" xr:uid="{00000000-0005-0000-0000-0000D4E30000}"/>
    <cellStyle name="Total 7 3 11 2 4" xfId="58108" xr:uid="{00000000-0005-0000-0000-0000D5E30000}"/>
    <cellStyle name="Total 7 3 11 2 5" xfId="58109" xr:uid="{00000000-0005-0000-0000-0000D6E30000}"/>
    <cellStyle name="Total 7 3 11 3" xfId="58110" xr:uid="{00000000-0005-0000-0000-0000D7E30000}"/>
    <cellStyle name="Total 7 3 11 3 2" xfId="58111" xr:uid="{00000000-0005-0000-0000-0000D8E30000}"/>
    <cellStyle name="Total 7 3 11 3 2 2" xfId="58112" xr:uid="{00000000-0005-0000-0000-0000D9E30000}"/>
    <cellStyle name="Total 7 3 11 3 2 3" xfId="58113" xr:uid="{00000000-0005-0000-0000-0000DAE30000}"/>
    <cellStyle name="Total 7 3 11 3 2 4" xfId="58114" xr:uid="{00000000-0005-0000-0000-0000DBE30000}"/>
    <cellStyle name="Total 7 3 11 3 3" xfId="58115" xr:uid="{00000000-0005-0000-0000-0000DCE30000}"/>
    <cellStyle name="Total 7 3 11 3 3 2" xfId="58116" xr:uid="{00000000-0005-0000-0000-0000DDE30000}"/>
    <cellStyle name="Total 7 3 11 3 3 3" xfId="58117" xr:uid="{00000000-0005-0000-0000-0000DEE30000}"/>
    <cellStyle name="Total 7 3 11 3 3 4" xfId="58118" xr:uid="{00000000-0005-0000-0000-0000DFE30000}"/>
    <cellStyle name="Total 7 3 11 3 4" xfId="58119" xr:uid="{00000000-0005-0000-0000-0000E0E30000}"/>
    <cellStyle name="Total 7 3 11 3 5" xfId="58120" xr:uid="{00000000-0005-0000-0000-0000E1E30000}"/>
    <cellStyle name="Total 7 3 11 3 6" xfId="58121" xr:uid="{00000000-0005-0000-0000-0000E2E30000}"/>
    <cellStyle name="Total 7 3 11 4" xfId="58122" xr:uid="{00000000-0005-0000-0000-0000E3E30000}"/>
    <cellStyle name="Total 7 3 11 5" xfId="58123" xr:uid="{00000000-0005-0000-0000-0000E4E30000}"/>
    <cellStyle name="Total 7 3 12" xfId="58124" xr:uid="{00000000-0005-0000-0000-0000E5E30000}"/>
    <cellStyle name="Total 7 3 12 2" xfId="58125" xr:uid="{00000000-0005-0000-0000-0000E6E30000}"/>
    <cellStyle name="Total 7 3 12 2 2" xfId="58126" xr:uid="{00000000-0005-0000-0000-0000E7E30000}"/>
    <cellStyle name="Total 7 3 12 2 2 2" xfId="58127" xr:uid="{00000000-0005-0000-0000-0000E8E30000}"/>
    <cellStyle name="Total 7 3 12 2 2 3" xfId="58128" xr:uid="{00000000-0005-0000-0000-0000E9E30000}"/>
    <cellStyle name="Total 7 3 12 2 2 4" xfId="58129" xr:uid="{00000000-0005-0000-0000-0000EAE30000}"/>
    <cellStyle name="Total 7 3 12 2 3" xfId="58130" xr:uid="{00000000-0005-0000-0000-0000EBE30000}"/>
    <cellStyle name="Total 7 3 12 2 3 2" xfId="58131" xr:uid="{00000000-0005-0000-0000-0000ECE30000}"/>
    <cellStyle name="Total 7 3 12 2 3 3" xfId="58132" xr:uid="{00000000-0005-0000-0000-0000EDE30000}"/>
    <cellStyle name="Total 7 3 12 2 3 4" xfId="58133" xr:uid="{00000000-0005-0000-0000-0000EEE30000}"/>
    <cellStyle name="Total 7 3 12 2 4" xfId="58134" xr:uid="{00000000-0005-0000-0000-0000EFE30000}"/>
    <cellStyle name="Total 7 3 12 2 5" xfId="58135" xr:uid="{00000000-0005-0000-0000-0000F0E30000}"/>
    <cellStyle name="Total 7 3 12 2 6" xfId="58136" xr:uid="{00000000-0005-0000-0000-0000F1E30000}"/>
    <cellStyle name="Total 7 3 12 3" xfId="58137" xr:uid="{00000000-0005-0000-0000-0000F2E30000}"/>
    <cellStyle name="Total 7 3 12 3 2" xfId="58138" xr:uid="{00000000-0005-0000-0000-0000F3E30000}"/>
    <cellStyle name="Total 7 3 12 3 2 2" xfId="58139" xr:uid="{00000000-0005-0000-0000-0000F4E30000}"/>
    <cellStyle name="Total 7 3 12 3 2 3" xfId="58140" xr:uid="{00000000-0005-0000-0000-0000F5E30000}"/>
    <cellStyle name="Total 7 3 12 3 2 4" xfId="58141" xr:uid="{00000000-0005-0000-0000-0000F6E30000}"/>
    <cellStyle name="Total 7 3 12 3 3" xfId="58142" xr:uid="{00000000-0005-0000-0000-0000F7E30000}"/>
    <cellStyle name="Total 7 3 12 3 3 2" xfId="58143" xr:uid="{00000000-0005-0000-0000-0000F8E30000}"/>
    <cellStyle name="Total 7 3 12 3 3 3" xfId="58144" xr:uid="{00000000-0005-0000-0000-0000F9E30000}"/>
    <cellStyle name="Total 7 3 12 3 3 4" xfId="58145" xr:uid="{00000000-0005-0000-0000-0000FAE30000}"/>
    <cellStyle name="Total 7 3 12 3 4" xfId="58146" xr:uid="{00000000-0005-0000-0000-0000FBE30000}"/>
    <cellStyle name="Total 7 3 12 3 5" xfId="58147" xr:uid="{00000000-0005-0000-0000-0000FCE30000}"/>
    <cellStyle name="Total 7 3 12 3 6" xfId="58148" xr:uid="{00000000-0005-0000-0000-0000FDE30000}"/>
    <cellStyle name="Total 7 3 12 4" xfId="58149" xr:uid="{00000000-0005-0000-0000-0000FEE30000}"/>
    <cellStyle name="Total 7 3 12 5" xfId="58150" xr:uid="{00000000-0005-0000-0000-0000FFE30000}"/>
    <cellStyle name="Total 7 3 12 6" xfId="58151" xr:uid="{00000000-0005-0000-0000-000000E40000}"/>
    <cellStyle name="Total 7 3 13" xfId="58152" xr:uid="{00000000-0005-0000-0000-000001E40000}"/>
    <cellStyle name="Total 7 3 14" xfId="58153" xr:uid="{00000000-0005-0000-0000-000002E40000}"/>
    <cellStyle name="Total 7 3 15" xfId="58819" xr:uid="{00000000-0005-0000-0000-000003E40000}"/>
    <cellStyle name="Total 7 3 2" xfId="58154" xr:uid="{00000000-0005-0000-0000-000004E40000}"/>
    <cellStyle name="Total 7 3 2 2" xfId="58155" xr:uid="{00000000-0005-0000-0000-000005E40000}"/>
    <cellStyle name="Total 7 3 2 2 2" xfId="58156" xr:uid="{00000000-0005-0000-0000-000006E40000}"/>
    <cellStyle name="Total 7 3 2 2 2 2" xfId="58157" xr:uid="{00000000-0005-0000-0000-000007E40000}"/>
    <cellStyle name="Total 7 3 2 2 2 2 2" xfId="58158" xr:uid="{00000000-0005-0000-0000-000008E40000}"/>
    <cellStyle name="Total 7 3 2 2 2 2 3" xfId="58159" xr:uid="{00000000-0005-0000-0000-000009E40000}"/>
    <cellStyle name="Total 7 3 2 2 2 2 4" xfId="58160" xr:uid="{00000000-0005-0000-0000-00000AE40000}"/>
    <cellStyle name="Total 7 3 2 2 2 3" xfId="58161" xr:uid="{00000000-0005-0000-0000-00000BE40000}"/>
    <cellStyle name="Total 7 3 2 2 2 3 2" xfId="58162" xr:uid="{00000000-0005-0000-0000-00000CE40000}"/>
    <cellStyle name="Total 7 3 2 2 2 3 3" xfId="58163" xr:uid="{00000000-0005-0000-0000-00000DE40000}"/>
    <cellStyle name="Total 7 3 2 2 2 3 4" xfId="58164" xr:uid="{00000000-0005-0000-0000-00000EE40000}"/>
    <cellStyle name="Total 7 3 2 2 2 4" xfId="58165" xr:uid="{00000000-0005-0000-0000-00000FE40000}"/>
    <cellStyle name="Total 7 3 2 2 2 5" xfId="58166" xr:uid="{00000000-0005-0000-0000-000010E40000}"/>
    <cellStyle name="Total 7 3 2 2 2 6" xfId="58167" xr:uid="{00000000-0005-0000-0000-000011E40000}"/>
    <cellStyle name="Total 7 3 2 2 3" xfId="58168" xr:uid="{00000000-0005-0000-0000-000012E40000}"/>
    <cellStyle name="Total 7 3 2 2 3 2" xfId="58169" xr:uid="{00000000-0005-0000-0000-000013E40000}"/>
    <cellStyle name="Total 7 3 2 2 3 2 2" xfId="58170" xr:uid="{00000000-0005-0000-0000-000014E40000}"/>
    <cellStyle name="Total 7 3 2 2 3 2 3" xfId="58171" xr:uid="{00000000-0005-0000-0000-000015E40000}"/>
    <cellStyle name="Total 7 3 2 2 3 2 4" xfId="58172" xr:uid="{00000000-0005-0000-0000-000016E40000}"/>
    <cellStyle name="Total 7 3 2 2 3 3" xfId="58173" xr:uid="{00000000-0005-0000-0000-000017E40000}"/>
    <cellStyle name="Total 7 3 2 2 3 3 2" xfId="58174" xr:uid="{00000000-0005-0000-0000-000018E40000}"/>
    <cellStyle name="Total 7 3 2 2 3 3 3" xfId="58175" xr:uid="{00000000-0005-0000-0000-000019E40000}"/>
    <cellStyle name="Total 7 3 2 2 3 3 4" xfId="58176" xr:uid="{00000000-0005-0000-0000-00001AE40000}"/>
    <cellStyle name="Total 7 3 2 2 3 4" xfId="58177" xr:uid="{00000000-0005-0000-0000-00001BE40000}"/>
    <cellStyle name="Total 7 3 2 2 3 5" xfId="58178" xr:uid="{00000000-0005-0000-0000-00001CE40000}"/>
    <cellStyle name="Total 7 3 2 2 3 6" xfId="58179" xr:uid="{00000000-0005-0000-0000-00001DE40000}"/>
    <cellStyle name="Total 7 3 2 2 4" xfId="58180" xr:uid="{00000000-0005-0000-0000-00001EE40000}"/>
    <cellStyle name="Total 7 3 2 2 5" xfId="58181" xr:uid="{00000000-0005-0000-0000-00001FE40000}"/>
    <cellStyle name="Total 7 3 2 2 6" xfId="58182" xr:uid="{00000000-0005-0000-0000-000020E40000}"/>
    <cellStyle name="Total 7 3 2 3" xfId="58183" xr:uid="{00000000-0005-0000-0000-000021E40000}"/>
    <cellStyle name="Total 7 3 2 4" xfId="58184" xr:uid="{00000000-0005-0000-0000-000022E40000}"/>
    <cellStyle name="Total 7 3 3" xfId="58185" xr:uid="{00000000-0005-0000-0000-000023E40000}"/>
    <cellStyle name="Total 7 3 3 2" xfId="58186" xr:uid="{00000000-0005-0000-0000-000024E40000}"/>
    <cellStyle name="Total 7 3 3 2 2" xfId="58187" xr:uid="{00000000-0005-0000-0000-000025E40000}"/>
    <cellStyle name="Total 7 3 3 2 2 2" xfId="58188" xr:uid="{00000000-0005-0000-0000-000026E40000}"/>
    <cellStyle name="Total 7 3 3 2 2 2 2" xfId="58189" xr:uid="{00000000-0005-0000-0000-000027E40000}"/>
    <cellStyle name="Total 7 3 3 2 2 2 3" xfId="58190" xr:uid="{00000000-0005-0000-0000-000028E40000}"/>
    <cellStyle name="Total 7 3 3 2 2 2 4" xfId="58191" xr:uid="{00000000-0005-0000-0000-000029E40000}"/>
    <cellStyle name="Total 7 3 3 2 2 3" xfId="58192" xr:uid="{00000000-0005-0000-0000-00002AE40000}"/>
    <cellStyle name="Total 7 3 3 2 2 3 2" xfId="58193" xr:uid="{00000000-0005-0000-0000-00002BE40000}"/>
    <cellStyle name="Total 7 3 3 2 2 3 3" xfId="58194" xr:uid="{00000000-0005-0000-0000-00002CE40000}"/>
    <cellStyle name="Total 7 3 3 2 2 3 4" xfId="58195" xr:uid="{00000000-0005-0000-0000-00002DE40000}"/>
    <cellStyle name="Total 7 3 3 2 2 4" xfId="58196" xr:uid="{00000000-0005-0000-0000-00002EE40000}"/>
    <cellStyle name="Total 7 3 3 2 2 5" xfId="58197" xr:uid="{00000000-0005-0000-0000-00002FE40000}"/>
    <cellStyle name="Total 7 3 3 2 2 6" xfId="58198" xr:uid="{00000000-0005-0000-0000-000030E40000}"/>
    <cellStyle name="Total 7 3 3 2 3" xfId="58199" xr:uid="{00000000-0005-0000-0000-000031E40000}"/>
    <cellStyle name="Total 7 3 3 2 3 2" xfId="58200" xr:uid="{00000000-0005-0000-0000-000032E40000}"/>
    <cellStyle name="Total 7 3 3 2 3 2 2" xfId="58201" xr:uid="{00000000-0005-0000-0000-000033E40000}"/>
    <cellStyle name="Total 7 3 3 2 3 2 3" xfId="58202" xr:uid="{00000000-0005-0000-0000-000034E40000}"/>
    <cellStyle name="Total 7 3 3 2 3 2 4" xfId="58203" xr:uid="{00000000-0005-0000-0000-000035E40000}"/>
    <cellStyle name="Total 7 3 3 2 3 3" xfId="58204" xr:uid="{00000000-0005-0000-0000-000036E40000}"/>
    <cellStyle name="Total 7 3 3 2 3 3 2" xfId="58205" xr:uid="{00000000-0005-0000-0000-000037E40000}"/>
    <cellStyle name="Total 7 3 3 2 3 3 3" xfId="58206" xr:uid="{00000000-0005-0000-0000-000038E40000}"/>
    <cellStyle name="Total 7 3 3 2 3 3 4" xfId="58207" xr:uid="{00000000-0005-0000-0000-000039E40000}"/>
    <cellStyle name="Total 7 3 3 2 3 4" xfId="58208" xr:uid="{00000000-0005-0000-0000-00003AE40000}"/>
    <cellStyle name="Total 7 3 3 2 3 5" xfId="58209" xr:uid="{00000000-0005-0000-0000-00003BE40000}"/>
    <cellStyle name="Total 7 3 3 2 3 6" xfId="58210" xr:uid="{00000000-0005-0000-0000-00003CE40000}"/>
    <cellStyle name="Total 7 3 3 2 4" xfId="58211" xr:uid="{00000000-0005-0000-0000-00003DE40000}"/>
    <cellStyle name="Total 7 3 3 2 5" xfId="58212" xr:uid="{00000000-0005-0000-0000-00003EE40000}"/>
    <cellStyle name="Total 7 3 3 2 6" xfId="58213" xr:uid="{00000000-0005-0000-0000-00003FE40000}"/>
    <cellStyle name="Total 7 3 3 3" xfId="58214" xr:uid="{00000000-0005-0000-0000-000040E40000}"/>
    <cellStyle name="Total 7 3 3 4" xfId="58215" xr:uid="{00000000-0005-0000-0000-000041E40000}"/>
    <cellStyle name="Total 7 3 4" xfId="58216" xr:uid="{00000000-0005-0000-0000-000042E40000}"/>
    <cellStyle name="Total 7 3 4 2" xfId="58217" xr:uid="{00000000-0005-0000-0000-000043E40000}"/>
    <cellStyle name="Total 7 3 4 2 2" xfId="58218" xr:uid="{00000000-0005-0000-0000-000044E40000}"/>
    <cellStyle name="Total 7 3 4 2 2 2" xfId="58219" xr:uid="{00000000-0005-0000-0000-000045E40000}"/>
    <cellStyle name="Total 7 3 4 2 2 2 2" xfId="58220" xr:uid="{00000000-0005-0000-0000-000046E40000}"/>
    <cellStyle name="Total 7 3 4 2 2 2 3" xfId="58221" xr:uid="{00000000-0005-0000-0000-000047E40000}"/>
    <cellStyle name="Total 7 3 4 2 2 2 4" xfId="58222" xr:uid="{00000000-0005-0000-0000-000048E40000}"/>
    <cellStyle name="Total 7 3 4 2 2 3" xfId="58223" xr:uid="{00000000-0005-0000-0000-000049E40000}"/>
    <cellStyle name="Total 7 3 4 2 2 3 2" xfId="58224" xr:uid="{00000000-0005-0000-0000-00004AE40000}"/>
    <cellStyle name="Total 7 3 4 2 2 3 3" xfId="58225" xr:uid="{00000000-0005-0000-0000-00004BE40000}"/>
    <cellStyle name="Total 7 3 4 2 2 3 4" xfId="58226" xr:uid="{00000000-0005-0000-0000-00004CE40000}"/>
    <cellStyle name="Total 7 3 4 2 2 4" xfId="58227" xr:uid="{00000000-0005-0000-0000-00004DE40000}"/>
    <cellStyle name="Total 7 3 4 2 2 5" xfId="58228" xr:uid="{00000000-0005-0000-0000-00004EE40000}"/>
    <cellStyle name="Total 7 3 4 2 2 6" xfId="58229" xr:uid="{00000000-0005-0000-0000-00004FE40000}"/>
    <cellStyle name="Total 7 3 4 2 3" xfId="58230" xr:uid="{00000000-0005-0000-0000-000050E40000}"/>
    <cellStyle name="Total 7 3 4 2 3 2" xfId="58231" xr:uid="{00000000-0005-0000-0000-000051E40000}"/>
    <cellStyle name="Total 7 3 4 2 3 2 2" xfId="58232" xr:uid="{00000000-0005-0000-0000-000052E40000}"/>
    <cellStyle name="Total 7 3 4 2 3 2 3" xfId="58233" xr:uid="{00000000-0005-0000-0000-000053E40000}"/>
    <cellStyle name="Total 7 3 4 2 3 2 4" xfId="58234" xr:uid="{00000000-0005-0000-0000-000054E40000}"/>
    <cellStyle name="Total 7 3 4 2 3 3" xfId="58235" xr:uid="{00000000-0005-0000-0000-000055E40000}"/>
    <cellStyle name="Total 7 3 4 2 3 3 2" xfId="58236" xr:uid="{00000000-0005-0000-0000-000056E40000}"/>
    <cellStyle name="Total 7 3 4 2 3 3 3" xfId="58237" xr:uid="{00000000-0005-0000-0000-000057E40000}"/>
    <cellStyle name="Total 7 3 4 2 3 3 4" xfId="58238" xr:uid="{00000000-0005-0000-0000-000058E40000}"/>
    <cellStyle name="Total 7 3 4 2 3 4" xfId="58239" xr:uid="{00000000-0005-0000-0000-000059E40000}"/>
    <cellStyle name="Total 7 3 4 2 3 5" xfId="58240" xr:uid="{00000000-0005-0000-0000-00005AE40000}"/>
    <cellStyle name="Total 7 3 4 2 3 6" xfId="58241" xr:uid="{00000000-0005-0000-0000-00005BE40000}"/>
    <cellStyle name="Total 7 3 4 2 4" xfId="58242" xr:uid="{00000000-0005-0000-0000-00005CE40000}"/>
    <cellStyle name="Total 7 3 4 2 5" xfId="58243" xr:uid="{00000000-0005-0000-0000-00005DE40000}"/>
    <cellStyle name="Total 7 3 4 2 6" xfId="58244" xr:uid="{00000000-0005-0000-0000-00005EE40000}"/>
    <cellStyle name="Total 7 3 4 3" xfId="58245" xr:uid="{00000000-0005-0000-0000-00005FE40000}"/>
    <cellStyle name="Total 7 3 4 4" xfId="58246" xr:uid="{00000000-0005-0000-0000-000060E40000}"/>
    <cellStyle name="Total 7 3 5" xfId="58247" xr:uid="{00000000-0005-0000-0000-000061E40000}"/>
    <cellStyle name="Total 7 3 5 2" xfId="58248" xr:uid="{00000000-0005-0000-0000-000062E40000}"/>
    <cellStyle name="Total 7 3 5 2 2" xfId="58249" xr:uid="{00000000-0005-0000-0000-000063E40000}"/>
    <cellStyle name="Total 7 3 5 2 2 2" xfId="58250" xr:uid="{00000000-0005-0000-0000-000064E40000}"/>
    <cellStyle name="Total 7 3 5 2 2 3" xfId="58251" xr:uid="{00000000-0005-0000-0000-000065E40000}"/>
    <cellStyle name="Total 7 3 5 2 2 4" xfId="58252" xr:uid="{00000000-0005-0000-0000-000066E40000}"/>
    <cellStyle name="Total 7 3 5 2 3" xfId="58253" xr:uid="{00000000-0005-0000-0000-000067E40000}"/>
    <cellStyle name="Total 7 3 5 2 4" xfId="58254" xr:uid="{00000000-0005-0000-0000-000068E40000}"/>
    <cellStyle name="Total 7 3 5 2 5" xfId="58255" xr:uid="{00000000-0005-0000-0000-000069E40000}"/>
    <cellStyle name="Total 7 3 5 3" xfId="58256" xr:uid="{00000000-0005-0000-0000-00006AE40000}"/>
    <cellStyle name="Total 7 3 5 3 2" xfId="58257" xr:uid="{00000000-0005-0000-0000-00006BE40000}"/>
    <cellStyle name="Total 7 3 5 3 2 2" xfId="58258" xr:uid="{00000000-0005-0000-0000-00006CE40000}"/>
    <cellStyle name="Total 7 3 5 3 2 3" xfId="58259" xr:uid="{00000000-0005-0000-0000-00006DE40000}"/>
    <cellStyle name="Total 7 3 5 3 2 4" xfId="58260" xr:uid="{00000000-0005-0000-0000-00006EE40000}"/>
    <cellStyle name="Total 7 3 5 3 3" xfId="58261" xr:uid="{00000000-0005-0000-0000-00006FE40000}"/>
    <cellStyle name="Total 7 3 5 3 3 2" xfId="58262" xr:uid="{00000000-0005-0000-0000-000070E40000}"/>
    <cellStyle name="Total 7 3 5 3 3 3" xfId="58263" xr:uid="{00000000-0005-0000-0000-000071E40000}"/>
    <cellStyle name="Total 7 3 5 3 3 4" xfId="58264" xr:uid="{00000000-0005-0000-0000-000072E40000}"/>
    <cellStyle name="Total 7 3 5 3 4" xfId="58265" xr:uid="{00000000-0005-0000-0000-000073E40000}"/>
    <cellStyle name="Total 7 3 5 3 5" xfId="58266" xr:uid="{00000000-0005-0000-0000-000074E40000}"/>
    <cellStyle name="Total 7 3 5 3 6" xfId="58267" xr:uid="{00000000-0005-0000-0000-000075E40000}"/>
    <cellStyle name="Total 7 3 5 4" xfId="58268" xr:uid="{00000000-0005-0000-0000-000076E40000}"/>
    <cellStyle name="Total 7 3 5 5" xfId="58269" xr:uid="{00000000-0005-0000-0000-000077E40000}"/>
    <cellStyle name="Total 7 3 6" xfId="58270" xr:uid="{00000000-0005-0000-0000-000078E40000}"/>
    <cellStyle name="Total 7 3 6 2" xfId="58271" xr:uid="{00000000-0005-0000-0000-000079E40000}"/>
    <cellStyle name="Total 7 3 6 2 2" xfId="58272" xr:uid="{00000000-0005-0000-0000-00007AE40000}"/>
    <cellStyle name="Total 7 3 6 2 2 2" xfId="58273" xr:uid="{00000000-0005-0000-0000-00007BE40000}"/>
    <cellStyle name="Total 7 3 6 2 2 3" xfId="58274" xr:uid="{00000000-0005-0000-0000-00007CE40000}"/>
    <cellStyle name="Total 7 3 6 2 2 4" xfId="58275" xr:uid="{00000000-0005-0000-0000-00007DE40000}"/>
    <cellStyle name="Total 7 3 6 2 3" xfId="58276" xr:uid="{00000000-0005-0000-0000-00007EE40000}"/>
    <cellStyle name="Total 7 3 6 2 4" xfId="58277" xr:uid="{00000000-0005-0000-0000-00007FE40000}"/>
    <cellStyle name="Total 7 3 6 2 5" xfId="58278" xr:uid="{00000000-0005-0000-0000-000080E40000}"/>
    <cellStyle name="Total 7 3 6 3" xfId="58279" xr:uid="{00000000-0005-0000-0000-000081E40000}"/>
    <cellStyle name="Total 7 3 6 3 2" xfId="58280" xr:uid="{00000000-0005-0000-0000-000082E40000}"/>
    <cellStyle name="Total 7 3 6 3 2 2" xfId="58281" xr:uid="{00000000-0005-0000-0000-000083E40000}"/>
    <cellStyle name="Total 7 3 6 3 2 3" xfId="58282" xr:uid="{00000000-0005-0000-0000-000084E40000}"/>
    <cellStyle name="Total 7 3 6 3 2 4" xfId="58283" xr:uid="{00000000-0005-0000-0000-000085E40000}"/>
    <cellStyle name="Total 7 3 6 3 3" xfId="58284" xr:uid="{00000000-0005-0000-0000-000086E40000}"/>
    <cellStyle name="Total 7 3 6 3 3 2" xfId="58285" xr:uid="{00000000-0005-0000-0000-000087E40000}"/>
    <cellStyle name="Total 7 3 6 3 3 3" xfId="58286" xr:uid="{00000000-0005-0000-0000-000088E40000}"/>
    <cellStyle name="Total 7 3 6 3 3 4" xfId="58287" xr:uid="{00000000-0005-0000-0000-000089E40000}"/>
    <cellStyle name="Total 7 3 6 3 4" xfId="58288" xr:uid="{00000000-0005-0000-0000-00008AE40000}"/>
    <cellStyle name="Total 7 3 6 3 5" xfId="58289" xr:uid="{00000000-0005-0000-0000-00008BE40000}"/>
    <cellStyle name="Total 7 3 6 3 6" xfId="58290" xr:uid="{00000000-0005-0000-0000-00008CE40000}"/>
    <cellStyle name="Total 7 3 6 4" xfId="58291" xr:uid="{00000000-0005-0000-0000-00008DE40000}"/>
    <cellStyle name="Total 7 3 6 5" xfId="58292" xr:uid="{00000000-0005-0000-0000-00008EE40000}"/>
    <cellStyle name="Total 7 3 7" xfId="58293" xr:uid="{00000000-0005-0000-0000-00008FE40000}"/>
    <cellStyle name="Total 7 3 7 2" xfId="58294" xr:uid="{00000000-0005-0000-0000-000090E40000}"/>
    <cellStyle name="Total 7 3 7 2 2" xfId="58295" xr:uid="{00000000-0005-0000-0000-000091E40000}"/>
    <cellStyle name="Total 7 3 7 2 2 2" xfId="58296" xr:uid="{00000000-0005-0000-0000-000092E40000}"/>
    <cellStyle name="Total 7 3 7 2 2 3" xfId="58297" xr:uid="{00000000-0005-0000-0000-000093E40000}"/>
    <cellStyle name="Total 7 3 7 2 2 4" xfId="58298" xr:uid="{00000000-0005-0000-0000-000094E40000}"/>
    <cellStyle name="Total 7 3 7 2 3" xfId="58299" xr:uid="{00000000-0005-0000-0000-000095E40000}"/>
    <cellStyle name="Total 7 3 7 2 4" xfId="58300" xr:uid="{00000000-0005-0000-0000-000096E40000}"/>
    <cellStyle name="Total 7 3 7 2 5" xfId="58301" xr:uid="{00000000-0005-0000-0000-000097E40000}"/>
    <cellStyle name="Total 7 3 7 3" xfId="58302" xr:uid="{00000000-0005-0000-0000-000098E40000}"/>
    <cellStyle name="Total 7 3 7 3 2" xfId="58303" xr:uid="{00000000-0005-0000-0000-000099E40000}"/>
    <cellStyle name="Total 7 3 7 3 2 2" xfId="58304" xr:uid="{00000000-0005-0000-0000-00009AE40000}"/>
    <cellStyle name="Total 7 3 7 3 2 3" xfId="58305" xr:uid="{00000000-0005-0000-0000-00009BE40000}"/>
    <cellStyle name="Total 7 3 7 3 2 4" xfId="58306" xr:uid="{00000000-0005-0000-0000-00009CE40000}"/>
    <cellStyle name="Total 7 3 7 3 3" xfId="58307" xr:uid="{00000000-0005-0000-0000-00009DE40000}"/>
    <cellStyle name="Total 7 3 7 3 3 2" xfId="58308" xr:uid="{00000000-0005-0000-0000-00009EE40000}"/>
    <cellStyle name="Total 7 3 7 3 3 3" xfId="58309" xr:uid="{00000000-0005-0000-0000-00009FE40000}"/>
    <cellStyle name="Total 7 3 7 3 3 4" xfId="58310" xr:uid="{00000000-0005-0000-0000-0000A0E40000}"/>
    <cellStyle name="Total 7 3 7 3 4" xfId="58311" xr:uid="{00000000-0005-0000-0000-0000A1E40000}"/>
    <cellStyle name="Total 7 3 7 3 5" xfId="58312" xr:uid="{00000000-0005-0000-0000-0000A2E40000}"/>
    <cellStyle name="Total 7 3 7 3 6" xfId="58313" xr:uid="{00000000-0005-0000-0000-0000A3E40000}"/>
    <cellStyle name="Total 7 3 7 4" xfId="58314" xr:uid="{00000000-0005-0000-0000-0000A4E40000}"/>
    <cellStyle name="Total 7 3 7 5" xfId="58315" xr:uid="{00000000-0005-0000-0000-0000A5E40000}"/>
    <cellStyle name="Total 7 3 8" xfId="58316" xr:uid="{00000000-0005-0000-0000-0000A6E40000}"/>
    <cellStyle name="Total 7 3 8 2" xfId="58317" xr:uid="{00000000-0005-0000-0000-0000A7E40000}"/>
    <cellStyle name="Total 7 3 8 2 2" xfId="58318" xr:uid="{00000000-0005-0000-0000-0000A8E40000}"/>
    <cellStyle name="Total 7 3 8 2 2 2" xfId="58319" xr:uid="{00000000-0005-0000-0000-0000A9E40000}"/>
    <cellStyle name="Total 7 3 8 2 2 3" xfId="58320" xr:uid="{00000000-0005-0000-0000-0000AAE40000}"/>
    <cellStyle name="Total 7 3 8 2 2 4" xfId="58321" xr:uid="{00000000-0005-0000-0000-0000ABE40000}"/>
    <cellStyle name="Total 7 3 8 2 3" xfId="58322" xr:uid="{00000000-0005-0000-0000-0000ACE40000}"/>
    <cellStyle name="Total 7 3 8 2 4" xfId="58323" xr:uid="{00000000-0005-0000-0000-0000ADE40000}"/>
    <cellStyle name="Total 7 3 8 2 5" xfId="58324" xr:uid="{00000000-0005-0000-0000-0000AEE40000}"/>
    <cellStyle name="Total 7 3 8 3" xfId="58325" xr:uid="{00000000-0005-0000-0000-0000AFE40000}"/>
    <cellStyle name="Total 7 3 8 3 2" xfId="58326" xr:uid="{00000000-0005-0000-0000-0000B0E40000}"/>
    <cellStyle name="Total 7 3 8 3 2 2" xfId="58327" xr:uid="{00000000-0005-0000-0000-0000B1E40000}"/>
    <cellStyle name="Total 7 3 8 3 2 3" xfId="58328" xr:uid="{00000000-0005-0000-0000-0000B2E40000}"/>
    <cellStyle name="Total 7 3 8 3 2 4" xfId="58329" xr:uid="{00000000-0005-0000-0000-0000B3E40000}"/>
    <cellStyle name="Total 7 3 8 3 3" xfId="58330" xr:uid="{00000000-0005-0000-0000-0000B4E40000}"/>
    <cellStyle name="Total 7 3 8 3 3 2" xfId="58331" xr:uid="{00000000-0005-0000-0000-0000B5E40000}"/>
    <cellStyle name="Total 7 3 8 3 3 3" xfId="58332" xr:uid="{00000000-0005-0000-0000-0000B6E40000}"/>
    <cellStyle name="Total 7 3 8 3 3 4" xfId="58333" xr:uid="{00000000-0005-0000-0000-0000B7E40000}"/>
    <cellStyle name="Total 7 3 8 3 4" xfId="58334" xr:uid="{00000000-0005-0000-0000-0000B8E40000}"/>
    <cellStyle name="Total 7 3 8 3 5" xfId="58335" xr:uid="{00000000-0005-0000-0000-0000B9E40000}"/>
    <cellStyle name="Total 7 3 8 3 6" xfId="58336" xr:uid="{00000000-0005-0000-0000-0000BAE40000}"/>
    <cellStyle name="Total 7 3 8 4" xfId="58337" xr:uid="{00000000-0005-0000-0000-0000BBE40000}"/>
    <cellStyle name="Total 7 3 8 5" xfId="58338" xr:uid="{00000000-0005-0000-0000-0000BCE40000}"/>
    <cellStyle name="Total 7 3 9" xfId="58339" xr:uid="{00000000-0005-0000-0000-0000BDE40000}"/>
    <cellStyle name="Total 7 3 9 2" xfId="58340" xr:uid="{00000000-0005-0000-0000-0000BEE40000}"/>
    <cellStyle name="Total 7 3 9 2 2" xfId="58341" xr:uid="{00000000-0005-0000-0000-0000BFE40000}"/>
    <cellStyle name="Total 7 3 9 2 2 2" xfId="58342" xr:uid="{00000000-0005-0000-0000-0000C0E40000}"/>
    <cellStyle name="Total 7 3 9 2 2 3" xfId="58343" xr:uid="{00000000-0005-0000-0000-0000C1E40000}"/>
    <cellStyle name="Total 7 3 9 2 2 4" xfId="58344" xr:uid="{00000000-0005-0000-0000-0000C2E40000}"/>
    <cellStyle name="Total 7 3 9 2 3" xfId="58345" xr:uid="{00000000-0005-0000-0000-0000C3E40000}"/>
    <cellStyle name="Total 7 3 9 2 4" xfId="58346" xr:uid="{00000000-0005-0000-0000-0000C4E40000}"/>
    <cellStyle name="Total 7 3 9 2 5" xfId="58347" xr:uid="{00000000-0005-0000-0000-0000C5E40000}"/>
    <cellStyle name="Total 7 3 9 3" xfId="58348" xr:uid="{00000000-0005-0000-0000-0000C6E40000}"/>
    <cellStyle name="Total 7 3 9 3 2" xfId="58349" xr:uid="{00000000-0005-0000-0000-0000C7E40000}"/>
    <cellStyle name="Total 7 3 9 3 2 2" xfId="58350" xr:uid="{00000000-0005-0000-0000-0000C8E40000}"/>
    <cellStyle name="Total 7 3 9 3 2 3" xfId="58351" xr:uid="{00000000-0005-0000-0000-0000C9E40000}"/>
    <cellStyle name="Total 7 3 9 3 2 4" xfId="58352" xr:uid="{00000000-0005-0000-0000-0000CAE40000}"/>
    <cellStyle name="Total 7 3 9 3 3" xfId="58353" xr:uid="{00000000-0005-0000-0000-0000CBE40000}"/>
    <cellStyle name="Total 7 3 9 3 3 2" xfId="58354" xr:uid="{00000000-0005-0000-0000-0000CCE40000}"/>
    <cellStyle name="Total 7 3 9 3 3 3" xfId="58355" xr:uid="{00000000-0005-0000-0000-0000CDE40000}"/>
    <cellStyle name="Total 7 3 9 3 3 4" xfId="58356" xr:uid="{00000000-0005-0000-0000-0000CEE40000}"/>
    <cellStyle name="Total 7 3 9 3 4" xfId="58357" xr:uid="{00000000-0005-0000-0000-0000CFE40000}"/>
    <cellStyle name="Total 7 3 9 3 5" xfId="58358" xr:uid="{00000000-0005-0000-0000-0000D0E40000}"/>
    <cellStyle name="Total 7 3 9 3 6" xfId="58359" xr:uid="{00000000-0005-0000-0000-0000D1E40000}"/>
    <cellStyle name="Total 7 3 9 4" xfId="58360" xr:uid="{00000000-0005-0000-0000-0000D2E40000}"/>
    <cellStyle name="Total 7 3 9 5" xfId="58361" xr:uid="{00000000-0005-0000-0000-0000D3E40000}"/>
    <cellStyle name="Total 7 4" xfId="58362" xr:uid="{00000000-0005-0000-0000-0000D4E40000}"/>
    <cellStyle name="Total 7 4 10" xfId="58363" xr:uid="{00000000-0005-0000-0000-0000D5E40000}"/>
    <cellStyle name="Total 7 4 10 2" xfId="58364" xr:uid="{00000000-0005-0000-0000-0000D6E40000}"/>
    <cellStyle name="Total 7 4 10 2 2" xfId="58365" xr:uid="{00000000-0005-0000-0000-0000D7E40000}"/>
    <cellStyle name="Total 7 4 10 2 2 2" xfId="58366" xr:uid="{00000000-0005-0000-0000-0000D8E40000}"/>
    <cellStyle name="Total 7 4 10 2 2 3" xfId="58367" xr:uid="{00000000-0005-0000-0000-0000D9E40000}"/>
    <cellStyle name="Total 7 4 10 2 2 4" xfId="58368" xr:uid="{00000000-0005-0000-0000-0000DAE40000}"/>
    <cellStyle name="Total 7 4 10 2 3" xfId="58369" xr:uid="{00000000-0005-0000-0000-0000DBE40000}"/>
    <cellStyle name="Total 7 4 10 2 4" xfId="58370" xr:uid="{00000000-0005-0000-0000-0000DCE40000}"/>
    <cellStyle name="Total 7 4 10 2 5" xfId="58371" xr:uid="{00000000-0005-0000-0000-0000DDE40000}"/>
    <cellStyle name="Total 7 4 10 3" xfId="58372" xr:uid="{00000000-0005-0000-0000-0000DEE40000}"/>
    <cellStyle name="Total 7 4 10 3 2" xfId="58373" xr:uid="{00000000-0005-0000-0000-0000DFE40000}"/>
    <cellStyle name="Total 7 4 10 3 2 2" xfId="58374" xr:uid="{00000000-0005-0000-0000-0000E0E40000}"/>
    <cellStyle name="Total 7 4 10 3 2 3" xfId="58375" xr:uid="{00000000-0005-0000-0000-0000E1E40000}"/>
    <cellStyle name="Total 7 4 10 3 2 4" xfId="58376" xr:uid="{00000000-0005-0000-0000-0000E2E40000}"/>
    <cellStyle name="Total 7 4 10 3 3" xfId="58377" xr:uid="{00000000-0005-0000-0000-0000E3E40000}"/>
    <cellStyle name="Total 7 4 10 3 3 2" xfId="58378" xr:uid="{00000000-0005-0000-0000-0000E4E40000}"/>
    <cellStyle name="Total 7 4 10 3 3 3" xfId="58379" xr:uid="{00000000-0005-0000-0000-0000E5E40000}"/>
    <cellStyle name="Total 7 4 10 3 3 4" xfId="58380" xr:uid="{00000000-0005-0000-0000-0000E6E40000}"/>
    <cellStyle name="Total 7 4 10 3 4" xfId="58381" xr:uid="{00000000-0005-0000-0000-0000E7E40000}"/>
    <cellStyle name="Total 7 4 10 3 5" xfId="58382" xr:uid="{00000000-0005-0000-0000-0000E8E40000}"/>
    <cellStyle name="Total 7 4 10 3 6" xfId="58383" xr:uid="{00000000-0005-0000-0000-0000E9E40000}"/>
    <cellStyle name="Total 7 4 10 4" xfId="58384" xr:uid="{00000000-0005-0000-0000-0000EAE40000}"/>
    <cellStyle name="Total 7 4 10 5" xfId="58385" xr:uid="{00000000-0005-0000-0000-0000EBE40000}"/>
    <cellStyle name="Total 7 4 11" xfId="58386" xr:uid="{00000000-0005-0000-0000-0000ECE40000}"/>
    <cellStyle name="Total 7 4 11 2" xfId="58387" xr:uid="{00000000-0005-0000-0000-0000EDE40000}"/>
    <cellStyle name="Total 7 4 11 2 2" xfId="58388" xr:uid="{00000000-0005-0000-0000-0000EEE40000}"/>
    <cellStyle name="Total 7 4 11 2 2 2" xfId="58389" xr:uid="{00000000-0005-0000-0000-0000EFE40000}"/>
    <cellStyle name="Total 7 4 11 2 2 3" xfId="58390" xr:uid="{00000000-0005-0000-0000-0000F0E40000}"/>
    <cellStyle name="Total 7 4 11 2 2 4" xfId="58391" xr:uid="{00000000-0005-0000-0000-0000F1E40000}"/>
    <cellStyle name="Total 7 4 11 2 3" xfId="58392" xr:uid="{00000000-0005-0000-0000-0000F2E40000}"/>
    <cellStyle name="Total 7 4 11 2 4" xfId="58393" xr:uid="{00000000-0005-0000-0000-0000F3E40000}"/>
    <cellStyle name="Total 7 4 11 2 5" xfId="58394" xr:uid="{00000000-0005-0000-0000-0000F4E40000}"/>
    <cellStyle name="Total 7 4 11 3" xfId="58395" xr:uid="{00000000-0005-0000-0000-0000F5E40000}"/>
    <cellStyle name="Total 7 4 11 3 2" xfId="58396" xr:uid="{00000000-0005-0000-0000-0000F6E40000}"/>
    <cellStyle name="Total 7 4 11 3 2 2" xfId="58397" xr:uid="{00000000-0005-0000-0000-0000F7E40000}"/>
    <cellStyle name="Total 7 4 11 3 2 3" xfId="58398" xr:uid="{00000000-0005-0000-0000-0000F8E40000}"/>
    <cellStyle name="Total 7 4 11 3 2 4" xfId="58399" xr:uid="{00000000-0005-0000-0000-0000F9E40000}"/>
    <cellStyle name="Total 7 4 11 3 3" xfId="58400" xr:uid="{00000000-0005-0000-0000-0000FAE40000}"/>
    <cellStyle name="Total 7 4 11 3 3 2" xfId="58401" xr:uid="{00000000-0005-0000-0000-0000FBE40000}"/>
    <cellStyle name="Total 7 4 11 3 3 3" xfId="58402" xr:uid="{00000000-0005-0000-0000-0000FCE40000}"/>
    <cellStyle name="Total 7 4 11 3 3 4" xfId="58403" xr:uid="{00000000-0005-0000-0000-0000FDE40000}"/>
    <cellStyle name="Total 7 4 11 3 4" xfId="58404" xr:uid="{00000000-0005-0000-0000-0000FEE40000}"/>
    <cellStyle name="Total 7 4 11 3 5" xfId="58405" xr:uid="{00000000-0005-0000-0000-0000FFE40000}"/>
    <cellStyle name="Total 7 4 11 3 6" xfId="58406" xr:uid="{00000000-0005-0000-0000-000000E50000}"/>
    <cellStyle name="Total 7 4 11 4" xfId="58407" xr:uid="{00000000-0005-0000-0000-000001E50000}"/>
    <cellStyle name="Total 7 4 11 5" xfId="58408" xr:uid="{00000000-0005-0000-0000-000002E50000}"/>
    <cellStyle name="Total 7 4 12" xfId="58409" xr:uid="{00000000-0005-0000-0000-000003E50000}"/>
    <cellStyle name="Total 7 4 12 2" xfId="58410" xr:uid="{00000000-0005-0000-0000-000004E50000}"/>
    <cellStyle name="Total 7 4 12 2 2" xfId="58411" xr:uid="{00000000-0005-0000-0000-000005E50000}"/>
    <cellStyle name="Total 7 4 12 2 2 2" xfId="58412" xr:uid="{00000000-0005-0000-0000-000006E50000}"/>
    <cellStyle name="Total 7 4 12 2 2 3" xfId="58413" xr:uid="{00000000-0005-0000-0000-000007E50000}"/>
    <cellStyle name="Total 7 4 12 2 2 4" xfId="58414" xr:uid="{00000000-0005-0000-0000-000008E50000}"/>
    <cellStyle name="Total 7 4 12 2 3" xfId="58415" xr:uid="{00000000-0005-0000-0000-000009E50000}"/>
    <cellStyle name="Total 7 4 12 2 3 2" xfId="58416" xr:uid="{00000000-0005-0000-0000-00000AE50000}"/>
    <cellStyle name="Total 7 4 12 2 3 3" xfId="58417" xr:uid="{00000000-0005-0000-0000-00000BE50000}"/>
    <cellStyle name="Total 7 4 12 2 3 4" xfId="58418" xr:uid="{00000000-0005-0000-0000-00000CE50000}"/>
    <cellStyle name="Total 7 4 12 2 4" xfId="58419" xr:uid="{00000000-0005-0000-0000-00000DE50000}"/>
    <cellStyle name="Total 7 4 12 2 5" xfId="58420" xr:uid="{00000000-0005-0000-0000-00000EE50000}"/>
    <cellStyle name="Total 7 4 12 2 6" xfId="58421" xr:uid="{00000000-0005-0000-0000-00000FE50000}"/>
    <cellStyle name="Total 7 4 12 3" xfId="58422" xr:uid="{00000000-0005-0000-0000-000010E50000}"/>
    <cellStyle name="Total 7 4 12 3 2" xfId="58423" xr:uid="{00000000-0005-0000-0000-000011E50000}"/>
    <cellStyle name="Total 7 4 12 3 2 2" xfId="58424" xr:uid="{00000000-0005-0000-0000-000012E50000}"/>
    <cellStyle name="Total 7 4 12 3 2 3" xfId="58425" xr:uid="{00000000-0005-0000-0000-000013E50000}"/>
    <cellStyle name="Total 7 4 12 3 2 4" xfId="58426" xr:uid="{00000000-0005-0000-0000-000014E50000}"/>
    <cellStyle name="Total 7 4 12 3 3" xfId="58427" xr:uid="{00000000-0005-0000-0000-000015E50000}"/>
    <cellStyle name="Total 7 4 12 3 3 2" xfId="58428" xr:uid="{00000000-0005-0000-0000-000016E50000}"/>
    <cellStyle name="Total 7 4 12 3 3 3" xfId="58429" xr:uid="{00000000-0005-0000-0000-000017E50000}"/>
    <cellStyle name="Total 7 4 12 3 3 4" xfId="58430" xr:uid="{00000000-0005-0000-0000-000018E50000}"/>
    <cellStyle name="Total 7 4 12 3 4" xfId="58431" xr:uid="{00000000-0005-0000-0000-000019E50000}"/>
    <cellStyle name="Total 7 4 12 3 5" xfId="58432" xr:uid="{00000000-0005-0000-0000-00001AE50000}"/>
    <cellStyle name="Total 7 4 12 3 6" xfId="58433" xr:uid="{00000000-0005-0000-0000-00001BE50000}"/>
    <cellStyle name="Total 7 4 12 4" xfId="58434" xr:uid="{00000000-0005-0000-0000-00001CE50000}"/>
    <cellStyle name="Total 7 4 12 5" xfId="58435" xr:uid="{00000000-0005-0000-0000-00001DE50000}"/>
    <cellStyle name="Total 7 4 12 6" xfId="58436" xr:uid="{00000000-0005-0000-0000-00001EE50000}"/>
    <cellStyle name="Total 7 4 13" xfId="58437" xr:uid="{00000000-0005-0000-0000-00001FE50000}"/>
    <cellStyle name="Total 7 4 14" xfId="58438" xr:uid="{00000000-0005-0000-0000-000020E50000}"/>
    <cellStyle name="Total 7 4 15" xfId="58820" xr:uid="{00000000-0005-0000-0000-000021E50000}"/>
    <cellStyle name="Total 7 4 2" xfId="58439" xr:uid="{00000000-0005-0000-0000-000022E50000}"/>
    <cellStyle name="Total 7 4 2 2" xfId="58440" xr:uid="{00000000-0005-0000-0000-000023E50000}"/>
    <cellStyle name="Total 7 4 2 2 2" xfId="58441" xr:uid="{00000000-0005-0000-0000-000024E50000}"/>
    <cellStyle name="Total 7 4 2 2 2 2" xfId="58442" xr:uid="{00000000-0005-0000-0000-000025E50000}"/>
    <cellStyle name="Total 7 4 2 2 2 2 2" xfId="58443" xr:uid="{00000000-0005-0000-0000-000026E50000}"/>
    <cellStyle name="Total 7 4 2 2 2 2 3" xfId="58444" xr:uid="{00000000-0005-0000-0000-000027E50000}"/>
    <cellStyle name="Total 7 4 2 2 2 2 4" xfId="58445" xr:uid="{00000000-0005-0000-0000-000028E50000}"/>
    <cellStyle name="Total 7 4 2 2 2 3" xfId="58446" xr:uid="{00000000-0005-0000-0000-000029E50000}"/>
    <cellStyle name="Total 7 4 2 2 2 3 2" xfId="58447" xr:uid="{00000000-0005-0000-0000-00002AE50000}"/>
    <cellStyle name="Total 7 4 2 2 2 3 3" xfId="58448" xr:uid="{00000000-0005-0000-0000-00002BE50000}"/>
    <cellStyle name="Total 7 4 2 2 2 3 4" xfId="58449" xr:uid="{00000000-0005-0000-0000-00002CE50000}"/>
    <cellStyle name="Total 7 4 2 2 2 4" xfId="58450" xr:uid="{00000000-0005-0000-0000-00002DE50000}"/>
    <cellStyle name="Total 7 4 2 2 2 5" xfId="58451" xr:uid="{00000000-0005-0000-0000-00002EE50000}"/>
    <cellStyle name="Total 7 4 2 2 2 6" xfId="58452" xr:uid="{00000000-0005-0000-0000-00002FE50000}"/>
    <cellStyle name="Total 7 4 2 2 3" xfId="58453" xr:uid="{00000000-0005-0000-0000-000030E50000}"/>
    <cellStyle name="Total 7 4 2 2 3 2" xfId="58454" xr:uid="{00000000-0005-0000-0000-000031E50000}"/>
    <cellStyle name="Total 7 4 2 2 3 2 2" xfId="58455" xr:uid="{00000000-0005-0000-0000-000032E50000}"/>
    <cellStyle name="Total 7 4 2 2 3 2 3" xfId="58456" xr:uid="{00000000-0005-0000-0000-000033E50000}"/>
    <cellStyle name="Total 7 4 2 2 3 2 4" xfId="58457" xr:uid="{00000000-0005-0000-0000-000034E50000}"/>
    <cellStyle name="Total 7 4 2 2 3 3" xfId="58458" xr:uid="{00000000-0005-0000-0000-000035E50000}"/>
    <cellStyle name="Total 7 4 2 2 3 3 2" xfId="58459" xr:uid="{00000000-0005-0000-0000-000036E50000}"/>
    <cellStyle name="Total 7 4 2 2 3 3 3" xfId="58460" xr:uid="{00000000-0005-0000-0000-000037E50000}"/>
    <cellStyle name="Total 7 4 2 2 3 3 4" xfId="58461" xr:uid="{00000000-0005-0000-0000-000038E50000}"/>
    <cellStyle name="Total 7 4 2 2 3 4" xfId="58462" xr:uid="{00000000-0005-0000-0000-000039E50000}"/>
    <cellStyle name="Total 7 4 2 2 3 5" xfId="58463" xr:uid="{00000000-0005-0000-0000-00003AE50000}"/>
    <cellStyle name="Total 7 4 2 2 3 6" xfId="58464" xr:uid="{00000000-0005-0000-0000-00003BE50000}"/>
    <cellStyle name="Total 7 4 2 2 4" xfId="58465" xr:uid="{00000000-0005-0000-0000-00003CE50000}"/>
    <cellStyle name="Total 7 4 2 2 5" xfId="58466" xr:uid="{00000000-0005-0000-0000-00003DE50000}"/>
    <cellStyle name="Total 7 4 2 2 6" xfId="58467" xr:uid="{00000000-0005-0000-0000-00003EE50000}"/>
    <cellStyle name="Total 7 4 2 3" xfId="58468" xr:uid="{00000000-0005-0000-0000-00003FE50000}"/>
    <cellStyle name="Total 7 4 2 4" xfId="58469" xr:uid="{00000000-0005-0000-0000-000040E50000}"/>
    <cellStyle name="Total 7 4 3" xfId="58470" xr:uid="{00000000-0005-0000-0000-000041E50000}"/>
    <cellStyle name="Total 7 4 3 2" xfId="58471" xr:uid="{00000000-0005-0000-0000-000042E50000}"/>
    <cellStyle name="Total 7 4 3 2 2" xfId="58472" xr:uid="{00000000-0005-0000-0000-000043E50000}"/>
    <cellStyle name="Total 7 4 3 2 2 2" xfId="58473" xr:uid="{00000000-0005-0000-0000-000044E50000}"/>
    <cellStyle name="Total 7 4 3 2 2 2 2" xfId="58474" xr:uid="{00000000-0005-0000-0000-000045E50000}"/>
    <cellStyle name="Total 7 4 3 2 2 2 3" xfId="58475" xr:uid="{00000000-0005-0000-0000-000046E50000}"/>
    <cellStyle name="Total 7 4 3 2 2 2 4" xfId="58476" xr:uid="{00000000-0005-0000-0000-000047E50000}"/>
    <cellStyle name="Total 7 4 3 2 2 3" xfId="58477" xr:uid="{00000000-0005-0000-0000-000048E50000}"/>
    <cellStyle name="Total 7 4 3 2 2 3 2" xfId="58478" xr:uid="{00000000-0005-0000-0000-000049E50000}"/>
    <cellStyle name="Total 7 4 3 2 2 3 3" xfId="58479" xr:uid="{00000000-0005-0000-0000-00004AE50000}"/>
    <cellStyle name="Total 7 4 3 2 2 3 4" xfId="58480" xr:uid="{00000000-0005-0000-0000-00004BE50000}"/>
    <cellStyle name="Total 7 4 3 2 2 4" xfId="58481" xr:uid="{00000000-0005-0000-0000-00004CE50000}"/>
    <cellStyle name="Total 7 4 3 2 2 5" xfId="58482" xr:uid="{00000000-0005-0000-0000-00004DE50000}"/>
    <cellStyle name="Total 7 4 3 2 2 6" xfId="58483" xr:uid="{00000000-0005-0000-0000-00004EE50000}"/>
    <cellStyle name="Total 7 4 3 2 3" xfId="58484" xr:uid="{00000000-0005-0000-0000-00004FE50000}"/>
    <cellStyle name="Total 7 4 3 2 3 2" xfId="58485" xr:uid="{00000000-0005-0000-0000-000050E50000}"/>
    <cellStyle name="Total 7 4 3 2 3 2 2" xfId="58486" xr:uid="{00000000-0005-0000-0000-000051E50000}"/>
    <cellStyle name="Total 7 4 3 2 3 2 3" xfId="58487" xr:uid="{00000000-0005-0000-0000-000052E50000}"/>
    <cellStyle name="Total 7 4 3 2 3 2 4" xfId="58488" xr:uid="{00000000-0005-0000-0000-000053E50000}"/>
    <cellStyle name="Total 7 4 3 2 3 3" xfId="58489" xr:uid="{00000000-0005-0000-0000-000054E50000}"/>
    <cellStyle name="Total 7 4 3 2 3 3 2" xfId="58490" xr:uid="{00000000-0005-0000-0000-000055E50000}"/>
    <cellStyle name="Total 7 4 3 2 3 3 3" xfId="58491" xr:uid="{00000000-0005-0000-0000-000056E50000}"/>
    <cellStyle name="Total 7 4 3 2 3 3 4" xfId="58492" xr:uid="{00000000-0005-0000-0000-000057E50000}"/>
    <cellStyle name="Total 7 4 3 2 3 4" xfId="58493" xr:uid="{00000000-0005-0000-0000-000058E50000}"/>
    <cellStyle name="Total 7 4 3 2 3 5" xfId="58494" xr:uid="{00000000-0005-0000-0000-000059E50000}"/>
    <cellStyle name="Total 7 4 3 2 3 6" xfId="58495" xr:uid="{00000000-0005-0000-0000-00005AE50000}"/>
    <cellStyle name="Total 7 4 3 2 4" xfId="58496" xr:uid="{00000000-0005-0000-0000-00005BE50000}"/>
    <cellStyle name="Total 7 4 3 2 5" xfId="58497" xr:uid="{00000000-0005-0000-0000-00005CE50000}"/>
    <cellStyle name="Total 7 4 3 2 6" xfId="58498" xr:uid="{00000000-0005-0000-0000-00005DE50000}"/>
    <cellStyle name="Total 7 4 3 3" xfId="58499" xr:uid="{00000000-0005-0000-0000-00005EE50000}"/>
    <cellStyle name="Total 7 4 3 4" xfId="58500" xr:uid="{00000000-0005-0000-0000-00005FE50000}"/>
    <cellStyle name="Total 7 4 4" xfId="58501" xr:uid="{00000000-0005-0000-0000-000060E50000}"/>
    <cellStyle name="Total 7 4 4 2" xfId="58502" xr:uid="{00000000-0005-0000-0000-000061E50000}"/>
    <cellStyle name="Total 7 4 4 2 2" xfId="58503" xr:uid="{00000000-0005-0000-0000-000062E50000}"/>
    <cellStyle name="Total 7 4 4 2 2 2" xfId="58504" xr:uid="{00000000-0005-0000-0000-000063E50000}"/>
    <cellStyle name="Total 7 4 4 2 2 2 2" xfId="58505" xr:uid="{00000000-0005-0000-0000-000064E50000}"/>
    <cellStyle name="Total 7 4 4 2 2 2 3" xfId="58506" xr:uid="{00000000-0005-0000-0000-000065E50000}"/>
    <cellStyle name="Total 7 4 4 2 2 2 4" xfId="58507" xr:uid="{00000000-0005-0000-0000-000066E50000}"/>
    <cellStyle name="Total 7 4 4 2 2 3" xfId="58508" xr:uid="{00000000-0005-0000-0000-000067E50000}"/>
    <cellStyle name="Total 7 4 4 2 2 3 2" xfId="58509" xr:uid="{00000000-0005-0000-0000-000068E50000}"/>
    <cellStyle name="Total 7 4 4 2 2 3 3" xfId="58510" xr:uid="{00000000-0005-0000-0000-000069E50000}"/>
    <cellStyle name="Total 7 4 4 2 2 3 4" xfId="58511" xr:uid="{00000000-0005-0000-0000-00006AE50000}"/>
    <cellStyle name="Total 7 4 4 2 2 4" xfId="58512" xr:uid="{00000000-0005-0000-0000-00006BE50000}"/>
    <cellStyle name="Total 7 4 4 2 2 5" xfId="58513" xr:uid="{00000000-0005-0000-0000-00006CE50000}"/>
    <cellStyle name="Total 7 4 4 2 2 6" xfId="58514" xr:uid="{00000000-0005-0000-0000-00006DE50000}"/>
    <cellStyle name="Total 7 4 4 2 3" xfId="58515" xr:uid="{00000000-0005-0000-0000-00006EE50000}"/>
    <cellStyle name="Total 7 4 4 2 3 2" xfId="58516" xr:uid="{00000000-0005-0000-0000-00006FE50000}"/>
    <cellStyle name="Total 7 4 4 2 3 2 2" xfId="58517" xr:uid="{00000000-0005-0000-0000-000070E50000}"/>
    <cellStyle name="Total 7 4 4 2 3 2 3" xfId="58518" xr:uid="{00000000-0005-0000-0000-000071E50000}"/>
    <cellStyle name="Total 7 4 4 2 3 2 4" xfId="58519" xr:uid="{00000000-0005-0000-0000-000072E50000}"/>
    <cellStyle name="Total 7 4 4 2 3 3" xfId="58520" xr:uid="{00000000-0005-0000-0000-000073E50000}"/>
    <cellStyle name="Total 7 4 4 2 3 3 2" xfId="58521" xr:uid="{00000000-0005-0000-0000-000074E50000}"/>
    <cellStyle name="Total 7 4 4 2 3 3 3" xfId="58522" xr:uid="{00000000-0005-0000-0000-000075E50000}"/>
    <cellStyle name="Total 7 4 4 2 3 3 4" xfId="58523" xr:uid="{00000000-0005-0000-0000-000076E50000}"/>
    <cellStyle name="Total 7 4 4 2 3 4" xfId="58524" xr:uid="{00000000-0005-0000-0000-000077E50000}"/>
    <cellStyle name="Total 7 4 4 2 3 5" xfId="58525" xr:uid="{00000000-0005-0000-0000-000078E50000}"/>
    <cellStyle name="Total 7 4 4 2 3 6" xfId="58526" xr:uid="{00000000-0005-0000-0000-000079E50000}"/>
    <cellStyle name="Total 7 4 4 2 4" xfId="58527" xr:uid="{00000000-0005-0000-0000-00007AE50000}"/>
    <cellStyle name="Total 7 4 4 2 5" xfId="58528" xr:uid="{00000000-0005-0000-0000-00007BE50000}"/>
    <cellStyle name="Total 7 4 4 2 6" xfId="58529" xr:uid="{00000000-0005-0000-0000-00007CE50000}"/>
    <cellStyle name="Total 7 4 4 3" xfId="58530" xr:uid="{00000000-0005-0000-0000-00007DE50000}"/>
    <cellStyle name="Total 7 4 4 4" xfId="58531" xr:uid="{00000000-0005-0000-0000-00007EE50000}"/>
    <cellStyle name="Total 7 4 5" xfId="58532" xr:uid="{00000000-0005-0000-0000-00007FE50000}"/>
    <cellStyle name="Total 7 4 5 2" xfId="58533" xr:uid="{00000000-0005-0000-0000-000080E50000}"/>
    <cellStyle name="Total 7 4 5 2 2" xfId="58534" xr:uid="{00000000-0005-0000-0000-000081E50000}"/>
    <cellStyle name="Total 7 4 5 2 2 2" xfId="58535" xr:uid="{00000000-0005-0000-0000-000082E50000}"/>
    <cellStyle name="Total 7 4 5 2 2 3" xfId="58536" xr:uid="{00000000-0005-0000-0000-000083E50000}"/>
    <cellStyle name="Total 7 4 5 2 2 4" xfId="58537" xr:uid="{00000000-0005-0000-0000-000084E50000}"/>
    <cellStyle name="Total 7 4 5 2 3" xfId="58538" xr:uid="{00000000-0005-0000-0000-000085E50000}"/>
    <cellStyle name="Total 7 4 5 2 4" xfId="58539" xr:uid="{00000000-0005-0000-0000-000086E50000}"/>
    <cellStyle name="Total 7 4 5 2 5" xfId="58540" xr:uid="{00000000-0005-0000-0000-000087E50000}"/>
    <cellStyle name="Total 7 4 5 3" xfId="58541" xr:uid="{00000000-0005-0000-0000-000088E50000}"/>
    <cellStyle name="Total 7 4 5 3 2" xfId="58542" xr:uid="{00000000-0005-0000-0000-000089E50000}"/>
    <cellStyle name="Total 7 4 5 3 2 2" xfId="58543" xr:uid="{00000000-0005-0000-0000-00008AE50000}"/>
    <cellStyle name="Total 7 4 5 3 2 3" xfId="58544" xr:uid="{00000000-0005-0000-0000-00008BE50000}"/>
    <cellStyle name="Total 7 4 5 3 2 4" xfId="58545" xr:uid="{00000000-0005-0000-0000-00008CE50000}"/>
    <cellStyle name="Total 7 4 5 3 3" xfId="58546" xr:uid="{00000000-0005-0000-0000-00008DE50000}"/>
    <cellStyle name="Total 7 4 5 3 3 2" xfId="58547" xr:uid="{00000000-0005-0000-0000-00008EE50000}"/>
    <cellStyle name="Total 7 4 5 3 3 3" xfId="58548" xr:uid="{00000000-0005-0000-0000-00008FE50000}"/>
    <cellStyle name="Total 7 4 5 3 3 4" xfId="58549" xr:uid="{00000000-0005-0000-0000-000090E50000}"/>
    <cellStyle name="Total 7 4 5 3 4" xfId="58550" xr:uid="{00000000-0005-0000-0000-000091E50000}"/>
    <cellStyle name="Total 7 4 5 3 5" xfId="58551" xr:uid="{00000000-0005-0000-0000-000092E50000}"/>
    <cellStyle name="Total 7 4 5 3 6" xfId="58552" xr:uid="{00000000-0005-0000-0000-000093E50000}"/>
    <cellStyle name="Total 7 4 5 4" xfId="58553" xr:uid="{00000000-0005-0000-0000-000094E50000}"/>
    <cellStyle name="Total 7 4 5 5" xfId="58554" xr:uid="{00000000-0005-0000-0000-000095E50000}"/>
    <cellStyle name="Total 7 4 6" xfId="58555" xr:uid="{00000000-0005-0000-0000-000096E50000}"/>
    <cellStyle name="Total 7 4 6 2" xfId="58556" xr:uid="{00000000-0005-0000-0000-000097E50000}"/>
    <cellStyle name="Total 7 4 6 2 2" xfId="58557" xr:uid="{00000000-0005-0000-0000-000098E50000}"/>
    <cellStyle name="Total 7 4 6 2 2 2" xfId="58558" xr:uid="{00000000-0005-0000-0000-000099E50000}"/>
    <cellStyle name="Total 7 4 6 2 2 3" xfId="58559" xr:uid="{00000000-0005-0000-0000-00009AE50000}"/>
    <cellStyle name="Total 7 4 6 2 2 4" xfId="58560" xr:uid="{00000000-0005-0000-0000-00009BE50000}"/>
    <cellStyle name="Total 7 4 6 2 3" xfId="58561" xr:uid="{00000000-0005-0000-0000-00009CE50000}"/>
    <cellStyle name="Total 7 4 6 2 4" xfId="58562" xr:uid="{00000000-0005-0000-0000-00009DE50000}"/>
    <cellStyle name="Total 7 4 6 2 5" xfId="58563" xr:uid="{00000000-0005-0000-0000-00009EE50000}"/>
    <cellStyle name="Total 7 4 6 3" xfId="58564" xr:uid="{00000000-0005-0000-0000-00009FE50000}"/>
    <cellStyle name="Total 7 4 6 3 2" xfId="58565" xr:uid="{00000000-0005-0000-0000-0000A0E50000}"/>
    <cellStyle name="Total 7 4 6 3 2 2" xfId="58566" xr:uid="{00000000-0005-0000-0000-0000A1E50000}"/>
    <cellStyle name="Total 7 4 6 3 2 3" xfId="58567" xr:uid="{00000000-0005-0000-0000-0000A2E50000}"/>
    <cellStyle name="Total 7 4 6 3 2 4" xfId="58568" xr:uid="{00000000-0005-0000-0000-0000A3E50000}"/>
    <cellStyle name="Total 7 4 6 3 3" xfId="58569" xr:uid="{00000000-0005-0000-0000-0000A4E50000}"/>
    <cellStyle name="Total 7 4 6 3 3 2" xfId="58570" xr:uid="{00000000-0005-0000-0000-0000A5E50000}"/>
    <cellStyle name="Total 7 4 6 3 3 3" xfId="58571" xr:uid="{00000000-0005-0000-0000-0000A6E50000}"/>
    <cellStyle name="Total 7 4 6 3 3 4" xfId="58572" xr:uid="{00000000-0005-0000-0000-0000A7E50000}"/>
    <cellStyle name="Total 7 4 6 3 4" xfId="58573" xr:uid="{00000000-0005-0000-0000-0000A8E50000}"/>
    <cellStyle name="Total 7 4 6 3 5" xfId="58574" xr:uid="{00000000-0005-0000-0000-0000A9E50000}"/>
    <cellStyle name="Total 7 4 6 3 6" xfId="58575" xr:uid="{00000000-0005-0000-0000-0000AAE50000}"/>
    <cellStyle name="Total 7 4 6 4" xfId="58576" xr:uid="{00000000-0005-0000-0000-0000ABE50000}"/>
    <cellStyle name="Total 7 4 6 5" xfId="58577" xr:uid="{00000000-0005-0000-0000-0000ACE50000}"/>
    <cellStyle name="Total 7 4 7" xfId="58578" xr:uid="{00000000-0005-0000-0000-0000ADE50000}"/>
    <cellStyle name="Total 7 4 7 2" xfId="58579" xr:uid="{00000000-0005-0000-0000-0000AEE50000}"/>
    <cellStyle name="Total 7 4 7 2 2" xfId="58580" xr:uid="{00000000-0005-0000-0000-0000AFE50000}"/>
    <cellStyle name="Total 7 4 7 2 2 2" xfId="58581" xr:uid="{00000000-0005-0000-0000-0000B0E50000}"/>
    <cellStyle name="Total 7 4 7 2 2 3" xfId="58582" xr:uid="{00000000-0005-0000-0000-0000B1E50000}"/>
    <cellStyle name="Total 7 4 7 2 2 4" xfId="58583" xr:uid="{00000000-0005-0000-0000-0000B2E50000}"/>
    <cellStyle name="Total 7 4 7 2 3" xfId="58584" xr:uid="{00000000-0005-0000-0000-0000B3E50000}"/>
    <cellStyle name="Total 7 4 7 2 4" xfId="58585" xr:uid="{00000000-0005-0000-0000-0000B4E50000}"/>
    <cellStyle name="Total 7 4 7 2 5" xfId="58586" xr:uid="{00000000-0005-0000-0000-0000B5E50000}"/>
    <cellStyle name="Total 7 4 7 3" xfId="58587" xr:uid="{00000000-0005-0000-0000-0000B6E50000}"/>
    <cellStyle name="Total 7 4 7 3 2" xfId="58588" xr:uid="{00000000-0005-0000-0000-0000B7E50000}"/>
    <cellStyle name="Total 7 4 7 3 2 2" xfId="58589" xr:uid="{00000000-0005-0000-0000-0000B8E50000}"/>
    <cellStyle name="Total 7 4 7 3 2 3" xfId="58590" xr:uid="{00000000-0005-0000-0000-0000B9E50000}"/>
    <cellStyle name="Total 7 4 7 3 2 4" xfId="58591" xr:uid="{00000000-0005-0000-0000-0000BAE50000}"/>
    <cellStyle name="Total 7 4 7 3 3" xfId="58592" xr:uid="{00000000-0005-0000-0000-0000BBE50000}"/>
    <cellStyle name="Total 7 4 7 3 3 2" xfId="58593" xr:uid="{00000000-0005-0000-0000-0000BCE50000}"/>
    <cellStyle name="Total 7 4 7 3 3 3" xfId="58594" xr:uid="{00000000-0005-0000-0000-0000BDE50000}"/>
    <cellStyle name="Total 7 4 7 3 3 4" xfId="58595" xr:uid="{00000000-0005-0000-0000-0000BEE50000}"/>
    <cellStyle name="Total 7 4 7 3 4" xfId="58596" xr:uid="{00000000-0005-0000-0000-0000BFE50000}"/>
    <cellStyle name="Total 7 4 7 3 5" xfId="58597" xr:uid="{00000000-0005-0000-0000-0000C0E50000}"/>
    <cellStyle name="Total 7 4 7 3 6" xfId="58598" xr:uid="{00000000-0005-0000-0000-0000C1E50000}"/>
    <cellStyle name="Total 7 4 7 4" xfId="58599" xr:uid="{00000000-0005-0000-0000-0000C2E50000}"/>
    <cellStyle name="Total 7 4 7 5" xfId="58600" xr:uid="{00000000-0005-0000-0000-0000C3E50000}"/>
    <cellStyle name="Total 7 4 8" xfId="58601" xr:uid="{00000000-0005-0000-0000-0000C4E50000}"/>
    <cellStyle name="Total 7 4 8 2" xfId="58602" xr:uid="{00000000-0005-0000-0000-0000C5E50000}"/>
    <cellStyle name="Total 7 4 8 2 2" xfId="58603" xr:uid="{00000000-0005-0000-0000-0000C6E50000}"/>
    <cellStyle name="Total 7 4 8 2 2 2" xfId="58604" xr:uid="{00000000-0005-0000-0000-0000C7E50000}"/>
    <cellStyle name="Total 7 4 8 2 2 3" xfId="58605" xr:uid="{00000000-0005-0000-0000-0000C8E50000}"/>
    <cellStyle name="Total 7 4 8 2 2 4" xfId="58606" xr:uid="{00000000-0005-0000-0000-0000C9E50000}"/>
    <cellStyle name="Total 7 4 8 2 3" xfId="58607" xr:uid="{00000000-0005-0000-0000-0000CAE50000}"/>
    <cellStyle name="Total 7 4 8 2 4" xfId="58608" xr:uid="{00000000-0005-0000-0000-0000CBE50000}"/>
    <cellStyle name="Total 7 4 8 2 5" xfId="58609" xr:uid="{00000000-0005-0000-0000-0000CCE50000}"/>
    <cellStyle name="Total 7 4 8 3" xfId="58610" xr:uid="{00000000-0005-0000-0000-0000CDE50000}"/>
    <cellStyle name="Total 7 4 8 3 2" xfId="58611" xr:uid="{00000000-0005-0000-0000-0000CEE50000}"/>
    <cellStyle name="Total 7 4 8 3 2 2" xfId="58612" xr:uid="{00000000-0005-0000-0000-0000CFE50000}"/>
    <cellStyle name="Total 7 4 8 3 2 3" xfId="58613" xr:uid="{00000000-0005-0000-0000-0000D0E50000}"/>
    <cellStyle name="Total 7 4 8 3 2 4" xfId="58614" xr:uid="{00000000-0005-0000-0000-0000D1E50000}"/>
    <cellStyle name="Total 7 4 8 3 3" xfId="58615" xr:uid="{00000000-0005-0000-0000-0000D2E50000}"/>
    <cellStyle name="Total 7 4 8 3 3 2" xfId="58616" xr:uid="{00000000-0005-0000-0000-0000D3E50000}"/>
    <cellStyle name="Total 7 4 8 3 3 3" xfId="58617" xr:uid="{00000000-0005-0000-0000-0000D4E50000}"/>
    <cellStyle name="Total 7 4 8 3 3 4" xfId="58618" xr:uid="{00000000-0005-0000-0000-0000D5E50000}"/>
    <cellStyle name="Total 7 4 8 3 4" xfId="58619" xr:uid="{00000000-0005-0000-0000-0000D6E50000}"/>
    <cellStyle name="Total 7 4 8 3 5" xfId="58620" xr:uid="{00000000-0005-0000-0000-0000D7E50000}"/>
    <cellStyle name="Total 7 4 8 3 6" xfId="58621" xr:uid="{00000000-0005-0000-0000-0000D8E50000}"/>
    <cellStyle name="Total 7 4 8 4" xfId="58622" xr:uid="{00000000-0005-0000-0000-0000D9E50000}"/>
    <cellStyle name="Total 7 4 8 5" xfId="58623" xr:uid="{00000000-0005-0000-0000-0000DAE50000}"/>
    <cellStyle name="Total 7 4 9" xfId="58624" xr:uid="{00000000-0005-0000-0000-0000DBE50000}"/>
    <cellStyle name="Total 7 4 9 2" xfId="58625" xr:uid="{00000000-0005-0000-0000-0000DCE50000}"/>
    <cellStyle name="Total 7 4 9 2 2" xfId="58626" xr:uid="{00000000-0005-0000-0000-0000DDE50000}"/>
    <cellStyle name="Total 7 4 9 2 2 2" xfId="58627" xr:uid="{00000000-0005-0000-0000-0000DEE50000}"/>
    <cellStyle name="Total 7 4 9 2 2 3" xfId="58628" xr:uid="{00000000-0005-0000-0000-0000DFE50000}"/>
    <cellStyle name="Total 7 4 9 2 2 4" xfId="58629" xr:uid="{00000000-0005-0000-0000-0000E0E50000}"/>
    <cellStyle name="Total 7 4 9 2 3" xfId="58630" xr:uid="{00000000-0005-0000-0000-0000E1E50000}"/>
    <cellStyle name="Total 7 4 9 2 4" xfId="58631" xr:uid="{00000000-0005-0000-0000-0000E2E50000}"/>
    <cellStyle name="Total 7 4 9 2 5" xfId="58632" xr:uid="{00000000-0005-0000-0000-0000E3E50000}"/>
    <cellStyle name="Total 7 4 9 3" xfId="58633" xr:uid="{00000000-0005-0000-0000-0000E4E50000}"/>
    <cellStyle name="Total 7 4 9 3 2" xfId="58634" xr:uid="{00000000-0005-0000-0000-0000E5E50000}"/>
    <cellStyle name="Total 7 4 9 3 2 2" xfId="58635" xr:uid="{00000000-0005-0000-0000-0000E6E50000}"/>
    <cellStyle name="Total 7 4 9 3 2 3" xfId="58636" xr:uid="{00000000-0005-0000-0000-0000E7E50000}"/>
    <cellStyle name="Total 7 4 9 3 2 4" xfId="58637" xr:uid="{00000000-0005-0000-0000-0000E8E50000}"/>
    <cellStyle name="Total 7 4 9 3 3" xfId="58638" xr:uid="{00000000-0005-0000-0000-0000E9E50000}"/>
    <cellStyle name="Total 7 4 9 3 3 2" xfId="58639" xr:uid="{00000000-0005-0000-0000-0000EAE50000}"/>
    <cellStyle name="Total 7 4 9 3 3 3" xfId="58640" xr:uid="{00000000-0005-0000-0000-0000EBE50000}"/>
    <cellStyle name="Total 7 4 9 3 3 4" xfId="58641" xr:uid="{00000000-0005-0000-0000-0000ECE50000}"/>
    <cellStyle name="Total 7 4 9 3 4" xfId="58642" xr:uid="{00000000-0005-0000-0000-0000EDE50000}"/>
    <cellStyle name="Total 7 4 9 3 5" xfId="58643" xr:uid="{00000000-0005-0000-0000-0000EEE50000}"/>
    <cellStyle name="Total 7 4 9 3 6" xfId="58644" xr:uid="{00000000-0005-0000-0000-0000EFE50000}"/>
    <cellStyle name="Total 7 4 9 4" xfId="58645" xr:uid="{00000000-0005-0000-0000-0000F0E50000}"/>
    <cellStyle name="Total 7 4 9 5" xfId="58646" xr:uid="{00000000-0005-0000-0000-0000F1E50000}"/>
    <cellStyle name="Total 7 5" xfId="58647" xr:uid="{00000000-0005-0000-0000-0000F2E50000}"/>
    <cellStyle name="Total 7 5 2" xfId="58648" xr:uid="{00000000-0005-0000-0000-0000F3E50000}"/>
    <cellStyle name="Total 7 5 2 2" xfId="58649" xr:uid="{00000000-0005-0000-0000-0000F4E50000}"/>
    <cellStyle name="Total 7 5 2 2 2" xfId="58650" xr:uid="{00000000-0005-0000-0000-0000F5E50000}"/>
    <cellStyle name="Total 7 5 2 2 3" xfId="58651" xr:uid="{00000000-0005-0000-0000-0000F6E50000}"/>
    <cellStyle name="Total 7 5 2 2 4" xfId="58652" xr:uid="{00000000-0005-0000-0000-0000F7E50000}"/>
    <cellStyle name="Total 7 5 2 3" xfId="58653" xr:uid="{00000000-0005-0000-0000-0000F8E50000}"/>
    <cellStyle name="Total 7 5 2 4" xfId="58654" xr:uid="{00000000-0005-0000-0000-0000F9E50000}"/>
    <cellStyle name="Total 7 5 2 5" xfId="58655" xr:uid="{00000000-0005-0000-0000-0000FAE50000}"/>
    <cellStyle name="Total 7 5 3" xfId="58656" xr:uid="{00000000-0005-0000-0000-0000FBE50000}"/>
    <cellStyle name="Total 7 5 3 2" xfId="58657" xr:uid="{00000000-0005-0000-0000-0000FCE50000}"/>
    <cellStyle name="Total 7 5 3 2 2" xfId="58658" xr:uid="{00000000-0005-0000-0000-0000FDE50000}"/>
    <cellStyle name="Total 7 5 3 2 3" xfId="58659" xr:uid="{00000000-0005-0000-0000-0000FEE50000}"/>
    <cellStyle name="Total 7 5 3 2 4" xfId="58660" xr:uid="{00000000-0005-0000-0000-0000FFE50000}"/>
    <cellStyle name="Total 7 5 3 3" xfId="58661" xr:uid="{00000000-0005-0000-0000-000000E60000}"/>
    <cellStyle name="Total 7 5 3 3 2" xfId="58662" xr:uid="{00000000-0005-0000-0000-000001E60000}"/>
    <cellStyle name="Total 7 5 3 3 3" xfId="58663" xr:uid="{00000000-0005-0000-0000-000002E60000}"/>
    <cellStyle name="Total 7 5 3 3 4" xfId="58664" xr:uid="{00000000-0005-0000-0000-000003E60000}"/>
    <cellStyle name="Total 7 5 3 4" xfId="58665" xr:uid="{00000000-0005-0000-0000-000004E60000}"/>
    <cellStyle name="Total 7 5 3 5" xfId="58666" xr:uid="{00000000-0005-0000-0000-000005E60000}"/>
    <cellStyle name="Total 7 5 3 6" xfId="58667" xr:uid="{00000000-0005-0000-0000-000006E60000}"/>
    <cellStyle name="Total 7 5 4" xfId="58668" xr:uid="{00000000-0005-0000-0000-000007E60000}"/>
    <cellStyle name="Total 7 5 5" xfId="58669" xr:uid="{00000000-0005-0000-0000-000008E60000}"/>
    <cellStyle name="Total 7 6" xfId="58670" xr:uid="{00000000-0005-0000-0000-000009E60000}"/>
    <cellStyle name="Total 7 6 2" xfId="58671" xr:uid="{00000000-0005-0000-0000-00000AE60000}"/>
    <cellStyle name="Total 7 6 2 2" xfId="58672" xr:uid="{00000000-0005-0000-0000-00000BE60000}"/>
    <cellStyle name="Total 7 6 2 2 2" xfId="58673" xr:uid="{00000000-0005-0000-0000-00000CE60000}"/>
    <cellStyle name="Total 7 6 2 2 3" xfId="58674" xr:uid="{00000000-0005-0000-0000-00000DE60000}"/>
    <cellStyle name="Total 7 6 2 2 4" xfId="58675" xr:uid="{00000000-0005-0000-0000-00000EE60000}"/>
    <cellStyle name="Total 7 6 2 3" xfId="58676" xr:uid="{00000000-0005-0000-0000-00000FE60000}"/>
    <cellStyle name="Total 7 6 2 3 2" xfId="58677" xr:uid="{00000000-0005-0000-0000-000010E60000}"/>
    <cellStyle name="Total 7 6 2 3 3" xfId="58678" xr:uid="{00000000-0005-0000-0000-000011E60000}"/>
    <cellStyle name="Total 7 6 2 3 4" xfId="58679" xr:uid="{00000000-0005-0000-0000-000012E60000}"/>
    <cellStyle name="Total 7 6 2 4" xfId="58680" xr:uid="{00000000-0005-0000-0000-000013E60000}"/>
    <cellStyle name="Total 7 6 2 5" xfId="58681" xr:uid="{00000000-0005-0000-0000-000014E60000}"/>
    <cellStyle name="Total 7 6 2 6" xfId="58682" xr:uid="{00000000-0005-0000-0000-000015E60000}"/>
    <cellStyle name="Total 7 6 3" xfId="58683" xr:uid="{00000000-0005-0000-0000-000016E60000}"/>
    <cellStyle name="Total 7 6 3 2" xfId="58684" xr:uid="{00000000-0005-0000-0000-000017E60000}"/>
    <cellStyle name="Total 7 6 3 2 2" xfId="58685" xr:uid="{00000000-0005-0000-0000-000018E60000}"/>
    <cellStyle name="Total 7 6 3 2 3" xfId="58686" xr:uid="{00000000-0005-0000-0000-000019E60000}"/>
    <cellStyle name="Total 7 6 3 2 4" xfId="58687" xr:uid="{00000000-0005-0000-0000-00001AE60000}"/>
    <cellStyle name="Total 7 6 3 3" xfId="58688" xr:uid="{00000000-0005-0000-0000-00001BE60000}"/>
    <cellStyle name="Total 7 6 3 3 2" xfId="58689" xr:uid="{00000000-0005-0000-0000-00001CE60000}"/>
    <cellStyle name="Total 7 6 3 3 3" xfId="58690" xr:uid="{00000000-0005-0000-0000-00001DE60000}"/>
    <cellStyle name="Total 7 6 3 3 4" xfId="58691" xr:uid="{00000000-0005-0000-0000-00001EE60000}"/>
    <cellStyle name="Total 7 6 3 4" xfId="58692" xr:uid="{00000000-0005-0000-0000-00001FE60000}"/>
    <cellStyle name="Total 7 6 3 5" xfId="58693" xr:uid="{00000000-0005-0000-0000-000020E60000}"/>
    <cellStyle name="Total 7 6 3 6" xfId="58694" xr:uid="{00000000-0005-0000-0000-000021E60000}"/>
    <cellStyle name="Total 7 6 4" xfId="58695" xr:uid="{00000000-0005-0000-0000-000022E60000}"/>
    <cellStyle name="Total 7 6 5" xfId="58696" xr:uid="{00000000-0005-0000-0000-000023E60000}"/>
    <cellStyle name="Total 7 6 6" xfId="58697" xr:uid="{00000000-0005-0000-0000-000024E60000}"/>
    <cellStyle name="Total 7 7" xfId="58698" xr:uid="{00000000-0005-0000-0000-000025E60000}"/>
    <cellStyle name="Total 7 8" xfId="58699" xr:uid="{00000000-0005-0000-0000-000026E60000}"/>
    <cellStyle name="Warning Text 2" xfId="58701" xr:uid="{00000000-0005-0000-0000-000027E60000}"/>
    <cellStyle name="Wrap" xfId="58702" xr:uid="{00000000-0005-0000-0000-000028E60000}"/>
    <cellStyle name="Wrap Bold" xfId="58703" xr:uid="{00000000-0005-0000-0000-000029E60000}"/>
    <cellStyle name="Wrap Text 8" xfId="58860" xr:uid="{00000000-0005-0000-0000-00002AE60000}"/>
    <cellStyle name="Wrap Title" xfId="58704" xr:uid="{00000000-0005-0000-0000-00002BE60000}"/>
    <cellStyle name="Wrap_NTS99-~11" xfId="58705" xr:uid="{00000000-0005-0000-0000-00002CE60000}"/>
    <cellStyle name="Обычный_2++" xfId="58916" xr:uid="{00000000-0005-0000-0000-00002DE60000}"/>
    <cellStyle name="Обычный_CRF2002 (1)" xfId="58920" xr:uid="{00000000-0005-0000-0000-00002EE60000}"/>
    <cellStyle name="標準_CRF1999" xfId="58706" xr:uid="{00000000-0005-0000-0000-00002FE60000}"/>
  </cellStyles>
  <dxfs count="0"/>
  <tableStyles count="0" defaultTableStyle="TableStyleMedium2" defaultPivotStyle="PivotStyleLight16"/>
  <colors>
    <mruColors>
      <color rgb="FF03EDDC"/>
      <color rgb="FF01FF74"/>
      <color rgb="FF548235"/>
      <color rgb="FF969696"/>
      <color rgb="FFF9A9E8"/>
      <color rgb="FF9751CB"/>
      <color rgb="FFBFBFBF"/>
      <color rgb="FF2E75B6"/>
      <color rgb="FFBDD7EE"/>
      <color rgb="FF7A00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customXml" Target="../customXml/item1.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48C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'GEI SERIE ANUAL'!$J$60:$J$72</c:f>
              <c:strCache>
                <c:ptCount val="13"/>
                <c:pt idx="0">
                  <c:v>Refinado de alcohol</c:v>
                </c:pt>
                <c:pt idx="1">
                  <c:v>Malta y cerveza</c:v>
                </c:pt>
                <c:pt idx="2">
                  <c:v>Carnes y Aves</c:v>
                </c:pt>
                <c:pt idx="3">
                  <c:v>Hortalizas, frutas y jugos</c:v>
                </c:pt>
                <c:pt idx="4">
                  <c:v>Aceites vegetales</c:v>
                </c:pt>
                <c:pt idx="5">
                  <c:v>Productos lácteos</c:v>
                </c:pt>
                <c:pt idx="6">
                  <c:v>Refinación de azúcar</c:v>
                </c:pt>
                <c:pt idx="7">
                  <c:v>Vinos y vinagres</c:v>
                </c:pt>
                <c:pt idx="8">
                  <c:v>Pulpa y papel (combinados)</c:v>
                </c:pt>
                <c:pt idx="9">
                  <c:v>Refinerías de petróleo</c:v>
                </c:pt>
                <c:pt idx="10">
                  <c:v>Sustancias químicas orgánicas</c:v>
                </c:pt>
                <c:pt idx="11">
                  <c:v>Jabón y detergentes</c:v>
                </c:pt>
                <c:pt idx="12">
                  <c:v>Elaboración de pescado</c:v>
                </c:pt>
              </c:strCache>
            </c:strRef>
          </c:cat>
          <c:val>
            <c:numRef>
              <c:f>'GEI SERIE ANUAL'!$L$60:$L$72</c:f>
              <c:numCache>
                <c:formatCode>0.00</c:formatCode>
                <c:ptCount val="13"/>
                <c:pt idx="0">
                  <c:v>8.030657800793968E-2</c:v>
                </c:pt>
                <c:pt idx="1">
                  <c:v>1.8353948355516372</c:v>
                </c:pt>
                <c:pt idx="2">
                  <c:v>8.9139613379699991</c:v>
                </c:pt>
                <c:pt idx="3">
                  <c:v>1.7148533098613024</c:v>
                </c:pt>
                <c:pt idx="4">
                  <c:v>8.5107601500000005E-2</c:v>
                </c:pt>
                <c:pt idx="5">
                  <c:v>1.1747048364450001</c:v>
                </c:pt>
                <c:pt idx="6">
                  <c:v>1.8526129162415905</c:v>
                </c:pt>
                <c:pt idx="7">
                  <c:v>3.5973010953491424E-2</c:v>
                </c:pt>
                <c:pt idx="8">
                  <c:v>19.602773550000002</c:v>
                </c:pt>
                <c:pt idx="9">
                  <c:v>0.12000414369116578</c:v>
                </c:pt>
                <c:pt idx="10">
                  <c:v>0.40697788133106144</c:v>
                </c:pt>
                <c:pt idx="11">
                  <c:v>3.9213009985417428E-2</c:v>
                </c:pt>
                <c:pt idx="12">
                  <c:v>1.6490061250000001</c:v>
                </c:pt>
              </c:numCache>
            </c:numRef>
          </c:val>
          <c:extLst>
            <c:ext xmlns:c16="http://schemas.microsoft.com/office/drawing/2014/chart" uri="{C3380CC4-5D6E-409C-BE32-E72D297353CC}">
              <c16:uniqueId val="{00000000-BAE9-42A7-9BB9-5E222E562204}"/>
            </c:ext>
          </c:extLst>
        </c:ser>
        <c:dLbls>
          <c:showLegendKey val="0"/>
          <c:showVal val="0"/>
          <c:showCatName val="0"/>
          <c:showSerName val="0"/>
          <c:showPercent val="0"/>
          <c:showBubbleSize val="0"/>
        </c:dLbls>
        <c:gapWidth val="150"/>
        <c:axId val="304615280"/>
        <c:axId val="304616456"/>
      </c:barChart>
      <c:catAx>
        <c:axId val="304615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616456"/>
        <c:crosses val="autoZero"/>
        <c:auto val="1"/>
        <c:lblAlgn val="ctr"/>
        <c:lblOffset val="100"/>
        <c:noMultiLvlLbl val="0"/>
      </c:catAx>
      <c:valAx>
        <c:axId val="304616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PE"/>
                  <a:t>Gg CH</a:t>
                </a:r>
                <a:r>
                  <a:rPr lang="es-PE" baseline="-25000"/>
                  <a:t>4</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P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0461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4-3C33-4692-B753-B81D3AD3971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3C33-4692-B753-B81D3AD3971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A-3C33-4692-B753-B81D3AD3971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E87-414E-9D22-43BCD4E0F5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3C33-4692-B753-B81D3AD3971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E87-414E-9D22-43BCD4E0F54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C33-4692-B753-B81D3AD3971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8-3C33-4692-B753-B81D3AD3971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C33-4692-B753-B81D3AD3971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3-3C33-4692-B753-B81D3AD3971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5-3C33-4692-B753-B81D3AD3971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3C33-4692-B753-B81D3AD3971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6-3C33-4692-B753-B81D3AD39715}"/>
              </c:ext>
            </c:extLst>
          </c:dPt>
          <c:dLbls>
            <c:dLbl>
              <c:idx val="0"/>
              <c:layout>
                <c:manualLayout>
                  <c:x val="0.1048787047686455"/>
                  <c:y val="-3.2052738762733533E-2"/>
                </c:manualLayout>
              </c:layout>
              <c:showLegendKey val="0"/>
              <c:showVal val="0"/>
              <c:showCatName val="0"/>
              <c:showSerName val="0"/>
              <c:showPercent val="1"/>
              <c:showBubbleSize val="0"/>
              <c:separator>. </c:separator>
              <c:extLst>
                <c:ext xmlns:c15="http://schemas.microsoft.com/office/drawing/2012/chart" uri="{CE6537A1-D6FC-4f65-9D91-7224C49458BB}">
                  <c15:layout>
                    <c:manualLayout>
                      <c:w val="9.4876404494382019E-2"/>
                      <c:h val="5.9153093893749793E-2"/>
                    </c:manualLayout>
                  </c15:layout>
                </c:ext>
                <c:ext xmlns:c16="http://schemas.microsoft.com/office/drawing/2014/chart" uri="{C3380CC4-5D6E-409C-BE32-E72D297353CC}">
                  <c16:uniqueId val="{00000004-3C33-4692-B753-B81D3AD39715}"/>
                </c:ext>
              </c:extLst>
            </c:dLbl>
            <c:dLbl>
              <c:idx val="1"/>
              <c:layout>
                <c:manualLayout>
                  <c:x val="4.2281783597275059E-2"/>
                  <c:y val="1.0519085957809669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3C33-4692-B753-B81D3AD39715}"/>
                </c:ext>
              </c:extLst>
            </c:dLbl>
            <c:dLbl>
              <c:idx val="2"/>
              <c:layout>
                <c:manualLayout>
                  <c:x val="3.1224055980590356E-2"/>
                  <c:y val="-1.3003737046619208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C33-4692-B753-B81D3AD39715}"/>
                </c:ext>
              </c:extLst>
            </c:dLbl>
            <c:dLbl>
              <c:idx val="3"/>
              <c:layout>
                <c:manualLayout>
                  <c:x val="1.3270772426738203E-3"/>
                  <c:y val="-3.4607211243561593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87-414E-9D22-43BCD4E0F549}"/>
                </c:ext>
              </c:extLst>
            </c:dLbl>
            <c:dLbl>
              <c:idx val="4"/>
              <c:layout>
                <c:manualLayout>
                  <c:x val="7.9863752985932946E-3"/>
                  <c:y val="1.1279890436394248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C33-4692-B753-B81D3AD39715}"/>
                </c:ext>
              </c:extLst>
            </c:dLbl>
            <c:dLbl>
              <c:idx val="6"/>
              <c:layout>
                <c:manualLayout>
                  <c:x val="1.7508006723878616E-2"/>
                  <c:y val="7.2869401860223941E-3"/>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C33-4692-B753-B81D3AD39715}"/>
                </c:ext>
              </c:extLst>
            </c:dLbl>
            <c:dLbl>
              <c:idx val="7"/>
              <c:layout>
                <c:manualLayout>
                  <c:x val="-1.2291427054764222E-2"/>
                  <c:y val="1.501479288146996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C33-4692-B753-B81D3AD39715}"/>
                </c:ext>
              </c:extLst>
            </c:dLbl>
            <c:dLbl>
              <c:idx val="8"/>
              <c:layout>
                <c:manualLayout>
                  <c:x val="1.3111917190126512E-2"/>
                  <c:y val="0.13803059564175688"/>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C33-4692-B753-B81D3AD39715}"/>
                </c:ext>
              </c:extLst>
            </c:dLbl>
            <c:dLbl>
              <c:idx val="9"/>
              <c:layout>
                <c:manualLayout>
                  <c:x val="-4.1830841369547928E-2"/>
                  <c:y val="2.4723113977338843E-2"/>
                </c:manualLayout>
              </c:layout>
              <c:showLegendKey val="0"/>
              <c:showVal val="0"/>
              <c:showCatName val="0"/>
              <c:showSerName val="0"/>
              <c:showPercent val="1"/>
              <c:showBubbleSize val="0"/>
              <c:separator>. </c:separator>
              <c:extLst>
                <c:ext xmlns:c15="http://schemas.microsoft.com/office/drawing/2012/chart" uri="{CE6537A1-D6FC-4f65-9D91-7224C49458BB}">
                  <c15:layout>
                    <c:manualLayout>
                      <c:w val="0.10386516853932584"/>
                      <c:h val="5.9153093893749793E-2"/>
                    </c:manualLayout>
                  </c15:layout>
                </c:ext>
                <c:ext xmlns:c16="http://schemas.microsoft.com/office/drawing/2014/chart" uri="{C3380CC4-5D6E-409C-BE32-E72D297353CC}">
                  <c16:uniqueId val="{00000003-3C33-4692-B753-B81D3AD39715}"/>
                </c:ext>
              </c:extLst>
            </c:dLbl>
            <c:dLbl>
              <c:idx val="10"/>
              <c:layout>
                <c:manualLayout>
                  <c:x val="-0.11595080951959656"/>
                  <c:y val="-3.7133418718700489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C33-4692-B753-B81D3AD39715}"/>
                </c:ext>
              </c:extLst>
            </c:dLbl>
            <c:dLbl>
              <c:idx val="11"/>
              <c:layout>
                <c:manualLayout>
                  <c:x val="-3.6108466778731307E-2"/>
                  <c:y val="-5.434380068038281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C33-4692-B753-B81D3AD39715}"/>
                </c:ext>
              </c:extLst>
            </c:dLbl>
            <c:dLbl>
              <c:idx val="12"/>
              <c:layout>
                <c:manualLayout>
                  <c:x val="2.4479518711846414E-2"/>
                  <c:y val="-3.8130443650629467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C33-4692-B753-B81D3AD39715}"/>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'GEI SERIE ANUAL'!$J$60:$J$72</c:f>
              <c:strCache>
                <c:ptCount val="13"/>
                <c:pt idx="0">
                  <c:v>Refinado de alcohol</c:v>
                </c:pt>
                <c:pt idx="1">
                  <c:v>Malta y cerveza</c:v>
                </c:pt>
                <c:pt idx="2">
                  <c:v>Carnes y Aves</c:v>
                </c:pt>
                <c:pt idx="3">
                  <c:v>Hortalizas, frutas y jugos</c:v>
                </c:pt>
                <c:pt idx="4">
                  <c:v>Aceites vegetales</c:v>
                </c:pt>
                <c:pt idx="5">
                  <c:v>Productos lácteos</c:v>
                </c:pt>
                <c:pt idx="6">
                  <c:v>Refinación de azúcar</c:v>
                </c:pt>
                <c:pt idx="7">
                  <c:v>Vinos y vinagres</c:v>
                </c:pt>
                <c:pt idx="8">
                  <c:v>Pulpa y papel (combinados)</c:v>
                </c:pt>
                <c:pt idx="9">
                  <c:v>Refinerías de petróleo</c:v>
                </c:pt>
                <c:pt idx="10">
                  <c:v>Sustancias químicas orgánicas</c:v>
                </c:pt>
                <c:pt idx="11">
                  <c:v>Jabón y detergentes</c:v>
                </c:pt>
                <c:pt idx="12">
                  <c:v>Elaboración de pescado</c:v>
                </c:pt>
              </c:strCache>
            </c:strRef>
          </c:cat>
          <c:val>
            <c:numRef>
              <c:f>'GEI SERIE ANUAL'!$M$60:$M$72</c:f>
              <c:numCache>
                <c:formatCode>0.00%</c:formatCode>
                <c:ptCount val="13"/>
                <c:pt idx="0">
                  <c:v>2.1408870825649039E-3</c:v>
                </c:pt>
                <c:pt idx="1">
                  <c:v>4.8929654236423197E-2</c:v>
                </c:pt>
                <c:pt idx="2">
                  <c:v>0.237636631473155</c:v>
                </c:pt>
                <c:pt idx="3">
                  <c:v>4.5716146679948944E-2</c:v>
                </c:pt>
                <c:pt idx="4">
                  <c:v>2.2688772103004722E-3</c:v>
                </c:pt>
                <c:pt idx="5">
                  <c:v>3.1316368752793533E-2</c:v>
                </c:pt>
                <c:pt idx="6">
                  <c:v>4.9388669767280916E-2</c:v>
                </c:pt>
                <c:pt idx="7">
                  <c:v>9.5900182004619112E-4</c:v>
                </c:pt>
                <c:pt idx="8">
                  <c:v>0.52258888022212546</c:v>
                </c:pt>
                <c:pt idx="9">
                  <c:v>3.1991815297780328E-3</c:v>
                </c:pt>
                <c:pt idx="10">
                  <c:v>1.0849593030164471E-2</c:v>
                </c:pt>
                <c:pt idx="11">
                  <c:v>1.0453767129508221E-3</c:v>
                </c:pt>
                <c:pt idx="12">
                  <c:v>4.3960731482468013E-2</c:v>
                </c:pt>
              </c:numCache>
            </c:numRef>
          </c:val>
          <c:extLst>
            <c:ext xmlns:c16="http://schemas.microsoft.com/office/drawing/2014/chart" uri="{C3380CC4-5D6E-409C-BE32-E72D297353CC}">
              <c16:uniqueId val="{00000000-3C33-4692-B753-B81D3AD39715}"/>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IP 4D2 2019'!A1"/></Relationships>
</file>

<file path=xl/drawings/_rels/drawing3.xml.rels><?xml version="1.0" encoding="UTF-8" standalone="yes"?>
<Relationships xmlns="http://schemas.openxmlformats.org/package/2006/relationships"><Relationship Id="rId3" Type="http://schemas.openxmlformats.org/officeDocument/2006/relationships/hyperlink" Target="#'IB 4D2 - MYPE e I 2019'!A1"/><Relationship Id="rId2" Type="http://schemas.openxmlformats.org/officeDocument/2006/relationships/hyperlink" Target="#'GEI 1994-2019'!A1"/><Relationship Id="rId1" Type="http://schemas.openxmlformats.org/officeDocument/2006/relationships/hyperlink" Target="#'Fac Conv'!A1"/></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Resultados!A1"/><Relationship Id="rId1" Type="http://schemas.openxmlformats.org/officeDocument/2006/relationships/hyperlink" Target="#'Fac Conv'!A1"/><Relationship Id="rId5" Type="http://schemas.openxmlformats.org/officeDocument/2006/relationships/image" Target="../media/image6.png"/><Relationship Id="rId4"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6</xdr:col>
      <xdr:colOff>631912</xdr:colOff>
      <xdr:row>9</xdr:row>
      <xdr:rowOff>109208</xdr:rowOff>
    </xdr:from>
    <xdr:to>
      <xdr:col>12</xdr:col>
      <xdr:colOff>372429</xdr:colOff>
      <xdr:row>11</xdr:row>
      <xdr:rowOff>34285</xdr:rowOff>
    </xdr:to>
    <xdr:grpSp>
      <xdr:nvGrpSpPr>
        <xdr:cNvPr id="29" name="2 Grupo">
          <a:extLst>
            <a:ext uri="{FF2B5EF4-FFF2-40B4-BE49-F238E27FC236}">
              <a16:creationId xmlns:a16="http://schemas.microsoft.com/office/drawing/2014/main" id="{00000000-0008-0000-0000-00001D000000}"/>
            </a:ext>
          </a:extLst>
        </xdr:cNvPr>
        <xdr:cNvGrpSpPr/>
      </xdr:nvGrpSpPr>
      <xdr:grpSpPr>
        <a:xfrm>
          <a:off x="4940841" y="2161619"/>
          <a:ext cx="4366945" cy="605434"/>
          <a:chOff x="2112538" y="2904743"/>
          <a:chExt cx="4811503" cy="537678"/>
        </a:xfrm>
      </xdr:grpSpPr>
      <xdr:sp macro="" textlink="">
        <xdr:nvSpPr>
          <xdr:cNvPr id="30" name="1 Cerrar llave">
            <a:extLst>
              <a:ext uri="{FF2B5EF4-FFF2-40B4-BE49-F238E27FC236}">
                <a16:creationId xmlns:a16="http://schemas.microsoft.com/office/drawing/2014/main" id="{00000000-0008-0000-0000-00001E000000}"/>
              </a:ext>
            </a:extLst>
          </xdr:cNvPr>
          <xdr:cNvSpPr/>
        </xdr:nvSpPr>
        <xdr:spPr>
          <a:xfrm>
            <a:off x="2112538" y="2904743"/>
            <a:ext cx="45467" cy="456277"/>
          </a:xfrm>
          <a:prstGeom prst="rightBrace">
            <a:avLst>
              <a:gd name="adj1" fmla="val 23957"/>
              <a:gd name="adj2" fmla="val 50000"/>
            </a:avLst>
          </a:prstGeom>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34" name="7 CuadroTexto">
            <a:extLst>
              <a:ext uri="{FF2B5EF4-FFF2-40B4-BE49-F238E27FC236}">
                <a16:creationId xmlns:a16="http://schemas.microsoft.com/office/drawing/2014/main" id="{00000000-0008-0000-0000-000022000000}"/>
              </a:ext>
            </a:extLst>
          </xdr:cNvPr>
          <xdr:cNvSpPr txBox="1"/>
        </xdr:nvSpPr>
        <xdr:spPr>
          <a:xfrm>
            <a:off x="2190116" y="2909021"/>
            <a:ext cx="47339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900" b="1" baseline="0">
                <a:latin typeface="Arial" panose="020B0604020202020204" pitchFamily="34" charset="0"/>
                <a:cs typeface="Arial" panose="020B0604020202020204" pitchFamily="34" charset="0"/>
              </a:rPr>
              <a:t>5D2 (Tratamiento y eliminación de aguas residuales industriales)</a:t>
            </a:r>
            <a:r>
              <a:rPr lang="en-GB" sz="900" b="0" baseline="0">
                <a:latin typeface="Arial" panose="020B0604020202020204" pitchFamily="34" charset="0"/>
                <a:cs typeface="Arial" panose="020B0604020202020204" pitchFamily="34" charset="0"/>
              </a:rPr>
              <a:t>:</a:t>
            </a:r>
            <a:r>
              <a:rPr lang="en-GB" sz="900" b="1" baseline="0">
                <a:latin typeface="Arial" panose="020B0604020202020204" pitchFamily="34" charset="0"/>
                <a:cs typeface="Arial" panose="020B0604020202020204" pitchFamily="34" charset="0"/>
              </a:rPr>
              <a:t> </a:t>
            </a:r>
            <a:r>
              <a:rPr lang="en-GB" sz="900" b="0" baseline="0">
                <a:latin typeface="Arial" panose="020B0604020202020204" pitchFamily="34" charset="0"/>
                <a:cs typeface="Arial" panose="020B0604020202020204" pitchFamily="34" charset="0"/>
              </a:rPr>
              <a:t>Emisiones de CH</a:t>
            </a:r>
            <a:r>
              <a:rPr lang="en-GB" sz="900" b="0" baseline="-25000">
                <a:latin typeface="Arial" panose="020B0604020202020204" pitchFamily="34" charset="0"/>
                <a:cs typeface="Arial" panose="020B0604020202020204" pitchFamily="34" charset="0"/>
              </a:rPr>
              <a:t>4</a:t>
            </a:r>
            <a:r>
              <a:rPr lang="en-GB" sz="900" b="0" baseline="0">
                <a:latin typeface="Arial" panose="020B0604020202020204" pitchFamily="34" charset="0"/>
                <a:cs typeface="Arial" panose="020B0604020202020204" pitchFamily="34" charset="0"/>
              </a:rPr>
              <a:t> generadas por el tratamiento y eliminación de aguas residuales industrial.</a:t>
            </a:r>
            <a:endParaRPr lang="en-GB" sz="900">
              <a:latin typeface="Arial" panose="020B0604020202020204" pitchFamily="34" charset="0"/>
              <a:cs typeface="Arial" panose="020B0604020202020204" pitchFamily="34" charset="0"/>
            </a:endParaRPr>
          </a:p>
        </xdr:txBody>
      </xdr:sp>
    </xdr:grpSp>
    <xdr:clientData/>
  </xdr:twoCellAnchor>
  <xdr:twoCellAnchor>
    <xdr:from>
      <xdr:col>1</xdr:col>
      <xdr:colOff>23813</xdr:colOff>
      <xdr:row>17</xdr:row>
      <xdr:rowOff>31750</xdr:rowOff>
    </xdr:from>
    <xdr:to>
      <xdr:col>2</xdr:col>
      <xdr:colOff>385536</xdr:colOff>
      <xdr:row>25</xdr:row>
      <xdr:rowOff>136071</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39259" y="3490232"/>
          <a:ext cx="1416277" cy="1805214"/>
        </a:xfrm>
        <a:prstGeom prst="rect">
          <a:avLst/>
        </a:prstGeom>
      </xdr:spPr>
    </xdr:pic>
    <xdr:clientData/>
  </xdr:twoCellAnchor>
  <xdr:oneCellAnchor>
    <xdr:from>
      <xdr:col>2</xdr:col>
      <xdr:colOff>703036</xdr:colOff>
      <xdr:row>18</xdr:row>
      <xdr:rowOff>147410</xdr:rowOff>
    </xdr:from>
    <xdr:ext cx="5200062" cy="318480"/>
    <xdr:sp macro="" textlink="">
      <xdr:nvSpPr>
        <xdr:cNvPr id="2" name="11 CuadroTexto">
          <a:extLst>
            <a:ext uri="{FF2B5EF4-FFF2-40B4-BE49-F238E27FC236}">
              <a16:creationId xmlns:a16="http://schemas.microsoft.com/office/drawing/2014/main" id="{00000000-0008-0000-0000-000002000000}"/>
            </a:ext>
          </a:extLst>
        </xdr:cNvPr>
        <xdr:cNvSpPr txBox="1"/>
      </xdr:nvSpPr>
      <xdr:spPr>
        <a:xfrm>
          <a:off x="1973036" y="3798660"/>
          <a:ext cx="5200062" cy="318480"/>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PE" sz="1400">
              <a:latin typeface="Arial" panose="020B0604020202020204" pitchFamily="34" charset="0"/>
              <a:cs typeface="Arial" panose="020B0604020202020204" pitchFamily="34" charset="0"/>
            </a:rPr>
            <a:t>Emisiones</a:t>
          </a:r>
          <a:r>
            <a:rPr lang="es-PE" sz="1400" baseline="0">
              <a:latin typeface="Arial" panose="020B0604020202020204" pitchFamily="34" charset="0"/>
              <a:cs typeface="Arial" panose="020B0604020202020204" pitchFamily="34" charset="0"/>
            </a:rPr>
            <a:t>  GEI </a:t>
          </a:r>
          <a:r>
            <a:rPr lang="es-PE" sz="1400" i="0">
              <a:latin typeface="Cambria Math"/>
            </a:rPr>
            <a:t>=</a:t>
          </a:r>
          <a:r>
            <a:rPr lang="es-PE" sz="1400" i="0">
              <a:latin typeface="Cambria Math" panose="02040503050406030204" pitchFamily="18" charset="0"/>
            </a:rPr>
            <a:t>𝑁</a:t>
          </a:r>
          <a:r>
            <a:rPr lang="es-PE" sz="1400" b="0" i="0">
              <a:latin typeface="Cambria Math" panose="02040503050406030204" pitchFamily="18" charset="0"/>
            </a:rPr>
            <a:t>𝑖𝑣𝑒𝑙 𝑑𝑒 𝐴𝑐𝑡𝑖𝑣𝑖𝑑𝑎𝑑 𝑥 𝐹𝑎𝑐𝑡𝑜𝑟 𝑑𝑒 𝐸𝑚𝑖𝑠𝑖ó𝑛</a:t>
          </a:r>
          <a:endParaRPr lang="es-PE" sz="1400">
            <a:latin typeface="Arial" panose="020B0604020202020204" pitchFamily="34" charset="0"/>
            <a:cs typeface="Arial" panose="020B0604020202020204" pitchFamily="34" charset="0"/>
          </a:endParaRPr>
        </a:p>
      </xdr:txBody>
    </xdr:sp>
    <xdr:clientData/>
  </xdr:oneCellAnchor>
  <xdr:twoCellAnchor>
    <xdr:from>
      <xdr:col>11</xdr:col>
      <xdr:colOff>158751</xdr:colOff>
      <xdr:row>13</xdr:row>
      <xdr:rowOff>102054</xdr:rowOff>
    </xdr:from>
    <xdr:to>
      <xdr:col>16</xdr:col>
      <xdr:colOff>778923</xdr:colOff>
      <xdr:row>24</xdr:row>
      <xdr:rowOff>173298</xdr:rowOff>
    </xdr:to>
    <xdr:grpSp>
      <xdr:nvGrpSpPr>
        <xdr:cNvPr id="26" name="Grupo 25">
          <a:extLst>
            <a:ext uri="{FF2B5EF4-FFF2-40B4-BE49-F238E27FC236}">
              <a16:creationId xmlns:a16="http://schemas.microsoft.com/office/drawing/2014/main" id="{00000000-0008-0000-0000-00001A000000}"/>
            </a:ext>
          </a:extLst>
        </xdr:cNvPr>
        <xdr:cNvGrpSpPr/>
      </xdr:nvGrpSpPr>
      <xdr:grpSpPr>
        <a:xfrm>
          <a:off x="8266340" y="3175000"/>
          <a:ext cx="4872404" cy="2327762"/>
          <a:chOff x="2319130" y="1722782"/>
          <a:chExt cx="6215270" cy="3008243"/>
        </a:xfrm>
      </xdr:grpSpPr>
      <xdr:pic>
        <xdr:nvPicPr>
          <xdr:cNvPr id="27" name="Picture 11">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2"/>
          <a:srcRect/>
          <a:stretch>
            <a:fillRect/>
          </a:stretch>
        </xdr:blipFill>
        <xdr:spPr bwMode="auto">
          <a:xfrm>
            <a:off x="2319130" y="1722782"/>
            <a:ext cx="6215270" cy="3008243"/>
          </a:xfrm>
          <a:prstGeom prst="rect">
            <a:avLst/>
          </a:prstGeom>
          <a:ln>
            <a:noFill/>
          </a:ln>
          <a:effectLst>
            <a:outerShdw blurRad="292100" dist="139700" dir="2700000" algn="tl" rotWithShape="0">
              <a:srgbClr val="333333">
                <a:alpha val="65000"/>
              </a:srgbClr>
            </a:outerShdw>
          </a:effectLst>
        </xdr:spPr>
      </xdr:pic>
      <xdr:sp macro="" textlink="">
        <xdr:nvSpPr>
          <xdr:cNvPr id="31" name="CuadroTexto 4">
            <a:extLst>
              <a:ext uri="{FF2B5EF4-FFF2-40B4-BE49-F238E27FC236}">
                <a16:creationId xmlns:a16="http://schemas.microsoft.com/office/drawing/2014/main" id="{00000000-0008-0000-0000-00001F000000}"/>
              </a:ext>
            </a:extLst>
          </xdr:cNvPr>
          <xdr:cNvSpPr txBox="1"/>
        </xdr:nvSpPr>
        <xdr:spPr>
          <a:xfrm>
            <a:off x="4087785" y="1722782"/>
            <a:ext cx="3773681" cy="398079"/>
          </a:xfrm>
          <a:prstGeom prst="rect">
            <a:avLst/>
          </a:prstGeom>
          <a:solidFill>
            <a:schemeClr val="bg1"/>
          </a:solid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PE" sz="1200" b="1"/>
              <a:t>Distribución de probabilidades </a:t>
            </a:r>
          </a:p>
        </xdr:txBody>
      </xdr:sp>
      <xdr:sp macro="" textlink="">
        <xdr:nvSpPr>
          <xdr:cNvPr id="32" name="CuadroTexto 5">
            <a:extLst>
              <a:ext uri="{FF2B5EF4-FFF2-40B4-BE49-F238E27FC236}">
                <a16:creationId xmlns:a16="http://schemas.microsoft.com/office/drawing/2014/main" id="{00000000-0008-0000-0000-000020000000}"/>
              </a:ext>
            </a:extLst>
          </xdr:cNvPr>
          <xdr:cNvSpPr txBox="1"/>
        </xdr:nvSpPr>
        <xdr:spPr>
          <a:xfrm rot="5400000" flipV="1">
            <a:off x="1739082" y="2893572"/>
            <a:ext cx="1493181" cy="317436"/>
          </a:xfrm>
          <a:prstGeom prst="rect">
            <a:avLst/>
          </a:prstGeom>
          <a:solidFill>
            <a:schemeClr val="bg1"/>
          </a:solid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PE" sz="1000" b="1"/>
              <a:t>probabilidad</a:t>
            </a:r>
          </a:p>
        </xdr:txBody>
      </xdr:sp>
      <xdr:sp macro="" textlink="">
        <xdr:nvSpPr>
          <xdr:cNvPr id="35" name="CuadroTexto 6">
            <a:extLst>
              <a:ext uri="{FF2B5EF4-FFF2-40B4-BE49-F238E27FC236}">
                <a16:creationId xmlns:a16="http://schemas.microsoft.com/office/drawing/2014/main" id="{00000000-0008-0000-0000-000023000000}"/>
              </a:ext>
            </a:extLst>
          </xdr:cNvPr>
          <xdr:cNvSpPr txBox="1"/>
        </xdr:nvSpPr>
        <xdr:spPr>
          <a:xfrm>
            <a:off x="3882683" y="4388987"/>
            <a:ext cx="911751" cy="269178"/>
          </a:xfrm>
          <a:prstGeom prst="rect">
            <a:avLst/>
          </a:prstGeom>
          <a:solidFill>
            <a:schemeClr val="bg1"/>
          </a:solid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PE" sz="1000"/>
              <a:t>Nivel 1 </a:t>
            </a:r>
          </a:p>
        </xdr:txBody>
      </xdr:sp>
      <xdr:sp macro="" textlink="">
        <xdr:nvSpPr>
          <xdr:cNvPr id="36" name="CuadroTexto 7">
            <a:extLst>
              <a:ext uri="{FF2B5EF4-FFF2-40B4-BE49-F238E27FC236}">
                <a16:creationId xmlns:a16="http://schemas.microsoft.com/office/drawing/2014/main" id="{00000000-0008-0000-0000-000024000000}"/>
              </a:ext>
            </a:extLst>
          </xdr:cNvPr>
          <xdr:cNvSpPr txBox="1"/>
        </xdr:nvSpPr>
        <xdr:spPr>
          <a:xfrm>
            <a:off x="5338994" y="4384707"/>
            <a:ext cx="911751" cy="335912"/>
          </a:xfrm>
          <a:prstGeom prst="rect">
            <a:avLst/>
          </a:prstGeom>
          <a:solidFill>
            <a:schemeClr val="bg1"/>
          </a:solid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PE" sz="1000"/>
              <a:t>Nivel 2 </a:t>
            </a:r>
          </a:p>
        </xdr:txBody>
      </xdr:sp>
      <xdr:sp macro="" textlink="">
        <xdr:nvSpPr>
          <xdr:cNvPr id="37" name="CuadroTexto 8">
            <a:extLst>
              <a:ext uri="{FF2B5EF4-FFF2-40B4-BE49-F238E27FC236}">
                <a16:creationId xmlns:a16="http://schemas.microsoft.com/office/drawing/2014/main" id="{00000000-0008-0000-0000-000025000000}"/>
              </a:ext>
            </a:extLst>
          </xdr:cNvPr>
          <xdr:cNvSpPr txBox="1"/>
        </xdr:nvSpPr>
        <xdr:spPr>
          <a:xfrm>
            <a:off x="6842199" y="4374284"/>
            <a:ext cx="911751" cy="304697"/>
          </a:xfrm>
          <a:prstGeom prst="rect">
            <a:avLst/>
          </a:prstGeom>
          <a:solidFill>
            <a:schemeClr val="bg1"/>
          </a:solid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PE" sz="1000"/>
              <a:t>Nivel 3 </a:t>
            </a:r>
          </a:p>
        </xdr:txBody>
      </xdr:sp>
    </xdr:grpSp>
    <xdr:clientData/>
  </xdr:twoCellAnchor>
  <xdr:twoCellAnchor editAs="oneCell">
    <xdr:from>
      <xdr:col>1</xdr:col>
      <xdr:colOff>0</xdr:colOff>
      <xdr:row>38</xdr:row>
      <xdr:rowOff>0</xdr:rowOff>
    </xdr:from>
    <xdr:to>
      <xdr:col>11</xdr:col>
      <xdr:colOff>66600</xdr:colOff>
      <xdr:row>54</xdr:row>
      <xdr:rowOff>69062</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
        <a:stretch>
          <a:fillRect/>
        </a:stretch>
      </xdr:blipFill>
      <xdr:spPr>
        <a:xfrm>
          <a:off x="215446" y="7982857"/>
          <a:ext cx="7958743" cy="31533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92710</xdr:colOff>
      <xdr:row>13</xdr:row>
      <xdr:rowOff>67943</xdr:rowOff>
    </xdr:from>
    <xdr:to>
      <xdr:col>12</xdr:col>
      <xdr:colOff>328</xdr:colOff>
      <xdr:row>24</xdr:row>
      <xdr:rowOff>42332</xdr:rowOff>
    </xdr:to>
    <xdr:sp macro="" textlink="">
      <xdr:nvSpPr>
        <xdr:cNvPr id="2" name="TextBox 1">
          <a:extLst>
            <a:ext uri="{FF2B5EF4-FFF2-40B4-BE49-F238E27FC236}">
              <a16:creationId xmlns:a16="http://schemas.microsoft.com/office/drawing/2014/main" id="{90C521A4-4BBC-4160-A8EC-140F7522EBD4}"/>
            </a:ext>
          </a:extLst>
        </xdr:cNvPr>
        <xdr:cNvSpPr txBox="1"/>
      </xdr:nvSpPr>
      <xdr:spPr>
        <a:xfrm>
          <a:off x="92710" y="3192143"/>
          <a:ext cx="9299268" cy="1841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baseline="30000">
              <a:solidFill>
                <a:schemeClr val="dk1"/>
              </a:solidFill>
              <a:effectLst/>
              <a:latin typeface="Times New Roman" panose="02020603050405020304" pitchFamily="18" charset="0"/>
              <a:ea typeface="+mn-ea"/>
              <a:cs typeface="Times New Roman" panose="02020603050405020304" pitchFamily="18" charset="0"/>
            </a:rPr>
            <a:t>(</a:t>
          </a:r>
          <a:r>
            <a:rPr lang="en-US" sz="1000" b="0" i="0" baseline="30000">
              <a:solidFill>
                <a:sysClr val="windowText" lastClr="000000"/>
              </a:solidFill>
              <a:effectLst/>
              <a:latin typeface="Times New Roman" panose="02020603050405020304" pitchFamily="18" charset="0"/>
              <a:ea typeface="+mn-ea"/>
              <a:cs typeface="Times New Roman" panose="02020603050405020304" pitchFamily="18" charset="0"/>
            </a:rPr>
            <a:t>1)</a:t>
          </a:r>
          <a:r>
            <a:rPr lang="en-US" sz="1000" b="0" i="0" baseline="0">
              <a:solidFill>
                <a:sysClr val="windowText" lastClr="000000"/>
              </a:solidFill>
              <a:effectLst/>
              <a:latin typeface="Times New Roman" panose="02020603050405020304" pitchFamily="18" charset="0"/>
              <a:ea typeface="+mn-ea"/>
              <a:cs typeface="Times New Roman" panose="02020603050405020304" pitchFamily="18" charset="0"/>
            </a:rPr>
            <a:t> Enter the amount of recovery as a negative number since this amount is subtracted from emissions produced.</a:t>
          </a:r>
          <a:endParaRPr lang="en-US" sz="1000">
            <a:solidFill>
              <a:sysClr val="windowText" lastClr="000000"/>
            </a:solidFill>
            <a:effectLst/>
            <a:latin typeface="Times New Roman" panose="02020603050405020304" pitchFamily="18" charset="0"/>
            <a:cs typeface="Times New Roman" panose="02020603050405020304" pitchFamily="18" charset="0"/>
          </a:endParaRPr>
        </a:p>
        <a:p>
          <a:r>
            <a:rPr lang="en-US" sz="1000" b="0" i="0" u="none" strike="noStrike" baseline="30000">
              <a:solidFill>
                <a:sysClr val="windowText" lastClr="000000"/>
              </a:solidFill>
              <a:effectLst/>
              <a:latin typeface="Times New Roman" panose="02020603050405020304" pitchFamily="18" charset="0"/>
              <a:ea typeface="+mn-ea"/>
              <a:cs typeface="Times New Roman" panose="02020603050405020304" pitchFamily="18" charset="0"/>
            </a:rPr>
            <a:t>(2)</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If sludge removal is reported in the wastewater inventory, it should be consistent with the estimates for sludge applied to agricultural soils, sludge incinerated and sludge deposited at</a:t>
          </a:r>
          <a:r>
            <a:rPr lang="en-US" sz="1000" b="0" i="0" u="none" strike="noStrike" baseline="0">
              <a:solidFill>
                <a:sysClr val="windowText" lastClr="000000"/>
              </a:solidFill>
              <a:effectLst/>
              <a:latin typeface="Times New Roman" panose="02020603050405020304" pitchFamily="18" charset="0"/>
              <a:ea typeface="+mn-ea"/>
              <a:cs typeface="Times New Roman" panose="02020603050405020304" pitchFamily="18" charset="0"/>
            </a:rPr>
            <a:t> SWDS</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baseline="30000">
              <a:solidFill>
                <a:sysClr val="windowText" lastClr="000000"/>
              </a:solidFill>
              <a:effectLst/>
              <a:latin typeface="Times New Roman" panose="02020603050405020304" pitchFamily="18" charset="0"/>
              <a:ea typeface="+mn-ea"/>
              <a:cs typeface="Times New Roman" panose="02020603050405020304" pitchFamily="18" charset="0"/>
            </a:rPr>
            <a:t>(3)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The CH</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4</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IEF is calculated on the basis of gross CH</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4</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emissions as follows: IEF = (CH</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4</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emissions + the absolute</a:t>
          </a:r>
          <a:r>
            <a:rPr lang="en-US" sz="1000" b="0" i="0" u="none" strike="noStrike" baseline="0">
              <a:solidFill>
                <a:sysClr val="windowText" lastClr="000000"/>
              </a:solidFill>
              <a:effectLst/>
              <a:latin typeface="Times New Roman" panose="02020603050405020304" pitchFamily="18" charset="0"/>
              <a:ea typeface="+mn-ea"/>
              <a:cs typeface="Times New Roman" panose="02020603050405020304" pitchFamily="18" charset="0"/>
            </a:rPr>
            <a:t> amount of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CH</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4</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recovered or flared) / total organic product.</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baseline="30000">
              <a:solidFill>
                <a:sysClr val="windowText" lastClr="000000"/>
              </a:solidFill>
              <a:effectLst/>
              <a:latin typeface="Times New Roman" panose="02020603050405020304" pitchFamily="18" charset="0"/>
              <a:ea typeface="+mn-ea"/>
              <a:cs typeface="Times New Roman" panose="02020603050405020304" pitchFamily="18" charset="0"/>
            </a:rPr>
            <a:t>(4)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Actual emissions (after flaring and recovery).</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baseline="30000">
              <a:solidFill>
                <a:sysClr val="windowText" lastClr="000000"/>
              </a:solidFill>
              <a:effectLst/>
              <a:latin typeface="Times New Roman" panose="02020603050405020304" pitchFamily="18" charset="0"/>
              <a:ea typeface="+mn-ea"/>
              <a:cs typeface="Times New Roman" panose="02020603050405020304" pitchFamily="18" charset="0"/>
            </a:rPr>
            <a:t>(5)   </a:t>
          </a:r>
          <a:r>
            <a:rPr lang="en-US" sz="1000" b="0" i="0" u="none" strike="noStrike" baseline="0">
              <a:solidFill>
                <a:sysClr val="windowText" lastClr="000000"/>
              </a:solidFill>
              <a:effectLst/>
              <a:latin typeface="Times New Roman" panose="02020603050405020304" pitchFamily="18" charset="0"/>
              <a:ea typeface="+mn-ea"/>
              <a:cs typeface="Times New Roman" panose="02020603050405020304" pitchFamily="18" charset="0"/>
            </a:rPr>
            <a:t>If</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CH</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4</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recovered is used for energy production, the emissions should be reported under category 1.A.</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baseline="30000">
              <a:solidFill>
                <a:sysClr val="windowText" lastClr="000000"/>
              </a:solidFill>
              <a:effectLst/>
              <a:latin typeface="Times New Roman" panose="02020603050405020304" pitchFamily="18" charset="0"/>
              <a:ea typeface="+mn-ea"/>
              <a:cs typeface="Times New Roman" panose="02020603050405020304" pitchFamily="18" charset="0"/>
            </a:rPr>
            <a:t>(6)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DC = degradable organic component. DC indicators are COD (chemical oxygen demand) for industrial wastewater and BOD (biochemical oxygen demand) for domestic/commercial wastewater/sludge (2006 IPCC Guidelines (Vol. 5. chap.</a:t>
          </a:r>
          <a:r>
            <a:rPr lang="en-US" sz="1000" b="0" i="0" u="none" strike="noStrike" baseline="0">
              <a:solidFill>
                <a:sysClr val="windowText" lastClr="000000"/>
              </a:solidFill>
              <a:effectLst/>
              <a:latin typeface="Times New Roman" panose="02020603050405020304" pitchFamily="18" charset="0"/>
              <a:ea typeface="+mn-ea"/>
              <a:cs typeface="Times New Roman" panose="02020603050405020304" pitchFamily="18" charset="0"/>
            </a:rPr>
            <a:t>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6.1, p.6.7))</a:t>
          </a:r>
          <a:r>
            <a:rPr lang="en-US" sz="1000">
              <a:solidFill>
                <a:sysClr val="windowText" lastClr="000000"/>
              </a:solidFill>
              <a:latin typeface="Times New Roman" panose="02020603050405020304" pitchFamily="18"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i="0" baseline="0">
            <a:solidFill>
              <a:sysClr val="windowText" lastClr="000000"/>
            </a:solidFill>
            <a:effectLst/>
            <a:latin typeface="Times New Roman" panose="02020603050405020304" pitchFamily="18" charset="0"/>
            <a:ea typeface="+mn-ea"/>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1" i="0" baseline="0">
              <a:solidFill>
                <a:sysClr val="windowText" lastClr="000000"/>
              </a:solidFill>
              <a:effectLst/>
              <a:latin typeface="Times New Roman" panose="02020603050405020304" pitchFamily="18" charset="0"/>
              <a:ea typeface="+mn-ea"/>
              <a:cs typeface="Times New Roman" panose="02020603050405020304" pitchFamily="18" charset="0"/>
            </a:rPr>
            <a:t>Note</a:t>
          </a:r>
          <a:r>
            <a:rPr lang="en-US" sz="1000" b="0" i="0" baseline="0">
              <a:solidFill>
                <a:sysClr val="windowText" lastClr="000000"/>
              </a:solidFill>
              <a:effectLst/>
              <a:latin typeface="Times New Roman" panose="02020603050405020304" pitchFamily="18" charset="0"/>
              <a:ea typeface="+mn-ea"/>
              <a:cs typeface="Times New Roman" panose="02020603050405020304" pitchFamily="18" charset="0"/>
            </a:rPr>
            <a:t>: Minimum level of aggregation is needed to protect confidential business and military information, where it would identify particular entity's/entities' confidential data.</a:t>
          </a:r>
          <a:endParaRPr lang="en-US" sz="1000">
            <a:solidFill>
              <a:sysClr val="windowText" lastClr="000000"/>
            </a:solidFill>
            <a:effectLst/>
            <a:latin typeface="Times New Roman" panose="02020603050405020304" pitchFamily="18" charset="0"/>
            <a:cs typeface="Times New Roman" panose="02020603050405020304" pitchFamily="18" charset="0"/>
          </a:endParaRPr>
        </a:p>
        <a:p>
          <a:endParaRPr lang="en-US" sz="1000">
            <a:latin typeface="Times New Roman" panose="02020603050405020304" pitchFamily="18" charset="0"/>
            <a:cs typeface="Times New Roman" panose="02020603050405020304" pitchFamily="18" charset="0"/>
          </a:endParaRPr>
        </a:p>
      </xdr:txBody>
    </xdr:sp>
    <xdr:clientData/>
  </xdr:twoCellAnchor>
  <xdr:twoCellAnchor>
    <xdr:from>
      <xdr:col>0</xdr:col>
      <xdr:colOff>76199</xdr:colOff>
      <xdr:row>25</xdr:row>
      <xdr:rowOff>135890</xdr:rowOff>
    </xdr:from>
    <xdr:to>
      <xdr:col>11</xdr:col>
      <xdr:colOff>836083</xdr:colOff>
      <xdr:row>31</xdr:row>
      <xdr:rowOff>135890</xdr:rowOff>
    </xdr:to>
    <xdr:sp macro="" textlink="">
      <xdr:nvSpPr>
        <xdr:cNvPr id="3" name="TextBox 3">
          <a:extLst>
            <a:ext uri="{FF2B5EF4-FFF2-40B4-BE49-F238E27FC236}">
              <a16:creationId xmlns:a16="http://schemas.microsoft.com/office/drawing/2014/main" id="{210BF0CB-034C-4A3B-88D8-A35A16C976F8}"/>
            </a:ext>
          </a:extLst>
        </xdr:cNvPr>
        <xdr:cNvSpPr txBox="1"/>
      </xdr:nvSpPr>
      <xdr:spPr>
        <a:xfrm>
          <a:off x="76199" y="5307965"/>
          <a:ext cx="9294284"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a:solidFill>
                <a:schemeClr val="dk1"/>
              </a:solidFill>
              <a:effectLst/>
              <a:latin typeface="Times New Roman" panose="02020603050405020304" pitchFamily="18" charset="0"/>
              <a:ea typeface="+mn-ea"/>
              <a:cs typeface="Times New Roman" panose="02020603050405020304" pitchFamily="18" charset="0"/>
            </a:rPr>
            <a:t>• Parties should provide a detailed description of the waste sector in chapter 7 ("Waste" (CRT sector 5)) of the NID.  Use this documentation box to provide references to relevant sections of the NID, if any additional information and/or further details are needed to explain the contents of this table. </a:t>
          </a:r>
          <a:endParaRPr lang="en-US" sz="1000">
            <a:effectLst/>
            <a:latin typeface="Times New Roman" panose="02020603050405020304" pitchFamily="18" charset="0"/>
            <a:cs typeface="Times New Roman" panose="02020603050405020304" pitchFamily="18" charset="0"/>
          </a:endParaRPr>
        </a:p>
        <a:p>
          <a:r>
            <a:rPr lang="en-US" sz="1000" b="0" i="0" u="none" strike="noStrike">
              <a:solidFill>
                <a:schemeClr val="dk1"/>
              </a:solidFill>
              <a:effectLst/>
              <a:latin typeface="Times New Roman" panose="02020603050405020304" pitchFamily="18" charset="0"/>
              <a:ea typeface="+mn-ea"/>
              <a:cs typeface="Times New Roman" panose="02020603050405020304" pitchFamily="18" charset="0"/>
            </a:rPr>
            <a:t>• Regarding the estimates for N</a:t>
          </a:r>
          <a:r>
            <a:rPr lang="en-US" sz="1000" b="0" i="0" u="none" strike="noStrike" baseline="-25000">
              <a:solidFill>
                <a:schemeClr val="dk1"/>
              </a:solidFill>
              <a:effectLst/>
              <a:latin typeface="Times New Roman" panose="02020603050405020304" pitchFamily="18" charset="0"/>
              <a:ea typeface="+mn-ea"/>
              <a:cs typeface="Times New Roman" panose="02020603050405020304" pitchFamily="18" charset="0"/>
            </a:rPr>
            <a:t>2</a:t>
          </a:r>
          <a:r>
            <a:rPr lang="en-US" sz="1000" b="0" i="0" u="none" strike="noStrike">
              <a:solidFill>
                <a:schemeClr val="dk1"/>
              </a:solidFill>
              <a:effectLst/>
              <a:latin typeface="Times New Roman" panose="02020603050405020304" pitchFamily="18" charset="0"/>
              <a:ea typeface="+mn-ea"/>
              <a:cs typeface="Times New Roman" panose="02020603050405020304" pitchFamily="18" charset="0"/>
            </a:rPr>
            <a:t>O from human sewage, explain in the documentation box whether total or urban population is used in the calculations and the rationale for the</a:t>
          </a:r>
          <a:r>
            <a:rPr lang="en-US" sz="1000" b="0" i="0" u="none" strike="noStrike" baseline="0">
              <a:solidFill>
                <a:schemeClr val="dk1"/>
              </a:solidFill>
              <a:effectLst/>
              <a:latin typeface="Times New Roman" panose="02020603050405020304" pitchFamily="18" charset="0"/>
              <a:ea typeface="+mn-ea"/>
              <a:cs typeface="Times New Roman" panose="02020603050405020304" pitchFamily="18" charset="0"/>
            </a:rPr>
            <a:t> choice made</a:t>
          </a:r>
          <a:r>
            <a:rPr lang="en-US" sz="1000" b="0" i="0" u="none" strike="noStrike">
              <a:solidFill>
                <a:schemeClr val="dk1"/>
              </a:solidFill>
              <a:effectLst/>
              <a:latin typeface="Times New Roman" panose="02020603050405020304" pitchFamily="18" charset="0"/>
              <a:ea typeface="+mn-ea"/>
              <a:cs typeface="Times New Roman" panose="02020603050405020304" pitchFamily="18" charset="0"/>
            </a:rPr>
            <a:t>. </a:t>
          </a:r>
        </a:p>
        <a:p>
          <a:r>
            <a:rPr lang="en-US" sz="1000" b="0" i="0" u="none" strike="noStrike">
              <a:solidFill>
                <a:schemeClr val="dk1"/>
              </a:solidFill>
              <a:effectLst/>
              <a:latin typeface="Times New Roman" panose="02020603050405020304" pitchFamily="18" charset="0"/>
              <a:ea typeface="+mn-ea"/>
              <a:cs typeface="Times New Roman" panose="02020603050405020304" pitchFamily="18" charset="0"/>
            </a:rPr>
            <a:t>• Parties using methods other than those from the IPCC for estimating N</a:t>
          </a:r>
          <a:r>
            <a:rPr lang="en-US" sz="1000" b="0" i="0" u="none" strike="noStrike" baseline="-25000">
              <a:solidFill>
                <a:schemeClr val="dk1"/>
              </a:solidFill>
              <a:effectLst/>
              <a:latin typeface="Times New Roman" panose="02020603050405020304" pitchFamily="18" charset="0"/>
              <a:ea typeface="+mn-ea"/>
              <a:cs typeface="Times New Roman" panose="02020603050405020304" pitchFamily="18" charset="0"/>
            </a:rPr>
            <a:t>2</a:t>
          </a:r>
          <a:r>
            <a:rPr lang="en-US" sz="1000" b="0" i="0" u="none" strike="noStrike">
              <a:solidFill>
                <a:schemeClr val="dk1"/>
              </a:solidFill>
              <a:effectLst/>
              <a:latin typeface="Times New Roman" panose="02020603050405020304" pitchFamily="18" charset="0"/>
              <a:ea typeface="+mn-ea"/>
              <a:cs typeface="Times New Roman" panose="02020603050405020304" pitchFamily="18" charset="0"/>
            </a:rPr>
            <a:t>O emissions from wastewater treatment should provide, in the NID information on methods, AD and EFs used, and in this documentation box a reference to the relevant section of the NID where this information can be found.</a:t>
          </a:r>
          <a:endParaRPr lang="en-US" sz="1000">
            <a:latin typeface="Times New Roman" panose="02020603050405020304" pitchFamily="18" charset="0"/>
            <a:cs typeface="Times New Roman" panose="02020603050405020304" pitchFamily="18" charset="0"/>
          </a:endParaRPr>
        </a:p>
      </xdr:txBody>
    </xdr:sp>
    <xdr:clientData/>
  </xdr:twoCellAnchor>
  <xdr:twoCellAnchor>
    <xdr:from>
      <xdr:col>12</xdr:col>
      <xdr:colOff>495299</xdr:colOff>
      <xdr:row>12</xdr:row>
      <xdr:rowOff>31751</xdr:rowOff>
    </xdr:from>
    <xdr:to>
      <xdr:col>14</xdr:col>
      <xdr:colOff>850900</xdr:colOff>
      <xdr:row>22</xdr:row>
      <xdr:rowOff>139700</xdr:rowOff>
    </xdr:to>
    <xdr:sp macro="" textlink="">
      <xdr:nvSpPr>
        <xdr:cNvPr id="4" name="TextBox 4">
          <a:extLst>
            <a:ext uri="{FF2B5EF4-FFF2-40B4-BE49-F238E27FC236}">
              <a16:creationId xmlns:a16="http://schemas.microsoft.com/office/drawing/2014/main" id="{201F364D-FE18-450E-A9DC-9A1A2A43B075}"/>
            </a:ext>
          </a:extLst>
        </xdr:cNvPr>
        <xdr:cNvSpPr txBox="1"/>
      </xdr:nvSpPr>
      <xdr:spPr>
        <a:xfrm>
          <a:off x="9886949" y="2927351"/>
          <a:ext cx="2422526" cy="186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strike="noStrike">
              <a:solidFill>
                <a:sysClr val="windowText" lastClr="000000"/>
              </a:solidFill>
              <a:effectLst/>
              <a:latin typeface="Times New Roman" panose="02020603050405020304" pitchFamily="18" charset="0"/>
              <a:ea typeface="+mn-ea"/>
              <a:cs typeface="Times New Roman" panose="02020603050405020304" pitchFamily="18" charset="0"/>
            </a:rPr>
            <a:t>Note</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Parties are encouraged to supply the additional information regardless of the methodology applied</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F</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NON-CON</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 Fraction of non-consumed protein added to the wastewater</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F</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IND-COM</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 Fraction of industrial and commercial co-discharged protein into the sewer system</a:t>
          </a:r>
          <a:r>
            <a:rPr lang="en-US" sz="1000">
              <a:solidFill>
                <a:sysClr val="windowText" lastClr="000000"/>
              </a:solidFill>
              <a:latin typeface="Times New Roman" panose="02020603050405020304" pitchFamily="18" charset="0"/>
              <a:cs typeface="Times New Roman" panose="02020603050405020304" pitchFamily="18" charset="0"/>
            </a:rPr>
            <a:t> </a:t>
          </a:r>
        </a:p>
        <a:p>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T</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PLANT</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 Degree of utilization of modern, centralized WWT plants</a:t>
          </a:r>
          <a:r>
            <a:rPr lang="en-US" sz="1000">
              <a:solidFill>
                <a:sysClr val="windowText" lastClr="000000"/>
              </a:solidFill>
              <a:latin typeface="Times New Roman" panose="02020603050405020304" pitchFamily="18" charset="0"/>
              <a:cs typeface="Times New Roman" panose="02020603050405020304" pitchFamily="18"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110151</xdr:colOff>
      <xdr:row>6</xdr:row>
      <xdr:rowOff>83054</xdr:rowOff>
    </xdr:from>
    <xdr:to>
      <xdr:col>36</xdr:col>
      <xdr:colOff>435658</xdr:colOff>
      <xdr:row>8</xdr:row>
      <xdr:rowOff>344207</xdr:rowOff>
    </xdr:to>
    <xdr:sp macro="" textlink="">
      <xdr:nvSpPr>
        <xdr:cNvPr id="2" name="Pentágono 2">
          <a:extLst>
            <a:ext uri="{FF2B5EF4-FFF2-40B4-BE49-F238E27FC236}">
              <a16:creationId xmlns:a16="http://schemas.microsoft.com/office/drawing/2014/main" id="{00000000-0008-0000-0200-000002000000}"/>
            </a:ext>
          </a:extLst>
        </xdr:cNvPr>
        <xdr:cNvSpPr/>
      </xdr:nvSpPr>
      <xdr:spPr>
        <a:xfrm>
          <a:off x="9232170" y="1462958"/>
          <a:ext cx="3256276" cy="627499"/>
        </a:xfrm>
        <a:prstGeom prst="homePlate">
          <a:avLst/>
        </a:prstGeom>
        <a:solidFill>
          <a:srgbClr val="BDD7EE"/>
        </a:solidFill>
        <a:ln w="0">
          <a:noFill/>
        </a:ln>
        <a:effectLst>
          <a:glow rad="101600">
            <a:srgbClr val="745892">
              <a:alpha val="6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rgbClr val="000000"/>
              </a:solidFill>
              <a:effectLst/>
              <a:latin typeface="Arial" panose="020B0604020202020204" pitchFamily="34" charset="0"/>
              <a:ea typeface="Calibri" panose="020F0502020204030204" pitchFamily="34" charset="0"/>
              <a:cs typeface="Arial" panose="020B0604020202020204" pitchFamily="34" charset="0"/>
            </a:rPr>
            <a:t>IB 5D2-(MYPE_I)(Pesca_A)_2022</a:t>
          </a:r>
          <a:endParaRPr lang="es-PE" sz="9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36</xdr:col>
      <xdr:colOff>214581</xdr:colOff>
      <xdr:row>6</xdr:row>
      <xdr:rowOff>78547</xdr:rowOff>
    </xdr:from>
    <xdr:to>
      <xdr:col>40</xdr:col>
      <xdr:colOff>537481</xdr:colOff>
      <xdr:row>8</xdr:row>
      <xdr:rowOff>339700</xdr:rowOff>
    </xdr:to>
    <xdr:sp macro="" textlink="">
      <xdr:nvSpPr>
        <xdr:cNvPr id="3" name="Cheurón 3">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4330631" y="1297747"/>
          <a:ext cx="4075750" cy="623103"/>
        </a:xfrm>
        <a:prstGeom prst="chevron">
          <a:avLst/>
        </a:prstGeom>
        <a:solidFill>
          <a:srgbClr val="2E75B6"/>
        </a:solidFill>
        <a:ln w="19050">
          <a:noFill/>
        </a:ln>
        <a:effectLst>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effectLst/>
              <a:latin typeface="Arial" panose="020B0604020202020204" pitchFamily="34" charset="0"/>
              <a:ea typeface="Calibri" panose="020F0502020204030204" pitchFamily="34" charset="0"/>
              <a:cs typeface="Arial" panose="020B0604020202020204" pitchFamily="34" charset="0"/>
            </a:rPr>
            <a:t>IP 5D2 2022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69</xdr:col>
      <xdr:colOff>1365565</xdr:colOff>
      <xdr:row>5</xdr:row>
      <xdr:rowOff>137583</xdr:rowOff>
    </xdr:from>
    <xdr:to>
      <xdr:col>71</xdr:col>
      <xdr:colOff>733425</xdr:colOff>
      <xdr:row>10</xdr:row>
      <xdr:rowOff>0</xdr:rowOff>
    </xdr:to>
    <xdr:sp macro="" textlink="">
      <xdr:nvSpPr>
        <xdr:cNvPr id="2" name="Cheurón 6">
          <a:extLst>
            <a:ext uri="{FF2B5EF4-FFF2-40B4-BE49-F238E27FC236}">
              <a16:creationId xmlns:a16="http://schemas.microsoft.com/office/drawing/2014/main" id="{00000000-0008-0000-1400-000002000000}"/>
            </a:ext>
          </a:extLst>
        </xdr:cNvPr>
        <xdr:cNvSpPr/>
      </xdr:nvSpPr>
      <xdr:spPr>
        <a:xfrm>
          <a:off x="11919265" y="1480608"/>
          <a:ext cx="2387285" cy="719667"/>
        </a:xfrm>
        <a:prstGeom prst="chevron">
          <a:avLst/>
        </a:prstGeom>
        <a:solidFill>
          <a:srgbClr val="2E75B6"/>
        </a:solidFill>
        <a:ln w="19050">
          <a:solidFill>
            <a:srgbClr val="CC99FF"/>
          </a:solidFill>
        </a:ln>
        <a:effectLst>
          <a:glow rad="101600">
            <a:srgbClr val="745892">
              <a:alpha val="60000"/>
            </a:srgbClr>
          </a:glow>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effectLst/>
              <a:latin typeface="Arial" panose="020B0604020202020204" pitchFamily="34" charset="0"/>
              <a:ea typeface="Calibri" panose="020F0502020204030204" pitchFamily="34" charset="0"/>
              <a:cs typeface="Arial" panose="020B0604020202020204" pitchFamily="34" charset="0"/>
            </a:rPr>
            <a:t>IP</a:t>
          </a:r>
          <a:r>
            <a:rPr lang="es-PE" sz="900" baseline="0">
              <a:effectLst/>
              <a:latin typeface="Arial" panose="020B0604020202020204" pitchFamily="34" charset="0"/>
              <a:ea typeface="Calibri" panose="020F0502020204030204" pitchFamily="34" charset="0"/>
              <a:cs typeface="Arial" panose="020B0604020202020204" pitchFamily="34" charset="0"/>
            </a:rPr>
            <a:t> 5D2 </a:t>
          </a:r>
          <a:r>
            <a:rPr lang="es-PE" sz="900">
              <a:effectLst/>
              <a:latin typeface="Arial" panose="020B0604020202020204" pitchFamily="34" charset="0"/>
              <a:ea typeface="Calibri" panose="020F0502020204030204" pitchFamily="34" charset="0"/>
              <a:cs typeface="Arial" panose="020B0604020202020204" pitchFamily="34" charset="0"/>
            </a:rPr>
            <a:t>2021</a:t>
          </a:r>
        </a:p>
      </xdr:txBody>
    </xdr:sp>
    <xdr:clientData/>
  </xdr:twoCellAnchor>
  <xdr:twoCellAnchor>
    <xdr:from>
      <xdr:col>71</xdr:col>
      <xdr:colOff>361625</xdr:colOff>
      <xdr:row>5</xdr:row>
      <xdr:rowOff>92180</xdr:rowOff>
    </xdr:from>
    <xdr:to>
      <xdr:col>74</xdr:col>
      <xdr:colOff>190500</xdr:colOff>
      <xdr:row>10</xdr:row>
      <xdr:rowOff>19050</xdr:rowOff>
    </xdr:to>
    <xdr:sp macro="" textlink="">
      <xdr:nvSpPr>
        <xdr:cNvPr id="3" name="Cheurón 7">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13934750" y="1435205"/>
          <a:ext cx="2305375" cy="784120"/>
        </a:xfrm>
        <a:prstGeom prst="chevron">
          <a:avLst/>
        </a:prstGeom>
        <a:solidFill>
          <a:srgbClr val="548235"/>
        </a:solidFill>
        <a:ln>
          <a:noFill/>
        </a:ln>
        <a:effectLst>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chemeClr val="bg1"/>
              </a:solidFill>
              <a:effectLst/>
              <a:latin typeface="Arial" panose="020B0604020202020204" pitchFamily="34" charset="0"/>
              <a:ea typeface="Calibri" panose="020F0502020204030204" pitchFamily="34" charset="0"/>
              <a:cs typeface="Arial" panose="020B0604020202020204" pitchFamily="34" charset="0"/>
            </a:rPr>
            <a:t>Fac</a:t>
          </a:r>
          <a:r>
            <a:rPr lang="es-PE" sz="9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Conv</a:t>
          </a:r>
          <a:endParaRPr lang="es-PE" sz="900">
            <a:solidFill>
              <a:schemeClr val="bg1"/>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73</xdr:col>
      <xdr:colOff>501260</xdr:colOff>
      <xdr:row>5</xdr:row>
      <xdr:rowOff>95250</xdr:rowOff>
    </xdr:from>
    <xdr:to>
      <xdr:col>76</xdr:col>
      <xdr:colOff>390525</xdr:colOff>
      <xdr:row>10</xdr:row>
      <xdr:rowOff>0</xdr:rowOff>
    </xdr:to>
    <xdr:sp macro="" textlink="">
      <xdr:nvSpPr>
        <xdr:cNvPr id="4" name="Cheurón 8">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15788885" y="1438275"/>
          <a:ext cx="2175265" cy="762000"/>
        </a:xfrm>
        <a:prstGeom prst="chevron">
          <a:avLst/>
        </a:prstGeom>
        <a:solidFill>
          <a:srgbClr val="D9D9D9"/>
        </a:solidFill>
        <a:ln>
          <a:noFill/>
        </a:ln>
        <a:effectLst>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GEI SERIE ANUAL</a:t>
          </a:r>
        </a:p>
      </xdr:txBody>
    </xdr:sp>
    <xdr:clientData/>
  </xdr:twoCellAnchor>
  <xdr:twoCellAnchor>
    <xdr:from>
      <xdr:col>68</xdr:col>
      <xdr:colOff>247403</xdr:colOff>
      <xdr:row>5</xdr:row>
      <xdr:rowOff>98963</xdr:rowOff>
    </xdr:from>
    <xdr:to>
      <xdr:col>69</xdr:col>
      <xdr:colOff>1669967</xdr:colOff>
      <xdr:row>10</xdr:row>
      <xdr:rowOff>2</xdr:rowOff>
    </xdr:to>
    <xdr:sp macro="" textlink="">
      <xdr:nvSpPr>
        <xdr:cNvPr id="5" name="Pentágono 5">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72637403" y="1274125"/>
          <a:ext cx="2189512" cy="766948"/>
        </a:xfrm>
        <a:prstGeom prst="homePlate">
          <a:avLst/>
        </a:prstGeom>
        <a:solidFill>
          <a:srgbClr val="BDD7EE"/>
        </a:solidFill>
        <a:ln w="0">
          <a:no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rgbClr val="000000"/>
              </a:solidFill>
              <a:effectLst/>
              <a:latin typeface="Arial" panose="020B0604020202020204" pitchFamily="34" charset="0"/>
              <a:ea typeface="Calibri" panose="020F0502020204030204" pitchFamily="34" charset="0"/>
              <a:cs typeface="Arial" panose="020B0604020202020204" pitchFamily="34" charset="0"/>
            </a:rPr>
            <a:t>IB</a:t>
          </a:r>
          <a:r>
            <a:rPr lang="es-PE" sz="900" baseline="0">
              <a:solidFill>
                <a:srgbClr val="000000"/>
              </a:solidFill>
              <a:effectLst/>
              <a:latin typeface="Arial" panose="020B0604020202020204" pitchFamily="34" charset="0"/>
              <a:ea typeface="Calibri" panose="020F0502020204030204" pitchFamily="34" charset="0"/>
              <a:cs typeface="Arial" panose="020B0604020202020204" pitchFamily="34" charset="0"/>
            </a:rPr>
            <a:t> 5D2-(MYPE_I)(Pesca_A)_2021</a:t>
          </a:r>
          <a:endParaRPr lang="es-PE" sz="9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63</xdr:col>
      <xdr:colOff>593766</xdr:colOff>
      <xdr:row>97</xdr:row>
      <xdr:rowOff>148442</xdr:rowOff>
    </xdr:from>
    <xdr:to>
      <xdr:col>63</xdr:col>
      <xdr:colOff>595311</xdr:colOff>
      <xdr:row>100</xdr:row>
      <xdr:rowOff>27061</xdr:rowOff>
    </xdr:to>
    <xdr:cxnSp macro="">
      <xdr:nvCxnSpPr>
        <xdr:cNvPr id="7" name="Conector recto de flecha 6">
          <a:extLst>
            <a:ext uri="{FF2B5EF4-FFF2-40B4-BE49-F238E27FC236}">
              <a16:creationId xmlns:a16="http://schemas.microsoft.com/office/drawing/2014/main" id="{00000000-0008-0000-1400-000007000000}"/>
            </a:ext>
          </a:extLst>
        </xdr:cNvPr>
        <xdr:cNvCxnSpPr/>
      </xdr:nvCxnSpPr>
      <xdr:spPr>
        <a:xfrm flipH="1" flipV="1">
          <a:off x="67479058" y="18740747"/>
          <a:ext cx="1545" cy="645567"/>
        </a:xfrm>
        <a:prstGeom prst="straightConnector1">
          <a:avLst/>
        </a:prstGeom>
        <a:ln w="19050">
          <a:solidFill>
            <a:srgbClr val="FF006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773906</xdr:colOff>
      <xdr:row>25</xdr:row>
      <xdr:rowOff>148828</xdr:rowOff>
    </xdr:from>
    <xdr:to>
      <xdr:col>18</xdr:col>
      <xdr:colOff>783828</xdr:colOff>
      <xdr:row>31</xdr:row>
      <xdr:rowOff>257969</xdr:rowOff>
    </xdr:to>
    <xdr:cxnSp macro="">
      <xdr:nvCxnSpPr>
        <xdr:cNvPr id="3" name="Conector recto de flecha 2">
          <a:extLst>
            <a:ext uri="{FF2B5EF4-FFF2-40B4-BE49-F238E27FC236}">
              <a16:creationId xmlns:a16="http://schemas.microsoft.com/office/drawing/2014/main" id="{00000000-0008-0000-1C00-000003000000}"/>
            </a:ext>
          </a:extLst>
        </xdr:cNvPr>
        <xdr:cNvCxnSpPr/>
      </xdr:nvCxnSpPr>
      <xdr:spPr>
        <a:xfrm>
          <a:off x="17283906" y="4494609"/>
          <a:ext cx="9922" cy="1250157"/>
        </a:xfrm>
        <a:prstGeom prst="straightConnector1">
          <a:avLst/>
        </a:prstGeom>
        <a:ln w="76200">
          <a:solidFill>
            <a:srgbClr val="C40E9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823516</xdr:colOff>
      <xdr:row>68</xdr:row>
      <xdr:rowOff>99218</xdr:rowOff>
    </xdr:from>
    <xdr:to>
      <xdr:col>16</xdr:col>
      <xdr:colOff>912813</xdr:colOff>
      <xdr:row>90</xdr:row>
      <xdr:rowOff>1866</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srcRect t="-1" b="2099"/>
        <a:stretch/>
      </xdr:blipFill>
      <xdr:spPr>
        <a:xfrm>
          <a:off x="9713516" y="10229452"/>
          <a:ext cx="5923359" cy="3353593"/>
        </a:xfrm>
        <a:prstGeom prst="rect">
          <a:avLst/>
        </a:prstGeom>
      </xdr:spPr>
    </xdr:pic>
    <xdr:clientData/>
  </xdr:twoCellAnchor>
  <xdr:twoCellAnchor>
    <xdr:from>
      <xdr:col>18</xdr:col>
      <xdr:colOff>704452</xdr:colOff>
      <xdr:row>9</xdr:row>
      <xdr:rowOff>89296</xdr:rowOff>
    </xdr:from>
    <xdr:to>
      <xdr:col>18</xdr:col>
      <xdr:colOff>731836</xdr:colOff>
      <xdr:row>23</xdr:row>
      <xdr:rowOff>148828</xdr:rowOff>
    </xdr:to>
    <xdr:cxnSp macro="">
      <xdr:nvCxnSpPr>
        <xdr:cNvPr id="2" name="Conector recto de flecha 1">
          <a:extLst>
            <a:ext uri="{FF2B5EF4-FFF2-40B4-BE49-F238E27FC236}">
              <a16:creationId xmlns:a16="http://schemas.microsoft.com/office/drawing/2014/main" id="{00000000-0008-0000-1C00-000002000000}"/>
            </a:ext>
          </a:extLst>
        </xdr:cNvPr>
        <xdr:cNvCxnSpPr/>
      </xdr:nvCxnSpPr>
      <xdr:spPr>
        <a:xfrm>
          <a:off x="17214452" y="1895077"/>
          <a:ext cx="27384" cy="2282032"/>
        </a:xfrm>
        <a:prstGeom prst="straightConnector1">
          <a:avLst/>
        </a:prstGeom>
        <a:ln w="76200">
          <a:solidFill>
            <a:srgbClr val="C40E9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792</xdr:colOff>
      <xdr:row>9</xdr:row>
      <xdr:rowOff>99219</xdr:rowOff>
    </xdr:from>
    <xdr:to>
      <xdr:col>18</xdr:col>
      <xdr:colOff>704453</xdr:colOff>
      <xdr:row>9</xdr:row>
      <xdr:rowOff>109141</xdr:rowOff>
    </xdr:to>
    <xdr:cxnSp macro="">
      <xdr:nvCxnSpPr>
        <xdr:cNvPr id="8" name="Conector recto 7">
          <a:extLst>
            <a:ext uri="{FF2B5EF4-FFF2-40B4-BE49-F238E27FC236}">
              <a16:creationId xmlns:a16="http://schemas.microsoft.com/office/drawing/2014/main" id="{00000000-0008-0000-1C00-000008000000}"/>
            </a:ext>
          </a:extLst>
        </xdr:cNvPr>
        <xdr:cNvCxnSpPr/>
      </xdr:nvCxnSpPr>
      <xdr:spPr>
        <a:xfrm flipV="1">
          <a:off x="8890792" y="1905000"/>
          <a:ext cx="8323661" cy="9922"/>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13492</xdr:colOff>
      <xdr:row>15</xdr:row>
      <xdr:rowOff>49610</xdr:rowOff>
    </xdr:from>
    <xdr:to>
      <xdr:col>18</xdr:col>
      <xdr:colOff>744141</xdr:colOff>
      <xdr:row>15</xdr:row>
      <xdr:rowOff>73026</xdr:rowOff>
    </xdr:to>
    <xdr:cxnSp macro="">
      <xdr:nvCxnSpPr>
        <xdr:cNvPr id="10" name="Conector recto 9">
          <a:extLst>
            <a:ext uri="{FF2B5EF4-FFF2-40B4-BE49-F238E27FC236}">
              <a16:creationId xmlns:a16="http://schemas.microsoft.com/office/drawing/2014/main" id="{00000000-0008-0000-1C00-00000A000000}"/>
            </a:ext>
          </a:extLst>
        </xdr:cNvPr>
        <xdr:cNvCxnSpPr/>
      </xdr:nvCxnSpPr>
      <xdr:spPr>
        <a:xfrm flipV="1">
          <a:off x="8903492" y="2807891"/>
          <a:ext cx="8350649" cy="23416"/>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7142</xdr:colOff>
      <xdr:row>12</xdr:row>
      <xdr:rowOff>76597</xdr:rowOff>
    </xdr:from>
    <xdr:to>
      <xdr:col>18</xdr:col>
      <xdr:colOff>714375</xdr:colOff>
      <xdr:row>12</xdr:row>
      <xdr:rowOff>79375</xdr:rowOff>
    </xdr:to>
    <xdr:cxnSp macro="">
      <xdr:nvCxnSpPr>
        <xdr:cNvPr id="11" name="Conector recto 10">
          <a:extLst>
            <a:ext uri="{FF2B5EF4-FFF2-40B4-BE49-F238E27FC236}">
              <a16:creationId xmlns:a16="http://schemas.microsoft.com/office/drawing/2014/main" id="{00000000-0008-0000-1C00-00000B000000}"/>
            </a:ext>
          </a:extLst>
        </xdr:cNvPr>
        <xdr:cNvCxnSpPr/>
      </xdr:nvCxnSpPr>
      <xdr:spPr>
        <a:xfrm>
          <a:off x="8897142" y="2358628"/>
          <a:ext cx="8327233" cy="2778"/>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xdr:colOff>
      <xdr:row>20</xdr:row>
      <xdr:rowOff>119063</xdr:rowOff>
    </xdr:from>
    <xdr:to>
      <xdr:col>18</xdr:col>
      <xdr:colOff>694531</xdr:colOff>
      <xdr:row>20</xdr:row>
      <xdr:rowOff>123428</xdr:rowOff>
    </xdr:to>
    <xdr:cxnSp macro="">
      <xdr:nvCxnSpPr>
        <xdr:cNvPr id="13" name="Conector recto 12">
          <a:extLst>
            <a:ext uri="{FF2B5EF4-FFF2-40B4-BE49-F238E27FC236}">
              <a16:creationId xmlns:a16="http://schemas.microsoft.com/office/drawing/2014/main" id="{00000000-0008-0000-1C00-00000D000000}"/>
            </a:ext>
          </a:extLst>
        </xdr:cNvPr>
        <xdr:cNvCxnSpPr/>
      </xdr:nvCxnSpPr>
      <xdr:spPr>
        <a:xfrm flipV="1">
          <a:off x="8904287" y="3671094"/>
          <a:ext cx="8300244" cy="4365"/>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7936</xdr:colOff>
      <xdr:row>19</xdr:row>
      <xdr:rowOff>97234</xdr:rowOff>
    </xdr:from>
    <xdr:to>
      <xdr:col>18</xdr:col>
      <xdr:colOff>694531</xdr:colOff>
      <xdr:row>19</xdr:row>
      <xdr:rowOff>99219</xdr:rowOff>
    </xdr:to>
    <xdr:cxnSp macro="">
      <xdr:nvCxnSpPr>
        <xdr:cNvPr id="14" name="Conector recto 13">
          <a:extLst>
            <a:ext uri="{FF2B5EF4-FFF2-40B4-BE49-F238E27FC236}">
              <a16:creationId xmlns:a16="http://schemas.microsoft.com/office/drawing/2014/main" id="{00000000-0008-0000-1C00-00000E000000}"/>
            </a:ext>
          </a:extLst>
        </xdr:cNvPr>
        <xdr:cNvCxnSpPr/>
      </xdr:nvCxnSpPr>
      <xdr:spPr>
        <a:xfrm>
          <a:off x="8897936" y="3490515"/>
          <a:ext cx="8306595" cy="1985"/>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xdr:colOff>
      <xdr:row>18</xdr:row>
      <xdr:rowOff>89297</xdr:rowOff>
    </xdr:from>
    <xdr:to>
      <xdr:col>18</xdr:col>
      <xdr:colOff>714375</xdr:colOff>
      <xdr:row>18</xdr:row>
      <xdr:rowOff>90885</xdr:rowOff>
    </xdr:to>
    <xdr:cxnSp macro="">
      <xdr:nvCxnSpPr>
        <xdr:cNvPr id="15" name="Conector recto 14">
          <a:extLst>
            <a:ext uri="{FF2B5EF4-FFF2-40B4-BE49-F238E27FC236}">
              <a16:creationId xmlns:a16="http://schemas.microsoft.com/office/drawing/2014/main" id="{00000000-0008-0000-1C00-00000F000000}"/>
            </a:ext>
          </a:extLst>
        </xdr:cNvPr>
        <xdr:cNvCxnSpPr/>
      </xdr:nvCxnSpPr>
      <xdr:spPr>
        <a:xfrm flipV="1">
          <a:off x="8891587" y="3323828"/>
          <a:ext cx="8332788" cy="1588"/>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1285874</xdr:colOff>
      <xdr:row>16</xdr:row>
      <xdr:rowOff>89297</xdr:rowOff>
    </xdr:from>
    <xdr:to>
      <xdr:col>18</xdr:col>
      <xdr:colOff>694531</xdr:colOff>
      <xdr:row>16</xdr:row>
      <xdr:rowOff>94457</xdr:rowOff>
    </xdr:to>
    <xdr:cxnSp macro="">
      <xdr:nvCxnSpPr>
        <xdr:cNvPr id="16" name="Conector recto 15">
          <a:extLst>
            <a:ext uri="{FF2B5EF4-FFF2-40B4-BE49-F238E27FC236}">
              <a16:creationId xmlns:a16="http://schemas.microsoft.com/office/drawing/2014/main" id="{00000000-0008-0000-1C00-000010000000}"/>
            </a:ext>
          </a:extLst>
        </xdr:cNvPr>
        <xdr:cNvCxnSpPr/>
      </xdr:nvCxnSpPr>
      <xdr:spPr>
        <a:xfrm flipV="1">
          <a:off x="8886030" y="3006328"/>
          <a:ext cx="8318501" cy="5160"/>
        </a:xfrm>
        <a:prstGeom prst="line">
          <a:avLst/>
        </a:prstGeom>
        <a:ln w="19050">
          <a:solidFill>
            <a:srgbClr val="C40E9D"/>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689839</xdr:colOff>
      <xdr:row>44</xdr:row>
      <xdr:rowOff>40482</xdr:rowOff>
    </xdr:from>
    <xdr:to>
      <xdr:col>14</xdr:col>
      <xdr:colOff>24173</xdr:colOff>
      <xdr:row>73</xdr:row>
      <xdr:rowOff>49285</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l="23363" t="19534" r="24920" b="12158"/>
        <a:stretch/>
      </xdr:blipFill>
      <xdr:spPr>
        <a:xfrm>
          <a:off x="14393933" y="7565232"/>
          <a:ext cx="6728115" cy="48427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328084</xdr:colOff>
      <xdr:row>5</xdr:row>
      <xdr:rowOff>142875</xdr:rowOff>
    </xdr:from>
    <xdr:to>
      <xdr:col>13</xdr:col>
      <xdr:colOff>690076</xdr:colOff>
      <xdr:row>10</xdr:row>
      <xdr:rowOff>28575</xdr:rowOff>
    </xdr:to>
    <xdr:sp macro="" textlink="">
      <xdr:nvSpPr>
        <xdr:cNvPr id="6" name="Cheurón 8">
          <a:extLst>
            <a:ext uri="{FF2B5EF4-FFF2-40B4-BE49-F238E27FC236}">
              <a16:creationId xmlns:a16="http://schemas.microsoft.com/office/drawing/2014/main" id="{00000000-0008-0000-1D00-000006000000}"/>
            </a:ext>
          </a:extLst>
        </xdr:cNvPr>
        <xdr:cNvSpPr/>
      </xdr:nvSpPr>
      <xdr:spPr>
        <a:xfrm>
          <a:off x="8113314" y="1066217"/>
          <a:ext cx="1790742" cy="1081185"/>
        </a:xfrm>
        <a:prstGeom prst="chevron">
          <a:avLst/>
        </a:prstGeom>
        <a:solidFill>
          <a:srgbClr val="D9D9D9"/>
        </a:solidFill>
        <a:ln w="19050">
          <a:solidFill>
            <a:srgbClr val="CC99FF"/>
          </a:solidFill>
        </a:ln>
        <a:effectLst>
          <a:glow rad="101600">
            <a:srgbClr val="745892">
              <a:alpha val="60000"/>
            </a:srgbClr>
          </a:glow>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GEI SERIE ANUAL</a:t>
          </a:r>
        </a:p>
      </xdr:txBody>
    </xdr:sp>
    <xdr:clientData/>
  </xdr:twoCellAnchor>
  <xdr:twoCellAnchor>
    <xdr:from>
      <xdr:col>9</xdr:col>
      <xdr:colOff>139801</xdr:colOff>
      <xdr:row>5</xdr:row>
      <xdr:rowOff>146271</xdr:rowOff>
    </xdr:from>
    <xdr:to>
      <xdr:col>11</xdr:col>
      <xdr:colOff>416709</xdr:colOff>
      <xdr:row>7</xdr:row>
      <xdr:rowOff>137041</xdr:rowOff>
    </xdr:to>
    <xdr:sp macro="" textlink="">
      <xdr:nvSpPr>
        <xdr:cNvPr id="4" name="Cheurón 6">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15024201" y="1035271"/>
          <a:ext cx="2613708" cy="397170"/>
        </a:xfrm>
        <a:prstGeom prst="chevron">
          <a:avLst/>
        </a:prstGeom>
        <a:solidFill>
          <a:srgbClr val="548235"/>
        </a:solidFill>
        <a:ln>
          <a:noFill/>
        </a:ln>
        <a:effectLst>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chemeClr val="bg1"/>
              </a:solidFill>
              <a:effectLst/>
              <a:latin typeface="Arial" panose="020B0604020202020204" pitchFamily="34" charset="0"/>
              <a:ea typeface="Calibri" panose="020F0502020204030204" pitchFamily="34" charset="0"/>
              <a:cs typeface="Arial" panose="020B0604020202020204" pitchFamily="34" charset="0"/>
            </a:rPr>
            <a:t>Fac</a:t>
          </a:r>
          <a:r>
            <a:rPr lang="es-PE" sz="900" baseline="0">
              <a:solidFill>
                <a:schemeClr val="bg1"/>
              </a:solidFill>
              <a:effectLst/>
              <a:latin typeface="Arial" panose="020B0604020202020204" pitchFamily="34" charset="0"/>
              <a:ea typeface="Calibri" panose="020F0502020204030204" pitchFamily="34" charset="0"/>
              <a:cs typeface="Arial" panose="020B0604020202020204" pitchFamily="34" charset="0"/>
            </a:rPr>
            <a:t> Conv</a:t>
          </a:r>
          <a:endParaRPr lang="es-PE" sz="900">
            <a:solidFill>
              <a:schemeClr val="bg1"/>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9</xdr:col>
      <xdr:colOff>123824</xdr:colOff>
      <xdr:row>7</xdr:row>
      <xdr:rowOff>185738</xdr:rowOff>
    </xdr:from>
    <xdr:to>
      <xdr:col>11</xdr:col>
      <xdr:colOff>445501</xdr:colOff>
      <xdr:row>10</xdr:row>
      <xdr:rowOff>11965</xdr:rowOff>
    </xdr:to>
    <xdr:sp macro="" textlink="">
      <xdr:nvSpPr>
        <xdr:cNvPr id="7" name="Cheurón 6">
          <a:extLst>
            <a:ext uri="{FF2B5EF4-FFF2-40B4-BE49-F238E27FC236}">
              <a16:creationId xmlns:a16="http://schemas.microsoft.com/office/drawing/2014/main" id="{00000000-0008-0000-1D00-000007000000}"/>
            </a:ext>
          </a:extLst>
        </xdr:cNvPr>
        <xdr:cNvSpPr/>
      </xdr:nvSpPr>
      <xdr:spPr>
        <a:xfrm>
          <a:off x="13430249" y="1452563"/>
          <a:ext cx="2131427" cy="388202"/>
        </a:xfrm>
        <a:prstGeom prst="chevron">
          <a:avLst/>
        </a:prstGeom>
        <a:solidFill>
          <a:srgbClr val="2E75B6"/>
        </a:solidFill>
        <a:ln>
          <a:noFill/>
        </a:ln>
        <a:effectLst>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indent="0" algn="ctr" defTabSz="914400" eaLnBrk="1" fontAlgn="auto" latinLnBrk="0" hangingPunct="1">
            <a:lnSpc>
              <a:spcPct val="107000"/>
            </a:lnSpc>
            <a:spcBef>
              <a:spcPts val="0"/>
            </a:spcBef>
            <a:spcAft>
              <a:spcPts val="800"/>
            </a:spcAft>
            <a:buClrTx/>
            <a:buSzTx/>
            <a:buFontTx/>
            <a:buNone/>
            <a:tabLst/>
            <a:defRPr/>
          </a:pPr>
          <a:r>
            <a:rPr lang="es-PE" sz="900">
              <a:solidFill>
                <a:schemeClr val="lt1"/>
              </a:solidFill>
              <a:effectLst/>
              <a:latin typeface="Arial" pitchFamily="34" charset="0"/>
              <a:ea typeface="+mn-ea"/>
              <a:cs typeface="Arial" pitchFamily="34" charset="0"/>
            </a:rPr>
            <a:t>IP 5D2 2021</a:t>
          </a:r>
          <a:endParaRPr lang="es-PE" sz="900">
            <a:solidFill>
              <a:schemeClr val="bg1"/>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13</xdr:col>
      <xdr:colOff>209550</xdr:colOff>
      <xdr:row>5</xdr:row>
      <xdr:rowOff>95250</xdr:rowOff>
    </xdr:from>
    <xdr:to>
      <xdr:col>16</xdr:col>
      <xdr:colOff>174949</xdr:colOff>
      <xdr:row>10</xdr:row>
      <xdr:rowOff>66675</xdr:rowOff>
    </xdr:to>
    <xdr:sp macro="" textlink="">
      <xdr:nvSpPr>
        <xdr:cNvPr id="14" name="Cheurón 8">
          <a:hlinkClick xmlns:r="http://schemas.openxmlformats.org/officeDocument/2006/relationships" r:id="rId2"/>
          <a:extLst>
            <a:ext uri="{FF2B5EF4-FFF2-40B4-BE49-F238E27FC236}">
              <a16:creationId xmlns:a16="http://schemas.microsoft.com/office/drawing/2014/main" id="{00000000-0008-0000-1D00-00000E000000}"/>
            </a:ext>
          </a:extLst>
        </xdr:cNvPr>
        <xdr:cNvSpPr/>
      </xdr:nvSpPr>
      <xdr:spPr>
        <a:xfrm>
          <a:off x="9423530" y="1018592"/>
          <a:ext cx="1987031" cy="1166910"/>
        </a:xfrm>
        <a:prstGeom prst="chevron">
          <a:avLst/>
        </a:prstGeom>
        <a:solidFill>
          <a:schemeClr val="accent4">
            <a:lumMod val="40000"/>
            <a:lumOff val="60000"/>
          </a:schemeClr>
        </a:solidFill>
        <a:ln>
          <a:noFill/>
        </a:ln>
        <a:effectLst>
          <a:outerShdw blurRad="50800" dist="38100" dir="5400000" algn="t" rotWithShape="0">
            <a:schemeClr val="accent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PE" sz="900">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Resultados</a:t>
          </a:r>
        </a:p>
      </xdr:txBody>
    </xdr:sp>
    <xdr:clientData/>
  </xdr:twoCellAnchor>
  <xdr:twoCellAnchor>
    <xdr:from>
      <xdr:col>13</xdr:col>
      <xdr:colOff>601305</xdr:colOff>
      <xdr:row>56</xdr:row>
      <xdr:rowOff>89763</xdr:rowOff>
    </xdr:from>
    <xdr:to>
      <xdr:col>18</xdr:col>
      <xdr:colOff>1083345</xdr:colOff>
      <xdr:row>75</xdr:row>
      <xdr:rowOff>174950</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63500</xdr:colOff>
      <xdr:row>56</xdr:row>
      <xdr:rowOff>110066</xdr:rowOff>
    </xdr:from>
    <xdr:to>
      <xdr:col>21</xdr:col>
      <xdr:colOff>1121834</xdr:colOff>
      <xdr:row>76</xdr:row>
      <xdr:rowOff>10583</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168</xdr:row>
      <xdr:rowOff>0</xdr:rowOff>
    </xdr:from>
    <xdr:to>
      <xdr:col>22</xdr:col>
      <xdr:colOff>399846</xdr:colOff>
      <xdr:row>205</xdr:row>
      <xdr:rowOff>38322</xdr:rowOff>
    </xdr:to>
    <xdr:pic>
      <xdr:nvPicPr>
        <xdr:cNvPr id="11" name="Imagen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5"/>
        <a:stretch>
          <a:fillRect/>
        </a:stretch>
      </xdr:blipFill>
      <xdr:spPr>
        <a:xfrm>
          <a:off x="10784417" y="24267583"/>
          <a:ext cx="9466667" cy="66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123824</xdr:colOff>
      <xdr:row>13</xdr:row>
      <xdr:rowOff>142875</xdr:rowOff>
    </xdr:from>
    <xdr:to>
      <xdr:col>3</xdr:col>
      <xdr:colOff>1943279</xdr:colOff>
      <xdr:row>18</xdr:row>
      <xdr:rowOff>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a:srcRect l="49694" t="23243" r="36242" b="71849"/>
        <a:stretch/>
      </xdr:blipFill>
      <xdr:spPr>
        <a:xfrm>
          <a:off x="1495424" y="3600450"/>
          <a:ext cx="4124505" cy="809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5</xdr:row>
      <xdr:rowOff>85725</xdr:rowOff>
    </xdr:from>
    <xdr:to>
      <xdr:col>14</xdr:col>
      <xdr:colOff>692720</xdr:colOff>
      <xdr:row>10</xdr:row>
      <xdr:rowOff>104775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85725" y="2562225"/>
          <a:ext cx="14399195" cy="971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baseline="30000">
              <a:solidFill>
                <a:sysClr val="windowText" lastClr="000000"/>
              </a:solidFill>
              <a:effectLst/>
              <a:latin typeface="Times New Roman" panose="02020603050405020304" pitchFamily="18" charset="0"/>
              <a:ea typeface="+mn-ea"/>
              <a:cs typeface="Times New Roman" panose="02020603050405020304" pitchFamily="18" charset="0"/>
            </a:rPr>
            <a:t>(2) </a:t>
          </a:r>
          <a:r>
            <a:rPr lang="en-US" sz="1000" b="0" i="0" baseline="0">
              <a:solidFill>
                <a:sysClr val="windowText" lastClr="000000"/>
              </a:solidFill>
              <a:effectLst/>
              <a:latin typeface="Times New Roman" panose="02020603050405020304" pitchFamily="18" charset="0"/>
              <a:ea typeface="+mn-ea"/>
              <a:cs typeface="Times New Roman" panose="02020603050405020304" pitchFamily="18" charset="0"/>
            </a:rPr>
            <a:t>"Total GHG emissions/removals" does not include NO</a:t>
          </a:r>
          <a:r>
            <a:rPr lang="en-US" sz="1000" b="0" i="0" baseline="-25000">
              <a:solidFill>
                <a:sysClr val="windowText" lastClr="000000"/>
              </a:solidFill>
              <a:effectLst/>
              <a:latin typeface="Times New Roman" panose="02020603050405020304" pitchFamily="18" charset="0"/>
              <a:ea typeface="+mn-ea"/>
              <a:cs typeface="Times New Roman" panose="02020603050405020304" pitchFamily="18" charset="0"/>
            </a:rPr>
            <a:t>X</a:t>
          </a:r>
          <a:r>
            <a:rPr lang="en-US" sz="1000" b="0" i="0" baseline="0">
              <a:solidFill>
                <a:sysClr val="windowText" lastClr="000000"/>
              </a:solidFill>
              <a:effectLst/>
              <a:latin typeface="Times New Roman" panose="02020603050405020304" pitchFamily="18" charset="0"/>
              <a:ea typeface="+mn-ea"/>
              <a:cs typeface="Times New Roman" panose="02020603050405020304" pitchFamily="18" charset="0"/>
            </a:rPr>
            <a:t>, CO, NMVOC and SO</a:t>
          </a:r>
          <a:r>
            <a:rPr lang="en-US" sz="1000" b="0" i="0" baseline="-25000">
              <a:solidFill>
                <a:sysClr val="windowText" lastClr="000000"/>
              </a:solidFill>
              <a:effectLst/>
              <a:latin typeface="Times New Roman" panose="02020603050405020304" pitchFamily="18" charset="0"/>
              <a:ea typeface="+mn-ea"/>
              <a:cs typeface="Times New Roman" panose="02020603050405020304" pitchFamily="18" charset="0"/>
            </a:rPr>
            <a:t>X</a:t>
          </a:r>
          <a:r>
            <a:rPr lang="en-US" sz="1000" b="0" i="0" baseline="0">
              <a:solidFill>
                <a:sysClr val="windowText" lastClr="000000"/>
              </a:solidFill>
              <a:effectLst/>
              <a:latin typeface="Times New Roman" panose="02020603050405020304" pitchFamily="18" charset="0"/>
              <a:ea typeface="+mn-ea"/>
              <a:cs typeface="Times New Roman" panose="02020603050405020304" pitchFamily="18" charset="0"/>
            </a:rPr>
            <a:t>.</a:t>
          </a:r>
          <a:endParaRPr lang="en-US" sz="1000">
            <a:solidFill>
              <a:sysClr val="windowText" lastClr="000000"/>
            </a:solidFill>
            <a:effectLst/>
            <a:latin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0" i="0" baseline="30000">
              <a:solidFill>
                <a:sysClr val="windowText" lastClr="000000"/>
              </a:solidFill>
              <a:effectLst/>
              <a:latin typeface="Times New Roman" panose="02020603050405020304" pitchFamily="18" charset="0"/>
              <a:ea typeface="+mn-ea"/>
              <a:cs typeface="Times New Roman" panose="02020603050405020304" pitchFamily="18" charset="0"/>
            </a:rPr>
            <a:t>(3) </a:t>
          </a:r>
          <a:r>
            <a:rPr lang="en-US" sz="1000" b="0" i="0">
              <a:solidFill>
                <a:sysClr val="windowText" lastClr="000000"/>
              </a:solidFill>
              <a:effectLst/>
              <a:latin typeface="Times New Roman" panose="02020603050405020304" pitchFamily="18" charset="0"/>
              <a:ea typeface="+mn-ea"/>
              <a:cs typeface="Times New Roman" panose="02020603050405020304" pitchFamily="18" charset="0"/>
            </a:rPr>
            <a: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a:t>
          </a:r>
          <a:r>
            <a:rPr lang="en-US" sz="1000" b="0" i="0" baseline="-25000">
              <a:solidFill>
                <a:sysClr val="windowText" lastClr="000000"/>
              </a:solidFill>
              <a:effectLst/>
              <a:latin typeface="Times New Roman" panose="02020603050405020304" pitchFamily="18" charset="0"/>
              <a:ea typeface="+mn-ea"/>
              <a:cs typeface="Times New Roman" panose="02020603050405020304" pitchFamily="18" charset="0"/>
            </a:rPr>
            <a:t>2</a:t>
          </a:r>
          <a:r>
            <a:rPr lang="en-US" sz="1000" b="0" i="0">
              <a:solidFill>
                <a:sysClr val="windowText" lastClr="000000"/>
              </a:solidFill>
              <a:effectLst/>
              <a:latin typeface="Times New Roman" panose="02020603050405020304" pitchFamily="18" charset="0"/>
              <a:ea typeface="+mn-ea"/>
              <a:cs typeface="Times New Roman" panose="02020603050405020304" pitchFamily="18" charset="0"/>
            </a:rPr>
            <a:t> eq. Each Party may in addition also use other metrics (e.g. global temperature potential) to report supplemental information on aggregate emissions and removals of GHGs, expressed in CO</a:t>
          </a:r>
          <a:r>
            <a:rPr lang="en-US" sz="1000" b="0" i="0" baseline="-25000">
              <a:solidFill>
                <a:sysClr val="windowText" lastClr="000000"/>
              </a:solidFill>
              <a:effectLst/>
              <a:latin typeface="Times New Roman" panose="02020603050405020304" pitchFamily="18" charset="0"/>
              <a:ea typeface="+mn-ea"/>
              <a:cs typeface="Times New Roman" panose="02020603050405020304" pitchFamily="18" charset="0"/>
            </a:rPr>
            <a:t>2</a:t>
          </a:r>
          <a:r>
            <a:rPr lang="en-US" sz="1000" b="0" i="0">
              <a:solidFill>
                <a:sysClr val="windowText" lastClr="000000"/>
              </a:solidFill>
              <a:effectLst/>
              <a:latin typeface="Times New Roman" panose="02020603050405020304" pitchFamily="18" charset="0"/>
              <a:ea typeface="+mn-ea"/>
              <a:cs typeface="Times New Roman" panose="02020603050405020304" pitchFamily="18" charset="0"/>
            </a:rPr>
            <a:t> eq. In such cases, the Party shall provide in the NID information on the values of the metrics used and the IPCC assessment report they were sourced from.</a:t>
          </a:r>
          <a:r>
            <a:rPr lang="en-US" sz="1000">
              <a:solidFill>
                <a:sysClr val="windowText" lastClr="000000"/>
              </a:solidFill>
              <a:effectLst/>
              <a:latin typeface="Times New Roman" panose="02020603050405020304" pitchFamily="18" charset="0"/>
              <a:ea typeface="+mn-ea"/>
              <a:cs typeface="Times New Roman" panose="02020603050405020304" pitchFamily="18" charset="0"/>
            </a:rPr>
            <a:t> </a:t>
          </a:r>
          <a:endParaRPr lang="en-US" sz="1000">
            <a:solidFill>
              <a:sysClr val="windowText" lastClr="000000"/>
            </a:solidFill>
            <a:effectLst/>
            <a:latin typeface="Times New Roman" panose="02020603050405020304" pitchFamily="18" charset="0"/>
            <a:cs typeface="Times New Roman" panose="02020603050405020304" pitchFamily="18" charset="0"/>
          </a:endParaRPr>
        </a:p>
        <a:p>
          <a:r>
            <a:rPr lang="en-US" sz="1000" b="0" i="0" u="none" strike="noStrike" baseline="30000">
              <a:solidFill>
                <a:sysClr val="windowText" lastClr="000000"/>
              </a:solidFill>
              <a:effectLst/>
              <a:latin typeface="Times New Roman" panose="02020603050405020304" pitchFamily="18" charset="0"/>
              <a:ea typeface="+mn-ea"/>
              <a:cs typeface="Times New Roman" panose="02020603050405020304" pitchFamily="18" charset="0"/>
            </a:rPr>
            <a:t>(6)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CO</a:t>
          </a:r>
          <a:r>
            <a:rPr lang="en-US" sz="1000" b="0" i="0" u="none" strike="noStrike" baseline="-25000">
              <a:solidFill>
                <a:sysClr val="windowText" lastClr="000000"/>
              </a:solidFill>
              <a:effectLst/>
              <a:latin typeface="Times New Roman" panose="02020603050405020304" pitchFamily="18" charset="0"/>
              <a:ea typeface="+mn-ea"/>
              <a:cs typeface="Times New Roman" panose="02020603050405020304" pitchFamily="18" charset="0"/>
            </a:rPr>
            <a:t>2</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 from categories solid waste disposal on land and waste incineration should only be included if it stems from non-biogenic or inorganic waste streams. Only emissions from waste incineration without energy recovery are to be reported in the waste</a:t>
          </a:r>
          <a:r>
            <a:rPr lang="en-US" sz="1000">
              <a:solidFill>
                <a:sysClr val="windowText" lastClr="000000"/>
              </a:solidFill>
              <a:latin typeface="Times New Roman" panose="02020603050405020304" pitchFamily="18" charset="0"/>
              <a:cs typeface="Times New Roman" panose="02020603050405020304" pitchFamily="18" charset="0"/>
            </a:rPr>
            <a:t> </a:t>
          </a:r>
          <a:r>
            <a:rPr lang="en-US" sz="1000" b="0" i="0" u="none" strike="noStrike">
              <a:solidFill>
                <a:sysClr val="windowText" lastClr="000000"/>
              </a:solidFill>
              <a:effectLst/>
              <a:latin typeface="Times New Roman" panose="02020603050405020304" pitchFamily="18" charset="0"/>
              <a:ea typeface="+mn-ea"/>
              <a:cs typeface="Times New Roman" panose="02020603050405020304" pitchFamily="18" charset="0"/>
            </a:rPr>
            <a:t>sector, whereas emissions from incineration with energy recovery are to be reported in the energy sector.</a:t>
          </a:r>
          <a:r>
            <a:rPr lang="en-US" sz="1000">
              <a:solidFill>
                <a:sysClr val="windowText" lastClr="000000"/>
              </a:solidFill>
              <a:latin typeface="Times New Roman" panose="02020603050405020304" pitchFamily="18" charset="0"/>
              <a:cs typeface="Times New Roman" panose="02020603050405020304" pitchFamily="18" charset="0"/>
            </a:rPr>
            <a:t> </a:t>
          </a:r>
        </a:p>
        <a:p>
          <a:endParaRPr lang="en-US" sz="1000">
            <a:latin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11</xdr:row>
      <xdr:rowOff>124732</xdr:rowOff>
    </xdr:from>
    <xdr:to>
      <xdr:col>11</xdr:col>
      <xdr:colOff>519640</xdr:colOff>
      <xdr:row>23</xdr:row>
      <xdr:rowOff>53100</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a:srcRect l="28597" t="33059" r="29887" b="46012"/>
        <a:stretch/>
      </xdr:blipFill>
      <xdr:spPr>
        <a:xfrm>
          <a:off x="2925536" y="3163661"/>
          <a:ext cx="6733568" cy="1833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dministrador\AppData\Local\Microsoft\Windows\Temporary%20Internet%20Files\Content.Outlook\KFOMQFXM\Macintosh%20HDFast%20track%20-%2014.04\Para%20os%20participantes\Revised%20stationary%20combustion%20tool%20(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ocuments%20and%20Settings\User\Configuraci&#243;n%20local\Archivos%20temporales%20de%20Internet\Content.Outlook\5X8UL8DQ\Planilha_Invent&#225;rio_2011_V16_ESPANHOL%20(3)EQUIP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I\RAGEI\Users\Alfonso\Downloads\Niveles%20de%20Actividad\HC\PETROPERU\Copia%20de%201%20-%20Fuentes%20Estacionarias%20de%20Combusti&#243;n%20-%20PETROPER&#218;%20201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Documentos\CONPAR%20GHG%20Tool%202010%2002_Alt%20Flav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Users\david_000\Desktop\A2G\Huellas\Odebrecht\6%20proyectos%202011\Planilha_Invent&#225;rio_2011_V16_ESPANHOL%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Planilha_Invent&#225;rio_2011_V16_ESPANHOL%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UNFCCC/CRFReporter2/Template/FromCustomer/LULUCF%20module%20-%20v%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lizabeth%20Escobar%20Mayo-Agosto%202022\INGEI%202021\RAGEI%20Desechos%202022\RAGEI%20Desechos%20S&#243;lidos%202022\CRT_UNFCCC.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Users\flaviagabriela\Desktop\Questionario_Coleta_Obra_V18.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COMMON\CLIMATE\GHG_m&amp;r\Evaluation_Road%20Test%20Draft\Revised%20Tools\Final%20Versions\Mobile\Final\Final(after%20KPMG-MichaelG%20Review)\NextFinal\MOBILE_FinalWorksheet(10.2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Users\david_000\Desktop\a2G%20David\BCP\Informaci&#243;n%20recibida\Directorio%20con%20direcciones_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yaji\max\DATA\MAX\Present.%20Korea%20Ene%2096\Present.%20Korea%20Feb%20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Rev%20RGLs/tables/CRF%20Reporter%20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sers\Cristian\AppData\Local\Microsoft\Windows\Temporary%20Internet%20Files\Content.Outlook\EST7LI2P\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mzinner\AppData\Local\Microsoft\Windows\Temporary%20Internet%20Files\Content.Outlook\6PJ3L8DG\Questionario_Coleta_Obra_V18.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Users\david_000\Desktop\Documentos\_PastWorks\BCP2008\Calculos\tama&#241;o%20mues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david_000\Desktop\A2G%20Alfonso\A2G\Huellas\USMP\Huella%20de%20carbono%20US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User\Configuraci&#243;n%20local\Archivos%20temporales%20de%20Internet\Content.Outlook\5X8UL8DQ\planilla%20de%20inventario%20%20GEI%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lizabeth%20Escobar%20Mayo-Agosto%202022\INGEI%202021\RAGEI%20Desechos%202022\RAGEI%20Desechos%20S&#243;lidos%202022\RAGEI_5A_Eliminaci&#243;n-de-residuos-s&#243;lidos-2021_V.%20Final_20.12.23_MIN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auss.sharepoint.com/Documentos%20compartidos/Drive%20Gauss/Proyectos/68_Residuos_Peru/Archivos%20de%20trabajo/Series/Eliminaci&#243;n%20de%20residuos%20s&#243;lidos%20-%20RAGEI-2106%20GL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Users\david_000\Desktop\Users\A2GSAC\AppData\Roaming\Microsoft\Excel\Planilha_Invent&#225;rio_2011_V16_ESPANHOL%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row r="9">
          <cell r="E9" t="str">
            <v>Manufacturing</v>
          </cell>
          <cell r="F9" t="str">
            <v>Tier3Manufacturing</v>
          </cell>
        </row>
        <row r="10">
          <cell r="E10" t="str">
            <v>Construction</v>
          </cell>
        </row>
        <row r="11">
          <cell r="E11" t="str">
            <v>Commercial</v>
          </cell>
        </row>
        <row r="12">
          <cell r="E12" t="str">
            <v>Institutional</v>
          </cell>
        </row>
        <row r="13">
          <cell r="E13" t="str">
            <v>Residential</v>
          </cell>
        </row>
        <row r="14">
          <cell r="E14" t="str">
            <v>Agriculture</v>
          </cell>
        </row>
        <row r="15">
          <cell r="E15" t="str">
            <v>Forestry</v>
          </cell>
        </row>
        <row r="16">
          <cell r="E16" t="str">
            <v>Fisheries</v>
          </cell>
        </row>
      </sheetData>
      <sheetData sheetId="5"/>
      <sheetData sheetId="6">
        <row r="7">
          <cell r="C7" t="str">
            <v>Crude oil</v>
          </cell>
          <cell r="D7">
            <v>1</v>
          </cell>
          <cell r="E7">
            <v>73300</v>
          </cell>
          <cell r="F7">
            <v>42.3</v>
          </cell>
          <cell r="G7" t="str">
            <v>Y</v>
          </cell>
        </row>
        <row r="8">
          <cell r="C8" t="str">
            <v>Orimulsion</v>
          </cell>
          <cell r="D8">
            <v>1</v>
          </cell>
          <cell r="E8">
            <v>77000</v>
          </cell>
          <cell r="F8">
            <v>27.5</v>
          </cell>
          <cell r="G8" t="str">
            <v>N</v>
          </cell>
        </row>
        <row r="9">
          <cell r="C9" t="str">
            <v>Natural Gas Liquids</v>
          </cell>
          <cell r="D9">
            <v>1</v>
          </cell>
          <cell r="E9">
            <v>64200</v>
          </cell>
          <cell r="F9">
            <v>44.2</v>
          </cell>
          <cell r="G9" t="str">
            <v>N</v>
          </cell>
        </row>
        <row r="10">
          <cell r="C10" t="str">
            <v>Motor gasoline</v>
          </cell>
          <cell r="D10">
            <v>1</v>
          </cell>
          <cell r="E10">
            <v>69300</v>
          </cell>
          <cell r="F10">
            <v>44.3</v>
          </cell>
          <cell r="G10" t="str">
            <v>Y</v>
          </cell>
        </row>
        <row r="11">
          <cell r="C11" t="str">
            <v>Aviation gasoline</v>
          </cell>
          <cell r="D11">
            <v>1</v>
          </cell>
          <cell r="E11">
            <v>70000</v>
          </cell>
          <cell r="F11">
            <v>44.3</v>
          </cell>
          <cell r="G11" t="str">
            <v>Y</v>
          </cell>
        </row>
        <row r="12">
          <cell r="C12" t="str">
            <v>Jet gasoline</v>
          </cell>
          <cell r="D12">
            <v>1</v>
          </cell>
          <cell r="E12">
            <v>70000</v>
          </cell>
          <cell r="F12">
            <v>44.3</v>
          </cell>
          <cell r="G12" t="str">
            <v>N</v>
          </cell>
        </row>
        <row r="13">
          <cell r="C13" t="str">
            <v>Jet kerosene</v>
          </cell>
          <cell r="D13">
            <v>1</v>
          </cell>
          <cell r="E13">
            <v>71500</v>
          </cell>
          <cell r="F13">
            <v>44.1</v>
          </cell>
          <cell r="G13" t="str">
            <v>Y</v>
          </cell>
        </row>
        <row r="14">
          <cell r="C14" t="str">
            <v>Other kerosene</v>
          </cell>
          <cell r="D14">
            <v>1</v>
          </cell>
          <cell r="E14">
            <v>71900</v>
          </cell>
          <cell r="F14">
            <v>43.8</v>
          </cell>
          <cell r="G14" t="str">
            <v>Y</v>
          </cell>
        </row>
        <row r="15">
          <cell r="C15" t="str">
            <v>Shale oil</v>
          </cell>
          <cell r="D15">
            <v>1</v>
          </cell>
          <cell r="E15">
            <v>73300</v>
          </cell>
          <cell r="F15">
            <v>38.1</v>
          </cell>
          <cell r="G15" t="str">
            <v>Y</v>
          </cell>
        </row>
        <row r="16">
          <cell r="C16" t="str">
            <v>Gas/Diesel oil</v>
          </cell>
          <cell r="D16">
            <v>1</v>
          </cell>
          <cell r="E16">
            <v>74100</v>
          </cell>
          <cell r="F16">
            <v>43</v>
          </cell>
          <cell r="G16" t="str">
            <v>Y</v>
          </cell>
        </row>
        <row r="17">
          <cell r="C17" t="str">
            <v>Residual fuel oil</v>
          </cell>
          <cell r="D17">
            <v>1</v>
          </cell>
          <cell r="E17">
            <v>77400</v>
          </cell>
          <cell r="F17">
            <v>40.4</v>
          </cell>
          <cell r="G17" t="str">
            <v>Y</v>
          </cell>
        </row>
        <row r="18">
          <cell r="C18" t="str">
            <v>Liquified Petroleum Gases</v>
          </cell>
          <cell r="D18">
            <v>1</v>
          </cell>
          <cell r="E18">
            <v>63100</v>
          </cell>
          <cell r="F18">
            <v>47.3</v>
          </cell>
          <cell r="G18" t="str">
            <v>Y</v>
          </cell>
        </row>
        <row r="19">
          <cell r="C19" t="str">
            <v>Ethane</v>
          </cell>
          <cell r="D19">
            <v>1</v>
          </cell>
          <cell r="E19">
            <v>61600</v>
          </cell>
          <cell r="F19">
            <v>46.4</v>
          </cell>
          <cell r="G19" t="str">
            <v>Y</v>
          </cell>
        </row>
        <row r="20">
          <cell r="C20" t="str">
            <v>Naphtha</v>
          </cell>
          <cell r="D20">
            <v>1</v>
          </cell>
          <cell r="E20">
            <v>73300</v>
          </cell>
          <cell r="F20">
            <v>44.5</v>
          </cell>
          <cell r="G20" t="str">
            <v>Y</v>
          </cell>
        </row>
        <row r="21">
          <cell r="C21" t="str">
            <v>Bitumen</v>
          </cell>
          <cell r="D21">
            <v>1</v>
          </cell>
          <cell r="E21">
            <v>80700</v>
          </cell>
          <cell r="F21">
            <v>40.200000000000003</v>
          </cell>
          <cell r="G21" t="str">
            <v>N</v>
          </cell>
        </row>
        <row r="22">
          <cell r="C22" t="str">
            <v>Lubricants</v>
          </cell>
          <cell r="D22">
            <v>1</v>
          </cell>
          <cell r="E22">
            <v>73300</v>
          </cell>
          <cell r="F22">
            <v>40.200000000000003</v>
          </cell>
          <cell r="G22" t="str">
            <v>Y</v>
          </cell>
        </row>
        <row r="23">
          <cell r="C23" t="str">
            <v>Petroleum coke</v>
          </cell>
          <cell r="D23">
            <v>1</v>
          </cell>
          <cell r="E23">
            <v>97500</v>
          </cell>
          <cell r="F23">
            <v>32.5</v>
          </cell>
          <cell r="G23" t="str">
            <v>N</v>
          </cell>
        </row>
        <row r="24">
          <cell r="C24" t="str">
            <v>Refinery feedstocks</v>
          </cell>
          <cell r="D24">
            <v>1</v>
          </cell>
          <cell r="E24">
            <v>73300</v>
          </cell>
          <cell r="F24">
            <v>43</v>
          </cell>
          <cell r="G24" t="str">
            <v>N</v>
          </cell>
        </row>
        <row r="25">
          <cell r="C25" t="str">
            <v>Refinery gas</v>
          </cell>
          <cell r="D25">
            <v>1</v>
          </cell>
          <cell r="E25">
            <v>57600</v>
          </cell>
          <cell r="F25">
            <v>49.5</v>
          </cell>
          <cell r="G25" t="str">
            <v>N</v>
          </cell>
        </row>
        <row r="26">
          <cell r="C26" t="str">
            <v>Paraffin waxes</v>
          </cell>
          <cell r="D26">
            <v>1</v>
          </cell>
          <cell r="E26">
            <v>73300</v>
          </cell>
          <cell r="F26">
            <v>40.200000000000003</v>
          </cell>
          <cell r="G26" t="str">
            <v>N</v>
          </cell>
        </row>
        <row r="27">
          <cell r="C27" t="str">
            <v>White Spirit/SBP</v>
          </cell>
          <cell r="D27">
            <v>1</v>
          </cell>
          <cell r="E27">
            <v>73300</v>
          </cell>
          <cell r="F27">
            <v>40.200000000000003</v>
          </cell>
          <cell r="G27" t="str">
            <v>N</v>
          </cell>
        </row>
        <row r="28">
          <cell r="C28" t="str">
            <v>Other petroleum products</v>
          </cell>
          <cell r="D28">
            <v>1</v>
          </cell>
          <cell r="E28">
            <v>73300</v>
          </cell>
          <cell r="F28">
            <v>40.200000000000003</v>
          </cell>
          <cell r="G28" t="str">
            <v>N</v>
          </cell>
        </row>
        <row r="29">
          <cell r="C29" t="str">
            <v>Anthracite</v>
          </cell>
          <cell r="D29">
            <v>1</v>
          </cell>
          <cell r="E29">
            <v>98300</v>
          </cell>
          <cell r="F29">
            <v>26.7</v>
          </cell>
          <cell r="G29" t="str">
            <v>Y</v>
          </cell>
        </row>
        <row r="30">
          <cell r="C30" t="str">
            <v>Coking coal</v>
          </cell>
          <cell r="D30">
            <v>1</v>
          </cell>
          <cell r="E30">
            <v>94600</v>
          </cell>
          <cell r="F30">
            <v>28.2</v>
          </cell>
          <cell r="G30" t="str">
            <v>Y</v>
          </cell>
        </row>
        <row r="31">
          <cell r="C31" t="str">
            <v>Other bituminous coal</v>
          </cell>
          <cell r="D31">
            <v>1</v>
          </cell>
          <cell r="E31">
            <v>94600</v>
          </cell>
          <cell r="F31">
            <v>25.8</v>
          </cell>
          <cell r="G31" t="str">
            <v>Y</v>
          </cell>
        </row>
        <row r="32">
          <cell r="C32" t="str">
            <v>Sub bituminous coal</v>
          </cell>
          <cell r="D32">
            <v>1</v>
          </cell>
          <cell r="E32">
            <v>96100</v>
          </cell>
          <cell r="F32">
            <v>18.899999999999999</v>
          </cell>
          <cell r="G32" t="str">
            <v>Y</v>
          </cell>
        </row>
        <row r="33">
          <cell r="C33" t="str">
            <v>Lignite</v>
          </cell>
          <cell r="D33">
            <v>1</v>
          </cell>
          <cell r="E33">
            <v>101000</v>
          </cell>
          <cell r="F33">
            <v>11.9</v>
          </cell>
          <cell r="G33" t="str">
            <v>Y</v>
          </cell>
        </row>
        <row r="34">
          <cell r="C34" t="str">
            <v>Oil shale and tar sands</v>
          </cell>
          <cell r="D34">
            <v>1</v>
          </cell>
          <cell r="E34">
            <v>107000</v>
          </cell>
          <cell r="F34">
            <v>8.9</v>
          </cell>
          <cell r="G34" t="str">
            <v>N</v>
          </cell>
        </row>
        <row r="35">
          <cell r="C35" t="str">
            <v>Brown coal briquettes</v>
          </cell>
          <cell r="D35">
            <v>1</v>
          </cell>
          <cell r="E35">
            <v>97500</v>
          </cell>
          <cell r="F35">
            <v>20.7</v>
          </cell>
          <cell r="G35" t="str">
            <v>Y</v>
          </cell>
        </row>
        <row r="36">
          <cell r="C36" t="str">
            <v>Patent fuel</v>
          </cell>
          <cell r="D36">
            <v>1</v>
          </cell>
          <cell r="E36">
            <v>97500</v>
          </cell>
          <cell r="F36">
            <v>20.7</v>
          </cell>
          <cell r="G36" t="str">
            <v>Y</v>
          </cell>
        </row>
        <row r="37">
          <cell r="C37" t="str">
            <v>Coke oven coke</v>
          </cell>
          <cell r="D37">
            <v>1</v>
          </cell>
          <cell r="E37">
            <v>107000</v>
          </cell>
          <cell r="F37">
            <v>28.2</v>
          </cell>
          <cell r="G37" t="str">
            <v>Y</v>
          </cell>
        </row>
        <row r="38">
          <cell r="C38" t="str">
            <v>Lignite coke</v>
          </cell>
          <cell r="D38">
            <v>1</v>
          </cell>
          <cell r="E38">
            <v>107000</v>
          </cell>
          <cell r="F38">
            <v>28.2</v>
          </cell>
          <cell r="G38" t="str">
            <v>Y</v>
          </cell>
        </row>
        <row r="39">
          <cell r="C39" t="str">
            <v>Gas coke</v>
          </cell>
          <cell r="D39">
            <v>1</v>
          </cell>
          <cell r="E39">
            <v>107000</v>
          </cell>
          <cell r="F39">
            <v>28.2</v>
          </cell>
          <cell r="G39" t="str">
            <v>N</v>
          </cell>
        </row>
        <row r="40">
          <cell r="C40" t="str">
            <v>Coal tar</v>
          </cell>
          <cell r="D40">
            <v>1</v>
          </cell>
          <cell r="E40">
            <v>80700</v>
          </cell>
          <cell r="F40">
            <v>28</v>
          </cell>
          <cell r="G40" t="str">
            <v>N</v>
          </cell>
        </row>
        <row r="41">
          <cell r="C41" t="str">
            <v>Gas works gas</v>
          </cell>
          <cell r="D41">
            <v>1</v>
          </cell>
          <cell r="E41">
            <v>44400</v>
          </cell>
          <cell r="F41">
            <v>38.700000000000003</v>
          </cell>
          <cell r="G41" t="str">
            <v>N</v>
          </cell>
        </row>
        <row r="42">
          <cell r="C42" t="str">
            <v>Coke oven gas</v>
          </cell>
          <cell r="D42">
            <v>1</v>
          </cell>
          <cell r="E42">
            <v>44400</v>
          </cell>
          <cell r="F42">
            <v>38.700000000000003</v>
          </cell>
          <cell r="G42" t="str">
            <v>N</v>
          </cell>
        </row>
        <row r="43">
          <cell r="C43" t="str">
            <v>Blast furnace gas</v>
          </cell>
          <cell r="D43">
            <v>1</v>
          </cell>
          <cell r="E43">
            <v>260000</v>
          </cell>
          <cell r="F43">
            <v>2.4700000000000002</v>
          </cell>
          <cell r="G43" t="str">
            <v>N</v>
          </cell>
        </row>
        <row r="44">
          <cell r="C44" t="str">
            <v>Oxygen steel furnace gas</v>
          </cell>
          <cell r="D44">
            <v>1</v>
          </cell>
          <cell r="E44">
            <v>182000</v>
          </cell>
          <cell r="F44">
            <v>7.06</v>
          </cell>
          <cell r="G44" t="str">
            <v>N</v>
          </cell>
        </row>
        <row r="45">
          <cell r="C45" t="str">
            <v>Natural gas</v>
          </cell>
          <cell r="D45">
            <v>1</v>
          </cell>
          <cell r="E45">
            <v>56100</v>
          </cell>
          <cell r="F45">
            <v>48</v>
          </cell>
          <cell r="G45" t="str">
            <v>Y</v>
          </cell>
        </row>
        <row r="46">
          <cell r="C46" t="str">
            <v>Municipal waste (Non biomass fraction)</v>
          </cell>
          <cell r="D46">
            <v>1</v>
          </cell>
          <cell r="E46">
            <v>91700</v>
          </cell>
          <cell r="F46">
            <v>10</v>
          </cell>
          <cell r="G46" t="str">
            <v>Y</v>
          </cell>
        </row>
        <row r="47">
          <cell r="C47" t="str">
            <v>Industrial wastes</v>
          </cell>
          <cell r="D47">
            <v>1</v>
          </cell>
          <cell r="E47">
            <v>143000</v>
          </cell>
          <cell r="F47" t="str">
            <v>NA</v>
          </cell>
          <cell r="G47" t="str">
            <v>N</v>
          </cell>
        </row>
        <row r="48">
          <cell r="C48" t="str">
            <v>Waste oils</v>
          </cell>
          <cell r="D48">
            <v>1</v>
          </cell>
          <cell r="E48">
            <v>73300</v>
          </cell>
          <cell r="F48">
            <v>40.200000000000003</v>
          </cell>
          <cell r="G48" t="str">
            <v>Y</v>
          </cell>
        </row>
        <row r="49">
          <cell r="C49" t="str">
            <v>Wood or Wood waste</v>
          </cell>
          <cell r="D49">
            <v>2</v>
          </cell>
          <cell r="E49">
            <v>112000</v>
          </cell>
          <cell r="F49">
            <v>15.6</v>
          </cell>
          <cell r="G49" t="str">
            <v>Y</v>
          </cell>
        </row>
        <row r="50">
          <cell r="C50" t="str">
            <v>Sulphite lyes (Black liqour)</v>
          </cell>
          <cell r="D50">
            <v>2</v>
          </cell>
          <cell r="E50">
            <v>95300</v>
          </cell>
          <cell r="F50">
            <v>11.8</v>
          </cell>
          <cell r="G50" t="str">
            <v>N</v>
          </cell>
        </row>
        <row r="51">
          <cell r="C51" t="str">
            <v>Other primary solid biomass fuels</v>
          </cell>
          <cell r="D51">
            <v>2</v>
          </cell>
          <cell r="E51">
            <v>100000</v>
          </cell>
          <cell r="F51">
            <v>11.6</v>
          </cell>
          <cell r="G51" t="str">
            <v>N</v>
          </cell>
        </row>
        <row r="52">
          <cell r="C52" t="str">
            <v>Charcoal</v>
          </cell>
          <cell r="D52">
            <v>2</v>
          </cell>
          <cell r="E52">
            <v>112000</v>
          </cell>
          <cell r="F52">
            <v>29.5</v>
          </cell>
          <cell r="G52" t="str">
            <v>Y</v>
          </cell>
        </row>
        <row r="53">
          <cell r="C53" t="str">
            <v>Biogasoline</v>
          </cell>
          <cell r="D53">
            <v>2</v>
          </cell>
          <cell r="E53">
            <v>70800</v>
          </cell>
          <cell r="F53">
            <v>27</v>
          </cell>
          <cell r="G53" t="str">
            <v>N</v>
          </cell>
        </row>
        <row r="54">
          <cell r="C54" t="str">
            <v>Biodiesels</v>
          </cell>
          <cell r="D54">
            <v>2</v>
          </cell>
          <cell r="E54">
            <v>70800</v>
          </cell>
          <cell r="F54">
            <v>27</v>
          </cell>
          <cell r="G54" t="str">
            <v>N</v>
          </cell>
        </row>
        <row r="55">
          <cell r="C55" t="str">
            <v>Other liquid biofuels</v>
          </cell>
          <cell r="D55">
            <v>2</v>
          </cell>
          <cell r="E55">
            <v>79600</v>
          </cell>
          <cell r="F55">
            <v>27.4</v>
          </cell>
          <cell r="G55" t="str">
            <v>N</v>
          </cell>
        </row>
        <row r="56">
          <cell r="C56" t="str">
            <v>Landfill gas</v>
          </cell>
          <cell r="D56">
            <v>2</v>
          </cell>
          <cell r="E56">
            <v>54600</v>
          </cell>
          <cell r="F56">
            <v>50.4</v>
          </cell>
          <cell r="G56" t="str">
            <v>Y</v>
          </cell>
        </row>
        <row r="57">
          <cell r="C57" t="str">
            <v>Sludge gas</v>
          </cell>
          <cell r="D57">
            <v>2</v>
          </cell>
          <cell r="E57">
            <v>54600</v>
          </cell>
          <cell r="F57">
            <v>50.4</v>
          </cell>
          <cell r="G57" t="str">
            <v>N</v>
          </cell>
        </row>
        <row r="58">
          <cell r="C58" t="str">
            <v>Other biogas</v>
          </cell>
          <cell r="D58">
            <v>2</v>
          </cell>
          <cell r="E58">
            <v>54600</v>
          </cell>
          <cell r="F58">
            <v>50.4</v>
          </cell>
          <cell r="G58" t="str">
            <v>N</v>
          </cell>
        </row>
        <row r="59">
          <cell r="C59" t="str">
            <v>Municipal wastes (Biomass fraction)</v>
          </cell>
          <cell r="D59">
            <v>2</v>
          </cell>
          <cell r="E59">
            <v>100000</v>
          </cell>
          <cell r="F59">
            <v>11.6</v>
          </cell>
          <cell r="G59" t="str">
            <v>Y</v>
          </cell>
        </row>
        <row r="60">
          <cell r="C60" t="str">
            <v>Peat</v>
          </cell>
          <cell r="D60">
            <v>2</v>
          </cell>
          <cell r="E60">
            <v>106000</v>
          </cell>
          <cell r="F60">
            <v>9.76</v>
          </cell>
          <cell r="G60" t="str">
            <v>N</v>
          </cell>
        </row>
        <row r="66">
          <cell r="C66" t="str">
            <v>TJ</v>
          </cell>
          <cell r="D66" t="str">
            <v>/1000</v>
          </cell>
          <cell r="E66">
            <v>1E-3</v>
          </cell>
        </row>
        <row r="67">
          <cell r="C67" t="str">
            <v>GJ</v>
          </cell>
          <cell r="D67" t="str">
            <v>/1000000</v>
          </cell>
          <cell r="E67">
            <v>9.9999999999999995E-7</v>
          </cell>
        </row>
        <row r="68">
          <cell r="C68" t="str">
            <v>MJ</v>
          </cell>
          <cell r="D68" t="str">
            <v>/1000000000</v>
          </cell>
          <cell r="E68">
            <v>1.0000000000000001E-9</v>
          </cell>
        </row>
        <row r="69">
          <cell r="C69" t="str">
            <v>KWh</v>
          </cell>
          <cell r="D69" t="str">
            <v>/1000000000000*3600</v>
          </cell>
          <cell r="E69">
            <v>3.5997120230381567E-9</v>
          </cell>
        </row>
        <row r="70">
          <cell r="C70" t="str">
            <v>mmBtu</v>
          </cell>
          <cell r="D70" t="str">
            <v>(/1000000)/0.9478</v>
          </cell>
          <cell r="E70">
            <v>1.0551000000000001E-6</v>
          </cell>
        </row>
        <row r="71">
          <cell r="C71" t="str">
            <v>Therm</v>
          </cell>
          <cell r="D71" t="str">
            <v>((/1000000)/0.9478)/10</v>
          </cell>
          <cell r="E71">
            <v>1.0550749103186325E-7</v>
          </cell>
        </row>
        <row r="76">
          <cell r="C76" t="str">
            <v>metric tonne (t)</v>
          </cell>
          <cell r="E76">
            <v>9.9999999999999995E-7</v>
          </cell>
        </row>
        <row r="77">
          <cell r="C77" t="str">
            <v>pound (lb)</v>
          </cell>
          <cell r="E77">
            <v>4.5351473922902485E-10</v>
          </cell>
        </row>
        <row r="78">
          <cell r="C78" t="str">
            <v>Kg</v>
          </cell>
          <cell r="E78">
            <v>9.9999999999999986E-10</v>
          </cell>
        </row>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row r="235">
          <cell r="B235" t="str">
            <v>Crude oil</v>
          </cell>
          <cell r="C235">
            <v>2.4804720000000001E-3</v>
          </cell>
        </row>
        <row r="236">
          <cell r="B236" t="str">
            <v>Motor gasoline</v>
          </cell>
          <cell r="C236">
            <v>2.2717925999999997E-3</v>
          </cell>
        </row>
        <row r="237">
          <cell r="B237" t="str">
            <v>Aviation gasoline</v>
          </cell>
          <cell r="C237">
            <v>2.20171E-3</v>
          </cell>
        </row>
        <row r="238">
          <cell r="B238" t="str">
            <v>Jet kerosene</v>
          </cell>
          <cell r="C238">
            <v>2.4909885000000001E-3</v>
          </cell>
        </row>
        <row r="239">
          <cell r="B239" t="str">
            <v>Other kerosene</v>
          </cell>
          <cell r="C239">
            <v>2.5193760000000003E-3</v>
          </cell>
        </row>
        <row r="240">
          <cell r="B240" t="str">
            <v>Shale oil</v>
          </cell>
          <cell r="C240">
            <v>2.7927300000000002E-3</v>
          </cell>
        </row>
        <row r="241">
          <cell r="B241" t="str">
            <v>Gas/Diesel oil</v>
          </cell>
          <cell r="C241">
            <v>2.6764919999999999E-3</v>
          </cell>
        </row>
        <row r="242">
          <cell r="B242" t="str">
            <v>Residual fuel oil</v>
          </cell>
          <cell r="C242">
            <v>2.9393423999999994E-3</v>
          </cell>
        </row>
        <row r="243">
          <cell r="B243" t="str">
            <v>Liquified Petroleum Gases</v>
          </cell>
          <cell r="C243">
            <v>1.6117002E-3</v>
          </cell>
        </row>
        <row r="244">
          <cell r="B244" t="str">
            <v>Naphtha</v>
          </cell>
          <cell r="C244">
            <v>2.5116245000000002E-3</v>
          </cell>
        </row>
        <row r="245">
          <cell r="B245" t="str">
            <v>Lubricants</v>
          </cell>
          <cell r="C245">
            <v>2.9466599999999998E-3</v>
          </cell>
        </row>
        <row r="250">
          <cell r="B250" t="str">
            <v>Landfill gas</v>
          </cell>
          <cell r="C250">
            <v>2.4766560000000003E-3</v>
          </cell>
        </row>
        <row r="251">
          <cell r="B251" t="str">
            <v>Ethane</v>
          </cell>
          <cell r="C251">
            <v>3.7157120000000004E-3</v>
          </cell>
        </row>
        <row r="252">
          <cell r="B252" t="str">
            <v>Natural Gas</v>
          </cell>
          <cell r="C252">
            <v>1.8849599999999998E-3</v>
          </cell>
        </row>
      </sheetData>
      <sheetData sheetId="7"/>
      <sheetData sheetId="8">
        <row r="7">
          <cell r="B7" t="str">
            <v>Crude oil</v>
          </cell>
          <cell r="C7">
            <v>3</v>
          </cell>
          <cell r="D7" t="str">
            <v>Crude oil</v>
          </cell>
          <cell r="E7">
            <v>3</v>
          </cell>
          <cell r="F7" t="str">
            <v>Crude oil</v>
          </cell>
          <cell r="G7">
            <v>3</v>
          </cell>
          <cell r="H7" t="str">
            <v>Crude oil</v>
          </cell>
          <cell r="I7">
            <v>10</v>
          </cell>
          <cell r="J7" t="str">
            <v>Crude oil</v>
          </cell>
          <cell r="K7">
            <v>10</v>
          </cell>
          <cell r="L7" t="str">
            <v>Crude oil</v>
          </cell>
          <cell r="M7">
            <v>10</v>
          </cell>
          <cell r="N7" t="str">
            <v>Crude oil</v>
          </cell>
          <cell r="O7">
            <v>10</v>
          </cell>
          <cell r="P7" t="str">
            <v>Crude oil</v>
          </cell>
          <cell r="Q7">
            <v>10</v>
          </cell>
          <cell r="R7" t="str">
            <v>Crude oil</v>
          </cell>
          <cell r="S7">
            <v>10</v>
          </cell>
        </row>
        <row r="8">
          <cell r="B8" t="str">
            <v>Orimulsion</v>
          </cell>
          <cell r="C8">
            <v>3</v>
          </cell>
          <cell r="D8" t="str">
            <v>Orimulsion</v>
          </cell>
          <cell r="E8">
            <v>3</v>
          </cell>
          <cell r="F8" t="str">
            <v>Orimulsion</v>
          </cell>
          <cell r="G8">
            <v>3</v>
          </cell>
          <cell r="H8" t="str">
            <v>Orimulsion</v>
          </cell>
          <cell r="I8">
            <v>10</v>
          </cell>
          <cell r="J8" t="str">
            <v>Orimulsion</v>
          </cell>
          <cell r="K8">
            <v>10</v>
          </cell>
          <cell r="L8" t="str">
            <v>Orimulsion</v>
          </cell>
          <cell r="M8">
            <v>10</v>
          </cell>
          <cell r="N8" t="str">
            <v>Orimulsion</v>
          </cell>
          <cell r="O8">
            <v>10</v>
          </cell>
          <cell r="P8" t="str">
            <v>Orimulsion</v>
          </cell>
          <cell r="Q8">
            <v>10</v>
          </cell>
          <cell r="R8" t="str">
            <v>Orimulsion</v>
          </cell>
          <cell r="S8">
            <v>10</v>
          </cell>
        </row>
        <row r="9">
          <cell r="B9" t="str">
            <v>Natural Gas Liquids</v>
          </cell>
          <cell r="C9">
            <v>3</v>
          </cell>
          <cell r="D9" t="str">
            <v>Natural Gas Liquids</v>
          </cell>
          <cell r="E9">
            <v>3</v>
          </cell>
          <cell r="F9" t="str">
            <v>Natural Gas Liquids</v>
          </cell>
          <cell r="G9">
            <v>3</v>
          </cell>
          <cell r="H9" t="str">
            <v>Natural Gas Liquids</v>
          </cell>
          <cell r="I9">
            <v>10</v>
          </cell>
          <cell r="J9" t="str">
            <v>Natural Gas Liquids</v>
          </cell>
          <cell r="K9">
            <v>10</v>
          </cell>
          <cell r="L9" t="str">
            <v>Natural Gas Liquids</v>
          </cell>
          <cell r="M9">
            <v>10</v>
          </cell>
          <cell r="N9" t="str">
            <v>Natural Gas Liquids</v>
          </cell>
          <cell r="O9">
            <v>10</v>
          </cell>
          <cell r="P9" t="str">
            <v>Natural Gas Liquids</v>
          </cell>
          <cell r="Q9">
            <v>10</v>
          </cell>
          <cell r="R9" t="str">
            <v>Natural Gas Liquids</v>
          </cell>
          <cell r="S9">
            <v>10</v>
          </cell>
        </row>
        <row r="10">
          <cell r="B10" t="str">
            <v>Motor gasoline</v>
          </cell>
          <cell r="C10">
            <v>3</v>
          </cell>
          <cell r="D10" t="str">
            <v>Motor gasoline</v>
          </cell>
          <cell r="E10">
            <v>3</v>
          </cell>
          <cell r="F10" t="str">
            <v>Motor gasoline</v>
          </cell>
          <cell r="G10">
            <v>3</v>
          </cell>
          <cell r="H10" t="str">
            <v>Motor gasoline</v>
          </cell>
          <cell r="I10">
            <v>10</v>
          </cell>
          <cell r="J10" t="str">
            <v>Motor gasoline</v>
          </cell>
          <cell r="K10">
            <v>10</v>
          </cell>
          <cell r="L10" t="str">
            <v>Motor gasoline</v>
          </cell>
          <cell r="M10">
            <v>10</v>
          </cell>
          <cell r="N10" t="str">
            <v>Motor gasoline</v>
          </cell>
          <cell r="O10">
            <v>10</v>
          </cell>
          <cell r="P10" t="str">
            <v>Motor gasoline</v>
          </cell>
          <cell r="Q10">
            <v>10</v>
          </cell>
          <cell r="R10" t="str">
            <v>Motor gasoline</v>
          </cell>
          <cell r="S10">
            <v>10</v>
          </cell>
        </row>
        <row r="11">
          <cell r="B11" t="str">
            <v>Aviation gasoline</v>
          </cell>
          <cell r="C11">
            <v>3</v>
          </cell>
          <cell r="D11" t="str">
            <v>Aviation gasoline</v>
          </cell>
          <cell r="E11">
            <v>3</v>
          </cell>
          <cell r="F11" t="str">
            <v>Aviation gasoline</v>
          </cell>
          <cell r="G11">
            <v>3</v>
          </cell>
          <cell r="H11" t="str">
            <v>Aviation gasoline</v>
          </cell>
          <cell r="I11">
            <v>10</v>
          </cell>
          <cell r="J11" t="str">
            <v>Aviation gasoline</v>
          </cell>
          <cell r="K11">
            <v>10</v>
          </cell>
          <cell r="L11" t="str">
            <v>Aviation gasoline</v>
          </cell>
          <cell r="M11">
            <v>10</v>
          </cell>
          <cell r="N11" t="str">
            <v>Aviation gasoline</v>
          </cell>
          <cell r="O11">
            <v>10</v>
          </cell>
          <cell r="P11" t="str">
            <v>Aviation gasoline</v>
          </cell>
          <cell r="Q11">
            <v>10</v>
          </cell>
          <cell r="R11" t="str">
            <v>Aviation gasoline</v>
          </cell>
          <cell r="S11">
            <v>10</v>
          </cell>
        </row>
        <row r="12">
          <cell r="B12" t="str">
            <v>Jet gasoline</v>
          </cell>
          <cell r="C12">
            <v>3</v>
          </cell>
          <cell r="D12" t="str">
            <v>Jet gasoline</v>
          </cell>
          <cell r="E12">
            <v>3</v>
          </cell>
          <cell r="F12" t="str">
            <v>Jet gasoline</v>
          </cell>
          <cell r="G12">
            <v>3</v>
          </cell>
          <cell r="H12" t="str">
            <v>Jet gasoline</v>
          </cell>
          <cell r="I12">
            <v>10</v>
          </cell>
          <cell r="J12" t="str">
            <v>Jet gasoline</v>
          </cell>
          <cell r="K12">
            <v>10</v>
          </cell>
          <cell r="L12" t="str">
            <v>Jet gasoline</v>
          </cell>
          <cell r="M12">
            <v>10</v>
          </cell>
          <cell r="N12" t="str">
            <v>Jet gasoline</v>
          </cell>
          <cell r="O12">
            <v>10</v>
          </cell>
          <cell r="P12" t="str">
            <v>Jet gasoline</v>
          </cell>
          <cell r="Q12">
            <v>10</v>
          </cell>
          <cell r="R12" t="str">
            <v>Jet gasoline</v>
          </cell>
          <cell r="S12">
            <v>10</v>
          </cell>
        </row>
        <row r="13">
          <cell r="B13" t="str">
            <v>Jet kerosene</v>
          </cell>
          <cell r="C13">
            <v>3</v>
          </cell>
          <cell r="D13" t="str">
            <v>Jet kerosene</v>
          </cell>
          <cell r="E13">
            <v>3</v>
          </cell>
          <cell r="F13" t="str">
            <v>Jet kerosene</v>
          </cell>
          <cell r="G13">
            <v>3</v>
          </cell>
          <cell r="H13" t="str">
            <v>Jet kerosene</v>
          </cell>
          <cell r="I13">
            <v>10</v>
          </cell>
          <cell r="J13" t="str">
            <v>Jet kerosene</v>
          </cell>
          <cell r="K13">
            <v>10</v>
          </cell>
          <cell r="L13" t="str">
            <v>Jet kerosene</v>
          </cell>
          <cell r="M13">
            <v>10</v>
          </cell>
          <cell r="N13" t="str">
            <v>Jet kerosene</v>
          </cell>
          <cell r="O13">
            <v>10</v>
          </cell>
          <cell r="P13" t="str">
            <v>Jet kerosene</v>
          </cell>
          <cell r="Q13">
            <v>10</v>
          </cell>
          <cell r="R13" t="str">
            <v>Jet kerosene</v>
          </cell>
          <cell r="S13">
            <v>10</v>
          </cell>
        </row>
        <row r="14">
          <cell r="B14" t="str">
            <v>Other kerosene</v>
          </cell>
          <cell r="C14">
            <v>3</v>
          </cell>
          <cell r="D14" t="str">
            <v>Other kerosene</v>
          </cell>
          <cell r="E14">
            <v>3</v>
          </cell>
          <cell r="F14" t="str">
            <v>Other kerosene</v>
          </cell>
          <cell r="G14">
            <v>3</v>
          </cell>
          <cell r="H14" t="str">
            <v>Other kerosene</v>
          </cell>
          <cell r="I14">
            <v>10</v>
          </cell>
          <cell r="J14" t="str">
            <v>Other kerosene</v>
          </cell>
          <cell r="K14">
            <v>10</v>
          </cell>
          <cell r="L14" t="str">
            <v>Other kerosene</v>
          </cell>
          <cell r="M14">
            <v>10</v>
          </cell>
          <cell r="N14" t="str">
            <v>Other kerosene</v>
          </cell>
          <cell r="O14">
            <v>10</v>
          </cell>
          <cell r="P14" t="str">
            <v>Other kerosene</v>
          </cell>
          <cell r="Q14">
            <v>10</v>
          </cell>
          <cell r="R14" t="str">
            <v>Other kerosene</v>
          </cell>
          <cell r="S14">
            <v>10</v>
          </cell>
        </row>
        <row r="15">
          <cell r="B15" t="str">
            <v>Shale oil</v>
          </cell>
          <cell r="C15">
            <v>3</v>
          </cell>
          <cell r="D15" t="str">
            <v>Shale oil</v>
          </cell>
          <cell r="E15">
            <v>3</v>
          </cell>
          <cell r="F15" t="str">
            <v>Shale oil</v>
          </cell>
          <cell r="G15">
            <v>3</v>
          </cell>
          <cell r="H15" t="str">
            <v>Shale oil</v>
          </cell>
          <cell r="I15">
            <v>10</v>
          </cell>
          <cell r="J15" t="str">
            <v>Shale oil</v>
          </cell>
          <cell r="K15">
            <v>10</v>
          </cell>
          <cell r="L15" t="str">
            <v>Shale oil</v>
          </cell>
          <cell r="M15">
            <v>10</v>
          </cell>
          <cell r="N15" t="str">
            <v>Shale oil</v>
          </cell>
          <cell r="O15">
            <v>10</v>
          </cell>
          <cell r="P15" t="str">
            <v>Shale oil</v>
          </cell>
          <cell r="Q15">
            <v>10</v>
          </cell>
          <cell r="R15" t="str">
            <v>Shale oil</v>
          </cell>
          <cell r="S15">
            <v>10</v>
          </cell>
        </row>
        <row r="16">
          <cell r="B16" t="str">
            <v>Gas/Diesel oil</v>
          </cell>
          <cell r="C16">
            <v>3</v>
          </cell>
          <cell r="D16" t="str">
            <v>Gas/Diesel oil</v>
          </cell>
          <cell r="E16">
            <v>3</v>
          </cell>
          <cell r="F16" t="str">
            <v>Gas/Diesel oil</v>
          </cell>
          <cell r="G16">
            <v>3</v>
          </cell>
          <cell r="H16" t="str">
            <v>Gas/Diesel oil</v>
          </cell>
          <cell r="I16">
            <v>10</v>
          </cell>
          <cell r="J16" t="str">
            <v>Gas/Diesel oil</v>
          </cell>
          <cell r="K16">
            <v>10</v>
          </cell>
          <cell r="L16" t="str">
            <v>Gas/Diesel oil</v>
          </cell>
          <cell r="M16">
            <v>10</v>
          </cell>
          <cell r="N16" t="str">
            <v>Gas/Diesel oil</v>
          </cell>
          <cell r="O16">
            <v>10</v>
          </cell>
          <cell r="P16" t="str">
            <v>Gas/Diesel oil</v>
          </cell>
          <cell r="Q16">
            <v>10</v>
          </cell>
          <cell r="R16" t="str">
            <v>Gas/Diesel oil</v>
          </cell>
          <cell r="S16">
            <v>10</v>
          </cell>
        </row>
        <row r="17">
          <cell r="B17" t="str">
            <v>Residual fuel oil</v>
          </cell>
          <cell r="C17">
            <v>3</v>
          </cell>
          <cell r="D17" t="str">
            <v>Residual fuel oil</v>
          </cell>
          <cell r="E17">
            <v>3</v>
          </cell>
          <cell r="F17" t="str">
            <v>Residual fuel oil</v>
          </cell>
          <cell r="G17">
            <v>3</v>
          </cell>
          <cell r="H17" t="str">
            <v>Residual fuel oil</v>
          </cell>
          <cell r="I17">
            <v>10</v>
          </cell>
          <cell r="J17" t="str">
            <v>Residual fuel oil</v>
          </cell>
          <cell r="K17">
            <v>10</v>
          </cell>
          <cell r="L17" t="str">
            <v>Residual fuel oil</v>
          </cell>
          <cell r="M17">
            <v>10</v>
          </cell>
          <cell r="N17" t="str">
            <v>Residual fuel oil</v>
          </cell>
          <cell r="O17">
            <v>10</v>
          </cell>
          <cell r="P17" t="str">
            <v>Residual fuel oil</v>
          </cell>
          <cell r="Q17">
            <v>10</v>
          </cell>
          <cell r="R17" t="str">
            <v>Residual fuel oil</v>
          </cell>
          <cell r="S17">
            <v>10</v>
          </cell>
        </row>
        <row r="18">
          <cell r="B18" t="str">
            <v>Liquified Petroleum Gases</v>
          </cell>
          <cell r="C18">
            <v>1</v>
          </cell>
          <cell r="D18" t="str">
            <v>Liquified Petroleum Gases</v>
          </cell>
          <cell r="E18">
            <v>1</v>
          </cell>
          <cell r="F18" t="str">
            <v>Liquified Petroleum Gases</v>
          </cell>
          <cell r="G18">
            <v>1</v>
          </cell>
          <cell r="H18" t="str">
            <v>Liquified Petroleum Gases</v>
          </cell>
          <cell r="I18">
            <v>5</v>
          </cell>
          <cell r="J18" t="str">
            <v>Liquified Petroleum Gases</v>
          </cell>
          <cell r="K18">
            <v>5</v>
          </cell>
          <cell r="L18" t="str">
            <v>Liquified Petroleum Gases</v>
          </cell>
          <cell r="M18">
            <v>5</v>
          </cell>
          <cell r="N18" t="str">
            <v>Liquified Petroleum Gases</v>
          </cell>
          <cell r="O18">
            <v>5</v>
          </cell>
          <cell r="P18" t="str">
            <v>Liquified Petroleum Gases</v>
          </cell>
          <cell r="Q18">
            <v>5</v>
          </cell>
          <cell r="R18" t="str">
            <v>Liquified Petroleum Gases</v>
          </cell>
          <cell r="S18">
            <v>5</v>
          </cell>
        </row>
        <row r="19">
          <cell r="B19" t="str">
            <v>Ethane</v>
          </cell>
          <cell r="C19">
            <v>1</v>
          </cell>
          <cell r="D19" t="str">
            <v>Ethane</v>
          </cell>
          <cell r="E19">
            <v>1</v>
          </cell>
          <cell r="F19" t="str">
            <v>Ethane</v>
          </cell>
          <cell r="G19">
            <v>1</v>
          </cell>
          <cell r="H19" t="str">
            <v>Ethane</v>
          </cell>
          <cell r="I19">
            <v>5</v>
          </cell>
          <cell r="J19" t="str">
            <v>Ethane</v>
          </cell>
          <cell r="K19">
            <v>5</v>
          </cell>
          <cell r="L19" t="str">
            <v>Ethane</v>
          </cell>
          <cell r="M19">
            <v>5</v>
          </cell>
          <cell r="N19" t="str">
            <v>Ethane</v>
          </cell>
          <cell r="O19">
            <v>5</v>
          </cell>
          <cell r="P19" t="str">
            <v>Ethane</v>
          </cell>
          <cell r="Q19">
            <v>5</v>
          </cell>
          <cell r="R19" t="str">
            <v>Ethane</v>
          </cell>
          <cell r="S19">
            <v>5</v>
          </cell>
        </row>
        <row r="20">
          <cell r="B20" t="str">
            <v>Naphtha</v>
          </cell>
          <cell r="C20">
            <v>3</v>
          </cell>
          <cell r="D20" t="str">
            <v>Naphtha</v>
          </cell>
          <cell r="E20">
            <v>3</v>
          </cell>
          <cell r="F20" t="str">
            <v>Naphtha</v>
          </cell>
          <cell r="G20">
            <v>3</v>
          </cell>
          <cell r="H20" t="str">
            <v>Naphtha</v>
          </cell>
          <cell r="I20">
            <v>10</v>
          </cell>
          <cell r="J20" t="str">
            <v>Naphtha</v>
          </cell>
          <cell r="K20">
            <v>10</v>
          </cell>
          <cell r="L20" t="str">
            <v>Naphtha</v>
          </cell>
          <cell r="M20">
            <v>10</v>
          </cell>
          <cell r="N20" t="str">
            <v>Naphtha</v>
          </cell>
          <cell r="O20">
            <v>10</v>
          </cell>
          <cell r="P20" t="str">
            <v>Naphtha</v>
          </cell>
          <cell r="Q20">
            <v>10</v>
          </cell>
          <cell r="R20" t="str">
            <v>Naphtha</v>
          </cell>
          <cell r="S20">
            <v>10</v>
          </cell>
        </row>
        <row r="21">
          <cell r="B21" t="str">
            <v>Bitumen</v>
          </cell>
          <cell r="C21">
            <v>3</v>
          </cell>
          <cell r="D21" t="str">
            <v>Bitumen</v>
          </cell>
          <cell r="E21">
            <v>3</v>
          </cell>
          <cell r="F21" t="str">
            <v>Bitumen</v>
          </cell>
          <cell r="G21">
            <v>3</v>
          </cell>
          <cell r="H21" t="str">
            <v>Bitumen</v>
          </cell>
          <cell r="I21">
            <v>10</v>
          </cell>
          <cell r="J21" t="str">
            <v>Bitumen</v>
          </cell>
          <cell r="K21">
            <v>10</v>
          </cell>
          <cell r="L21" t="str">
            <v>Bitumen</v>
          </cell>
          <cell r="M21">
            <v>10</v>
          </cell>
          <cell r="N21" t="str">
            <v>Bitumen</v>
          </cell>
          <cell r="O21">
            <v>10</v>
          </cell>
          <cell r="P21" t="str">
            <v>Bitumen</v>
          </cell>
          <cell r="Q21">
            <v>10</v>
          </cell>
          <cell r="R21" t="str">
            <v>Bitumen</v>
          </cell>
          <cell r="S21">
            <v>10</v>
          </cell>
        </row>
        <row r="22">
          <cell r="B22" t="str">
            <v>Lubricants</v>
          </cell>
          <cell r="C22">
            <v>3</v>
          </cell>
          <cell r="D22" t="str">
            <v>Lubricants</v>
          </cell>
          <cell r="E22">
            <v>3</v>
          </cell>
          <cell r="F22" t="str">
            <v>Lubricants</v>
          </cell>
          <cell r="G22">
            <v>3</v>
          </cell>
          <cell r="H22" t="str">
            <v>Lubricants</v>
          </cell>
          <cell r="I22">
            <v>10</v>
          </cell>
          <cell r="J22" t="str">
            <v>Lubricants</v>
          </cell>
          <cell r="K22">
            <v>10</v>
          </cell>
          <cell r="L22" t="str">
            <v>Lubricants</v>
          </cell>
          <cell r="M22">
            <v>10</v>
          </cell>
          <cell r="N22" t="str">
            <v>Lubricants</v>
          </cell>
          <cell r="O22">
            <v>10</v>
          </cell>
          <cell r="P22" t="str">
            <v>Lubricants</v>
          </cell>
          <cell r="Q22">
            <v>10</v>
          </cell>
          <cell r="R22" t="str">
            <v>Lubricants</v>
          </cell>
          <cell r="S22">
            <v>10</v>
          </cell>
        </row>
        <row r="23">
          <cell r="B23" t="str">
            <v>Petroleum coke</v>
          </cell>
          <cell r="C23">
            <v>3</v>
          </cell>
          <cell r="D23" t="str">
            <v>Petroleum coke</v>
          </cell>
          <cell r="E23">
            <v>3</v>
          </cell>
          <cell r="F23" t="str">
            <v>Petroleum coke</v>
          </cell>
          <cell r="G23">
            <v>3</v>
          </cell>
          <cell r="H23" t="str">
            <v>Petroleum coke</v>
          </cell>
          <cell r="I23">
            <v>10</v>
          </cell>
          <cell r="J23" t="str">
            <v>Petroleum coke</v>
          </cell>
          <cell r="K23">
            <v>10</v>
          </cell>
          <cell r="L23" t="str">
            <v>Petroleum coke</v>
          </cell>
          <cell r="M23">
            <v>10</v>
          </cell>
          <cell r="N23" t="str">
            <v>Petroleum coke</v>
          </cell>
          <cell r="O23">
            <v>10</v>
          </cell>
          <cell r="P23" t="str">
            <v>Petroleum coke</v>
          </cell>
          <cell r="Q23">
            <v>10</v>
          </cell>
          <cell r="R23" t="str">
            <v>Petroleum coke</v>
          </cell>
          <cell r="S23">
            <v>10</v>
          </cell>
        </row>
        <row r="24">
          <cell r="B24" t="str">
            <v>Refinery feedstocks</v>
          </cell>
          <cell r="C24">
            <v>3</v>
          </cell>
          <cell r="D24" t="str">
            <v>Refinery feedstocks</v>
          </cell>
          <cell r="E24">
            <v>3</v>
          </cell>
          <cell r="F24" t="str">
            <v>Refinery feedstocks</v>
          </cell>
          <cell r="G24">
            <v>3</v>
          </cell>
          <cell r="H24" t="str">
            <v>Refinery feedstocks</v>
          </cell>
          <cell r="I24">
            <v>10</v>
          </cell>
          <cell r="J24" t="str">
            <v>Refinery feedstocks</v>
          </cell>
          <cell r="K24">
            <v>10</v>
          </cell>
          <cell r="L24" t="str">
            <v>Refinery feedstocks</v>
          </cell>
          <cell r="M24">
            <v>10</v>
          </cell>
          <cell r="N24" t="str">
            <v>Refinery feedstocks</v>
          </cell>
          <cell r="O24">
            <v>10</v>
          </cell>
          <cell r="P24" t="str">
            <v>Refinery feedstocks</v>
          </cell>
          <cell r="Q24">
            <v>10</v>
          </cell>
          <cell r="R24" t="str">
            <v>Refinery feedstocks</v>
          </cell>
          <cell r="S24">
            <v>10</v>
          </cell>
        </row>
        <row r="25">
          <cell r="B25" t="str">
            <v>Refinery gas</v>
          </cell>
          <cell r="C25">
            <v>1</v>
          </cell>
          <cell r="D25" t="str">
            <v>Refinery gas</v>
          </cell>
          <cell r="E25">
            <v>1</v>
          </cell>
          <cell r="F25" t="str">
            <v>Refinery gas</v>
          </cell>
          <cell r="G25">
            <v>1</v>
          </cell>
          <cell r="H25" t="str">
            <v>Refinery gas</v>
          </cell>
          <cell r="I25">
            <v>5</v>
          </cell>
          <cell r="J25" t="str">
            <v>Refinery gas</v>
          </cell>
          <cell r="K25">
            <v>5</v>
          </cell>
          <cell r="L25" t="str">
            <v>Refinery gas</v>
          </cell>
          <cell r="M25">
            <v>5</v>
          </cell>
          <cell r="N25" t="str">
            <v>Refinery gas</v>
          </cell>
          <cell r="O25">
            <v>5</v>
          </cell>
          <cell r="P25" t="str">
            <v>Refinery gas</v>
          </cell>
          <cell r="Q25">
            <v>5</v>
          </cell>
          <cell r="R25" t="str">
            <v>Refinery gas</v>
          </cell>
          <cell r="S25">
            <v>5</v>
          </cell>
        </row>
        <row r="26">
          <cell r="B26" t="str">
            <v>Paraffin waxes</v>
          </cell>
          <cell r="C26">
            <v>3</v>
          </cell>
          <cell r="D26" t="str">
            <v>Paraffin waxes</v>
          </cell>
          <cell r="E26">
            <v>3</v>
          </cell>
          <cell r="F26" t="str">
            <v>Paraffin waxes</v>
          </cell>
          <cell r="G26">
            <v>3</v>
          </cell>
          <cell r="H26" t="str">
            <v>Paraffin waxes</v>
          </cell>
          <cell r="I26">
            <v>10</v>
          </cell>
          <cell r="J26" t="str">
            <v>Paraffin waxes</v>
          </cell>
          <cell r="K26">
            <v>10</v>
          </cell>
          <cell r="L26" t="str">
            <v>Paraffin waxes</v>
          </cell>
          <cell r="M26">
            <v>10</v>
          </cell>
          <cell r="N26" t="str">
            <v>Paraffin waxes</v>
          </cell>
          <cell r="O26">
            <v>10</v>
          </cell>
          <cell r="P26" t="str">
            <v>Paraffin waxes</v>
          </cell>
          <cell r="Q26">
            <v>10</v>
          </cell>
          <cell r="R26" t="str">
            <v>Paraffin waxes</v>
          </cell>
          <cell r="S26">
            <v>10</v>
          </cell>
        </row>
        <row r="27">
          <cell r="B27" t="str">
            <v>White Spirit/SBP</v>
          </cell>
          <cell r="C27">
            <v>3</v>
          </cell>
          <cell r="D27" t="str">
            <v>White Spirit/SBP</v>
          </cell>
          <cell r="E27">
            <v>3</v>
          </cell>
          <cell r="F27" t="str">
            <v>White Spirit/SBP</v>
          </cell>
          <cell r="G27">
            <v>3</v>
          </cell>
          <cell r="H27" t="str">
            <v>White Spirit/SBP</v>
          </cell>
          <cell r="I27">
            <v>10</v>
          </cell>
          <cell r="J27" t="str">
            <v>White Spirit/SBP</v>
          </cell>
          <cell r="K27">
            <v>10</v>
          </cell>
          <cell r="L27" t="str">
            <v>White Spirit/SBP</v>
          </cell>
          <cell r="M27">
            <v>10</v>
          </cell>
          <cell r="N27" t="str">
            <v>White Spirit/SBP</v>
          </cell>
          <cell r="O27">
            <v>10</v>
          </cell>
          <cell r="P27" t="str">
            <v>White Spirit/SBP</v>
          </cell>
          <cell r="Q27">
            <v>10</v>
          </cell>
          <cell r="R27" t="str">
            <v>White Spirit/SBP</v>
          </cell>
          <cell r="S27">
            <v>10</v>
          </cell>
        </row>
        <row r="28">
          <cell r="B28" t="str">
            <v>Other petroleum products</v>
          </cell>
          <cell r="C28">
            <v>3</v>
          </cell>
          <cell r="D28" t="str">
            <v>Other petroleum products</v>
          </cell>
          <cell r="E28">
            <v>3</v>
          </cell>
          <cell r="F28" t="str">
            <v>Other petroleum products</v>
          </cell>
          <cell r="G28">
            <v>3</v>
          </cell>
          <cell r="H28" t="str">
            <v>Other petroleum products</v>
          </cell>
          <cell r="I28">
            <v>10</v>
          </cell>
          <cell r="J28" t="str">
            <v>Other petroleum products</v>
          </cell>
          <cell r="K28">
            <v>10</v>
          </cell>
          <cell r="L28" t="str">
            <v>Other petroleum products</v>
          </cell>
          <cell r="M28">
            <v>10</v>
          </cell>
          <cell r="N28" t="str">
            <v>Other petroleum products</v>
          </cell>
          <cell r="O28">
            <v>10</v>
          </cell>
          <cell r="P28" t="str">
            <v>Other petroleum products</v>
          </cell>
          <cell r="Q28">
            <v>10</v>
          </cell>
          <cell r="R28" t="str">
            <v>Other petroleum products</v>
          </cell>
          <cell r="S28">
            <v>10</v>
          </cell>
        </row>
        <row r="29">
          <cell r="B29" t="str">
            <v>Anthracite</v>
          </cell>
          <cell r="C29">
            <v>1</v>
          </cell>
          <cell r="D29" t="str">
            <v>Anthracite</v>
          </cell>
          <cell r="E29">
            <v>10</v>
          </cell>
          <cell r="F29" t="str">
            <v>Anthracite</v>
          </cell>
          <cell r="G29">
            <v>10</v>
          </cell>
          <cell r="H29" t="str">
            <v>Anthracite</v>
          </cell>
          <cell r="I29">
            <v>10</v>
          </cell>
          <cell r="J29" t="str">
            <v>Anthracite</v>
          </cell>
          <cell r="K29">
            <v>10</v>
          </cell>
          <cell r="L29" t="str">
            <v>Anthracite</v>
          </cell>
          <cell r="M29">
            <v>300</v>
          </cell>
          <cell r="N29" t="str">
            <v>Anthracite</v>
          </cell>
          <cell r="O29">
            <v>300</v>
          </cell>
          <cell r="P29" t="str">
            <v>Anthracite</v>
          </cell>
          <cell r="Q29">
            <v>300</v>
          </cell>
          <cell r="R29" t="str">
            <v>Anthracite</v>
          </cell>
          <cell r="S29">
            <v>300</v>
          </cell>
        </row>
        <row r="30">
          <cell r="B30" t="str">
            <v>Coking coal</v>
          </cell>
          <cell r="C30">
            <v>1</v>
          </cell>
          <cell r="D30" t="str">
            <v>Coking coal</v>
          </cell>
          <cell r="E30">
            <v>10</v>
          </cell>
          <cell r="F30" t="str">
            <v>Coking coal</v>
          </cell>
          <cell r="G30">
            <v>10</v>
          </cell>
          <cell r="H30" t="str">
            <v>Coking coal</v>
          </cell>
          <cell r="I30">
            <v>10</v>
          </cell>
          <cell r="J30" t="str">
            <v>Coking coal</v>
          </cell>
          <cell r="K30">
            <v>10</v>
          </cell>
          <cell r="L30" t="str">
            <v>Coking coal</v>
          </cell>
          <cell r="M30">
            <v>300</v>
          </cell>
          <cell r="N30" t="str">
            <v>Coking coal</v>
          </cell>
          <cell r="O30">
            <v>300</v>
          </cell>
          <cell r="P30" t="str">
            <v>Coking coal</v>
          </cell>
          <cell r="Q30">
            <v>300</v>
          </cell>
          <cell r="R30" t="str">
            <v>Coking coal</v>
          </cell>
          <cell r="S30">
            <v>300</v>
          </cell>
        </row>
        <row r="31">
          <cell r="B31" t="str">
            <v>Other bituminous coal</v>
          </cell>
          <cell r="C31">
            <v>1</v>
          </cell>
          <cell r="D31" t="str">
            <v>Other bituminous coal</v>
          </cell>
          <cell r="E31">
            <v>10</v>
          </cell>
          <cell r="F31" t="str">
            <v>Other bituminous coal</v>
          </cell>
          <cell r="G31">
            <v>10</v>
          </cell>
          <cell r="H31" t="str">
            <v>Other bituminous coal</v>
          </cell>
          <cell r="I31">
            <v>10</v>
          </cell>
          <cell r="J31" t="str">
            <v>Other bituminous coal</v>
          </cell>
          <cell r="K31">
            <v>10</v>
          </cell>
          <cell r="L31" t="str">
            <v>Other bituminous coal</v>
          </cell>
          <cell r="M31">
            <v>300</v>
          </cell>
          <cell r="N31" t="str">
            <v>Other bituminous coal</v>
          </cell>
          <cell r="O31">
            <v>300</v>
          </cell>
          <cell r="P31" t="str">
            <v>Other bituminous coal</v>
          </cell>
          <cell r="Q31">
            <v>300</v>
          </cell>
          <cell r="R31" t="str">
            <v>Other bituminous coal</v>
          </cell>
          <cell r="S31">
            <v>300</v>
          </cell>
        </row>
        <row r="32">
          <cell r="B32" t="str">
            <v>Sub bituminous coal</v>
          </cell>
          <cell r="C32">
            <v>1</v>
          </cell>
          <cell r="D32" t="str">
            <v>Sub bituminous coal</v>
          </cell>
          <cell r="E32">
            <v>10</v>
          </cell>
          <cell r="F32" t="str">
            <v>Sub bituminous coal</v>
          </cell>
          <cell r="G32">
            <v>10</v>
          </cell>
          <cell r="H32" t="str">
            <v>Sub bituminous coal</v>
          </cell>
          <cell r="I32">
            <v>10</v>
          </cell>
          <cell r="J32" t="str">
            <v>Sub bituminous coal</v>
          </cell>
          <cell r="K32">
            <v>10</v>
          </cell>
          <cell r="L32" t="str">
            <v>Sub bituminous coal</v>
          </cell>
          <cell r="M32">
            <v>300</v>
          </cell>
          <cell r="N32" t="str">
            <v>Sub bituminous coal</v>
          </cell>
          <cell r="O32">
            <v>300</v>
          </cell>
          <cell r="P32" t="str">
            <v>Sub bituminous coal</v>
          </cell>
          <cell r="Q32">
            <v>300</v>
          </cell>
          <cell r="R32" t="str">
            <v>Sub bituminous coal</v>
          </cell>
          <cell r="S32">
            <v>300</v>
          </cell>
        </row>
        <row r="33">
          <cell r="B33" t="str">
            <v>Lignite</v>
          </cell>
          <cell r="C33">
            <v>1</v>
          </cell>
          <cell r="D33" t="str">
            <v>Lignite</v>
          </cell>
          <cell r="E33">
            <v>10</v>
          </cell>
          <cell r="F33" t="str">
            <v>Lignite</v>
          </cell>
          <cell r="G33">
            <v>10</v>
          </cell>
          <cell r="H33" t="str">
            <v>Lignite</v>
          </cell>
          <cell r="I33">
            <v>10</v>
          </cell>
          <cell r="J33" t="str">
            <v>Lignite</v>
          </cell>
          <cell r="K33">
            <v>10</v>
          </cell>
          <cell r="L33" t="str">
            <v>Lignite</v>
          </cell>
          <cell r="M33">
            <v>300</v>
          </cell>
          <cell r="N33" t="str">
            <v>Lignite</v>
          </cell>
          <cell r="O33">
            <v>300</v>
          </cell>
          <cell r="P33" t="str">
            <v>Lignite</v>
          </cell>
          <cell r="Q33">
            <v>300</v>
          </cell>
          <cell r="R33" t="str">
            <v>Lignite</v>
          </cell>
          <cell r="S33">
            <v>300</v>
          </cell>
        </row>
        <row r="34">
          <cell r="B34" t="str">
            <v>Oil shale and tar sands</v>
          </cell>
          <cell r="C34">
            <v>1</v>
          </cell>
          <cell r="D34" t="str">
            <v>Oil shale and tar sands</v>
          </cell>
          <cell r="E34">
            <v>10</v>
          </cell>
          <cell r="F34" t="str">
            <v>Oil shale and tar sands</v>
          </cell>
          <cell r="G34">
            <v>10</v>
          </cell>
          <cell r="H34" t="str">
            <v>Oil shale and tar sands</v>
          </cell>
          <cell r="I34">
            <v>10</v>
          </cell>
          <cell r="J34" t="str">
            <v>Oil shale and tar sands</v>
          </cell>
          <cell r="K34">
            <v>10</v>
          </cell>
          <cell r="L34" t="str">
            <v>Oil shale and tar sands</v>
          </cell>
          <cell r="M34">
            <v>300</v>
          </cell>
          <cell r="N34" t="str">
            <v>Oil shale and tar sands</v>
          </cell>
          <cell r="O34">
            <v>300</v>
          </cell>
          <cell r="P34" t="str">
            <v>Oil shale and tar sands</v>
          </cell>
          <cell r="Q34">
            <v>300</v>
          </cell>
          <cell r="R34" t="str">
            <v>Oil shale and tar sands</v>
          </cell>
          <cell r="S34">
            <v>300</v>
          </cell>
        </row>
        <row r="35">
          <cell r="B35" t="str">
            <v>Brown coal briquettes</v>
          </cell>
          <cell r="C35">
            <v>1</v>
          </cell>
          <cell r="D35" t="str">
            <v>Brown coal briquettes</v>
          </cell>
          <cell r="E35">
            <v>10</v>
          </cell>
          <cell r="F35" t="str">
            <v>Brown coal briquettes</v>
          </cell>
          <cell r="G35">
            <v>10</v>
          </cell>
          <cell r="H35" t="str">
            <v>Brown coal briquettes</v>
          </cell>
          <cell r="I35">
            <v>10</v>
          </cell>
          <cell r="J35" t="str">
            <v>Brown coal briquettes</v>
          </cell>
          <cell r="K35">
            <v>10</v>
          </cell>
          <cell r="L35" t="str">
            <v>Brown coal briquettes</v>
          </cell>
          <cell r="M35">
            <v>300</v>
          </cell>
          <cell r="N35" t="str">
            <v>Brown coal briquettes</v>
          </cell>
          <cell r="O35">
            <v>300</v>
          </cell>
          <cell r="P35" t="str">
            <v>Brown coal briquettes</v>
          </cell>
          <cell r="Q35">
            <v>300</v>
          </cell>
          <cell r="R35" t="str">
            <v>Brown coal briquettes</v>
          </cell>
          <cell r="S35">
            <v>300</v>
          </cell>
        </row>
        <row r="36">
          <cell r="B36" t="str">
            <v>Patent fuel</v>
          </cell>
          <cell r="C36">
            <v>1</v>
          </cell>
          <cell r="D36" t="str">
            <v>Patent fuel</v>
          </cell>
          <cell r="E36">
            <v>10</v>
          </cell>
          <cell r="F36" t="str">
            <v>Patent fuel</v>
          </cell>
          <cell r="G36">
            <v>10</v>
          </cell>
          <cell r="H36" t="str">
            <v>Patent fuel</v>
          </cell>
          <cell r="I36">
            <v>10</v>
          </cell>
          <cell r="J36" t="str">
            <v>Patent fuel</v>
          </cell>
          <cell r="K36">
            <v>10</v>
          </cell>
          <cell r="L36" t="str">
            <v>Patent fuel</v>
          </cell>
          <cell r="M36">
            <v>300</v>
          </cell>
          <cell r="N36" t="str">
            <v>Patent fuel</v>
          </cell>
          <cell r="O36">
            <v>300</v>
          </cell>
          <cell r="P36" t="str">
            <v>Patent fuel</v>
          </cell>
          <cell r="Q36">
            <v>300</v>
          </cell>
          <cell r="R36" t="str">
            <v>Patent fuel</v>
          </cell>
          <cell r="S36">
            <v>300</v>
          </cell>
        </row>
        <row r="37">
          <cell r="B37" t="str">
            <v>Coke oven coke</v>
          </cell>
          <cell r="C37">
            <v>1</v>
          </cell>
          <cell r="D37" t="str">
            <v>Coke oven coke</v>
          </cell>
          <cell r="E37">
            <v>10</v>
          </cell>
          <cell r="F37" t="str">
            <v>Coke oven coke</v>
          </cell>
          <cell r="G37">
            <v>10</v>
          </cell>
          <cell r="H37" t="str">
            <v>Coke oven coke</v>
          </cell>
          <cell r="I37">
            <v>10</v>
          </cell>
          <cell r="J37" t="str">
            <v>Coke oven coke</v>
          </cell>
          <cell r="K37">
            <v>10</v>
          </cell>
          <cell r="L37" t="str">
            <v>Coke oven coke</v>
          </cell>
          <cell r="M37">
            <v>300</v>
          </cell>
          <cell r="N37" t="str">
            <v>Coke oven coke</v>
          </cell>
          <cell r="O37">
            <v>300</v>
          </cell>
          <cell r="P37" t="str">
            <v>Coke oven coke</v>
          </cell>
          <cell r="Q37">
            <v>300</v>
          </cell>
          <cell r="R37" t="str">
            <v>Coke oven coke</v>
          </cell>
          <cell r="S37">
            <v>300</v>
          </cell>
        </row>
        <row r="38">
          <cell r="B38" t="str">
            <v>Lignite coke</v>
          </cell>
          <cell r="C38">
            <v>1</v>
          </cell>
          <cell r="D38" t="str">
            <v>Lignite coke</v>
          </cell>
          <cell r="E38">
            <v>10</v>
          </cell>
          <cell r="F38" t="str">
            <v>Lignite coke</v>
          </cell>
          <cell r="G38">
            <v>10</v>
          </cell>
          <cell r="H38" t="str">
            <v>Lignite coke</v>
          </cell>
          <cell r="I38">
            <v>10</v>
          </cell>
          <cell r="J38" t="str">
            <v>Lignite coke</v>
          </cell>
          <cell r="K38">
            <v>10</v>
          </cell>
          <cell r="L38" t="str">
            <v>Lignite coke</v>
          </cell>
          <cell r="M38">
            <v>300</v>
          </cell>
          <cell r="N38" t="str">
            <v>Lignite coke</v>
          </cell>
          <cell r="O38">
            <v>300</v>
          </cell>
          <cell r="P38" t="str">
            <v>Lignite coke</v>
          </cell>
          <cell r="Q38">
            <v>300</v>
          </cell>
          <cell r="R38" t="str">
            <v>Lignite coke</v>
          </cell>
          <cell r="S38">
            <v>300</v>
          </cell>
        </row>
        <row r="39">
          <cell r="B39" t="str">
            <v>Gas coke</v>
          </cell>
          <cell r="C39">
            <v>1</v>
          </cell>
          <cell r="D39" t="str">
            <v>Gas coke</v>
          </cell>
          <cell r="E39">
            <v>1</v>
          </cell>
          <cell r="F39" t="str">
            <v>Gas coke</v>
          </cell>
          <cell r="G39">
            <v>1</v>
          </cell>
          <cell r="H39" t="str">
            <v>Gas coke</v>
          </cell>
          <cell r="I39">
            <v>5</v>
          </cell>
          <cell r="J39" t="str">
            <v>Gas coke</v>
          </cell>
          <cell r="K39">
            <v>5</v>
          </cell>
          <cell r="L39" t="str">
            <v>Gas coke</v>
          </cell>
          <cell r="M39">
            <v>5</v>
          </cell>
          <cell r="N39" t="str">
            <v>Gas coke</v>
          </cell>
          <cell r="O39">
            <v>5</v>
          </cell>
          <cell r="P39" t="str">
            <v>Gas coke</v>
          </cell>
          <cell r="Q39">
            <v>5</v>
          </cell>
          <cell r="R39" t="str">
            <v>Gas coke</v>
          </cell>
          <cell r="S39">
            <v>5</v>
          </cell>
        </row>
        <row r="40">
          <cell r="B40" t="str">
            <v>Coal tar</v>
          </cell>
          <cell r="C40">
            <v>1</v>
          </cell>
          <cell r="D40" t="str">
            <v>Coal tar</v>
          </cell>
          <cell r="E40">
            <v>10</v>
          </cell>
          <cell r="F40" t="str">
            <v>Coal tar</v>
          </cell>
          <cell r="G40">
            <v>10</v>
          </cell>
          <cell r="H40" t="str">
            <v>Coal tar</v>
          </cell>
          <cell r="I40">
            <v>10</v>
          </cell>
          <cell r="J40" t="str">
            <v>Coal tar</v>
          </cell>
          <cell r="K40">
            <v>10</v>
          </cell>
          <cell r="L40" t="str">
            <v>Coal tar</v>
          </cell>
          <cell r="M40">
            <v>300</v>
          </cell>
          <cell r="N40" t="str">
            <v>Coal tar</v>
          </cell>
          <cell r="O40">
            <v>300</v>
          </cell>
          <cell r="P40" t="str">
            <v>Coal tar</v>
          </cell>
          <cell r="Q40">
            <v>300</v>
          </cell>
          <cell r="R40" t="str">
            <v>Coal tar</v>
          </cell>
          <cell r="S40">
            <v>300</v>
          </cell>
        </row>
        <row r="41">
          <cell r="B41" t="str">
            <v>Gas works gas</v>
          </cell>
          <cell r="C41">
            <v>1</v>
          </cell>
          <cell r="D41" t="str">
            <v>Gas works gas</v>
          </cell>
          <cell r="E41">
            <v>1</v>
          </cell>
          <cell r="F41" t="str">
            <v>Gas works gas</v>
          </cell>
          <cell r="G41">
            <v>1</v>
          </cell>
          <cell r="H41" t="str">
            <v>Gas works gas</v>
          </cell>
          <cell r="I41">
            <v>5</v>
          </cell>
          <cell r="J41" t="str">
            <v>Gas works gas</v>
          </cell>
          <cell r="K41">
            <v>5</v>
          </cell>
          <cell r="L41" t="str">
            <v>Gas works gas</v>
          </cell>
          <cell r="M41">
            <v>5</v>
          </cell>
          <cell r="N41" t="str">
            <v>Gas works gas</v>
          </cell>
          <cell r="O41">
            <v>5</v>
          </cell>
          <cell r="P41" t="str">
            <v>Gas works gas</v>
          </cell>
          <cell r="Q41">
            <v>5</v>
          </cell>
          <cell r="R41" t="str">
            <v>Gas works gas</v>
          </cell>
          <cell r="S41">
            <v>5</v>
          </cell>
        </row>
        <row r="42">
          <cell r="B42" t="str">
            <v>Coke oven gas</v>
          </cell>
          <cell r="C42">
            <v>1</v>
          </cell>
          <cell r="D42" t="str">
            <v>Coke oven gas</v>
          </cell>
          <cell r="E42">
            <v>1</v>
          </cell>
          <cell r="F42" t="str">
            <v>Coke oven gas</v>
          </cell>
          <cell r="G42">
            <v>1</v>
          </cell>
          <cell r="H42" t="str">
            <v>Coke oven gas</v>
          </cell>
          <cell r="I42">
            <v>5</v>
          </cell>
          <cell r="J42" t="str">
            <v>Coke oven gas</v>
          </cell>
          <cell r="K42">
            <v>5</v>
          </cell>
          <cell r="L42" t="str">
            <v>Coke oven gas</v>
          </cell>
          <cell r="M42">
            <v>5</v>
          </cell>
          <cell r="N42" t="str">
            <v>Coke oven gas</v>
          </cell>
          <cell r="O42">
            <v>5</v>
          </cell>
          <cell r="P42" t="str">
            <v>Coke oven gas</v>
          </cell>
          <cell r="Q42">
            <v>5</v>
          </cell>
          <cell r="R42" t="str">
            <v>Coke oven gas</v>
          </cell>
          <cell r="S42">
            <v>5</v>
          </cell>
        </row>
        <row r="43">
          <cell r="B43" t="str">
            <v>Blast furnace gas</v>
          </cell>
          <cell r="C43">
            <v>1</v>
          </cell>
          <cell r="D43" t="str">
            <v>Blast furnace gas</v>
          </cell>
          <cell r="E43">
            <v>1</v>
          </cell>
          <cell r="F43" t="str">
            <v>Blast furnace gas</v>
          </cell>
          <cell r="G43">
            <v>1</v>
          </cell>
          <cell r="H43" t="str">
            <v>Blast furnace gas</v>
          </cell>
          <cell r="I43">
            <v>5</v>
          </cell>
          <cell r="J43" t="str">
            <v>Blast furnace gas</v>
          </cell>
          <cell r="K43">
            <v>5</v>
          </cell>
          <cell r="L43" t="str">
            <v>Blast furnace gas</v>
          </cell>
          <cell r="M43">
            <v>5</v>
          </cell>
          <cell r="N43" t="str">
            <v>Blast furnace gas</v>
          </cell>
          <cell r="O43">
            <v>5</v>
          </cell>
          <cell r="P43" t="str">
            <v>Blast furnace gas</v>
          </cell>
          <cell r="Q43">
            <v>5</v>
          </cell>
          <cell r="R43" t="str">
            <v>Blast furnace gas</v>
          </cell>
          <cell r="S43">
            <v>5</v>
          </cell>
        </row>
        <row r="44">
          <cell r="B44" t="str">
            <v>Oxygen steel furnace gas</v>
          </cell>
          <cell r="C44">
            <v>1</v>
          </cell>
          <cell r="D44" t="str">
            <v>Oxygen steel furnace gas</v>
          </cell>
          <cell r="E44">
            <v>1</v>
          </cell>
          <cell r="F44" t="str">
            <v>Oxygen steel furnace gas</v>
          </cell>
          <cell r="G44">
            <v>1</v>
          </cell>
          <cell r="H44" t="str">
            <v>Oxygen steel furnace gas</v>
          </cell>
          <cell r="I44">
            <v>5</v>
          </cell>
          <cell r="J44" t="str">
            <v>Oxygen steel furnace gas</v>
          </cell>
          <cell r="K44">
            <v>5</v>
          </cell>
          <cell r="L44" t="str">
            <v>Oxygen steel furnace gas</v>
          </cell>
          <cell r="M44">
            <v>5</v>
          </cell>
          <cell r="N44" t="str">
            <v>Oxygen steel furnace gas</v>
          </cell>
          <cell r="O44">
            <v>5</v>
          </cell>
          <cell r="P44" t="str">
            <v>Oxygen steel furnace gas</v>
          </cell>
          <cell r="Q44">
            <v>5</v>
          </cell>
          <cell r="R44" t="str">
            <v>Oxygen steel furnace gas</v>
          </cell>
          <cell r="S44">
            <v>5</v>
          </cell>
        </row>
        <row r="45">
          <cell r="B45" t="str">
            <v>Natural gas</v>
          </cell>
          <cell r="C45">
            <v>1</v>
          </cell>
          <cell r="D45" t="str">
            <v>Natural gas</v>
          </cell>
          <cell r="E45">
            <v>1</v>
          </cell>
          <cell r="F45" t="str">
            <v>Natural gas</v>
          </cell>
          <cell r="G45">
            <v>1</v>
          </cell>
          <cell r="H45" t="str">
            <v>Natural gas</v>
          </cell>
          <cell r="I45">
            <v>5</v>
          </cell>
          <cell r="J45" t="str">
            <v>Natural gas</v>
          </cell>
          <cell r="K45">
            <v>5</v>
          </cell>
          <cell r="L45" t="str">
            <v>Natural gas</v>
          </cell>
          <cell r="M45">
            <v>5</v>
          </cell>
          <cell r="N45" t="str">
            <v>Natural gas</v>
          </cell>
          <cell r="O45">
            <v>5</v>
          </cell>
          <cell r="P45" t="str">
            <v>Natural gas</v>
          </cell>
          <cell r="Q45">
            <v>5</v>
          </cell>
          <cell r="R45" t="str">
            <v>Natural gas</v>
          </cell>
          <cell r="S45">
            <v>5</v>
          </cell>
        </row>
        <row r="46">
          <cell r="B46" t="str">
            <v>Municipal waste (Non biomass fraction)</v>
          </cell>
          <cell r="C46">
            <v>30</v>
          </cell>
          <cell r="D46" t="str">
            <v>Municipal waste (Non biomass fraction)</v>
          </cell>
          <cell r="E46">
            <v>30</v>
          </cell>
          <cell r="F46" t="str">
            <v>Municipal waste (Non biomass fraction)</v>
          </cell>
          <cell r="G46">
            <v>30</v>
          </cell>
          <cell r="H46" t="str">
            <v>Municipal waste (Non biomass fraction)</v>
          </cell>
          <cell r="I46">
            <v>300</v>
          </cell>
          <cell r="J46" t="str">
            <v>Municipal waste (Non biomass fraction)</v>
          </cell>
          <cell r="K46">
            <v>300</v>
          </cell>
          <cell r="L46" t="str">
            <v>Municipal waste (Non biomass fraction)</v>
          </cell>
          <cell r="M46">
            <v>300</v>
          </cell>
          <cell r="N46" t="str">
            <v>Municipal waste (Non biomass fraction)</v>
          </cell>
          <cell r="O46">
            <v>300</v>
          </cell>
          <cell r="P46" t="str">
            <v>Municipal waste (Non biomass fraction)</v>
          </cell>
          <cell r="Q46">
            <v>300</v>
          </cell>
          <cell r="R46" t="str">
            <v>Municipal waste (Non biomass fraction)</v>
          </cell>
          <cell r="S46">
            <v>300</v>
          </cell>
        </row>
        <row r="47">
          <cell r="B47" t="str">
            <v>Industrial wastes</v>
          </cell>
          <cell r="C47">
            <v>30</v>
          </cell>
          <cell r="D47" t="str">
            <v>Industrial wastes</v>
          </cell>
          <cell r="E47">
            <v>30</v>
          </cell>
          <cell r="F47" t="str">
            <v>Industrial wastes</v>
          </cell>
          <cell r="G47">
            <v>30</v>
          </cell>
          <cell r="H47" t="str">
            <v>Industrial wastes</v>
          </cell>
          <cell r="I47">
            <v>300</v>
          </cell>
          <cell r="J47" t="str">
            <v>Industrial wastes</v>
          </cell>
          <cell r="K47">
            <v>300</v>
          </cell>
          <cell r="L47" t="str">
            <v>Industrial wastes</v>
          </cell>
          <cell r="M47">
            <v>300</v>
          </cell>
          <cell r="N47" t="str">
            <v>Industrial wastes</v>
          </cell>
          <cell r="O47">
            <v>300</v>
          </cell>
          <cell r="P47" t="str">
            <v>Industrial wastes</v>
          </cell>
          <cell r="Q47">
            <v>300</v>
          </cell>
          <cell r="R47" t="str">
            <v>Industrial wastes</v>
          </cell>
          <cell r="S47">
            <v>300</v>
          </cell>
        </row>
        <row r="48">
          <cell r="B48" t="str">
            <v>Waste oils</v>
          </cell>
          <cell r="C48">
            <v>30</v>
          </cell>
          <cell r="D48" t="str">
            <v>Waste oils</v>
          </cell>
          <cell r="E48">
            <v>30</v>
          </cell>
          <cell r="F48" t="str">
            <v>Waste oils</v>
          </cell>
          <cell r="G48">
            <v>30</v>
          </cell>
          <cell r="H48" t="str">
            <v>Waste oils</v>
          </cell>
          <cell r="I48">
            <v>300</v>
          </cell>
          <cell r="J48" t="str">
            <v>Waste oils</v>
          </cell>
          <cell r="K48">
            <v>300</v>
          </cell>
          <cell r="L48" t="str">
            <v>Waste oils</v>
          </cell>
          <cell r="M48">
            <v>300</v>
          </cell>
          <cell r="N48" t="str">
            <v>Waste oils</v>
          </cell>
          <cell r="O48">
            <v>300</v>
          </cell>
          <cell r="P48" t="str">
            <v>Waste oils</v>
          </cell>
          <cell r="Q48">
            <v>300</v>
          </cell>
          <cell r="R48" t="str">
            <v>Waste oils</v>
          </cell>
          <cell r="S48">
            <v>300</v>
          </cell>
        </row>
        <row r="49">
          <cell r="B49" t="str">
            <v>Wood or Wood waste</v>
          </cell>
          <cell r="C49">
            <v>30</v>
          </cell>
          <cell r="D49" t="str">
            <v>Wood or Wood waste</v>
          </cell>
          <cell r="E49">
            <v>30</v>
          </cell>
          <cell r="F49" t="str">
            <v>Wood or Wood waste</v>
          </cell>
          <cell r="G49">
            <v>30</v>
          </cell>
          <cell r="H49" t="str">
            <v>Wood or Wood waste</v>
          </cell>
          <cell r="I49">
            <v>300</v>
          </cell>
          <cell r="J49" t="str">
            <v>Wood or Wood waste</v>
          </cell>
          <cell r="K49">
            <v>300</v>
          </cell>
          <cell r="L49" t="str">
            <v>Wood or Wood waste</v>
          </cell>
          <cell r="M49">
            <v>300</v>
          </cell>
          <cell r="N49" t="str">
            <v>Wood or Wood waste</v>
          </cell>
          <cell r="O49">
            <v>300</v>
          </cell>
          <cell r="P49" t="str">
            <v>Wood or Wood waste</v>
          </cell>
          <cell r="Q49">
            <v>300</v>
          </cell>
          <cell r="R49" t="str">
            <v>Wood or Wood waste</v>
          </cell>
          <cell r="S49">
            <v>300</v>
          </cell>
        </row>
        <row r="50">
          <cell r="B50" t="str">
            <v>Sulphite lyes (Black liqour)</v>
          </cell>
          <cell r="C50">
            <v>3</v>
          </cell>
          <cell r="D50" t="str">
            <v>Sulphite lyes (Black liqour)</v>
          </cell>
          <cell r="E50">
            <v>3</v>
          </cell>
          <cell r="F50" t="str">
            <v>Sulphite lyes (Black liqour)</v>
          </cell>
          <cell r="G50">
            <v>3</v>
          </cell>
          <cell r="H50" t="str">
            <v>Sulphite lyes (Black liqour)</v>
          </cell>
          <cell r="I50">
            <v>3</v>
          </cell>
          <cell r="J50" t="str">
            <v>Sulphite lyes (Black liqour)</v>
          </cell>
          <cell r="K50">
            <v>3</v>
          </cell>
          <cell r="L50" t="str">
            <v>Sulphite lyes (Black liqour)</v>
          </cell>
          <cell r="M50">
            <v>3</v>
          </cell>
          <cell r="N50" t="str">
            <v>Sulphite lyes (Black liqour)</v>
          </cell>
          <cell r="O50">
            <v>3</v>
          </cell>
          <cell r="P50" t="str">
            <v>Sulphite lyes (Black liqour)</v>
          </cell>
          <cell r="Q50">
            <v>3</v>
          </cell>
          <cell r="R50" t="str">
            <v>Sulphite lyes (Black liqour)</v>
          </cell>
          <cell r="S50">
            <v>3</v>
          </cell>
        </row>
        <row r="51">
          <cell r="B51" t="str">
            <v>Other primary solid biomass fuels</v>
          </cell>
          <cell r="C51">
            <v>30</v>
          </cell>
          <cell r="D51" t="str">
            <v>Other primary solid biomass fuels</v>
          </cell>
          <cell r="E51">
            <v>20</v>
          </cell>
          <cell r="F51" t="str">
            <v>Other primary solid biomass fuels</v>
          </cell>
          <cell r="G51">
            <v>20</v>
          </cell>
          <cell r="H51" t="str">
            <v>Other primary solid biomass fuels</v>
          </cell>
          <cell r="I51">
            <v>300</v>
          </cell>
          <cell r="J51" t="str">
            <v>Other primary solid biomass fuels</v>
          </cell>
          <cell r="K51">
            <v>300</v>
          </cell>
          <cell r="L51" t="str">
            <v>Other primary solid biomass fuels</v>
          </cell>
          <cell r="M51">
            <v>300</v>
          </cell>
          <cell r="N51" t="str">
            <v>Other primary solid biomass fuels</v>
          </cell>
          <cell r="O51">
            <v>300</v>
          </cell>
          <cell r="P51" t="str">
            <v>Other primary solid biomass fuels</v>
          </cell>
          <cell r="Q51">
            <v>300</v>
          </cell>
          <cell r="R51" t="str">
            <v>Other primary solid biomass fuels</v>
          </cell>
          <cell r="S51">
            <v>300</v>
          </cell>
        </row>
        <row r="52">
          <cell r="B52" t="str">
            <v>Charcoal</v>
          </cell>
          <cell r="C52">
            <v>200</v>
          </cell>
          <cell r="D52" t="str">
            <v>Charcoal</v>
          </cell>
          <cell r="E52">
            <v>200</v>
          </cell>
          <cell r="F52" t="str">
            <v>Charcoal</v>
          </cell>
          <cell r="G52">
            <v>200</v>
          </cell>
          <cell r="H52" t="str">
            <v>Charcoal</v>
          </cell>
          <cell r="I52">
            <v>200</v>
          </cell>
          <cell r="J52" t="str">
            <v>Charcoal</v>
          </cell>
          <cell r="K52">
            <v>200</v>
          </cell>
          <cell r="L52" t="str">
            <v>Charcoal</v>
          </cell>
          <cell r="M52">
            <v>200</v>
          </cell>
          <cell r="N52" t="str">
            <v>Charcoal</v>
          </cell>
          <cell r="O52">
            <v>200</v>
          </cell>
          <cell r="P52" t="str">
            <v>Charcoal</v>
          </cell>
          <cell r="Q52">
            <v>200</v>
          </cell>
          <cell r="R52" t="str">
            <v>Charcoal</v>
          </cell>
          <cell r="S52">
            <v>200</v>
          </cell>
        </row>
        <row r="53">
          <cell r="B53" t="str">
            <v>Biogasoline</v>
          </cell>
          <cell r="C53">
            <v>3</v>
          </cell>
          <cell r="D53" t="str">
            <v>Biogasoline</v>
          </cell>
          <cell r="E53">
            <v>3</v>
          </cell>
          <cell r="F53" t="str">
            <v>Biogasoline</v>
          </cell>
          <cell r="G53">
            <v>3</v>
          </cell>
          <cell r="H53" t="str">
            <v>Biogasoline</v>
          </cell>
          <cell r="I53">
            <v>10</v>
          </cell>
          <cell r="J53" t="str">
            <v>Biogasoline</v>
          </cell>
          <cell r="K53">
            <v>10</v>
          </cell>
          <cell r="L53" t="str">
            <v>Biogasoline</v>
          </cell>
          <cell r="M53">
            <v>10</v>
          </cell>
          <cell r="N53" t="str">
            <v>Biogasoline</v>
          </cell>
          <cell r="O53">
            <v>10</v>
          </cell>
          <cell r="P53" t="str">
            <v>Biogasoline</v>
          </cell>
          <cell r="Q53">
            <v>10</v>
          </cell>
          <cell r="R53" t="str">
            <v>Biogasoline</v>
          </cell>
          <cell r="S53">
            <v>10</v>
          </cell>
        </row>
        <row r="54">
          <cell r="B54" t="str">
            <v>Biodiesels</v>
          </cell>
          <cell r="C54">
            <v>3</v>
          </cell>
          <cell r="D54" t="str">
            <v>Biodiesels</v>
          </cell>
          <cell r="E54">
            <v>3</v>
          </cell>
          <cell r="F54" t="str">
            <v>Biodiesels</v>
          </cell>
          <cell r="G54">
            <v>3</v>
          </cell>
          <cell r="H54" t="str">
            <v>Biodiesels</v>
          </cell>
          <cell r="I54">
            <v>10</v>
          </cell>
          <cell r="J54" t="str">
            <v>Biodiesels</v>
          </cell>
          <cell r="K54">
            <v>10</v>
          </cell>
          <cell r="L54" t="str">
            <v>Biodiesels</v>
          </cell>
          <cell r="M54">
            <v>10</v>
          </cell>
          <cell r="N54" t="str">
            <v>Biodiesels</v>
          </cell>
          <cell r="O54">
            <v>10</v>
          </cell>
          <cell r="P54" t="str">
            <v>Biodiesels</v>
          </cell>
          <cell r="Q54">
            <v>10</v>
          </cell>
          <cell r="R54" t="str">
            <v>Biodiesels</v>
          </cell>
          <cell r="S54">
            <v>10</v>
          </cell>
        </row>
        <row r="55">
          <cell r="B55" t="str">
            <v>Other liquid biofuels</v>
          </cell>
          <cell r="C55">
            <v>3</v>
          </cell>
          <cell r="D55" t="str">
            <v>Other liquid biofuels</v>
          </cell>
          <cell r="E55">
            <v>3</v>
          </cell>
          <cell r="F55" t="str">
            <v>Other liquid biofuels</v>
          </cell>
          <cell r="G55">
            <v>3</v>
          </cell>
          <cell r="H55" t="str">
            <v>Other liquid biofuels</v>
          </cell>
          <cell r="I55">
            <v>10</v>
          </cell>
          <cell r="J55" t="str">
            <v>Other liquid biofuels</v>
          </cell>
          <cell r="K55">
            <v>10</v>
          </cell>
          <cell r="L55" t="str">
            <v>Other liquid biofuels</v>
          </cell>
          <cell r="M55">
            <v>10</v>
          </cell>
          <cell r="N55" t="str">
            <v>Other liquid biofuels</v>
          </cell>
          <cell r="O55">
            <v>10</v>
          </cell>
          <cell r="P55" t="str">
            <v>Other liquid biofuels</v>
          </cell>
          <cell r="Q55">
            <v>10</v>
          </cell>
          <cell r="R55" t="str">
            <v>Other liquid biofuels</v>
          </cell>
          <cell r="S55">
            <v>10</v>
          </cell>
        </row>
        <row r="56">
          <cell r="B56" t="str">
            <v>Landfill gas</v>
          </cell>
          <cell r="C56">
            <v>1</v>
          </cell>
          <cell r="D56" t="str">
            <v>Landfill gas</v>
          </cell>
          <cell r="E56">
            <v>1</v>
          </cell>
          <cell r="F56" t="str">
            <v>Landfill gas</v>
          </cell>
          <cell r="G56">
            <v>1</v>
          </cell>
          <cell r="H56" t="str">
            <v>Landfill gas</v>
          </cell>
          <cell r="I56">
            <v>5</v>
          </cell>
          <cell r="J56" t="str">
            <v>Landfill gas</v>
          </cell>
          <cell r="K56">
            <v>5</v>
          </cell>
          <cell r="L56" t="str">
            <v>Landfill gas</v>
          </cell>
          <cell r="M56">
            <v>5</v>
          </cell>
          <cell r="N56" t="str">
            <v>Landfill gas</v>
          </cell>
          <cell r="O56">
            <v>5</v>
          </cell>
          <cell r="P56" t="str">
            <v>Landfill gas</v>
          </cell>
          <cell r="Q56">
            <v>5</v>
          </cell>
          <cell r="R56" t="str">
            <v>Landfill gas</v>
          </cell>
          <cell r="S56">
            <v>5</v>
          </cell>
        </row>
        <row r="57">
          <cell r="B57" t="str">
            <v>Sludge gas</v>
          </cell>
          <cell r="C57">
            <v>1</v>
          </cell>
          <cell r="D57" t="str">
            <v>Sludge gas</v>
          </cell>
          <cell r="E57">
            <v>1</v>
          </cell>
          <cell r="F57" t="str">
            <v>Sludge gas</v>
          </cell>
          <cell r="G57">
            <v>1</v>
          </cell>
          <cell r="H57" t="str">
            <v>Sludge gas</v>
          </cell>
          <cell r="I57">
            <v>5</v>
          </cell>
          <cell r="J57" t="str">
            <v>Sludge gas</v>
          </cell>
          <cell r="K57">
            <v>5</v>
          </cell>
          <cell r="L57" t="str">
            <v>Sludge gas</v>
          </cell>
          <cell r="M57">
            <v>5</v>
          </cell>
          <cell r="N57" t="str">
            <v>Sludge gas</v>
          </cell>
          <cell r="O57">
            <v>5</v>
          </cell>
          <cell r="P57" t="str">
            <v>Sludge gas</v>
          </cell>
          <cell r="Q57">
            <v>5</v>
          </cell>
          <cell r="R57" t="str">
            <v>Sludge gas</v>
          </cell>
          <cell r="S57">
            <v>5</v>
          </cell>
        </row>
        <row r="58">
          <cell r="B58" t="str">
            <v>Other biogas</v>
          </cell>
          <cell r="C58">
            <v>1</v>
          </cell>
          <cell r="D58" t="str">
            <v>Other biogas</v>
          </cell>
          <cell r="E58">
            <v>1</v>
          </cell>
          <cell r="F58" t="str">
            <v>Other biogas</v>
          </cell>
          <cell r="G58">
            <v>1</v>
          </cell>
          <cell r="H58" t="str">
            <v>Other biogas</v>
          </cell>
          <cell r="I58">
            <v>5</v>
          </cell>
          <cell r="J58" t="str">
            <v>Other biogas</v>
          </cell>
          <cell r="K58">
            <v>5</v>
          </cell>
          <cell r="L58" t="str">
            <v>Other biogas</v>
          </cell>
          <cell r="M58">
            <v>5</v>
          </cell>
          <cell r="N58" t="str">
            <v>Other biogas</v>
          </cell>
          <cell r="O58">
            <v>5</v>
          </cell>
          <cell r="P58" t="str">
            <v>Other biogas</v>
          </cell>
          <cell r="Q58">
            <v>5</v>
          </cell>
          <cell r="R58" t="str">
            <v>Other biogas</v>
          </cell>
          <cell r="S58">
            <v>5</v>
          </cell>
        </row>
        <row r="59">
          <cell r="B59" t="str">
            <v>Municipal wastes (Biomass fraction)</v>
          </cell>
          <cell r="C59">
            <v>30</v>
          </cell>
          <cell r="D59" t="str">
            <v>Municipal wastes (Biomass fraction)</v>
          </cell>
          <cell r="E59">
            <v>30</v>
          </cell>
          <cell r="F59" t="str">
            <v>Municipal wastes (Biomass fraction)</v>
          </cell>
          <cell r="G59">
            <v>30</v>
          </cell>
          <cell r="H59" t="str">
            <v>Municipal wastes (Biomass fraction)</v>
          </cell>
          <cell r="I59">
            <v>300</v>
          </cell>
          <cell r="J59" t="str">
            <v>Municipal wastes (Biomass fraction)</v>
          </cell>
          <cell r="K59">
            <v>300</v>
          </cell>
          <cell r="L59" t="str">
            <v>Municipal wastes (Biomass fraction)</v>
          </cell>
          <cell r="M59">
            <v>300</v>
          </cell>
          <cell r="N59" t="str">
            <v>Municipal wastes (Biomass fraction)</v>
          </cell>
          <cell r="O59">
            <v>300</v>
          </cell>
          <cell r="P59" t="str">
            <v>Municipal wastes (Biomass fraction)</v>
          </cell>
          <cell r="Q59">
            <v>300</v>
          </cell>
          <cell r="R59" t="str">
            <v>Municipal wastes (Biomass fraction)</v>
          </cell>
          <cell r="S59">
            <v>300</v>
          </cell>
        </row>
        <row r="60">
          <cell r="B60" t="str">
            <v>Peat</v>
          </cell>
          <cell r="C60">
            <v>1</v>
          </cell>
          <cell r="D60" t="str">
            <v>Peat</v>
          </cell>
          <cell r="E60">
            <v>2</v>
          </cell>
          <cell r="F60" t="str">
            <v>Peat</v>
          </cell>
          <cell r="G60">
            <v>2</v>
          </cell>
          <cell r="H60" t="str">
            <v>Peat</v>
          </cell>
          <cell r="I60">
            <v>10</v>
          </cell>
          <cell r="J60" t="str">
            <v>Peat</v>
          </cell>
          <cell r="K60">
            <v>10</v>
          </cell>
          <cell r="L60" t="str">
            <v>Peat</v>
          </cell>
          <cell r="M60">
            <v>300</v>
          </cell>
          <cell r="N60" t="str">
            <v>Peat</v>
          </cell>
          <cell r="O60">
            <v>300</v>
          </cell>
          <cell r="P60" t="str">
            <v>Peat</v>
          </cell>
          <cell r="Q60">
            <v>300</v>
          </cell>
          <cell r="R60" t="str">
            <v>Peat</v>
          </cell>
          <cell r="S60">
            <v>300</v>
          </cell>
        </row>
        <row r="274">
          <cell r="B274" t="str">
            <v>Energy</v>
          </cell>
          <cell r="C274" t="str">
            <v>energyLiquidEFs</v>
          </cell>
          <cell r="D274" t="str">
            <v>energyGasEFs</v>
          </cell>
        </row>
        <row r="275">
          <cell r="B275" t="str">
            <v>Manufacturing</v>
          </cell>
          <cell r="C275" t="str">
            <v>manufacturingLiquidEFs</v>
          </cell>
          <cell r="D275" t="str">
            <v>manufacturingGasEFs</v>
          </cell>
        </row>
        <row r="276">
          <cell r="B276" t="str">
            <v>Construction</v>
          </cell>
          <cell r="C276" t="str">
            <v>constructionLiquidEFs</v>
          </cell>
          <cell r="D276" t="str">
            <v>constructionGasEFs</v>
          </cell>
        </row>
        <row r="277">
          <cell r="B277" t="str">
            <v>Commercial</v>
          </cell>
          <cell r="C277" t="str">
            <v>commercialLiquidEFs</v>
          </cell>
          <cell r="D277" t="str">
            <v>commercialGasEFs</v>
          </cell>
        </row>
        <row r="278">
          <cell r="B278" t="str">
            <v>Institutional</v>
          </cell>
          <cell r="C278" t="str">
            <v>institutionalLiquidEFs</v>
          </cell>
          <cell r="D278" t="str">
            <v>institutionalGasEFs</v>
          </cell>
        </row>
        <row r="279">
          <cell r="B279" t="str">
            <v>Residential</v>
          </cell>
          <cell r="C279" t="str">
            <v>residentialLiquidEFs</v>
          </cell>
          <cell r="D279" t="str">
            <v>residentialGasEFs</v>
          </cell>
        </row>
        <row r="280">
          <cell r="B280" t="str">
            <v>Agriculture</v>
          </cell>
          <cell r="C280" t="str">
            <v>agricultureLiquidEFs</v>
          </cell>
          <cell r="D280" t="str">
            <v>agricultureGasEFs</v>
          </cell>
        </row>
        <row r="281">
          <cell r="B281" t="str">
            <v>Forestry</v>
          </cell>
          <cell r="C281" t="str">
            <v>forestryLiquidEFs</v>
          </cell>
          <cell r="D281" t="str">
            <v>forestryGasEFs</v>
          </cell>
        </row>
        <row r="282">
          <cell r="B282" t="str">
            <v>Fisheries</v>
          </cell>
          <cell r="C282" t="str">
            <v>fisheriesLiquidEFs</v>
          </cell>
          <cell r="D282" t="str">
            <v>fisheriesGasEFs</v>
          </cell>
        </row>
      </sheetData>
      <sheetData sheetId="9"/>
      <sheetData sheetId="10">
        <row r="7">
          <cell r="B7" t="str">
            <v>Crude oil</v>
          </cell>
          <cell r="C7">
            <v>0.6</v>
          </cell>
          <cell r="D7" t="str">
            <v>Crude oil</v>
          </cell>
          <cell r="E7">
            <v>0.6</v>
          </cell>
          <cell r="F7" t="str">
            <v>Crude oil</v>
          </cell>
          <cell r="G7">
            <v>0.6</v>
          </cell>
          <cell r="H7" t="str">
            <v>Crude oil</v>
          </cell>
          <cell r="I7">
            <v>0.6</v>
          </cell>
          <cell r="J7" t="str">
            <v>Crude oil</v>
          </cell>
          <cell r="K7">
            <v>0.6</v>
          </cell>
          <cell r="L7" t="str">
            <v>Crude oil</v>
          </cell>
          <cell r="M7">
            <v>0.6</v>
          </cell>
          <cell r="N7" t="str">
            <v>Crude oil</v>
          </cell>
          <cell r="O7">
            <v>0.6</v>
          </cell>
          <cell r="P7" t="str">
            <v>Crude oil</v>
          </cell>
          <cell r="Q7">
            <v>0.6</v>
          </cell>
          <cell r="R7" t="str">
            <v>Crude oil</v>
          </cell>
          <cell r="S7">
            <v>0.6</v>
          </cell>
        </row>
        <row r="8">
          <cell r="B8" t="str">
            <v>Orimulsion</v>
          </cell>
          <cell r="C8">
            <v>0.6</v>
          </cell>
          <cell r="D8" t="str">
            <v>Orimulsion</v>
          </cell>
          <cell r="E8">
            <v>0.6</v>
          </cell>
          <cell r="F8" t="str">
            <v>Orimulsion</v>
          </cell>
          <cell r="G8">
            <v>0.6</v>
          </cell>
          <cell r="H8" t="str">
            <v>Orimulsion</v>
          </cell>
          <cell r="I8">
            <v>0.6</v>
          </cell>
          <cell r="J8" t="str">
            <v>Orimulsion</v>
          </cell>
          <cell r="K8">
            <v>0.6</v>
          </cell>
          <cell r="L8" t="str">
            <v>Orimulsion</v>
          </cell>
          <cell r="M8">
            <v>0.6</v>
          </cell>
          <cell r="N8" t="str">
            <v>Orimulsion</v>
          </cell>
          <cell r="O8">
            <v>0.6</v>
          </cell>
          <cell r="P8" t="str">
            <v>Orimulsion</v>
          </cell>
          <cell r="Q8">
            <v>0.6</v>
          </cell>
          <cell r="R8" t="str">
            <v>Orimulsion</v>
          </cell>
          <cell r="S8">
            <v>0.6</v>
          </cell>
        </row>
        <row r="9">
          <cell r="B9" t="str">
            <v>Natural Gas Liquids</v>
          </cell>
          <cell r="C9">
            <v>0.6</v>
          </cell>
          <cell r="D9" t="str">
            <v>Natural Gas Liquids</v>
          </cell>
          <cell r="E9">
            <v>0.6</v>
          </cell>
          <cell r="F9" t="str">
            <v>Natural Gas Liquids</v>
          </cell>
          <cell r="G9">
            <v>0.6</v>
          </cell>
          <cell r="H9" t="str">
            <v>Natural Gas Liquids</v>
          </cell>
          <cell r="I9">
            <v>0.6</v>
          </cell>
          <cell r="J9" t="str">
            <v>Natural Gas Liquids</v>
          </cell>
          <cell r="K9">
            <v>0.6</v>
          </cell>
          <cell r="L9" t="str">
            <v>Natural Gas Liquids</v>
          </cell>
          <cell r="M9">
            <v>0.6</v>
          </cell>
          <cell r="N9" t="str">
            <v>Natural Gas Liquids</v>
          </cell>
          <cell r="O9">
            <v>0.6</v>
          </cell>
          <cell r="P9" t="str">
            <v>Natural Gas Liquids</v>
          </cell>
          <cell r="Q9">
            <v>0.6</v>
          </cell>
          <cell r="R9" t="str">
            <v>Natural Gas Liquids</v>
          </cell>
          <cell r="S9">
            <v>0.6</v>
          </cell>
        </row>
        <row r="10">
          <cell r="B10" t="str">
            <v>Motor gasoline</v>
          </cell>
          <cell r="C10">
            <v>0.6</v>
          </cell>
          <cell r="D10" t="str">
            <v>Motor gasoline</v>
          </cell>
          <cell r="E10">
            <v>0.6</v>
          </cell>
          <cell r="F10" t="str">
            <v>Motor gasoline</v>
          </cell>
          <cell r="G10">
            <v>0.6</v>
          </cell>
          <cell r="H10" t="str">
            <v>Motor gasoline</v>
          </cell>
          <cell r="I10">
            <v>0.6</v>
          </cell>
          <cell r="J10" t="str">
            <v>Motor gasoline</v>
          </cell>
          <cell r="K10">
            <v>0.6</v>
          </cell>
          <cell r="L10" t="str">
            <v>Motor gasoline</v>
          </cell>
          <cell r="M10">
            <v>0.6</v>
          </cell>
          <cell r="N10" t="str">
            <v>Motor gasoline</v>
          </cell>
          <cell r="O10">
            <v>0.6</v>
          </cell>
          <cell r="P10" t="str">
            <v>Motor gasoline</v>
          </cell>
          <cell r="Q10">
            <v>0.6</v>
          </cell>
          <cell r="R10" t="str">
            <v>Motor gasoline</v>
          </cell>
          <cell r="S10">
            <v>0.6</v>
          </cell>
        </row>
        <row r="11">
          <cell r="B11" t="str">
            <v>Aviation gasoline</v>
          </cell>
          <cell r="C11">
            <v>0.6</v>
          </cell>
          <cell r="D11" t="str">
            <v>Aviation gasoline</v>
          </cell>
          <cell r="E11">
            <v>0.6</v>
          </cell>
          <cell r="F11" t="str">
            <v>Aviation gasoline</v>
          </cell>
          <cell r="G11">
            <v>0.6</v>
          </cell>
          <cell r="H11" t="str">
            <v>Aviation gasoline</v>
          </cell>
          <cell r="I11">
            <v>0.6</v>
          </cell>
          <cell r="J11" t="str">
            <v>Aviation gasoline</v>
          </cell>
          <cell r="K11">
            <v>0.6</v>
          </cell>
          <cell r="L11" t="str">
            <v>Aviation gasoline</v>
          </cell>
          <cell r="M11">
            <v>0.6</v>
          </cell>
          <cell r="N11" t="str">
            <v>Aviation gasoline</v>
          </cell>
          <cell r="O11">
            <v>0.6</v>
          </cell>
          <cell r="P11" t="str">
            <v>Aviation gasoline</v>
          </cell>
          <cell r="Q11">
            <v>0.6</v>
          </cell>
          <cell r="R11" t="str">
            <v>Aviation gasoline</v>
          </cell>
          <cell r="S11">
            <v>0.6</v>
          </cell>
        </row>
        <row r="12">
          <cell r="B12" t="str">
            <v>Jet gasoline</v>
          </cell>
          <cell r="C12">
            <v>0.6</v>
          </cell>
          <cell r="D12" t="str">
            <v>Jet gasoline</v>
          </cell>
          <cell r="E12">
            <v>0.6</v>
          </cell>
          <cell r="F12" t="str">
            <v>Jet gasoline</v>
          </cell>
          <cell r="G12">
            <v>0.6</v>
          </cell>
          <cell r="H12" t="str">
            <v>Jet gasoline</v>
          </cell>
          <cell r="I12">
            <v>0.6</v>
          </cell>
          <cell r="J12" t="str">
            <v>Jet gasoline</v>
          </cell>
          <cell r="K12">
            <v>0.6</v>
          </cell>
          <cell r="L12" t="str">
            <v>Jet gasoline</v>
          </cell>
          <cell r="M12">
            <v>0.6</v>
          </cell>
          <cell r="N12" t="str">
            <v>Jet gasoline</v>
          </cell>
          <cell r="O12">
            <v>0.6</v>
          </cell>
          <cell r="P12" t="str">
            <v>Jet gasoline</v>
          </cell>
          <cell r="Q12">
            <v>0.6</v>
          </cell>
          <cell r="R12" t="str">
            <v>Jet gasoline</v>
          </cell>
          <cell r="S12">
            <v>0.6</v>
          </cell>
        </row>
        <row r="13">
          <cell r="B13" t="str">
            <v>Jet kerosene</v>
          </cell>
          <cell r="C13">
            <v>0.6</v>
          </cell>
          <cell r="D13" t="str">
            <v>Jet kerosene</v>
          </cell>
          <cell r="E13">
            <v>0.6</v>
          </cell>
          <cell r="F13" t="str">
            <v>Jet kerosene</v>
          </cell>
          <cell r="G13">
            <v>0.6</v>
          </cell>
          <cell r="H13" t="str">
            <v>Jet kerosene</v>
          </cell>
          <cell r="I13">
            <v>0.6</v>
          </cell>
          <cell r="J13" t="str">
            <v>Jet kerosene</v>
          </cell>
          <cell r="K13">
            <v>0.6</v>
          </cell>
          <cell r="L13" t="str">
            <v>Jet kerosene</v>
          </cell>
          <cell r="M13">
            <v>0.6</v>
          </cell>
          <cell r="N13" t="str">
            <v>Jet kerosene</v>
          </cell>
          <cell r="O13">
            <v>0.6</v>
          </cell>
          <cell r="P13" t="str">
            <v>Jet kerosene</v>
          </cell>
          <cell r="Q13">
            <v>0.6</v>
          </cell>
          <cell r="R13" t="str">
            <v>Jet kerosene</v>
          </cell>
          <cell r="S13">
            <v>0.6</v>
          </cell>
        </row>
        <row r="14">
          <cell r="B14" t="str">
            <v>Other kerosene</v>
          </cell>
          <cell r="C14">
            <v>0.6</v>
          </cell>
          <cell r="D14" t="str">
            <v>Other kerosene</v>
          </cell>
          <cell r="E14">
            <v>0.6</v>
          </cell>
          <cell r="F14" t="str">
            <v>Other kerosene</v>
          </cell>
          <cell r="G14">
            <v>0.6</v>
          </cell>
          <cell r="H14" t="str">
            <v>Other kerosene</v>
          </cell>
          <cell r="I14">
            <v>0.6</v>
          </cell>
          <cell r="J14" t="str">
            <v>Other kerosene</v>
          </cell>
          <cell r="K14">
            <v>0.6</v>
          </cell>
          <cell r="L14" t="str">
            <v>Other kerosene</v>
          </cell>
          <cell r="M14">
            <v>0.6</v>
          </cell>
          <cell r="N14" t="str">
            <v>Other kerosene</v>
          </cell>
          <cell r="O14">
            <v>0.6</v>
          </cell>
          <cell r="P14" t="str">
            <v>Other kerosene</v>
          </cell>
          <cell r="Q14">
            <v>0.6</v>
          </cell>
          <cell r="R14" t="str">
            <v>Other kerosene</v>
          </cell>
          <cell r="S14">
            <v>0.6</v>
          </cell>
        </row>
        <row r="15">
          <cell r="B15" t="str">
            <v>Shale oil</v>
          </cell>
          <cell r="C15">
            <v>0.6</v>
          </cell>
          <cell r="D15" t="str">
            <v>Shale oil</v>
          </cell>
          <cell r="E15">
            <v>0.6</v>
          </cell>
          <cell r="F15" t="str">
            <v>Shale oil</v>
          </cell>
          <cell r="G15">
            <v>0.6</v>
          </cell>
          <cell r="H15" t="str">
            <v>Shale oil</v>
          </cell>
          <cell r="I15">
            <v>0.6</v>
          </cell>
          <cell r="J15" t="str">
            <v>Shale oil</v>
          </cell>
          <cell r="K15">
            <v>0.6</v>
          </cell>
          <cell r="L15" t="str">
            <v>Shale oil</v>
          </cell>
          <cell r="M15">
            <v>0.6</v>
          </cell>
          <cell r="N15" t="str">
            <v>Shale oil</v>
          </cell>
          <cell r="O15">
            <v>0.6</v>
          </cell>
          <cell r="P15" t="str">
            <v>Shale oil</v>
          </cell>
          <cell r="Q15">
            <v>0.6</v>
          </cell>
          <cell r="R15" t="str">
            <v>Shale oil</v>
          </cell>
          <cell r="S15">
            <v>0.6</v>
          </cell>
        </row>
        <row r="16">
          <cell r="B16" t="str">
            <v>Gas/Diesel oil</v>
          </cell>
          <cell r="C16">
            <v>0.6</v>
          </cell>
          <cell r="D16" t="str">
            <v>Gas/Diesel oil</v>
          </cell>
          <cell r="E16">
            <v>0.6</v>
          </cell>
          <cell r="F16" t="str">
            <v>Gas/Diesel oil</v>
          </cell>
          <cell r="G16">
            <v>0.6</v>
          </cell>
          <cell r="H16" t="str">
            <v>Gas/Diesel oil</v>
          </cell>
          <cell r="I16">
            <v>0.6</v>
          </cell>
          <cell r="J16" t="str">
            <v>Gas/Diesel oil</v>
          </cell>
          <cell r="K16">
            <v>0.6</v>
          </cell>
          <cell r="L16" t="str">
            <v>Gas/Diesel oil</v>
          </cell>
          <cell r="M16">
            <v>0.6</v>
          </cell>
          <cell r="N16" t="str">
            <v>Gas/Diesel oil</v>
          </cell>
          <cell r="O16">
            <v>0.6</v>
          </cell>
          <cell r="P16" t="str">
            <v>Gas/Diesel oil</v>
          </cell>
          <cell r="Q16">
            <v>0.6</v>
          </cell>
          <cell r="R16" t="str">
            <v>Gas/Diesel oil</v>
          </cell>
          <cell r="S16">
            <v>0.6</v>
          </cell>
        </row>
        <row r="17">
          <cell r="B17" t="str">
            <v>Residual fuel oil</v>
          </cell>
          <cell r="C17">
            <v>0.6</v>
          </cell>
          <cell r="D17" t="str">
            <v>Residual fuel oil</v>
          </cell>
          <cell r="E17">
            <v>0.6</v>
          </cell>
          <cell r="F17" t="str">
            <v>Residual fuel oil</v>
          </cell>
          <cell r="G17">
            <v>0.6</v>
          </cell>
          <cell r="H17" t="str">
            <v>Residual fuel oil</v>
          </cell>
          <cell r="I17">
            <v>0.6</v>
          </cell>
          <cell r="J17" t="str">
            <v>Residual fuel oil</v>
          </cell>
          <cell r="K17">
            <v>0.6</v>
          </cell>
          <cell r="L17" t="str">
            <v>Residual fuel oil</v>
          </cell>
          <cell r="M17">
            <v>0.6</v>
          </cell>
          <cell r="N17" t="str">
            <v>Residual fuel oil</v>
          </cell>
          <cell r="O17">
            <v>0.6</v>
          </cell>
          <cell r="P17" t="str">
            <v>Residual fuel oil</v>
          </cell>
          <cell r="Q17">
            <v>0.6</v>
          </cell>
          <cell r="R17" t="str">
            <v>Residual fuel oil</v>
          </cell>
          <cell r="S17">
            <v>0.6</v>
          </cell>
        </row>
        <row r="18">
          <cell r="B18" t="str">
            <v>Liquified Petroleum Gases</v>
          </cell>
          <cell r="C18">
            <v>0.1</v>
          </cell>
          <cell r="D18" t="str">
            <v>Liquified Petroleum Gases</v>
          </cell>
          <cell r="E18">
            <v>0.1</v>
          </cell>
          <cell r="F18" t="str">
            <v>Liquified Petroleum Gases</v>
          </cell>
          <cell r="G18">
            <v>0.1</v>
          </cell>
          <cell r="H18" t="str">
            <v>Liquified Petroleum Gases</v>
          </cell>
          <cell r="I18">
            <v>0.1</v>
          </cell>
          <cell r="J18" t="str">
            <v>Liquified Petroleum Gases</v>
          </cell>
          <cell r="K18">
            <v>0.1</v>
          </cell>
          <cell r="L18" t="str">
            <v>Liquified Petroleum Gases</v>
          </cell>
          <cell r="M18">
            <v>0.1</v>
          </cell>
          <cell r="N18" t="str">
            <v>Liquified Petroleum Gases</v>
          </cell>
          <cell r="O18">
            <v>0.1</v>
          </cell>
          <cell r="P18" t="str">
            <v>Liquified Petroleum Gases</v>
          </cell>
          <cell r="Q18">
            <v>0.1</v>
          </cell>
          <cell r="R18" t="str">
            <v>Liquified Petroleum Gases</v>
          </cell>
          <cell r="S18">
            <v>0.1</v>
          </cell>
        </row>
        <row r="19">
          <cell r="B19" t="str">
            <v>Ethane</v>
          </cell>
          <cell r="C19">
            <v>0.1</v>
          </cell>
          <cell r="D19" t="str">
            <v>Ethane</v>
          </cell>
          <cell r="E19">
            <v>0.1</v>
          </cell>
          <cell r="F19" t="str">
            <v>Ethane</v>
          </cell>
          <cell r="G19">
            <v>0.1</v>
          </cell>
          <cell r="H19" t="str">
            <v>Ethane</v>
          </cell>
          <cell r="I19">
            <v>0.1</v>
          </cell>
          <cell r="J19" t="str">
            <v>Ethane</v>
          </cell>
          <cell r="K19">
            <v>0.1</v>
          </cell>
          <cell r="L19" t="str">
            <v>Ethane</v>
          </cell>
          <cell r="M19">
            <v>0.1</v>
          </cell>
          <cell r="N19" t="str">
            <v>Ethane</v>
          </cell>
          <cell r="O19">
            <v>0.1</v>
          </cell>
          <cell r="P19" t="str">
            <v>Ethane</v>
          </cell>
          <cell r="Q19">
            <v>0.1</v>
          </cell>
          <cell r="R19" t="str">
            <v>Ethane</v>
          </cell>
          <cell r="S19">
            <v>0.1</v>
          </cell>
        </row>
        <row r="20">
          <cell r="B20" t="str">
            <v>Naphtha</v>
          </cell>
          <cell r="C20">
            <v>0.6</v>
          </cell>
          <cell r="D20" t="str">
            <v>Naphtha</v>
          </cell>
          <cell r="E20">
            <v>0.6</v>
          </cell>
          <cell r="F20" t="str">
            <v>Naphtha</v>
          </cell>
          <cell r="G20">
            <v>0.6</v>
          </cell>
          <cell r="H20" t="str">
            <v>Naphtha</v>
          </cell>
          <cell r="I20">
            <v>0.6</v>
          </cell>
          <cell r="J20" t="str">
            <v>Naphtha</v>
          </cell>
          <cell r="K20">
            <v>0.6</v>
          </cell>
          <cell r="L20" t="str">
            <v>Naphtha</v>
          </cell>
          <cell r="M20">
            <v>0.6</v>
          </cell>
          <cell r="N20" t="str">
            <v>Naphtha</v>
          </cell>
          <cell r="O20">
            <v>0.6</v>
          </cell>
          <cell r="P20" t="str">
            <v>Naphtha</v>
          </cell>
          <cell r="Q20">
            <v>0.6</v>
          </cell>
          <cell r="R20" t="str">
            <v>Naphtha</v>
          </cell>
          <cell r="S20">
            <v>0.6</v>
          </cell>
        </row>
        <row r="21">
          <cell r="B21" t="str">
            <v>Bitumen</v>
          </cell>
          <cell r="C21">
            <v>0.6</v>
          </cell>
          <cell r="D21" t="str">
            <v>Bitumen</v>
          </cell>
          <cell r="E21">
            <v>0.6</v>
          </cell>
          <cell r="F21" t="str">
            <v>Bitumen</v>
          </cell>
          <cell r="G21">
            <v>0.6</v>
          </cell>
          <cell r="H21" t="str">
            <v>Bitumen</v>
          </cell>
          <cell r="I21">
            <v>0.6</v>
          </cell>
          <cell r="J21" t="str">
            <v>Bitumen</v>
          </cell>
          <cell r="K21">
            <v>0.6</v>
          </cell>
          <cell r="L21" t="str">
            <v>Bitumen</v>
          </cell>
          <cell r="M21">
            <v>0.6</v>
          </cell>
          <cell r="N21" t="str">
            <v>Bitumen</v>
          </cell>
          <cell r="O21">
            <v>0.6</v>
          </cell>
          <cell r="P21" t="str">
            <v>Bitumen</v>
          </cell>
          <cell r="Q21">
            <v>0.6</v>
          </cell>
          <cell r="R21" t="str">
            <v>Bitumen</v>
          </cell>
          <cell r="S21">
            <v>0.6</v>
          </cell>
        </row>
        <row r="22">
          <cell r="B22" t="str">
            <v>Lubricants</v>
          </cell>
          <cell r="C22">
            <v>0.6</v>
          </cell>
          <cell r="D22" t="str">
            <v>Lubricants</v>
          </cell>
          <cell r="E22">
            <v>0.6</v>
          </cell>
          <cell r="F22" t="str">
            <v>Lubricants</v>
          </cell>
          <cell r="G22">
            <v>0.6</v>
          </cell>
          <cell r="H22" t="str">
            <v>Lubricants</v>
          </cell>
          <cell r="I22">
            <v>0.6</v>
          </cell>
          <cell r="J22" t="str">
            <v>Lubricants</v>
          </cell>
          <cell r="K22">
            <v>0.6</v>
          </cell>
          <cell r="L22" t="str">
            <v>Lubricants</v>
          </cell>
          <cell r="M22">
            <v>0.6</v>
          </cell>
          <cell r="N22" t="str">
            <v>Lubricants</v>
          </cell>
          <cell r="O22">
            <v>0.6</v>
          </cell>
          <cell r="P22" t="str">
            <v>Lubricants</v>
          </cell>
          <cell r="Q22">
            <v>0.6</v>
          </cell>
          <cell r="R22" t="str">
            <v>Lubricants</v>
          </cell>
          <cell r="S22">
            <v>0.6</v>
          </cell>
        </row>
        <row r="23">
          <cell r="B23" t="str">
            <v>Petroleum coke</v>
          </cell>
          <cell r="C23">
            <v>0.6</v>
          </cell>
          <cell r="D23" t="str">
            <v>Petroleum coke</v>
          </cell>
          <cell r="E23">
            <v>0.6</v>
          </cell>
          <cell r="F23" t="str">
            <v>Petroleum coke</v>
          </cell>
          <cell r="G23">
            <v>0.6</v>
          </cell>
          <cell r="H23" t="str">
            <v>Petroleum coke</v>
          </cell>
          <cell r="I23">
            <v>0.6</v>
          </cell>
          <cell r="J23" t="str">
            <v>Petroleum coke</v>
          </cell>
          <cell r="K23">
            <v>0.6</v>
          </cell>
          <cell r="L23" t="str">
            <v>Petroleum coke</v>
          </cell>
          <cell r="M23">
            <v>0.6</v>
          </cell>
          <cell r="N23" t="str">
            <v>Petroleum coke</v>
          </cell>
          <cell r="O23">
            <v>0.6</v>
          </cell>
          <cell r="P23" t="str">
            <v>Petroleum coke</v>
          </cell>
          <cell r="Q23">
            <v>0.6</v>
          </cell>
          <cell r="R23" t="str">
            <v>Petroleum coke</v>
          </cell>
          <cell r="S23">
            <v>0.6</v>
          </cell>
        </row>
        <row r="24">
          <cell r="B24" t="str">
            <v>Refinery feedstocks</v>
          </cell>
          <cell r="C24">
            <v>0.6</v>
          </cell>
          <cell r="D24" t="str">
            <v>Refinery feedstocks</v>
          </cell>
          <cell r="E24">
            <v>0.6</v>
          </cell>
          <cell r="F24" t="str">
            <v>Refinery feedstocks</v>
          </cell>
          <cell r="G24">
            <v>0.6</v>
          </cell>
          <cell r="H24" t="str">
            <v>Refinery feedstocks</v>
          </cell>
          <cell r="I24">
            <v>0.6</v>
          </cell>
          <cell r="J24" t="str">
            <v>Refinery feedstocks</v>
          </cell>
          <cell r="K24">
            <v>0.6</v>
          </cell>
          <cell r="L24" t="str">
            <v>Refinery feedstocks</v>
          </cell>
          <cell r="M24">
            <v>0.6</v>
          </cell>
          <cell r="N24" t="str">
            <v>Refinery feedstocks</v>
          </cell>
          <cell r="O24">
            <v>0.6</v>
          </cell>
          <cell r="P24" t="str">
            <v>Refinery feedstocks</v>
          </cell>
          <cell r="Q24">
            <v>0.6</v>
          </cell>
          <cell r="R24" t="str">
            <v>Refinery feedstocks</v>
          </cell>
          <cell r="S24">
            <v>0.6</v>
          </cell>
        </row>
        <row r="25">
          <cell r="B25" t="str">
            <v>Refinery gas</v>
          </cell>
          <cell r="C25">
            <v>0.1</v>
          </cell>
          <cell r="D25" t="str">
            <v>Refinery gas</v>
          </cell>
          <cell r="E25">
            <v>0.1</v>
          </cell>
          <cell r="F25" t="str">
            <v>Refinery gas</v>
          </cell>
          <cell r="G25">
            <v>0.1</v>
          </cell>
          <cell r="H25" t="str">
            <v>Refinery gas</v>
          </cell>
          <cell r="I25">
            <v>0.1</v>
          </cell>
          <cell r="J25" t="str">
            <v>Refinery gas</v>
          </cell>
          <cell r="K25">
            <v>0.1</v>
          </cell>
          <cell r="L25" t="str">
            <v>Refinery gas</v>
          </cell>
          <cell r="M25">
            <v>0.1</v>
          </cell>
          <cell r="N25" t="str">
            <v>Refinery gas</v>
          </cell>
          <cell r="O25">
            <v>0.1</v>
          </cell>
          <cell r="P25" t="str">
            <v>Refinery gas</v>
          </cell>
          <cell r="Q25">
            <v>0.1</v>
          </cell>
          <cell r="R25" t="str">
            <v>Refinery gas</v>
          </cell>
          <cell r="S25">
            <v>0.1</v>
          </cell>
        </row>
        <row r="26">
          <cell r="B26" t="str">
            <v>Paraffin waxes</v>
          </cell>
          <cell r="C26">
            <v>0.6</v>
          </cell>
          <cell r="D26" t="str">
            <v>Paraffin waxes</v>
          </cell>
          <cell r="E26">
            <v>0.6</v>
          </cell>
          <cell r="F26" t="str">
            <v>Paraffin waxes</v>
          </cell>
          <cell r="G26">
            <v>0.6</v>
          </cell>
          <cell r="H26" t="str">
            <v>Paraffin waxes</v>
          </cell>
          <cell r="I26">
            <v>0.6</v>
          </cell>
          <cell r="J26" t="str">
            <v>Paraffin waxes</v>
          </cell>
          <cell r="K26">
            <v>0.6</v>
          </cell>
          <cell r="L26" t="str">
            <v>Paraffin waxes</v>
          </cell>
          <cell r="M26">
            <v>0.6</v>
          </cell>
          <cell r="N26" t="str">
            <v>Paraffin waxes</v>
          </cell>
          <cell r="O26">
            <v>0.6</v>
          </cell>
          <cell r="P26" t="str">
            <v>Paraffin waxes</v>
          </cell>
          <cell r="Q26">
            <v>0.6</v>
          </cell>
          <cell r="R26" t="str">
            <v>Paraffin waxes</v>
          </cell>
          <cell r="S26">
            <v>0.6</v>
          </cell>
        </row>
        <row r="27">
          <cell r="B27" t="str">
            <v>White Spirit/SBP</v>
          </cell>
          <cell r="C27">
            <v>0.6</v>
          </cell>
          <cell r="D27" t="str">
            <v>White Spirit/SBP</v>
          </cell>
          <cell r="E27">
            <v>0.6</v>
          </cell>
          <cell r="F27" t="str">
            <v>White Spirit/SBP</v>
          </cell>
          <cell r="G27">
            <v>0.6</v>
          </cell>
          <cell r="H27" t="str">
            <v>White Spirit/SBP</v>
          </cell>
          <cell r="I27">
            <v>0.6</v>
          </cell>
          <cell r="J27" t="str">
            <v>White Spirit/SBP</v>
          </cell>
          <cell r="K27">
            <v>0.6</v>
          </cell>
          <cell r="L27" t="str">
            <v>White Spirit/SBP</v>
          </cell>
          <cell r="M27">
            <v>0.6</v>
          </cell>
          <cell r="N27" t="str">
            <v>White Spirit/SBP</v>
          </cell>
          <cell r="O27">
            <v>0.6</v>
          </cell>
          <cell r="P27" t="str">
            <v>White Spirit/SBP</v>
          </cell>
          <cell r="Q27">
            <v>0.6</v>
          </cell>
          <cell r="R27" t="str">
            <v>White Spirit/SBP</v>
          </cell>
          <cell r="S27">
            <v>0.6</v>
          </cell>
        </row>
        <row r="28">
          <cell r="B28" t="str">
            <v>Other petroleum products</v>
          </cell>
          <cell r="C28">
            <v>0.6</v>
          </cell>
          <cell r="D28" t="str">
            <v>Other petroleum products</v>
          </cell>
          <cell r="E28">
            <v>0.6</v>
          </cell>
          <cell r="F28" t="str">
            <v>Other petroleum products</v>
          </cell>
          <cell r="G28">
            <v>0.6</v>
          </cell>
          <cell r="H28" t="str">
            <v>Other petroleum products</v>
          </cell>
          <cell r="I28">
            <v>0.6</v>
          </cell>
          <cell r="J28" t="str">
            <v>Other petroleum products</v>
          </cell>
          <cell r="K28">
            <v>0.6</v>
          </cell>
          <cell r="L28" t="str">
            <v>Other petroleum products</v>
          </cell>
          <cell r="M28">
            <v>0.6</v>
          </cell>
          <cell r="N28" t="str">
            <v>Other petroleum products</v>
          </cell>
          <cell r="O28">
            <v>0.6</v>
          </cell>
          <cell r="P28" t="str">
            <v>Other petroleum products</v>
          </cell>
          <cell r="Q28">
            <v>0.6</v>
          </cell>
          <cell r="R28" t="str">
            <v>Other petroleum products</v>
          </cell>
          <cell r="S28">
            <v>0.6</v>
          </cell>
        </row>
        <row r="29">
          <cell r="B29" t="str">
            <v>Anthracite</v>
          </cell>
          <cell r="C29">
            <v>1.5</v>
          </cell>
          <cell r="D29" t="str">
            <v>Anthracite</v>
          </cell>
          <cell r="E29">
            <v>1.5</v>
          </cell>
          <cell r="F29" t="str">
            <v>Anthracite</v>
          </cell>
          <cell r="G29">
            <v>1.5</v>
          </cell>
          <cell r="H29" t="str">
            <v>Anthracite</v>
          </cell>
          <cell r="I29">
            <v>1.5</v>
          </cell>
          <cell r="J29" t="str">
            <v>Anthracite</v>
          </cell>
          <cell r="K29">
            <v>1.5</v>
          </cell>
          <cell r="L29" t="str">
            <v>Anthracite</v>
          </cell>
          <cell r="M29">
            <v>1.5</v>
          </cell>
          <cell r="N29" t="str">
            <v>Anthracite</v>
          </cell>
          <cell r="O29">
            <v>1.5</v>
          </cell>
          <cell r="P29" t="str">
            <v>Anthracite</v>
          </cell>
          <cell r="Q29">
            <v>1.5</v>
          </cell>
          <cell r="R29" t="str">
            <v>Anthracite</v>
          </cell>
          <cell r="S29">
            <v>1.5</v>
          </cell>
        </row>
        <row r="30">
          <cell r="B30" t="str">
            <v>Coking coal</v>
          </cell>
          <cell r="C30">
            <v>1.5</v>
          </cell>
          <cell r="D30" t="str">
            <v>Coking coal</v>
          </cell>
          <cell r="E30">
            <v>1.5</v>
          </cell>
          <cell r="F30" t="str">
            <v>Coking coal</v>
          </cell>
          <cell r="G30">
            <v>1.5</v>
          </cell>
          <cell r="H30" t="str">
            <v>Coking coal</v>
          </cell>
          <cell r="I30">
            <v>1.5</v>
          </cell>
          <cell r="J30" t="str">
            <v>Coking coal</v>
          </cell>
          <cell r="K30">
            <v>1.5</v>
          </cell>
          <cell r="L30" t="str">
            <v>Coking coal</v>
          </cell>
          <cell r="M30">
            <v>1.5</v>
          </cell>
          <cell r="N30" t="str">
            <v>Coking coal</v>
          </cell>
          <cell r="O30">
            <v>1.5</v>
          </cell>
          <cell r="P30" t="str">
            <v>Coking coal</v>
          </cell>
          <cell r="Q30">
            <v>1.5</v>
          </cell>
          <cell r="R30" t="str">
            <v>Coking coal</v>
          </cell>
          <cell r="S30">
            <v>1.5</v>
          </cell>
        </row>
        <row r="31">
          <cell r="B31" t="str">
            <v>Other bituminous coal</v>
          </cell>
          <cell r="C31">
            <v>1.5</v>
          </cell>
          <cell r="D31" t="str">
            <v>Other bituminous coal</v>
          </cell>
          <cell r="E31">
            <v>1.5</v>
          </cell>
          <cell r="F31" t="str">
            <v>Other bituminous coal</v>
          </cell>
          <cell r="G31">
            <v>1.5</v>
          </cell>
          <cell r="H31" t="str">
            <v>Other bituminous coal</v>
          </cell>
          <cell r="I31">
            <v>1.5</v>
          </cell>
          <cell r="J31" t="str">
            <v>Other bituminous coal</v>
          </cell>
          <cell r="K31">
            <v>1.5</v>
          </cell>
          <cell r="L31" t="str">
            <v>Other bituminous coal</v>
          </cell>
          <cell r="M31">
            <v>1.5</v>
          </cell>
          <cell r="N31" t="str">
            <v>Other bituminous coal</v>
          </cell>
          <cell r="O31">
            <v>1.5</v>
          </cell>
          <cell r="P31" t="str">
            <v>Other bituminous coal</v>
          </cell>
          <cell r="Q31">
            <v>1.5</v>
          </cell>
          <cell r="R31" t="str">
            <v>Other bituminous coal</v>
          </cell>
          <cell r="S31">
            <v>1.5</v>
          </cell>
        </row>
        <row r="32">
          <cell r="B32" t="str">
            <v>Sub bituminous coal</v>
          </cell>
          <cell r="C32">
            <v>1.5</v>
          </cell>
          <cell r="D32" t="str">
            <v>Sub bituminous coal</v>
          </cell>
          <cell r="E32">
            <v>1.5</v>
          </cell>
          <cell r="F32" t="str">
            <v>Sub bituminous coal</v>
          </cell>
          <cell r="G32">
            <v>1.5</v>
          </cell>
          <cell r="H32" t="str">
            <v>Sub bituminous coal</v>
          </cell>
          <cell r="I32">
            <v>1.5</v>
          </cell>
          <cell r="J32" t="str">
            <v>Sub bituminous coal</v>
          </cell>
          <cell r="K32">
            <v>1.5</v>
          </cell>
          <cell r="L32" t="str">
            <v>Sub bituminous coal</v>
          </cell>
          <cell r="M32">
            <v>1.5</v>
          </cell>
          <cell r="N32" t="str">
            <v>Sub bituminous coal</v>
          </cell>
          <cell r="O32">
            <v>1.5</v>
          </cell>
          <cell r="P32" t="str">
            <v>Sub bituminous coal</v>
          </cell>
          <cell r="Q32">
            <v>1.5</v>
          </cell>
          <cell r="R32" t="str">
            <v>Sub bituminous coal</v>
          </cell>
          <cell r="S32">
            <v>1.5</v>
          </cell>
        </row>
        <row r="33">
          <cell r="B33" t="str">
            <v>Lignite</v>
          </cell>
          <cell r="C33">
            <v>1.5</v>
          </cell>
          <cell r="D33" t="str">
            <v>Lignite</v>
          </cell>
          <cell r="E33">
            <v>1.5</v>
          </cell>
          <cell r="F33" t="str">
            <v>Lignite</v>
          </cell>
          <cell r="G33">
            <v>1.5</v>
          </cell>
          <cell r="H33" t="str">
            <v>Lignite</v>
          </cell>
          <cell r="I33">
            <v>1.5</v>
          </cell>
          <cell r="J33" t="str">
            <v>Lignite</v>
          </cell>
          <cell r="K33">
            <v>1.5</v>
          </cell>
          <cell r="L33" t="str">
            <v>Lignite</v>
          </cell>
          <cell r="M33">
            <v>1.5</v>
          </cell>
          <cell r="N33" t="str">
            <v>Lignite</v>
          </cell>
          <cell r="O33">
            <v>1.5</v>
          </cell>
          <cell r="P33" t="str">
            <v>Lignite</v>
          </cell>
          <cell r="Q33">
            <v>1.5</v>
          </cell>
          <cell r="R33" t="str">
            <v>Lignite</v>
          </cell>
          <cell r="S33">
            <v>1.5</v>
          </cell>
        </row>
        <row r="34">
          <cell r="B34" t="str">
            <v>Oil shale and tar sands</v>
          </cell>
          <cell r="C34">
            <v>1.5</v>
          </cell>
          <cell r="D34" t="str">
            <v>Oil shale and tar sands</v>
          </cell>
          <cell r="E34">
            <v>1.5</v>
          </cell>
          <cell r="F34" t="str">
            <v>Oil shale and tar sands</v>
          </cell>
          <cell r="G34">
            <v>1.5</v>
          </cell>
          <cell r="H34" t="str">
            <v>Oil shale and tar sands</v>
          </cell>
          <cell r="I34">
            <v>1.5</v>
          </cell>
          <cell r="J34" t="str">
            <v>Oil shale and tar sands</v>
          </cell>
          <cell r="K34">
            <v>1.5</v>
          </cell>
          <cell r="L34" t="str">
            <v>Oil shale and tar sands</v>
          </cell>
          <cell r="M34">
            <v>1.5</v>
          </cell>
          <cell r="N34" t="str">
            <v>Oil shale and tar sands</v>
          </cell>
          <cell r="O34">
            <v>1.5</v>
          </cell>
          <cell r="P34" t="str">
            <v>Oil shale and tar sands</v>
          </cell>
          <cell r="Q34">
            <v>1.5</v>
          </cell>
          <cell r="R34" t="str">
            <v>Oil shale and tar sands</v>
          </cell>
          <cell r="S34">
            <v>1.5</v>
          </cell>
        </row>
        <row r="35">
          <cell r="B35" t="str">
            <v>Brown coal briquettes</v>
          </cell>
          <cell r="C35">
            <v>1.5</v>
          </cell>
          <cell r="D35" t="str">
            <v>Brown coal briquettes</v>
          </cell>
          <cell r="E35">
            <v>1.5</v>
          </cell>
          <cell r="F35" t="str">
            <v>Brown coal briquettes</v>
          </cell>
          <cell r="G35">
            <v>1.5</v>
          </cell>
          <cell r="H35" t="str">
            <v>Brown coal briquettes</v>
          </cell>
          <cell r="I35">
            <v>1.5</v>
          </cell>
          <cell r="J35" t="str">
            <v>Brown coal briquettes</v>
          </cell>
          <cell r="K35">
            <v>1.5</v>
          </cell>
          <cell r="L35" t="str">
            <v>Brown coal briquettes</v>
          </cell>
          <cell r="M35">
            <v>1.5</v>
          </cell>
          <cell r="N35" t="str">
            <v>Brown coal briquettes</v>
          </cell>
          <cell r="O35">
            <v>1.5</v>
          </cell>
          <cell r="P35" t="str">
            <v>Brown coal briquettes</v>
          </cell>
          <cell r="Q35">
            <v>1.5</v>
          </cell>
          <cell r="R35" t="str">
            <v>Brown coal briquettes</v>
          </cell>
          <cell r="S35">
            <v>1.5</v>
          </cell>
        </row>
        <row r="36">
          <cell r="B36" t="str">
            <v>Patent fuel</v>
          </cell>
          <cell r="C36">
            <v>1.5</v>
          </cell>
          <cell r="D36" t="str">
            <v>Patent fuel</v>
          </cell>
          <cell r="E36">
            <v>1.5</v>
          </cell>
          <cell r="F36" t="str">
            <v>Patent fuel</v>
          </cell>
          <cell r="G36">
            <v>1.5</v>
          </cell>
          <cell r="H36" t="str">
            <v>Patent fuel</v>
          </cell>
          <cell r="I36">
            <v>1.5</v>
          </cell>
          <cell r="J36" t="str">
            <v>Patent fuel</v>
          </cell>
          <cell r="K36">
            <v>1.5</v>
          </cell>
          <cell r="L36" t="str">
            <v>Patent fuel</v>
          </cell>
          <cell r="M36">
            <v>1.5</v>
          </cell>
          <cell r="N36" t="str">
            <v>Patent fuel</v>
          </cell>
          <cell r="O36">
            <v>1.5</v>
          </cell>
          <cell r="P36" t="str">
            <v>Patent fuel</v>
          </cell>
          <cell r="Q36">
            <v>1.5</v>
          </cell>
          <cell r="R36" t="str">
            <v>Patent fuel</v>
          </cell>
          <cell r="S36">
            <v>1.5</v>
          </cell>
        </row>
        <row r="37">
          <cell r="B37" t="str">
            <v>Coke oven coke</v>
          </cell>
          <cell r="C37">
            <v>1.5</v>
          </cell>
          <cell r="D37" t="str">
            <v>Coke oven coke</v>
          </cell>
          <cell r="E37">
            <v>1.5</v>
          </cell>
          <cell r="F37" t="str">
            <v>Coke oven coke</v>
          </cell>
          <cell r="G37">
            <v>1.5</v>
          </cell>
          <cell r="H37" t="str">
            <v>Coke oven coke</v>
          </cell>
          <cell r="I37">
            <v>1.5</v>
          </cell>
          <cell r="J37" t="str">
            <v>Coke oven coke</v>
          </cell>
          <cell r="K37">
            <v>1.5</v>
          </cell>
          <cell r="L37" t="str">
            <v>Coke oven coke</v>
          </cell>
          <cell r="M37">
            <v>1.5</v>
          </cell>
          <cell r="N37" t="str">
            <v>Coke oven coke</v>
          </cell>
          <cell r="O37">
            <v>1.5</v>
          </cell>
          <cell r="P37" t="str">
            <v>Coke oven coke</v>
          </cell>
          <cell r="Q37">
            <v>1.5</v>
          </cell>
          <cell r="R37" t="str">
            <v>Coke oven coke</v>
          </cell>
          <cell r="S37">
            <v>1.5</v>
          </cell>
        </row>
        <row r="38">
          <cell r="B38" t="str">
            <v>Lignite coke</v>
          </cell>
          <cell r="C38">
            <v>1.5</v>
          </cell>
          <cell r="D38" t="str">
            <v>Lignite coke</v>
          </cell>
          <cell r="E38">
            <v>1.5</v>
          </cell>
          <cell r="F38" t="str">
            <v>Lignite coke</v>
          </cell>
          <cell r="G38">
            <v>1.5</v>
          </cell>
          <cell r="H38" t="str">
            <v>Lignite coke</v>
          </cell>
          <cell r="I38">
            <v>1.5</v>
          </cell>
          <cell r="J38" t="str">
            <v>Lignite coke</v>
          </cell>
          <cell r="K38">
            <v>1.5</v>
          </cell>
          <cell r="L38" t="str">
            <v>Lignite coke</v>
          </cell>
          <cell r="M38">
            <v>1.5</v>
          </cell>
          <cell r="N38" t="str">
            <v>Lignite coke</v>
          </cell>
          <cell r="O38">
            <v>1.5</v>
          </cell>
          <cell r="P38" t="str">
            <v>Lignite coke</v>
          </cell>
          <cell r="Q38">
            <v>1.5</v>
          </cell>
          <cell r="R38" t="str">
            <v>Lignite coke</v>
          </cell>
          <cell r="S38">
            <v>1.5</v>
          </cell>
        </row>
        <row r="39">
          <cell r="B39" t="str">
            <v>Gas coke</v>
          </cell>
          <cell r="C39">
            <v>0.1</v>
          </cell>
          <cell r="D39" t="str">
            <v>Gas coke</v>
          </cell>
          <cell r="E39">
            <v>0.1</v>
          </cell>
          <cell r="F39" t="str">
            <v>Gas coke</v>
          </cell>
          <cell r="G39">
            <v>0.1</v>
          </cell>
          <cell r="H39" t="str">
            <v>Gas coke</v>
          </cell>
          <cell r="I39">
            <v>0.1</v>
          </cell>
          <cell r="J39" t="str">
            <v>Gas coke</v>
          </cell>
          <cell r="K39">
            <v>0.1</v>
          </cell>
          <cell r="L39" t="str">
            <v>Gas coke</v>
          </cell>
          <cell r="M39">
            <v>0.1</v>
          </cell>
          <cell r="N39" t="str">
            <v>Gas coke</v>
          </cell>
          <cell r="O39">
            <v>0.1</v>
          </cell>
          <cell r="P39" t="str">
            <v>Gas coke</v>
          </cell>
          <cell r="Q39">
            <v>0.1</v>
          </cell>
          <cell r="R39" t="str">
            <v>Gas coke</v>
          </cell>
          <cell r="S39">
            <v>0.1</v>
          </cell>
        </row>
        <row r="40">
          <cell r="B40" t="str">
            <v>Coal tar</v>
          </cell>
          <cell r="C40">
            <v>1.5</v>
          </cell>
          <cell r="D40" t="str">
            <v>Coal tar</v>
          </cell>
          <cell r="E40">
            <v>1.5</v>
          </cell>
          <cell r="F40" t="str">
            <v>Coal tar</v>
          </cell>
          <cell r="G40">
            <v>1.5</v>
          </cell>
          <cell r="H40" t="str">
            <v>Coal tar</v>
          </cell>
          <cell r="I40">
            <v>1.5</v>
          </cell>
          <cell r="J40" t="str">
            <v>Coal tar</v>
          </cell>
          <cell r="K40">
            <v>1.5</v>
          </cell>
          <cell r="L40" t="str">
            <v>Coal tar</v>
          </cell>
          <cell r="M40">
            <v>1.5</v>
          </cell>
          <cell r="N40" t="str">
            <v>Coal tar</v>
          </cell>
          <cell r="O40">
            <v>1.5</v>
          </cell>
          <cell r="P40" t="str">
            <v>Coal tar</v>
          </cell>
          <cell r="Q40">
            <v>1.5</v>
          </cell>
          <cell r="R40" t="str">
            <v>Coal tar</v>
          </cell>
          <cell r="S40">
            <v>1.5</v>
          </cell>
        </row>
        <row r="41">
          <cell r="B41" t="str">
            <v>Gas works gas</v>
          </cell>
          <cell r="C41">
            <v>0.1</v>
          </cell>
          <cell r="D41" t="str">
            <v>Gas works gas</v>
          </cell>
          <cell r="E41">
            <v>0.1</v>
          </cell>
          <cell r="F41" t="str">
            <v>Gas works gas</v>
          </cell>
          <cell r="G41">
            <v>0.1</v>
          </cell>
          <cell r="H41" t="str">
            <v>Gas works gas</v>
          </cell>
          <cell r="I41">
            <v>0.1</v>
          </cell>
          <cell r="J41" t="str">
            <v>Gas works gas</v>
          </cell>
          <cell r="K41">
            <v>0.1</v>
          </cell>
          <cell r="L41" t="str">
            <v>Gas works gas</v>
          </cell>
          <cell r="M41">
            <v>0.1</v>
          </cell>
          <cell r="N41" t="str">
            <v>Gas works gas</v>
          </cell>
          <cell r="O41">
            <v>0.1</v>
          </cell>
          <cell r="P41" t="str">
            <v>Gas works gas</v>
          </cell>
          <cell r="Q41">
            <v>0.1</v>
          </cell>
          <cell r="R41" t="str">
            <v>Gas works gas</v>
          </cell>
          <cell r="S41">
            <v>0.1</v>
          </cell>
        </row>
        <row r="42">
          <cell r="B42" t="str">
            <v>Coke oven gas</v>
          </cell>
          <cell r="C42">
            <v>0.1</v>
          </cell>
          <cell r="D42" t="str">
            <v>Coke oven gas</v>
          </cell>
          <cell r="E42">
            <v>0.1</v>
          </cell>
          <cell r="F42" t="str">
            <v>Coke oven gas</v>
          </cell>
          <cell r="G42">
            <v>0.1</v>
          </cell>
          <cell r="H42" t="str">
            <v>Coke oven gas</v>
          </cell>
          <cell r="I42">
            <v>0.1</v>
          </cell>
          <cell r="J42" t="str">
            <v>Coke oven gas</v>
          </cell>
          <cell r="K42">
            <v>0.1</v>
          </cell>
          <cell r="L42" t="str">
            <v>Coke oven gas</v>
          </cell>
          <cell r="M42">
            <v>0.1</v>
          </cell>
          <cell r="N42" t="str">
            <v>Coke oven gas</v>
          </cell>
          <cell r="O42">
            <v>0.1</v>
          </cell>
          <cell r="P42" t="str">
            <v>Coke oven gas</v>
          </cell>
          <cell r="Q42">
            <v>0.1</v>
          </cell>
          <cell r="R42" t="str">
            <v>Coke oven gas</v>
          </cell>
          <cell r="S42">
            <v>0.1</v>
          </cell>
        </row>
        <row r="43">
          <cell r="B43" t="str">
            <v>Blast furnace gas</v>
          </cell>
          <cell r="C43">
            <v>0.1</v>
          </cell>
          <cell r="D43" t="str">
            <v>Blast furnace gas</v>
          </cell>
          <cell r="E43">
            <v>0.1</v>
          </cell>
          <cell r="F43" t="str">
            <v>Blast furnace gas</v>
          </cell>
          <cell r="G43">
            <v>0.1</v>
          </cell>
          <cell r="H43" t="str">
            <v>Blast furnace gas</v>
          </cell>
          <cell r="I43">
            <v>0.1</v>
          </cell>
          <cell r="J43" t="str">
            <v>Blast furnace gas</v>
          </cell>
          <cell r="K43">
            <v>0.1</v>
          </cell>
          <cell r="L43" t="str">
            <v>Blast furnace gas</v>
          </cell>
          <cell r="M43">
            <v>0.1</v>
          </cell>
          <cell r="N43" t="str">
            <v>Blast furnace gas</v>
          </cell>
          <cell r="O43">
            <v>0.1</v>
          </cell>
          <cell r="P43" t="str">
            <v>Blast furnace gas</v>
          </cell>
          <cell r="Q43">
            <v>0.1</v>
          </cell>
          <cell r="R43" t="str">
            <v>Blast furnace gas</v>
          </cell>
          <cell r="S43">
            <v>0.1</v>
          </cell>
        </row>
        <row r="44">
          <cell r="B44" t="str">
            <v>Oxygen steel furnace gas</v>
          </cell>
          <cell r="C44">
            <v>0.1</v>
          </cell>
          <cell r="D44" t="str">
            <v>Oxygen steel furnace gas</v>
          </cell>
          <cell r="E44">
            <v>0.1</v>
          </cell>
          <cell r="F44" t="str">
            <v>Oxygen steel furnace gas</v>
          </cell>
          <cell r="G44">
            <v>0.1</v>
          </cell>
          <cell r="H44" t="str">
            <v>Oxygen steel furnace gas</v>
          </cell>
          <cell r="I44">
            <v>0.1</v>
          </cell>
          <cell r="J44" t="str">
            <v>Oxygen steel furnace gas</v>
          </cell>
          <cell r="K44">
            <v>0.1</v>
          </cell>
          <cell r="L44" t="str">
            <v>Oxygen steel furnace gas</v>
          </cell>
          <cell r="M44">
            <v>0.1</v>
          </cell>
          <cell r="N44" t="str">
            <v>Oxygen steel furnace gas</v>
          </cell>
          <cell r="O44">
            <v>0.1</v>
          </cell>
          <cell r="P44" t="str">
            <v>Oxygen steel furnace gas</v>
          </cell>
          <cell r="Q44">
            <v>0.1</v>
          </cell>
          <cell r="R44" t="str">
            <v>Oxygen steel furnace gas</v>
          </cell>
          <cell r="S44">
            <v>0.1</v>
          </cell>
        </row>
        <row r="45">
          <cell r="B45" t="str">
            <v>Natural gas</v>
          </cell>
          <cell r="C45">
            <v>0.1</v>
          </cell>
          <cell r="D45" t="str">
            <v>Natural gas</v>
          </cell>
          <cell r="E45">
            <v>0.1</v>
          </cell>
          <cell r="F45" t="str">
            <v>Natural gas</v>
          </cell>
          <cell r="G45">
            <v>0.1</v>
          </cell>
          <cell r="H45" t="str">
            <v>Natural gas</v>
          </cell>
          <cell r="I45">
            <v>0.1</v>
          </cell>
          <cell r="J45" t="str">
            <v>Natural gas</v>
          </cell>
          <cell r="K45">
            <v>0.1</v>
          </cell>
          <cell r="L45" t="str">
            <v>Natural gas</v>
          </cell>
          <cell r="M45">
            <v>0.1</v>
          </cell>
          <cell r="N45" t="str">
            <v>Natural gas</v>
          </cell>
          <cell r="O45">
            <v>0.1</v>
          </cell>
          <cell r="P45" t="str">
            <v>Natural gas</v>
          </cell>
          <cell r="Q45">
            <v>0.1</v>
          </cell>
          <cell r="R45" t="str">
            <v>Natural gas</v>
          </cell>
          <cell r="S45">
            <v>0.1</v>
          </cell>
        </row>
        <row r="46">
          <cell r="B46" t="str">
            <v>Municipal waste (Non biomass fraction)</v>
          </cell>
          <cell r="C46">
            <v>4</v>
          </cell>
          <cell r="D46" t="str">
            <v>Municipal waste (Non biomass fraction)</v>
          </cell>
          <cell r="E46">
            <v>4</v>
          </cell>
          <cell r="F46" t="str">
            <v>Municipal waste (Non biomass fraction)</v>
          </cell>
          <cell r="G46">
            <v>4</v>
          </cell>
          <cell r="H46" t="str">
            <v>Municipal waste (Non biomass fraction)</v>
          </cell>
          <cell r="I46">
            <v>4</v>
          </cell>
          <cell r="J46" t="str">
            <v>Municipal waste (Non biomass fraction)</v>
          </cell>
          <cell r="K46">
            <v>4</v>
          </cell>
          <cell r="L46" t="str">
            <v>Municipal waste (Non biomass fraction)</v>
          </cell>
          <cell r="M46">
            <v>4</v>
          </cell>
          <cell r="N46" t="str">
            <v>Municipal waste (Non biomass fraction)</v>
          </cell>
          <cell r="O46">
            <v>4</v>
          </cell>
          <cell r="P46" t="str">
            <v>Municipal waste (Non biomass fraction)</v>
          </cell>
          <cell r="Q46">
            <v>4</v>
          </cell>
          <cell r="R46" t="str">
            <v>Municipal waste (Non biomass fraction)</v>
          </cell>
          <cell r="S46">
            <v>4</v>
          </cell>
        </row>
        <row r="47">
          <cell r="B47" t="str">
            <v>Industrial wastes</v>
          </cell>
          <cell r="C47">
            <v>4</v>
          </cell>
          <cell r="D47" t="str">
            <v>Industrial wastes</v>
          </cell>
          <cell r="E47">
            <v>4</v>
          </cell>
          <cell r="F47" t="str">
            <v>Industrial wastes</v>
          </cell>
          <cell r="G47">
            <v>4</v>
          </cell>
          <cell r="H47" t="str">
            <v>Industrial wastes</v>
          </cell>
          <cell r="I47">
            <v>4</v>
          </cell>
          <cell r="J47" t="str">
            <v>Industrial wastes</v>
          </cell>
          <cell r="K47">
            <v>4</v>
          </cell>
          <cell r="L47" t="str">
            <v>Industrial wastes</v>
          </cell>
          <cell r="M47">
            <v>4</v>
          </cell>
          <cell r="N47" t="str">
            <v>Industrial wastes</v>
          </cell>
          <cell r="O47">
            <v>4</v>
          </cell>
          <cell r="P47" t="str">
            <v>Industrial wastes</v>
          </cell>
          <cell r="Q47">
            <v>4</v>
          </cell>
          <cell r="R47" t="str">
            <v>Industrial wastes</v>
          </cell>
          <cell r="S47">
            <v>4</v>
          </cell>
        </row>
        <row r="48">
          <cell r="B48" t="str">
            <v>Waste oils</v>
          </cell>
          <cell r="C48">
            <v>4</v>
          </cell>
          <cell r="D48" t="str">
            <v>Waste oils</v>
          </cell>
          <cell r="E48">
            <v>4</v>
          </cell>
          <cell r="F48" t="str">
            <v>Waste oils</v>
          </cell>
          <cell r="G48">
            <v>4</v>
          </cell>
          <cell r="H48" t="str">
            <v>Waste oils</v>
          </cell>
          <cell r="I48">
            <v>4</v>
          </cell>
          <cell r="J48" t="str">
            <v>Waste oils</v>
          </cell>
          <cell r="K48">
            <v>4</v>
          </cell>
          <cell r="L48" t="str">
            <v>Waste oils</v>
          </cell>
          <cell r="M48">
            <v>4</v>
          </cell>
          <cell r="N48" t="str">
            <v>Waste oils</v>
          </cell>
          <cell r="O48">
            <v>4</v>
          </cell>
          <cell r="P48" t="str">
            <v>Waste oils</v>
          </cell>
          <cell r="Q48">
            <v>4</v>
          </cell>
          <cell r="R48" t="str">
            <v>Waste oils</v>
          </cell>
          <cell r="S48">
            <v>4</v>
          </cell>
        </row>
        <row r="49">
          <cell r="B49" t="str">
            <v>Wood or Wood waste</v>
          </cell>
          <cell r="C49">
            <v>4</v>
          </cell>
          <cell r="D49" t="str">
            <v>Wood or Wood waste</v>
          </cell>
          <cell r="E49">
            <v>4</v>
          </cell>
          <cell r="F49" t="str">
            <v>Wood or Wood waste</v>
          </cell>
          <cell r="G49">
            <v>4</v>
          </cell>
          <cell r="H49" t="str">
            <v>Wood or Wood waste</v>
          </cell>
          <cell r="I49">
            <v>4</v>
          </cell>
          <cell r="J49" t="str">
            <v>Wood or Wood waste</v>
          </cell>
          <cell r="K49">
            <v>4</v>
          </cell>
          <cell r="L49" t="str">
            <v>Wood or Wood waste</v>
          </cell>
          <cell r="M49">
            <v>4</v>
          </cell>
          <cell r="N49" t="str">
            <v>Wood or Wood waste</v>
          </cell>
          <cell r="O49">
            <v>4</v>
          </cell>
          <cell r="P49" t="str">
            <v>Wood or Wood waste</v>
          </cell>
          <cell r="Q49">
            <v>4</v>
          </cell>
          <cell r="R49" t="str">
            <v>Wood or Wood waste</v>
          </cell>
          <cell r="S49">
            <v>4</v>
          </cell>
        </row>
        <row r="50">
          <cell r="B50" t="str">
            <v>Sulphite lyes (Black liqour)</v>
          </cell>
          <cell r="C50">
            <v>2</v>
          </cell>
          <cell r="D50" t="str">
            <v>Sulphite lyes (Black liqour)</v>
          </cell>
          <cell r="E50">
            <v>2</v>
          </cell>
          <cell r="F50" t="str">
            <v>Sulphite lyes (Black liqour)</v>
          </cell>
          <cell r="G50">
            <v>2</v>
          </cell>
          <cell r="H50" t="str">
            <v>Sulphite lyes (Black liqour)</v>
          </cell>
          <cell r="I50">
            <v>2</v>
          </cell>
          <cell r="J50" t="str">
            <v>Sulphite lyes (Black liqour)</v>
          </cell>
          <cell r="K50">
            <v>2</v>
          </cell>
          <cell r="L50" t="str">
            <v>Sulphite lyes (Black liqour)</v>
          </cell>
          <cell r="M50">
            <v>2</v>
          </cell>
          <cell r="N50" t="str">
            <v>Sulphite lyes (Black liqour)</v>
          </cell>
          <cell r="O50">
            <v>2</v>
          </cell>
          <cell r="P50" t="str">
            <v>Sulphite lyes (Black liqour)</v>
          </cell>
          <cell r="Q50">
            <v>2</v>
          </cell>
          <cell r="R50" t="str">
            <v>Sulphite lyes (Black liqour)</v>
          </cell>
          <cell r="S50">
            <v>2</v>
          </cell>
        </row>
        <row r="51">
          <cell r="B51" t="str">
            <v>Other primary solid biomass fuels</v>
          </cell>
          <cell r="C51">
            <v>4</v>
          </cell>
          <cell r="D51" t="str">
            <v>Other primary solid biomass fuels</v>
          </cell>
          <cell r="E51">
            <v>4</v>
          </cell>
          <cell r="F51" t="str">
            <v>Other primary solid biomass fuels</v>
          </cell>
          <cell r="G51">
            <v>4</v>
          </cell>
          <cell r="H51" t="str">
            <v>Other primary solid biomass fuels</v>
          </cell>
          <cell r="I51">
            <v>4</v>
          </cell>
          <cell r="J51" t="str">
            <v>Other primary solid biomass fuels</v>
          </cell>
          <cell r="K51">
            <v>4</v>
          </cell>
          <cell r="L51" t="str">
            <v>Other primary solid biomass fuels</v>
          </cell>
          <cell r="M51">
            <v>4</v>
          </cell>
          <cell r="N51" t="str">
            <v>Other primary solid biomass fuels</v>
          </cell>
          <cell r="O51">
            <v>4</v>
          </cell>
          <cell r="P51" t="str">
            <v>Other primary solid biomass fuels</v>
          </cell>
          <cell r="Q51">
            <v>4</v>
          </cell>
          <cell r="R51" t="str">
            <v>Other primary solid biomass fuels</v>
          </cell>
          <cell r="S51">
            <v>4</v>
          </cell>
        </row>
        <row r="52">
          <cell r="B52" t="str">
            <v>Charcoal</v>
          </cell>
          <cell r="C52">
            <v>4</v>
          </cell>
          <cell r="D52" t="str">
            <v>Charcoal</v>
          </cell>
          <cell r="E52">
            <v>4</v>
          </cell>
          <cell r="F52" t="str">
            <v>Charcoal</v>
          </cell>
          <cell r="G52">
            <v>4</v>
          </cell>
          <cell r="H52" t="str">
            <v>Charcoal</v>
          </cell>
          <cell r="I52">
            <v>1</v>
          </cell>
          <cell r="J52" t="str">
            <v>Charcoal</v>
          </cell>
          <cell r="K52">
            <v>1</v>
          </cell>
          <cell r="L52" t="str">
            <v>Charcoal</v>
          </cell>
          <cell r="M52">
            <v>1</v>
          </cell>
          <cell r="N52" t="str">
            <v>Charcoal</v>
          </cell>
          <cell r="O52">
            <v>1</v>
          </cell>
          <cell r="P52" t="str">
            <v>Charcoal</v>
          </cell>
          <cell r="Q52">
            <v>1</v>
          </cell>
          <cell r="R52" t="str">
            <v>Charcoal</v>
          </cell>
          <cell r="S52">
            <v>1</v>
          </cell>
        </row>
        <row r="53">
          <cell r="B53" t="str">
            <v>Biogasoline</v>
          </cell>
          <cell r="C53">
            <v>0.6</v>
          </cell>
          <cell r="D53" t="str">
            <v>Biogasoline</v>
          </cell>
          <cell r="E53">
            <v>0.6</v>
          </cell>
          <cell r="F53" t="str">
            <v>Biogasoline</v>
          </cell>
          <cell r="G53">
            <v>0.6</v>
          </cell>
          <cell r="H53" t="str">
            <v>Biogasoline</v>
          </cell>
          <cell r="I53">
            <v>0.6</v>
          </cell>
          <cell r="J53" t="str">
            <v>Biogasoline</v>
          </cell>
          <cell r="K53">
            <v>0.6</v>
          </cell>
          <cell r="L53" t="str">
            <v>Biogasoline</v>
          </cell>
          <cell r="M53">
            <v>0.6</v>
          </cell>
          <cell r="N53" t="str">
            <v>Biogasoline</v>
          </cell>
          <cell r="O53">
            <v>0.6</v>
          </cell>
          <cell r="P53" t="str">
            <v>Biogasoline</v>
          </cell>
          <cell r="Q53">
            <v>0.6</v>
          </cell>
          <cell r="R53" t="str">
            <v>Biogasoline</v>
          </cell>
          <cell r="S53">
            <v>0.6</v>
          </cell>
        </row>
        <row r="54">
          <cell r="B54" t="str">
            <v>Biodiesels</v>
          </cell>
          <cell r="C54">
            <v>0.6</v>
          </cell>
          <cell r="D54" t="str">
            <v>Biodiesels</v>
          </cell>
          <cell r="E54">
            <v>0.6</v>
          </cell>
          <cell r="F54" t="str">
            <v>Biodiesels</v>
          </cell>
          <cell r="G54">
            <v>0.6</v>
          </cell>
          <cell r="H54" t="str">
            <v>Biodiesels</v>
          </cell>
          <cell r="I54">
            <v>0.6</v>
          </cell>
          <cell r="J54" t="str">
            <v>Biodiesels</v>
          </cell>
          <cell r="K54">
            <v>0.6</v>
          </cell>
          <cell r="L54" t="str">
            <v>Biodiesels</v>
          </cell>
          <cell r="M54">
            <v>0.6</v>
          </cell>
          <cell r="N54" t="str">
            <v>Biodiesels</v>
          </cell>
          <cell r="O54">
            <v>0.6</v>
          </cell>
          <cell r="P54" t="str">
            <v>Biodiesels</v>
          </cell>
          <cell r="Q54">
            <v>0.6</v>
          </cell>
          <cell r="R54" t="str">
            <v>Biodiesels</v>
          </cell>
          <cell r="S54">
            <v>0.6</v>
          </cell>
        </row>
        <row r="55">
          <cell r="B55" t="str">
            <v>Other liquid biofuels</v>
          </cell>
          <cell r="C55">
            <v>0.6</v>
          </cell>
          <cell r="D55" t="str">
            <v>Other liquid biofuels</v>
          </cell>
          <cell r="E55">
            <v>0.6</v>
          </cell>
          <cell r="F55" t="str">
            <v>Other liquid biofuels</v>
          </cell>
          <cell r="G55">
            <v>0.6</v>
          </cell>
          <cell r="H55" t="str">
            <v>Other liquid biofuels</v>
          </cell>
          <cell r="I55">
            <v>0.6</v>
          </cell>
          <cell r="J55" t="str">
            <v>Other liquid biofuels</v>
          </cell>
          <cell r="K55">
            <v>0.6</v>
          </cell>
          <cell r="L55" t="str">
            <v>Other liquid biofuels</v>
          </cell>
          <cell r="M55">
            <v>0.6</v>
          </cell>
          <cell r="N55" t="str">
            <v>Other liquid biofuels</v>
          </cell>
          <cell r="O55">
            <v>0.6</v>
          </cell>
          <cell r="P55" t="str">
            <v>Other liquid biofuels</v>
          </cell>
          <cell r="Q55">
            <v>0.6</v>
          </cell>
          <cell r="R55" t="str">
            <v>Other liquid biofuels</v>
          </cell>
          <cell r="S55">
            <v>0.6</v>
          </cell>
        </row>
        <row r="56">
          <cell r="B56" t="str">
            <v>Landfill gas</v>
          </cell>
          <cell r="C56">
            <v>0.1</v>
          </cell>
          <cell r="D56" t="str">
            <v>Landfill gas</v>
          </cell>
          <cell r="E56">
            <v>0.1</v>
          </cell>
          <cell r="F56" t="str">
            <v>Landfill gas</v>
          </cell>
          <cell r="G56">
            <v>0.1</v>
          </cell>
          <cell r="H56" t="str">
            <v>Landfill gas</v>
          </cell>
          <cell r="I56">
            <v>0.1</v>
          </cell>
          <cell r="J56" t="str">
            <v>Landfill gas</v>
          </cell>
          <cell r="K56">
            <v>0.1</v>
          </cell>
          <cell r="L56" t="str">
            <v>Landfill gas</v>
          </cell>
          <cell r="M56">
            <v>0.1</v>
          </cell>
          <cell r="N56" t="str">
            <v>Landfill gas</v>
          </cell>
          <cell r="O56">
            <v>0.1</v>
          </cell>
          <cell r="P56" t="str">
            <v>Landfill gas</v>
          </cell>
          <cell r="Q56">
            <v>0.1</v>
          </cell>
          <cell r="R56" t="str">
            <v>Landfill gas</v>
          </cell>
          <cell r="S56">
            <v>0.1</v>
          </cell>
        </row>
        <row r="57">
          <cell r="B57" t="str">
            <v>Sludge gas</v>
          </cell>
          <cell r="C57">
            <v>0.1</v>
          </cell>
          <cell r="D57" t="str">
            <v>Sludge gas</v>
          </cell>
          <cell r="E57">
            <v>0.1</v>
          </cell>
          <cell r="F57" t="str">
            <v>Sludge gas</v>
          </cell>
          <cell r="G57">
            <v>0.1</v>
          </cell>
          <cell r="H57" t="str">
            <v>Sludge gas</v>
          </cell>
          <cell r="I57">
            <v>0.1</v>
          </cell>
          <cell r="J57" t="str">
            <v>Sludge gas</v>
          </cell>
          <cell r="K57">
            <v>0.1</v>
          </cell>
          <cell r="L57" t="str">
            <v>Sludge gas</v>
          </cell>
          <cell r="M57">
            <v>0.1</v>
          </cell>
          <cell r="N57" t="str">
            <v>Sludge gas</v>
          </cell>
          <cell r="O57">
            <v>0.1</v>
          </cell>
          <cell r="P57" t="str">
            <v>Sludge gas</v>
          </cell>
          <cell r="Q57">
            <v>0.1</v>
          </cell>
          <cell r="R57" t="str">
            <v>Sludge gas</v>
          </cell>
          <cell r="S57">
            <v>0.1</v>
          </cell>
        </row>
        <row r="58">
          <cell r="B58" t="str">
            <v>Other biogas</v>
          </cell>
          <cell r="C58">
            <v>0.1</v>
          </cell>
          <cell r="D58" t="str">
            <v>Other biogas</v>
          </cell>
          <cell r="E58">
            <v>0.1</v>
          </cell>
          <cell r="F58" t="str">
            <v>Other biogas</v>
          </cell>
          <cell r="G58">
            <v>0.1</v>
          </cell>
          <cell r="H58" t="str">
            <v>Other biogas</v>
          </cell>
          <cell r="I58">
            <v>0.1</v>
          </cell>
          <cell r="J58" t="str">
            <v>Other biogas</v>
          </cell>
          <cell r="K58">
            <v>0.1</v>
          </cell>
          <cell r="L58" t="str">
            <v>Other biogas</v>
          </cell>
          <cell r="M58">
            <v>0.1</v>
          </cell>
          <cell r="N58" t="str">
            <v>Other biogas</v>
          </cell>
          <cell r="O58">
            <v>0.1</v>
          </cell>
          <cell r="P58" t="str">
            <v>Other biogas</v>
          </cell>
          <cell r="Q58">
            <v>0.1</v>
          </cell>
          <cell r="R58" t="str">
            <v>Other biogas</v>
          </cell>
          <cell r="S58">
            <v>0.1</v>
          </cell>
        </row>
        <row r="59">
          <cell r="B59" t="str">
            <v>Municipal wastes (Biomass fraction)</v>
          </cell>
          <cell r="C59">
            <v>4</v>
          </cell>
          <cell r="D59" t="str">
            <v>Municipal wastes (Biomass fraction)</v>
          </cell>
          <cell r="E59">
            <v>4</v>
          </cell>
          <cell r="F59" t="str">
            <v>Municipal wastes (Biomass fraction)</v>
          </cell>
          <cell r="G59">
            <v>4</v>
          </cell>
          <cell r="H59" t="str">
            <v>Municipal wastes (Biomass fraction)</v>
          </cell>
          <cell r="I59">
            <v>4</v>
          </cell>
          <cell r="J59" t="str">
            <v>Municipal wastes (Biomass fraction)</v>
          </cell>
          <cell r="K59">
            <v>4</v>
          </cell>
          <cell r="L59" t="str">
            <v>Municipal wastes (Biomass fraction)</v>
          </cell>
          <cell r="M59">
            <v>4</v>
          </cell>
          <cell r="N59" t="str">
            <v>Municipal wastes (Biomass fraction)</v>
          </cell>
          <cell r="O59">
            <v>4</v>
          </cell>
          <cell r="P59" t="str">
            <v>Municipal wastes (Biomass fraction)</v>
          </cell>
          <cell r="Q59">
            <v>4</v>
          </cell>
          <cell r="R59" t="str">
            <v>Municipal wastes (Biomass fraction)</v>
          </cell>
          <cell r="S59">
            <v>4</v>
          </cell>
        </row>
        <row r="60">
          <cell r="B60" t="str">
            <v>Peat</v>
          </cell>
          <cell r="C60">
            <v>1.5</v>
          </cell>
          <cell r="D60" t="str">
            <v>Peat</v>
          </cell>
          <cell r="E60">
            <v>1.5</v>
          </cell>
          <cell r="F60" t="str">
            <v>Peat</v>
          </cell>
          <cell r="G60">
            <v>1.5</v>
          </cell>
          <cell r="H60" t="str">
            <v>Peat</v>
          </cell>
          <cell r="I60">
            <v>1.4</v>
          </cell>
          <cell r="J60" t="str">
            <v>Peat</v>
          </cell>
          <cell r="K60">
            <v>1.4</v>
          </cell>
          <cell r="L60" t="str">
            <v>Peat</v>
          </cell>
          <cell r="M60">
            <v>1.4</v>
          </cell>
          <cell r="N60" t="str">
            <v>Peat</v>
          </cell>
          <cell r="O60">
            <v>1.4</v>
          </cell>
          <cell r="P60" t="str">
            <v>Peat</v>
          </cell>
          <cell r="Q60">
            <v>1.4</v>
          </cell>
          <cell r="R60" t="str">
            <v>Peat</v>
          </cell>
          <cell r="S60">
            <v>1.4</v>
          </cell>
        </row>
        <row r="274">
          <cell r="B274" t="str">
            <v>Energy</v>
          </cell>
          <cell r="C274" t="str">
            <v>energyLiquidEFsN2O</v>
          </cell>
          <cell r="D274" t="str">
            <v>energyGasEFsN2O</v>
          </cell>
        </row>
        <row r="275">
          <cell r="B275" t="str">
            <v>Manufacturing</v>
          </cell>
          <cell r="C275" t="str">
            <v>manufacturingLiquidEFsN2O</v>
          </cell>
          <cell r="D275" t="str">
            <v>manufacturingGasEFsN2O</v>
          </cell>
        </row>
        <row r="276">
          <cell r="B276" t="str">
            <v>Construction</v>
          </cell>
          <cell r="C276" t="str">
            <v>constructionLiquidEFsN2O</v>
          </cell>
          <cell r="D276" t="str">
            <v>constructionGasEFsN2O</v>
          </cell>
        </row>
        <row r="277">
          <cell r="B277" t="str">
            <v>Commercial</v>
          </cell>
          <cell r="C277" t="str">
            <v>commercialLiquidEFsN2O</v>
          </cell>
          <cell r="D277" t="str">
            <v>commercialGasEFsN2O</v>
          </cell>
        </row>
        <row r="278">
          <cell r="B278" t="str">
            <v>Institutional</v>
          </cell>
          <cell r="C278" t="str">
            <v>institutionalLiquidEFsN2O</v>
          </cell>
          <cell r="D278" t="str">
            <v>institutionalGasEFsN2O</v>
          </cell>
        </row>
        <row r="279">
          <cell r="B279" t="str">
            <v>Residential</v>
          </cell>
          <cell r="C279" t="str">
            <v>residentialLiquidEFsN2O</v>
          </cell>
          <cell r="D279" t="str">
            <v>residentialGasEFsN2O</v>
          </cell>
        </row>
        <row r="280">
          <cell r="B280" t="str">
            <v>Agriculture</v>
          </cell>
          <cell r="C280" t="str">
            <v>agricultureLiquidEFsN2O</v>
          </cell>
          <cell r="D280" t="str">
            <v>agricultureGasEFsN2O</v>
          </cell>
        </row>
        <row r="281">
          <cell r="B281" t="str">
            <v>Forestry</v>
          </cell>
          <cell r="C281" t="str">
            <v>forestryLiquidEFsN2O</v>
          </cell>
          <cell r="D281" t="str">
            <v>forestryGasEFsN2O</v>
          </cell>
        </row>
        <row r="282">
          <cell r="B282" t="str">
            <v>Fisheries</v>
          </cell>
          <cell r="C282" t="str">
            <v>fisheriesLiquidEFsN2O</v>
          </cell>
          <cell r="D282" t="str">
            <v>fisheriesGasEFsN2O</v>
          </cell>
        </row>
        <row r="288">
          <cell r="B288" t="str">
            <v>Energy</v>
          </cell>
          <cell r="C288" t="str">
            <v>EnergyN2O</v>
          </cell>
        </row>
        <row r="289">
          <cell r="B289" t="str">
            <v>Manufacturing</v>
          </cell>
          <cell r="C289" t="str">
            <v>ManufacturingN2O</v>
          </cell>
        </row>
        <row r="290">
          <cell r="B290" t="str">
            <v>Construction</v>
          </cell>
          <cell r="C290" t="str">
            <v>ConstructionN2O</v>
          </cell>
        </row>
        <row r="291">
          <cell r="B291" t="str">
            <v>Commercial</v>
          </cell>
          <cell r="C291" t="str">
            <v>CommercialN2O</v>
          </cell>
        </row>
        <row r="292">
          <cell r="B292" t="str">
            <v>Institutional</v>
          </cell>
          <cell r="C292" t="str">
            <v>InstitutionalN2O</v>
          </cell>
        </row>
        <row r="293">
          <cell r="B293" t="str">
            <v>Residential</v>
          </cell>
          <cell r="C293" t="str">
            <v>ResidentialN2O</v>
          </cell>
        </row>
        <row r="294">
          <cell r="B294" t="str">
            <v>Agriculture</v>
          </cell>
          <cell r="C294" t="str">
            <v>AgricultureN2O</v>
          </cell>
        </row>
        <row r="295">
          <cell r="B295" t="str">
            <v>Forestry</v>
          </cell>
          <cell r="C295" t="str">
            <v>ForestryN2O</v>
          </cell>
        </row>
        <row r="296">
          <cell r="B296" t="str">
            <v>Fisheries</v>
          </cell>
          <cell r="C296" t="str">
            <v>FisheriesN2O</v>
          </cell>
        </row>
      </sheetData>
      <sheetData sheetId="11">
        <row r="5">
          <cell r="B5" t="str">
            <v>Lower Heating Value (LHV) or Net Calorific Value (NCV)</v>
          </cell>
          <cell r="D5">
            <v>1</v>
          </cell>
        </row>
        <row r="6">
          <cell r="B6" t="str">
            <v>Higher Heating Value (HHV) or Gross Calorific Value (GCV)</v>
          </cell>
          <cell r="D6">
            <v>2</v>
          </cell>
        </row>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103">
          <cell r="B103" t="str">
            <v>Bitumen</v>
          </cell>
          <cell r="C103" t="str">
            <v>solidUnits</v>
          </cell>
          <cell r="E103" t="str">
            <v>one</v>
          </cell>
        </row>
        <row r="104">
          <cell r="B104" t="str">
            <v>Petroleum coke</v>
          </cell>
          <cell r="C104" t="str">
            <v>solidUnits</v>
          </cell>
          <cell r="E104" t="str">
            <v>two</v>
          </cell>
        </row>
        <row r="105">
          <cell r="B105" t="str">
            <v>Paraffin waxes</v>
          </cell>
          <cell r="C105" t="str">
            <v>solidUnits</v>
          </cell>
          <cell r="E105" t="str">
            <v>three</v>
          </cell>
        </row>
        <row r="106">
          <cell r="B106" t="str">
            <v>Anthracite</v>
          </cell>
          <cell r="C106" t="str">
            <v>solidUnits</v>
          </cell>
          <cell r="D106" t="str">
            <v>List of solid fuels = 'solids'</v>
          </cell>
          <cell r="E106" t="str">
            <v>four</v>
          </cell>
        </row>
        <row r="107">
          <cell r="B107" t="str">
            <v>Coking coal</v>
          </cell>
          <cell r="C107" t="str">
            <v>solidUnits</v>
          </cell>
          <cell r="E107" t="str">
            <v>five</v>
          </cell>
        </row>
        <row r="108">
          <cell r="B108" t="str">
            <v>Other bituminous coal</v>
          </cell>
          <cell r="C108" t="str">
            <v>solidUnits</v>
          </cell>
          <cell r="E108" t="str">
            <v>six</v>
          </cell>
        </row>
        <row r="109">
          <cell r="B109" t="str">
            <v>Sub bituminous coal</v>
          </cell>
          <cell r="C109" t="str">
            <v>solidUnits</v>
          </cell>
          <cell r="E109" t="str">
            <v>seven</v>
          </cell>
        </row>
        <row r="110">
          <cell r="B110" t="str">
            <v>Lignite</v>
          </cell>
          <cell r="C110" t="str">
            <v>solidUnits</v>
          </cell>
          <cell r="E110" t="str">
            <v>eight</v>
          </cell>
        </row>
        <row r="111">
          <cell r="B111" t="str">
            <v>Brown coal briquettes</v>
          </cell>
          <cell r="C111" t="str">
            <v>solidUnits</v>
          </cell>
          <cell r="E111" t="str">
            <v>nine</v>
          </cell>
        </row>
        <row r="112">
          <cell r="B112" t="str">
            <v>Patent fuel</v>
          </cell>
          <cell r="C112" t="str">
            <v>solidUnits</v>
          </cell>
          <cell r="E112" t="str">
            <v>ten</v>
          </cell>
        </row>
        <row r="113">
          <cell r="B113" t="str">
            <v>Lignite coke</v>
          </cell>
          <cell r="C113" t="str">
            <v>solidUnits</v>
          </cell>
          <cell r="E113" t="str">
            <v>eleven</v>
          </cell>
        </row>
        <row r="114">
          <cell r="B114" t="str">
            <v>Gas coke</v>
          </cell>
          <cell r="C114" t="str">
            <v>solidUnits</v>
          </cell>
          <cell r="E114" t="str">
            <v>twelve</v>
          </cell>
        </row>
        <row r="115">
          <cell r="B115" t="str">
            <v>Coal tar</v>
          </cell>
          <cell r="C115" t="str">
            <v>solidUnits</v>
          </cell>
          <cell r="E115" t="str">
            <v>thirteen</v>
          </cell>
        </row>
        <row r="116">
          <cell r="B116" t="str">
            <v>Municipal waste (Non biomass fraction)</v>
          </cell>
          <cell r="C116" t="str">
            <v>solidUnits</v>
          </cell>
          <cell r="E116" t="str">
            <v>fourteen</v>
          </cell>
        </row>
        <row r="117">
          <cell r="B117" t="str">
            <v>Wood or Wood waste</v>
          </cell>
          <cell r="C117" t="str">
            <v>solidUnits</v>
          </cell>
          <cell r="E117" t="str">
            <v>fiveteen</v>
          </cell>
        </row>
        <row r="118">
          <cell r="B118" t="str">
            <v>Other primary solid biomass fuels</v>
          </cell>
          <cell r="C118" t="str">
            <v>solidUnits</v>
          </cell>
          <cell r="E118" t="str">
            <v>sixteen</v>
          </cell>
        </row>
        <row r="119">
          <cell r="B119" t="str">
            <v>Charcoal</v>
          </cell>
          <cell r="C119" t="str">
            <v>solidUnits</v>
          </cell>
          <cell r="E119" t="str">
            <v>seventeen</v>
          </cell>
        </row>
        <row r="120">
          <cell r="B120" t="str">
            <v>Municipal wastes (Biomass fraction)</v>
          </cell>
          <cell r="C120" t="str">
            <v>solidUnits</v>
          </cell>
          <cell r="E120" t="str">
            <v>eighteen</v>
          </cell>
        </row>
        <row r="121">
          <cell r="B121" t="str">
            <v>Peat</v>
          </cell>
          <cell r="C121" t="str">
            <v>solidUnits</v>
          </cell>
          <cell r="E121" t="str">
            <v>nineteen</v>
          </cell>
        </row>
        <row r="123">
          <cell r="B123" t="str">
            <v>Crude oil</v>
          </cell>
          <cell r="C123" t="str">
            <v>liquidUnits</v>
          </cell>
          <cell r="D123" t="str">
            <v>list of liquid fuels = 'liquid'</v>
          </cell>
          <cell r="E123" t="str">
            <v>twenty</v>
          </cell>
        </row>
        <row r="124">
          <cell r="B124" t="str">
            <v>Motor gasoline</v>
          </cell>
          <cell r="C124" t="str">
            <v>liquidUnits</v>
          </cell>
          <cell r="E124" t="str">
            <v>twentyone</v>
          </cell>
        </row>
        <row r="125">
          <cell r="B125" t="str">
            <v>Aviation gasoline</v>
          </cell>
          <cell r="C125" t="str">
            <v>liquidUnits</v>
          </cell>
          <cell r="E125" t="str">
            <v>twentytwo</v>
          </cell>
        </row>
        <row r="126">
          <cell r="B126" t="str">
            <v>Jet kerosene</v>
          </cell>
          <cell r="C126" t="str">
            <v>liquidUnits</v>
          </cell>
          <cell r="E126" t="str">
            <v>twentythree</v>
          </cell>
        </row>
        <row r="127">
          <cell r="B127" t="str">
            <v>Other kerosene</v>
          </cell>
          <cell r="C127" t="str">
            <v>liquidUnits</v>
          </cell>
          <cell r="E127" t="str">
            <v>twentyfour</v>
          </cell>
        </row>
        <row r="128">
          <cell r="B128" t="str">
            <v>Shale oil</v>
          </cell>
          <cell r="C128" t="str">
            <v>liquidUnits</v>
          </cell>
          <cell r="E128" t="str">
            <v>twentyfive</v>
          </cell>
        </row>
        <row r="129">
          <cell r="B129" t="str">
            <v>Gas/Diesel oil</v>
          </cell>
          <cell r="C129" t="str">
            <v>liquidUnits</v>
          </cell>
          <cell r="E129" t="str">
            <v>twentysix</v>
          </cell>
        </row>
        <row r="130">
          <cell r="B130" t="str">
            <v>Residual fuel oil</v>
          </cell>
          <cell r="C130" t="str">
            <v>liquidUnits</v>
          </cell>
          <cell r="E130" t="str">
            <v>twentyseven</v>
          </cell>
        </row>
        <row r="131">
          <cell r="B131" t="str">
            <v>Liquified Petroleum Gases</v>
          </cell>
          <cell r="C131" t="str">
            <v>liquidUnits</v>
          </cell>
          <cell r="E131" t="str">
            <v>twentyeight</v>
          </cell>
        </row>
        <row r="132">
          <cell r="B132" t="str">
            <v>Naphtha</v>
          </cell>
          <cell r="C132" t="str">
            <v>liquidUnits</v>
          </cell>
          <cell r="E132" t="str">
            <v>twentynine</v>
          </cell>
        </row>
        <row r="133">
          <cell r="B133" t="str">
            <v>Lubricants</v>
          </cell>
          <cell r="C133" t="str">
            <v>liquidUnits</v>
          </cell>
          <cell r="E133" t="str">
            <v>thirty</v>
          </cell>
        </row>
        <row r="134">
          <cell r="B134" t="str">
            <v>Ethane</v>
          </cell>
          <cell r="C134" t="str">
            <v>gasUnits</v>
          </cell>
          <cell r="D134" t="str">
            <v>list of gaseous fuels = 'gas'</v>
          </cell>
          <cell r="E134" t="str">
            <v>thirtyone</v>
          </cell>
        </row>
        <row r="135">
          <cell r="B135" t="str">
            <v>Natural gas</v>
          </cell>
          <cell r="C135" t="str">
            <v>gasUnits</v>
          </cell>
          <cell r="E135" t="str">
            <v>thirtytwo</v>
          </cell>
        </row>
        <row r="136">
          <cell r="B136" t="str">
            <v>Landfill gas</v>
          </cell>
          <cell r="C136" t="str">
            <v>gasUnits</v>
          </cell>
          <cell r="E136" t="str">
            <v>thirtythree</v>
          </cell>
        </row>
        <row r="137">
          <cell r="B137" t="str">
            <v>Orimulsion</v>
          </cell>
          <cell r="E137" t="str">
            <v>thirtyfour</v>
          </cell>
        </row>
        <row r="138">
          <cell r="B138" t="str">
            <v>Natural Gas Liquids</v>
          </cell>
          <cell r="E138" t="str">
            <v>thirtyfive</v>
          </cell>
        </row>
        <row r="139">
          <cell r="B139" t="str">
            <v>Jet gasoline</v>
          </cell>
          <cell r="E139" t="str">
            <v>thirtysix</v>
          </cell>
        </row>
        <row r="140">
          <cell r="B140" t="str">
            <v>Refinery feedstocks</v>
          </cell>
          <cell r="E140" t="str">
            <v>thirtyseven</v>
          </cell>
        </row>
        <row r="141">
          <cell r="B141" t="str">
            <v>Refinery gas</v>
          </cell>
          <cell r="E141" t="str">
            <v>thirtyeight</v>
          </cell>
        </row>
        <row r="142">
          <cell r="B142" t="str">
            <v>White Spirit/SBP</v>
          </cell>
          <cell r="E142" t="str">
            <v>thirtynine</v>
          </cell>
        </row>
        <row r="143">
          <cell r="B143" t="str">
            <v>Oil shale and tar sands</v>
          </cell>
          <cell r="E143" t="str">
            <v>forty</v>
          </cell>
        </row>
        <row r="144">
          <cell r="B144" t="str">
            <v>Gas works gas</v>
          </cell>
          <cell r="E144" t="str">
            <v>fortyone</v>
          </cell>
        </row>
        <row r="145">
          <cell r="B145" t="str">
            <v>Coke oven gas</v>
          </cell>
          <cell r="E145" t="str">
            <v>fortytwo</v>
          </cell>
        </row>
        <row r="146">
          <cell r="B146" t="str">
            <v>Blast furnace gas</v>
          </cell>
          <cell r="E146" t="str">
            <v>fortythree</v>
          </cell>
        </row>
        <row r="147">
          <cell r="B147" t="str">
            <v>Oxygen steel furnace gas</v>
          </cell>
          <cell r="E147" t="str">
            <v>fortyfour</v>
          </cell>
        </row>
        <row r="148">
          <cell r="B148" t="str">
            <v>Sulphite lyes (Black liqour)</v>
          </cell>
          <cell r="E148" t="str">
            <v>fortyfive</v>
          </cell>
        </row>
        <row r="149">
          <cell r="B149" t="str">
            <v>Biogasoline</v>
          </cell>
          <cell r="E149" t="str">
            <v>fortysix</v>
          </cell>
        </row>
        <row r="150">
          <cell r="B150" t="str">
            <v>Biodiesels</v>
          </cell>
          <cell r="E150" t="str">
            <v>fortyseven</v>
          </cell>
        </row>
        <row r="151">
          <cell r="B151" t="str">
            <v>Other liquid biofuels</v>
          </cell>
          <cell r="E151" t="str">
            <v>fortyeight</v>
          </cell>
        </row>
        <row r="152">
          <cell r="B152" t="str">
            <v>Sludge gas</v>
          </cell>
          <cell r="E152" t="str">
            <v>fortynine</v>
          </cell>
        </row>
        <row r="153">
          <cell r="B153" t="str">
            <v>Other biogas</v>
          </cell>
          <cell r="E153" t="str">
            <v>fifty</v>
          </cell>
        </row>
        <row r="154">
          <cell r="B154">
            <v>0</v>
          </cell>
          <cell r="E154" t="str">
            <v>fiftyone</v>
          </cell>
        </row>
        <row r="155">
          <cell r="B155">
            <v>1</v>
          </cell>
          <cell r="E155" t="str">
            <v>fiftytwo</v>
          </cell>
        </row>
        <row r="156">
          <cell r="B156">
            <v>2</v>
          </cell>
          <cell r="E156" t="str">
            <v>fiftythree</v>
          </cell>
        </row>
        <row r="157">
          <cell r="B157">
            <v>3</v>
          </cell>
          <cell r="E157" t="str">
            <v>fiftyfour</v>
          </cell>
        </row>
        <row r="193">
          <cell r="B193" t="str">
            <v>Solid fossil</v>
          </cell>
          <cell r="C193" t="str">
            <v>solidFossil</v>
          </cell>
        </row>
        <row r="194">
          <cell r="B194" t="str">
            <v>Liquid fossil</v>
          </cell>
          <cell r="C194" t="str">
            <v>liquidFossil</v>
          </cell>
        </row>
        <row r="195">
          <cell r="B195" t="str">
            <v>Gaseous fossil</v>
          </cell>
          <cell r="C195" t="str">
            <v>gaseousFossil</v>
          </cell>
        </row>
        <row r="196">
          <cell r="B196" t="str">
            <v>Biomass</v>
          </cell>
          <cell r="C196" t="str">
            <v>Biomass</v>
          </cell>
        </row>
        <row r="197">
          <cell r="B197" t="str">
            <v>My fuels</v>
          </cell>
          <cell r="C197" t="str">
            <v>myFuels</v>
          </cell>
        </row>
        <row r="203">
          <cell r="B203" t="str">
            <v>Anthracite</v>
          </cell>
          <cell r="C203">
            <v>1.0526315789473684</v>
          </cell>
        </row>
        <row r="204">
          <cell r="B204" t="str">
            <v>Bitumen</v>
          </cell>
          <cell r="C204">
            <v>1.0526315789473684</v>
          </cell>
        </row>
        <row r="205">
          <cell r="B205" t="str">
            <v>Brown coal briquettes</v>
          </cell>
          <cell r="C205">
            <v>1.0526315789473699</v>
          </cell>
        </row>
        <row r="206">
          <cell r="B206" t="str">
            <v>Coal tar</v>
          </cell>
          <cell r="C206">
            <v>1.0526315789473699</v>
          </cell>
        </row>
        <row r="207">
          <cell r="B207" t="str">
            <v>Coke oven coke</v>
          </cell>
          <cell r="C207">
            <v>1.0526315789473699</v>
          </cell>
        </row>
        <row r="208">
          <cell r="B208" t="str">
            <v>Coking coal</v>
          </cell>
          <cell r="C208">
            <v>1.0526315789473699</v>
          </cell>
        </row>
        <row r="209">
          <cell r="B209" t="str">
            <v>Gas coke</v>
          </cell>
          <cell r="C209">
            <v>1.0526315789473699</v>
          </cell>
        </row>
        <row r="210">
          <cell r="B210" t="str">
            <v>Lignite</v>
          </cell>
          <cell r="C210">
            <v>1.0526315789473699</v>
          </cell>
        </row>
        <row r="211">
          <cell r="B211" t="str">
            <v>Lignite coke</v>
          </cell>
          <cell r="C211">
            <v>1.0526315789473699</v>
          </cell>
        </row>
        <row r="212">
          <cell r="B212" t="str">
            <v>Municipal waste (Non biomass fraction)</v>
          </cell>
          <cell r="C212">
            <v>1.0526315789473699</v>
          </cell>
        </row>
        <row r="213">
          <cell r="B213" t="str">
            <v>Other bituminous coal</v>
          </cell>
          <cell r="C213">
            <v>1.0526315789473699</v>
          </cell>
        </row>
        <row r="214">
          <cell r="B214" t="str">
            <v>Paraffin waxes</v>
          </cell>
          <cell r="C214">
            <v>1.0526315789473699</v>
          </cell>
        </row>
        <row r="215">
          <cell r="B215" t="str">
            <v>Patent fuel</v>
          </cell>
          <cell r="C215">
            <v>1.0526315789473699</v>
          </cell>
        </row>
        <row r="216">
          <cell r="B216" t="str">
            <v>Petroleum coke</v>
          </cell>
          <cell r="C216">
            <v>1.0526315789473699</v>
          </cell>
        </row>
        <row r="217">
          <cell r="B217" t="str">
            <v>Sub bituminous coal</v>
          </cell>
          <cell r="C217">
            <v>1.0526315789473699</v>
          </cell>
        </row>
        <row r="218">
          <cell r="B218" t="str">
            <v>Municipal wastes (Biomass fraction)</v>
          </cell>
          <cell r="C218">
            <v>1.0526315789473699</v>
          </cell>
        </row>
        <row r="219">
          <cell r="B219" t="str">
            <v>Other primary solid biomass fuels</v>
          </cell>
          <cell r="C219">
            <v>1.0526315789473699</v>
          </cell>
        </row>
        <row r="220">
          <cell r="B220" t="str">
            <v>Peat</v>
          </cell>
          <cell r="C220">
            <v>1.0526315789473699</v>
          </cell>
        </row>
        <row r="221">
          <cell r="B221" t="str">
            <v>Wood or Wood waste</v>
          </cell>
          <cell r="C221">
            <v>1.0526315789473699</v>
          </cell>
        </row>
        <row r="222">
          <cell r="B222" t="str">
            <v>Charcoal</v>
          </cell>
          <cell r="C222">
            <v>1.0526315789473699</v>
          </cell>
        </row>
        <row r="223">
          <cell r="B223" t="str">
            <v>Aviation gasoline</v>
          </cell>
          <cell r="C223">
            <v>1.0526315789473699</v>
          </cell>
        </row>
        <row r="224">
          <cell r="B224" t="str">
            <v>Crude oil</v>
          </cell>
          <cell r="C224">
            <v>1.0526315789473699</v>
          </cell>
        </row>
        <row r="225">
          <cell r="B225" t="str">
            <v>Gas/Diesel oil</v>
          </cell>
          <cell r="C225">
            <v>1.0526315789473699</v>
          </cell>
        </row>
        <row r="226">
          <cell r="B226" t="str">
            <v>Jet gasoline</v>
          </cell>
          <cell r="C226">
            <v>1.0526315789473699</v>
          </cell>
        </row>
        <row r="227">
          <cell r="B227" t="str">
            <v>Jet kerosene</v>
          </cell>
          <cell r="C227">
            <v>1.0526315789473699</v>
          </cell>
        </row>
        <row r="228">
          <cell r="B228" t="str">
            <v>Lubricants</v>
          </cell>
          <cell r="C228">
            <v>1.0526315789473699</v>
          </cell>
        </row>
        <row r="229">
          <cell r="B229" t="str">
            <v>Motor gasoline</v>
          </cell>
          <cell r="C229">
            <v>1.0526315789473699</v>
          </cell>
        </row>
        <row r="230">
          <cell r="B230" t="str">
            <v>Naphtha</v>
          </cell>
          <cell r="C230">
            <v>1.0526315789473699</v>
          </cell>
        </row>
        <row r="231">
          <cell r="B231" t="str">
            <v>Natural Gas Liquids</v>
          </cell>
          <cell r="C231">
            <v>1.0526315789473699</v>
          </cell>
        </row>
        <row r="232">
          <cell r="B232" t="str">
            <v>Oil shale and tar sands</v>
          </cell>
          <cell r="C232">
            <v>1.0526315789473699</v>
          </cell>
        </row>
        <row r="233">
          <cell r="B233" t="str">
            <v>Orimulsion</v>
          </cell>
          <cell r="C233">
            <v>1.0526315789473699</v>
          </cell>
        </row>
        <row r="234">
          <cell r="B234" t="str">
            <v>Other kerosene</v>
          </cell>
          <cell r="C234">
            <v>1.0526315789473699</v>
          </cell>
        </row>
        <row r="235">
          <cell r="B235" t="str">
            <v>Refinery feedstocks</v>
          </cell>
          <cell r="C235">
            <v>1.0526315789473699</v>
          </cell>
        </row>
        <row r="236">
          <cell r="B236" t="str">
            <v>Residual fuel oil</v>
          </cell>
          <cell r="C236">
            <v>1.0526315789473699</v>
          </cell>
        </row>
        <row r="237">
          <cell r="B237" t="str">
            <v>Shale oil</v>
          </cell>
          <cell r="C237">
            <v>1.0526315789473699</v>
          </cell>
        </row>
        <row r="238">
          <cell r="B238" t="str">
            <v>Waste oils</v>
          </cell>
          <cell r="C238">
            <v>1.0526315789473699</v>
          </cell>
        </row>
        <row r="239">
          <cell r="B239" t="str">
            <v>White Spirit/SBP</v>
          </cell>
          <cell r="C239">
            <v>1.0526315789473699</v>
          </cell>
        </row>
        <row r="240">
          <cell r="B240" t="str">
            <v>Biodiesels</v>
          </cell>
          <cell r="C240">
            <v>1.0526315789473699</v>
          </cell>
        </row>
        <row r="241">
          <cell r="B241" t="str">
            <v>Biogasoline</v>
          </cell>
          <cell r="C241">
            <v>1.0526315789473699</v>
          </cell>
        </row>
        <row r="242">
          <cell r="B242" t="str">
            <v>Other liquid biofuels</v>
          </cell>
          <cell r="C242">
            <v>1.0526315789473699</v>
          </cell>
        </row>
        <row r="243">
          <cell r="B243" t="str">
            <v>Sulphite lyes (Black liqour)</v>
          </cell>
          <cell r="C243">
            <v>1.0526315789473699</v>
          </cell>
        </row>
        <row r="244">
          <cell r="B244" t="str">
            <v>Blast furnace gas</v>
          </cell>
          <cell r="C244">
            <v>1.1111111111111112</v>
          </cell>
        </row>
        <row r="245">
          <cell r="B245" t="str">
            <v>Coke oven gas</v>
          </cell>
          <cell r="C245">
            <v>1.1111111111111112</v>
          </cell>
        </row>
        <row r="246">
          <cell r="B246" t="str">
            <v>Ethane</v>
          </cell>
          <cell r="C246">
            <v>1.1111111111111112</v>
          </cell>
        </row>
        <row r="247">
          <cell r="B247" t="str">
            <v>Gas works gas</v>
          </cell>
          <cell r="C247">
            <v>1.1111111111111112</v>
          </cell>
        </row>
        <row r="248">
          <cell r="B248" t="str">
            <v>Liquified Petroleum Gases</v>
          </cell>
          <cell r="C248">
            <v>1.1111111111111112</v>
          </cell>
        </row>
        <row r="249">
          <cell r="B249" t="str">
            <v>Natural gas</v>
          </cell>
          <cell r="C249">
            <v>1.1111111111111112</v>
          </cell>
        </row>
        <row r="250">
          <cell r="B250" t="str">
            <v>Oxygen steel furnace gas</v>
          </cell>
          <cell r="C250">
            <v>1.1111111111111112</v>
          </cell>
        </row>
        <row r="251">
          <cell r="B251" t="str">
            <v>Refinery gas</v>
          </cell>
          <cell r="C251">
            <v>1.1111111111111112</v>
          </cell>
        </row>
        <row r="252">
          <cell r="B252" t="str">
            <v>Landfill gas</v>
          </cell>
          <cell r="C252">
            <v>1.1111111111111112</v>
          </cell>
        </row>
        <row r="253">
          <cell r="B253" t="str">
            <v>Other biogas</v>
          </cell>
          <cell r="C253">
            <v>1.1111111111111112</v>
          </cell>
        </row>
        <row r="254">
          <cell r="B254" t="str">
            <v>Sludge gas</v>
          </cell>
          <cell r="C254">
            <v>1.1111111111111112</v>
          </cell>
        </row>
        <row r="258">
          <cell r="B258" t="str">
            <v>1995 IPCC Second Assessment Report</v>
          </cell>
          <cell r="C258">
            <v>1</v>
          </cell>
          <cell r="D258">
            <v>21</v>
          </cell>
          <cell r="E258">
            <v>310</v>
          </cell>
        </row>
        <row r="259">
          <cell r="B259" t="str">
            <v>2001 IPCC Third Assessment Report</v>
          </cell>
          <cell r="C259">
            <v>2</v>
          </cell>
          <cell r="D259">
            <v>23</v>
          </cell>
          <cell r="E259">
            <v>296</v>
          </cell>
        </row>
        <row r="260">
          <cell r="B260" t="str">
            <v>2007 IPCC Fourth Assesment Report</v>
          </cell>
          <cell r="C260">
            <v>3</v>
          </cell>
          <cell r="D260">
            <v>25</v>
          </cell>
          <cell r="E260">
            <v>298</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62">
          <cell r="B362" t="str">
            <v>TJ</v>
          </cell>
          <cell r="C362" t="str">
            <v>fiftyone</v>
          </cell>
        </row>
        <row r="363">
          <cell r="B363" t="str">
            <v>GJ</v>
          </cell>
          <cell r="C363" t="str">
            <v>fiftyone</v>
          </cell>
        </row>
        <row r="364">
          <cell r="B364" t="str">
            <v>MJ</v>
          </cell>
          <cell r="C364" t="str">
            <v>fiftyone</v>
          </cell>
        </row>
        <row r="365">
          <cell r="B365" t="str">
            <v>kWh</v>
          </cell>
          <cell r="C365" t="str">
            <v>fiftyone</v>
          </cell>
        </row>
        <row r="366">
          <cell r="B366" t="str">
            <v>mmBtu</v>
          </cell>
          <cell r="C366" t="str">
            <v>fiftyone</v>
          </cell>
        </row>
        <row r="367">
          <cell r="B367" t="str">
            <v>Therm</v>
          </cell>
          <cell r="C367" t="str">
            <v>fiftyone</v>
          </cell>
        </row>
        <row r="368">
          <cell r="B368" t="str">
            <v>metric tonne (t)</v>
          </cell>
          <cell r="C368" t="str">
            <v>fiftytwo</v>
          </cell>
        </row>
        <row r="369">
          <cell r="B369" t="str">
            <v>pound (lb)</v>
          </cell>
          <cell r="C369" t="str">
            <v>fiftytwo</v>
          </cell>
        </row>
        <row r="370">
          <cell r="B370" t="str">
            <v>Kg</v>
          </cell>
          <cell r="C370" t="str">
            <v>fiftytwo</v>
          </cell>
        </row>
        <row r="371">
          <cell r="B371" t="str">
            <v>barrel (bbl)</v>
          </cell>
          <cell r="C371" t="str">
            <v>fiftythree</v>
          </cell>
        </row>
        <row r="372">
          <cell r="B372" t="str">
            <v xml:space="preserve">gallon </v>
          </cell>
          <cell r="C372" t="str">
            <v>fiftythree</v>
          </cell>
        </row>
        <row r="373">
          <cell r="B373" t="str">
            <v>litres (l)</v>
          </cell>
          <cell r="C373" t="str">
            <v>fiftythree</v>
          </cell>
        </row>
        <row r="374">
          <cell r="B374" t="str">
            <v>foot3</v>
          </cell>
          <cell r="C374" t="str">
            <v>fiftyfour</v>
          </cell>
        </row>
        <row r="375">
          <cell r="B375" t="str">
            <v>metre3</v>
          </cell>
          <cell r="C375" t="str">
            <v>fiftyfour</v>
          </cell>
        </row>
        <row r="379">
          <cell r="B379" t="str">
            <v>Kg</v>
          </cell>
          <cell r="C379" t="str">
            <v>metric tonne (t)</v>
          </cell>
          <cell r="D379">
            <v>1000</v>
          </cell>
          <cell r="E379">
            <v>1E-3</v>
          </cell>
        </row>
        <row r="380">
          <cell r="B380" t="str">
            <v>metric tonne (t)</v>
          </cell>
          <cell r="C380" t="str">
            <v>metric tonne (t)</v>
          </cell>
          <cell r="D380">
            <v>1</v>
          </cell>
          <cell r="E380">
            <v>1</v>
          </cell>
        </row>
        <row r="381">
          <cell r="B381" t="str">
            <v>pound (lb)</v>
          </cell>
          <cell r="C381" t="str">
            <v>metric tonne (t)</v>
          </cell>
          <cell r="D381">
            <v>2205</v>
          </cell>
          <cell r="E381">
            <v>4.5351473922902497E-4</v>
          </cell>
        </row>
        <row r="382">
          <cell r="B382" t="str">
            <v>TJ</v>
          </cell>
          <cell r="C382" t="str">
            <v>TJ</v>
          </cell>
          <cell r="D382">
            <v>1</v>
          </cell>
          <cell r="E382">
            <v>1</v>
          </cell>
        </row>
        <row r="383">
          <cell r="B383" t="str">
            <v>GJ</v>
          </cell>
          <cell r="C383" t="str">
            <v>TJ</v>
          </cell>
          <cell r="D383">
            <v>1000</v>
          </cell>
          <cell r="E383">
            <v>1E-3</v>
          </cell>
        </row>
        <row r="384">
          <cell r="B384" t="str">
            <v>MJ</v>
          </cell>
          <cell r="C384" t="str">
            <v>TJ</v>
          </cell>
          <cell r="D384">
            <v>1000000</v>
          </cell>
          <cell r="E384">
            <v>9.9999999999999995E-7</v>
          </cell>
        </row>
        <row r="385">
          <cell r="B385" t="str">
            <v>kWh</v>
          </cell>
          <cell r="C385" t="str">
            <v>TJ</v>
          </cell>
          <cell r="D385">
            <v>277800</v>
          </cell>
          <cell r="E385">
            <v>3.5997120230381568E-6</v>
          </cell>
        </row>
        <row r="386">
          <cell r="B386" t="str">
            <v>mmBtu</v>
          </cell>
          <cell r="C386" t="str">
            <v>TJ</v>
          </cell>
          <cell r="D386">
            <v>947.8672985781991</v>
          </cell>
          <cell r="E386">
            <v>1.0549999999999999E-3</v>
          </cell>
        </row>
        <row r="387">
          <cell r="B387" t="str">
            <v>Therm</v>
          </cell>
          <cell r="C387" t="str">
            <v>TJ</v>
          </cell>
          <cell r="D387">
            <v>9478.6729857819901</v>
          </cell>
          <cell r="E387">
            <v>1.055E-4</v>
          </cell>
        </row>
        <row r="388">
          <cell r="B388" t="str">
            <v>barrel (bbl)</v>
          </cell>
          <cell r="C388" t="str">
            <v>L</v>
          </cell>
          <cell r="D388">
            <v>6.2904950619613754E-3</v>
          </cell>
          <cell r="E388">
            <v>158.97000000000003</v>
          </cell>
        </row>
        <row r="389">
          <cell r="B389" t="str">
            <v xml:space="preserve">gallon </v>
          </cell>
          <cell r="C389" t="str">
            <v>L</v>
          </cell>
          <cell r="D389">
            <v>0.26420079260237778</v>
          </cell>
          <cell r="E389">
            <v>3.7850000000000006</v>
          </cell>
        </row>
        <row r="390">
          <cell r="B390" t="str">
            <v>litres (l)</v>
          </cell>
          <cell r="C390" t="str">
            <v>L</v>
          </cell>
          <cell r="D390">
            <v>1</v>
          </cell>
          <cell r="E390">
            <v>1</v>
          </cell>
        </row>
        <row r="391">
          <cell r="B391" t="str">
            <v>foot3</v>
          </cell>
          <cell r="C391" t="str">
            <v>m3</v>
          </cell>
          <cell r="D391">
            <v>35.310734463276837</v>
          </cell>
          <cell r="E391">
            <v>2.8319999999999998E-2</v>
          </cell>
        </row>
        <row r="392">
          <cell r="B392" t="str">
            <v>metre3</v>
          </cell>
          <cell r="C392" t="str">
            <v>m4</v>
          </cell>
          <cell r="D392">
            <v>1</v>
          </cell>
          <cell r="E392">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Caracterización"/>
      <sheetName val="1-Combustibles y Lubricantes"/>
      <sheetName val="2-Equipamientos (Móvil_Fijo)"/>
      <sheetName val="3-Equip. Comb. NO Adquirido"/>
      <sheetName val="4-Transporte Diário_Subcontr"/>
      <sheetName val="5-Rrefrigeración"/>
      <sheetName val="6-Corte y Soldadura "/>
      <sheetName val="7-Explosivos"/>
      <sheetName val="8-Eletriciadad"/>
      <sheetName val="9-Infra-Electrica (SF6)"/>
      <sheetName val="10-Viajens Aéreas"/>
      <sheetName val="11-Cemento_Concreto"/>
      <sheetName val="12-Acero"/>
      <sheetName val="13-Residuos Sólidos"/>
      <sheetName val="D.Resíduos"/>
      <sheetName val="DADOS"/>
      <sheetName val="14-Efluentes"/>
      <sheetName val="15-Deforestación_Refl"/>
      <sheetName val="16- Transporte de gde. cargas"/>
      <sheetName val="17-GAS_GLP"/>
      <sheetName val="Abreviações e Definições"/>
      <sheetName val="Factores de Convers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K2" t="str">
            <v>Biodiesel (B100)</v>
          </cell>
        </row>
        <row r="3">
          <cell r="K3" t="str">
            <v>Diesel (B5)</v>
          </cell>
        </row>
        <row r="4">
          <cell r="K4" t="str">
            <v>Etanol (E100)</v>
          </cell>
        </row>
        <row r="5">
          <cell r="K5" t="str">
            <v>Gasolina</v>
          </cell>
        </row>
        <row r="6">
          <cell r="K6" t="str">
            <v>Diesel</v>
          </cell>
        </row>
        <row r="7">
          <cell r="K7" t="str">
            <v>Gas Natural (GNC)</v>
          </cell>
        </row>
        <row r="8">
          <cell r="K8" t="str">
            <v xml:space="preserve"> Gas Licuado de Petróleo (GLP)</v>
          </cell>
        </row>
        <row r="9">
          <cell r="K9" t="str">
            <v>Gas Natural Licuado</v>
          </cell>
        </row>
        <row r="10">
          <cell r="K10" t="str">
            <v>Aceite PFB</v>
          </cell>
        </row>
        <row r="11">
          <cell r="K11" t="str">
            <v xml:space="preserve"> Fuel oil residual (3s 5 e 6)</v>
          </cell>
        </row>
        <row r="12">
          <cell r="K12" t="str">
            <v>Grasa</v>
          </cell>
        </row>
        <row r="13">
          <cell r="K13" t="str">
            <v>Aceite Hidráulico</v>
          </cell>
        </row>
        <row r="14">
          <cell r="K14" t="str">
            <v>Aceite Lubrificante</v>
          </cell>
        </row>
        <row r="15">
          <cell r="K15" t="str">
            <v>Propano</v>
          </cell>
        </row>
        <row r="16">
          <cell r="K16" t="str">
            <v>Otros combustibles*</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s Estacionarias"/>
      <sheetName val="Factores de Emisión"/>
    </sheetNames>
    <sheetDataSet>
      <sheetData sheetId="0" refreshError="1"/>
      <sheetData sheetId="1">
        <row r="10">
          <cell r="C10" t="str">
            <v>Gasohol</v>
          </cell>
        </row>
        <row r="11">
          <cell r="C11" t="str">
            <v>Diésel 2</v>
          </cell>
        </row>
        <row r="12">
          <cell r="C12" t="str">
            <v>Diésel B5</v>
          </cell>
        </row>
        <row r="13">
          <cell r="C13" t="str">
            <v>Petróleo industrial</v>
          </cell>
        </row>
        <row r="14">
          <cell r="C14" t="str">
            <v>GLP</v>
          </cell>
        </row>
        <row r="15">
          <cell r="C15" t="str">
            <v>Gas natural</v>
          </cell>
        </row>
        <row r="16">
          <cell r="C16" t="str">
            <v>Gas del regenerador</v>
          </cell>
        </row>
        <row r="17">
          <cell r="C17" t="str">
            <v>Gas ácido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breviações e Definições"/>
      <sheetName val="Checklist"/>
      <sheetName val="Resumo GEE"/>
      <sheetName val="Informações Gerais"/>
      <sheetName val="Fontes Estacionárias"/>
      <sheetName val="Fontes Móveis"/>
      <sheetName val="Gerenciamento de Resíduos"/>
      <sheetName val="Insumos"/>
      <sheetName val="Viagens de Executivos"/>
      <sheetName val="Memo Item"/>
      <sheetName val="Fatores de Conversão"/>
      <sheetName val="Rastreabilidade"/>
      <sheetName val="AUX"/>
      <sheetName val="AUX2"/>
    </sheetNames>
    <sheetDataSet>
      <sheetData sheetId="0"/>
      <sheetData sheetId="1"/>
      <sheetData sheetId="2"/>
      <sheetData sheetId="3"/>
      <sheetData sheetId="4"/>
      <sheetData sheetId="5"/>
      <sheetData sheetId="6"/>
      <sheetData sheetId="7"/>
      <sheetData sheetId="8"/>
      <sheetData sheetId="9"/>
      <sheetData sheetId="10"/>
      <sheetData sheetId="11">
        <row r="6">
          <cell r="A6" t="str">
            <v>MWh</v>
          </cell>
        </row>
        <row r="7">
          <cell r="A7" t="str">
            <v>KWh</v>
          </cell>
        </row>
        <row r="8">
          <cell r="A8" t="str">
            <v>ton</v>
          </cell>
        </row>
        <row r="9">
          <cell r="A9" t="str">
            <v>kcal</v>
          </cell>
        </row>
        <row r="10">
          <cell r="A10" t="str">
            <v>L</v>
          </cell>
        </row>
        <row r="11">
          <cell r="A11" t="str">
            <v>m3</v>
          </cell>
        </row>
        <row r="12">
          <cell r="A12" t="str">
            <v>kg</v>
          </cell>
          <cell r="C12" t="str">
            <v>ton</v>
          </cell>
        </row>
        <row r="13">
          <cell r="A13" t="str">
            <v>h</v>
          </cell>
          <cell r="C13" t="str">
            <v>L</v>
          </cell>
        </row>
        <row r="14">
          <cell r="A14" t="str">
            <v>km</v>
          </cell>
          <cell r="C14" t="str">
            <v>m3</v>
          </cell>
        </row>
        <row r="15">
          <cell r="A15" t="str">
            <v>MJ</v>
          </cell>
          <cell r="C15" t="str">
            <v>kg</v>
          </cell>
        </row>
        <row r="16">
          <cell r="A16" t="str">
            <v>GJ</v>
          </cell>
        </row>
        <row r="21">
          <cell r="A21" t="str">
            <v>Óleo Combustível Pesado</v>
          </cell>
        </row>
        <row r="22">
          <cell r="A22" t="str">
            <v>Biodiesel</v>
          </cell>
        </row>
        <row r="23">
          <cell r="A23" t="str">
            <v>Etanol</v>
          </cell>
        </row>
        <row r="24">
          <cell r="A24" t="str">
            <v xml:space="preserve">Biomassa </v>
          </cell>
        </row>
        <row r="25">
          <cell r="A25" t="str">
            <v>Diesel Brasil</v>
          </cell>
        </row>
        <row r="26">
          <cell r="A26" t="str">
            <v>Óleo Diesel</v>
          </cell>
        </row>
        <row r="27">
          <cell r="A27" t="str">
            <v>Gasolina Brasil</v>
          </cell>
        </row>
        <row r="28">
          <cell r="A28" t="str">
            <v>Gasolina Automotiva</v>
          </cell>
        </row>
        <row r="29">
          <cell r="A29" t="str">
            <v>Gasolina de Aviação</v>
          </cell>
        </row>
        <row r="30">
          <cell r="A30" t="str">
            <v xml:space="preserve">Querosene de Avião </v>
          </cell>
        </row>
        <row r="31">
          <cell r="A31" t="str">
            <v>GLP</v>
          </cell>
        </row>
        <row r="32">
          <cell r="A32" t="str">
            <v xml:space="preserve">Carvão Vegetal </v>
          </cell>
        </row>
        <row r="33">
          <cell r="A33" t="str">
            <v xml:space="preserve">Gás Natural </v>
          </cell>
        </row>
        <row r="34">
          <cell r="A34" t="str">
            <v>GNC</v>
          </cell>
        </row>
        <row r="35">
          <cell r="A35" t="str">
            <v>Licor Negro</v>
          </cell>
        </row>
        <row r="36">
          <cell r="A36" t="str">
            <v>Carvão (Sub-Bit)</v>
          </cell>
        </row>
        <row r="37">
          <cell r="A37" t="str">
            <v>Resíduo de madeira</v>
          </cell>
        </row>
        <row r="38">
          <cell r="A38" t="str">
            <v>Vapor gerado</v>
          </cell>
        </row>
        <row r="39">
          <cell r="A39" t="str">
            <v>Eletricidade comprada</v>
          </cell>
        </row>
        <row r="40">
          <cell r="A40" t="str">
            <v>Eletricidade gerada</v>
          </cell>
        </row>
        <row r="73">
          <cell r="B73" t="str">
            <v>Etanol</v>
          </cell>
          <cell r="C73" t="str">
            <v>Gasolina Brasil</v>
          </cell>
          <cell r="D73" t="str">
            <v>Gasolina</v>
          </cell>
          <cell r="E73" t="str">
            <v>Óleo Diesel</v>
          </cell>
          <cell r="F73" t="str">
            <v>Biodiesel</v>
          </cell>
          <cell r="G73" t="str">
            <v>Diesel Brasil</v>
          </cell>
          <cell r="H73" t="str">
            <v>Propano (GLP)</v>
          </cell>
          <cell r="I73" t="str">
            <v>Óleo Combustível Pesado</v>
          </cell>
          <cell r="J73" t="str">
            <v>Gás Natural</v>
          </cell>
          <cell r="K73" t="str">
            <v>Querosene</v>
          </cell>
          <cell r="L73" t="str">
            <v>GNC</v>
          </cell>
          <cell r="M73" t="str">
            <v>GNL</v>
          </cell>
        </row>
        <row r="74">
          <cell r="A74" t="str">
            <v>Veículos Leves</v>
          </cell>
        </row>
        <row r="75">
          <cell r="A75" t="str">
            <v>Motocicletas</v>
          </cell>
        </row>
        <row r="76">
          <cell r="A76" t="str">
            <v>On-road</v>
          </cell>
        </row>
        <row r="77">
          <cell r="A77" t="str">
            <v>Off-road</v>
          </cell>
        </row>
        <row r="78">
          <cell r="A78" t="str">
            <v>Caminhões Leves</v>
          </cell>
        </row>
        <row r="79">
          <cell r="A79" t="str">
            <v>Caminhões Pesados</v>
          </cell>
        </row>
        <row r="80">
          <cell r="A80" t="str">
            <v>Ônibus</v>
          </cell>
        </row>
        <row r="81">
          <cell r="A81" t="str">
            <v>Transporte Ferroviário</v>
          </cell>
        </row>
        <row r="82">
          <cell r="A82" t="str">
            <v>Transporte Rodoviário</v>
          </cell>
        </row>
        <row r="83">
          <cell r="A83" t="str">
            <v>Transporte Marítimo</v>
          </cell>
        </row>
        <row r="84">
          <cell r="A84" t="str">
            <v>Transporte Aéreo</v>
          </cell>
        </row>
        <row r="148">
          <cell r="A148" t="str">
            <v>Coberto - anaeróbio</v>
          </cell>
        </row>
        <row r="149">
          <cell r="A149" t="str">
            <v>Cobertura permeável - semiaeróbio</v>
          </cell>
        </row>
        <row r="150">
          <cell r="A150" t="str">
            <v>Descoberto - Profundo (&gt;5m)</v>
          </cell>
        </row>
        <row r="151">
          <cell r="A151" t="str">
            <v>Descoberto - Raso (&lt;5m)</v>
          </cell>
        </row>
        <row r="152">
          <cell r="A152" t="str">
            <v>Não categorizado</v>
          </cell>
        </row>
        <row r="172">
          <cell r="B172" t="str">
            <v>Seco Z. Temperada</v>
          </cell>
          <cell r="C172" t="str">
            <v>Úmido Z. Temperada</v>
          </cell>
          <cell r="D172" t="str">
            <v>Seco Z. Tropical</v>
          </cell>
          <cell r="E172" t="str">
            <v>Úmido Z. Tropical</v>
          </cell>
        </row>
      </sheetData>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Caracterización"/>
      <sheetName val="1-Combustibles y Lubricantes"/>
      <sheetName val="2-Equipamientos (Móvil_Fijo)"/>
      <sheetName val="3-Equip. Comb. NO Adquirido"/>
      <sheetName val="4-Transporte Diário_Subcontr"/>
      <sheetName val="5-Rrefrigeración"/>
      <sheetName val="6-Corte y Soldadura "/>
      <sheetName val="7-Explosivos"/>
      <sheetName val="8-Eletriciadad"/>
      <sheetName val="9-Infra-Electrica (SF6)"/>
      <sheetName val="10-Viajens Aéreas"/>
      <sheetName val="11-Cemento_Concreto"/>
      <sheetName val="12-Acero"/>
      <sheetName val="13-Residuos Sólidos"/>
      <sheetName val="D.Resíduos"/>
      <sheetName val="DADOS"/>
      <sheetName val="14-Efluentes"/>
      <sheetName val="15-Deforestación_Refl"/>
      <sheetName val="16- Transporte de gde. cargas"/>
      <sheetName val="17-GAS_GLP"/>
      <sheetName val="Abreviações e Definições"/>
      <sheetName val="Factores de Convers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K2" t="str">
            <v>Biodiesel (B100)</v>
          </cell>
        </row>
        <row r="3">
          <cell r="K3" t="str">
            <v>Diesel (B5)</v>
          </cell>
        </row>
        <row r="4">
          <cell r="K4" t="str">
            <v>Etanol (E100)</v>
          </cell>
        </row>
        <row r="5">
          <cell r="K5" t="str">
            <v>Gasolina</v>
          </cell>
        </row>
        <row r="6">
          <cell r="K6" t="str">
            <v>Diesel</v>
          </cell>
        </row>
        <row r="7">
          <cell r="K7" t="str">
            <v>Gas Natural (GNC)</v>
          </cell>
        </row>
        <row r="8">
          <cell r="K8" t="str">
            <v xml:space="preserve"> Gas Licuado de Petróleo (GLP)</v>
          </cell>
        </row>
        <row r="9">
          <cell r="K9" t="str">
            <v>Gas Natural Licuado</v>
          </cell>
        </row>
        <row r="10">
          <cell r="K10" t="str">
            <v>Aceite PFB</v>
          </cell>
        </row>
        <row r="11">
          <cell r="K11" t="str">
            <v xml:space="preserve"> Fuel oil residual (3s 5 e 6)</v>
          </cell>
        </row>
        <row r="12">
          <cell r="K12" t="str">
            <v>Grasa</v>
          </cell>
        </row>
        <row r="13">
          <cell r="K13" t="str">
            <v>Aceite Hidráulico</v>
          </cell>
        </row>
        <row r="14">
          <cell r="K14" t="str">
            <v>Aceite Lubrificante</v>
          </cell>
        </row>
        <row r="15">
          <cell r="K15" t="str">
            <v>Propano</v>
          </cell>
        </row>
        <row r="16">
          <cell r="K16" t="str">
            <v>Otros combustibles*</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Caracterización"/>
      <sheetName val="1-Combustibles y Lubricantes"/>
      <sheetName val="2-Equipamientos (Móvil_Fijo)"/>
      <sheetName val="3-Equip. Comb. NO Adquirido"/>
      <sheetName val="4-Transporte Diário_Subcontr"/>
      <sheetName val="5-Rrefrigeración"/>
      <sheetName val="6-Corte y Soldadura "/>
      <sheetName val="7-Explosivos"/>
      <sheetName val="8-Eletriciadad"/>
      <sheetName val="9-Infra-Electrica (SF6)"/>
      <sheetName val="10-Viajens Aéreas"/>
      <sheetName val="11-Cemento_Concreto"/>
      <sheetName val="12-Acero"/>
      <sheetName val="13-Residuos Sólidos"/>
      <sheetName val="D.Resíduos"/>
      <sheetName val="DADOS"/>
      <sheetName val="14-Efluentes"/>
      <sheetName val="15-Deforestación_Refl"/>
      <sheetName val="16- Transporte de gde. cargas"/>
      <sheetName val="17-GAS_GLP"/>
      <sheetName val="Abreviações e Definições"/>
      <sheetName val="Factores de Convers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CLASE I – Residuos Sólidos Peligrosos</v>
          </cell>
        </row>
      </sheetData>
      <sheetData sheetId="16">
        <row r="1">
          <cell r="P1" t="str">
            <v>CEMENTO</v>
          </cell>
        </row>
        <row r="2">
          <cell r="C2" t="str">
            <v>ABAST / REDUC (5761D)</v>
          </cell>
          <cell r="D2" t="str">
            <v>AM. LATINA E ANGOLA | LUIZ MAMERI</v>
          </cell>
          <cell r="E2" t="str">
            <v>ALESSANDRO GOMES</v>
          </cell>
          <cell r="F2" t="str">
            <v>AFONSO CELSO LEGASPE MAMEDE</v>
          </cell>
          <cell r="G2" t="str">
            <v>ANGOLA</v>
          </cell>
        </row>
        <row r="3">
          <cell r="C3" t="str">
            <v>ACE BAIXO SABOR (1603)</v>
          </cell>
          <cell r="D3" t="str">
            <v>ENGENHARIA INDUSTRIAL | MÁRCIO FARIA</v>
          </cell>
          <cell r="E3" t="str">
            <v>ANDRE RABELLO</v>
          </cell>
          <cell r="F3" t="str">
            <v>AFRANIO ALVES DE OLIVEIRA FILHO</v>
          </cell>
          <cell r="G3" t="str">
            <v>ARGENTINA</v>
          </cell>
        </row>
        <row r="4">
          <cell r="C4" t="str">
            <v>AEROPORTO INTERNACIONAL DE NACALA (1524001)</v>
          </cell>
          <cell r="D4" t="str">
            <v>ENERGIA | HENRIQUE VALLADARES</v>
          </cell>
          <cell r="E4" t="str">
            <v>ANDRÉ VITAL</v>
          </cell>
          <cell r="F4" t="str">
            <v>ALAN ABRANTES</v>
          </cell>
          <cell r="G4" t="str">
            <v>BRASIL</v>
          </cell>
        </row>
        <row r="5">
          <cell r="C5" t="str">
            <v>AHE CAMBAMBE(CNCAN)</v>
          </cell>
          <cell r="D5" t="str">
            <v>INFRAESTRUTURA | BENEDICTO JÚNIOR</v>
          </cell>
          <cell r="E5" t="str">
            <v>AUGUSTO ROQUE</v>
          </cell>
          <cell r="F5" t="str">
            <v>ALEXANDRE DIAS PORTO CHIAVEHATTO</v>
          </cell>
          <cell r="G5" t="str">
            <v>COLOMBIA</v>
          </cell>
        </row>
        <row r="6">
          <cell r="C6" t="str">
            <v>ALIANÇA CSN / ODEBRECHT AÇOS LONGOS UPV VR / RJ (9492)</v>
          </cell>
          <cell r="D6" t="str">
            <v>INTERNACIONAL | LUIZ ROCHA</v>
          </cell>
          <cell r="E6" t="str">
            <v>CARLOS ARMANDO</v>
          </cell>
          <cell r="F6" t="str">
            <v>ALEXANDRE FRANCO DE CARVALHO</v>
          </cell>
          <cell r="G6" t="str">
            <v>CUBA</v>
          </cell>
        </row>
        <row r="7">
          <cell r="C7" t="str">
            <v>ALPHA SQUARE (5107)</v>
          </cell>
          <cell r="D7" t="str">
            <v>VENEZUELA | EUZENANDO AZEVEDO</v>
          </cell>
          <cell r="E7" t="str">
            <v>DAIHA BLANDO</v>
          </cell>
          <cell r="F7" t="str">
            <v>ANDRE LUIZ RIBEIRO LIMA</v>
          </cell>
          <cell r="G7" t="str">
            <v>ECUADOR</v>
          </cell>
        </row>
        <row r="8">
          <cell r="C8" t="str">
            <v>AMPLIAÇÃO TERMINAL FERROVIÁRIO DE PONTA DA MADEIRA (3626)</v>
          </cell>
          <cell r="D8" t="str">
            <v>VP OPERAÇÕES | PAULO LACERDA</v>
          </cell>
          <cell r="E8" t="str">
            <v>DÉLIO GALVÃO</v>
          </cell>
          <cell r="F8" t="str">
            <v>ANTENOR DE CASTRO</v>
          </cell>
          <cell r="G8" t="str">
            <v>EUA</v>
          </cell>
        </row>
        <row r="9">
          <cell r="C9" t="str">
            <v>AMPLIACION GASODUCTOS NORTE Y SUR EM ARGENTINA (3044)</v>
          </cell>
          <cell r="E9" t="str">
            <v>ERNESTO BAIARDI</v>
          </cell>
          <cell r="F9" t="str">
            <v>ANTONIO AUGUSTO DE CASTRO SANTOS</v>
          </cell>
          <cell r="G9" t="str">
            <v>LIBERIA</v>
          </cell>
        </row>
        <row r="10">
          <cell r="C10" t="str">
            <v>AMPLIACIÓN REFINERÍA PUERTO LA CRUZ - OBRAS CIVILES (2801)</v>
          </cell>
          <cell r="E10" t="str">
            <v>EUZENANDO AZEVEDO</v>
          </cell>
          <cell r="F10" t="str">
            <v>ANTONIO LUIZ COSTA</v>
          </cell>
          <cell r="G10" t="str">
            <v>LIBIA</v>
          </cell>
        </row>
        <row r="11">
          <cell r="C11" t="str">
            <v>ANGRA 1 E 2 MANUTENÇÃO (5824)</v>
          </cell>
          <cell r="E11" t="str">
            <v>FÁBIO GANDOLFO</v>
          </cell>
          <cell r="F11" t="str">
            <v>ANTONIO ROBERTO GAVIOLI</v>
          </cell>
          <cell r="G11" t="str">
            <v>MÉXICO</v>
          </cell>
        </row>
        <row r="12">
          <cell r="C12" t="str">
            <v>ANGRA 2 MONT. ELETROMECÂNICA</v>
          </cell>
          <cell r="E12" t="str">
            <v>FERNANDO BARBOSA</v>
          </cell>
          <cell r="F12" t="str">
            <v>ARIEL PARENTE COSTA</v>
          </cell>
          <cell r="G12" t="str">
            <v>MOZAMBIQUE</v>
          </cell>
        </row>
        <row r="13">
          <cell r="C13" t="str">
            <v>ARENA PERNAMBUCO (2638)</v>
          </cell>
          <cell r="E13" t="str">
            <v>FERNANDO CHEIN</v>
          </cell>
          <cell r="F13" t="str">
            <v>ARLINDO SERGIO DE OLIVERA FACADIO</v>
          </cell>
          <cell r="G13" t="str">
            <v>PANAMÁ</v>
          </cell>
        </row>
        <row r="14">
          <cell r="C14" t="str">
            <v>AUTOPISTA MADDEN COLÓN FASE II (4459L)</v>
          </cell>
          <cell r="E14" t="str">
            <v xml:space="preserve">FLÁVIO FARIA </v>
          </cell>
          <cell r="F14" t="str">
            <v>BRUNO DOURADO</v>
          </cell>
          <cell r="G14" t="str">
            <v>PERÚ</v>
          </cell>
        </row>
        <row r="15">
          <cell r="C15" t="str">
            <v>BAIRRO NOVO PORTO VELHO EMPR. IMOBILIÁRIOS (5156)</v>
          </cell>
          <cell r="E15" t="str">
            <v>FRANCISCO PENTEADO</v>
          </cell>
          <cell r="F15" t="str">
            <v>CARLOS ALBERTO COUTINHO</v>
          </cell>
          <cell r="G15" t="str">
            <v>PORTUGAL</v>
          </cell>
        </row>
        <row r="16">
          <cell r="C16" t="str">
            <v>BARRAGEM DO ARROIO TAQUAREMBÓ (4813)</v>
          </cell>
          <cell r="E16" t="str">
            <v>GILBERTO NEVES</v>
          </cell>
          <cell r="F16" t="str">
            <v>CARLOS ALBERTO LIGEIRO</v>
          </cell>
          <cell r="G16" t="str">
            <v>REP. DOMINICANA</v>
          </cell>
        </row>
        <row r="17">
          <cell r="C17" t="str">
            <v>BASE DE OPERAÇÕES - OOG (2355)</v>
          </cell>
          <cell r="E17" t="str">
            <v>GUSTAVO GUERRA</v>
          </cell>
          <cell r="F17" t="str">
            <v>CARLOS FERNANDO DO VALE ANGEIRAS</v>
          </cell>
          <cell r="G17" t="str">
            <v>VENEZUELA</v>
          </cell>
        </row>
        <row r="18">
          <cell r="C18" t="str">
            <v>BASE MACAÉ - ATIVO SUL (9414)</v>
          </cell>
          <cell r="E18" t="str">
            <v>JOÃO PACÍFICO</v>
          </cell>
          <cell r="F18" t="str">
            <v>CARLOS HENRIQUE VALENTE</v>
          </cell>
        </row>
        <row r="19">
          <cell r="C19" t="str">
            <v>BASE MACAÉ - CONTRATO MANIFOLD  (9459)</v>
          </cell>
          <cell r="E19" t="str">
            <v>JORGE BARATA</v>
          </cell>
          <cell r="F19" t="str">
            <v>CARLOS MATHIAS</v>
          </cell>
        </row>
        <row r="20">
          <cell r="C20" t="str">
            <v>BASE MACAÉ - CONTRATO SHELL DO BRASIL (4807)</v>
          </cell>
          <cell r="E20" t="str">
            <v>JOSÉ CONCEIÇÃO</v>
          </cell>
          <cell r="F20" t="str">
            <v>CARLOS NOSTRE JUNIOR</v>
          </cell>
        </row>
        <row r="21">
          <cell r="C21" t="str">
            <v>BASE MACAÉ - CONTRATO TECAB NR-13 (0114009)</v>
          </cell>
          <cell r="E21" t="str">
            <v>LUIS WEYLL</v>
          </cell>
          <cell r="F21" t="str">
            <v>CARLOS ROBERTO LIMA BACELLAR</v>
          </cell>
        </row>
        <row r="22">
          <cell r="C22" t="str">
            <v>BASE MACAÉ REPAROS NAVAIS P-XVII (2383)</v>
          </cell>
          <cell r="E22" t="str">
            <v>LUIZ BUENO</v>
          </cell>
          <cell r="F22" t="str">
            <v>CASSIANO POLITI</v>
          </cell>
        </row>
        <row r="23">
          <cell r="C23" t="str">
            <v>BEIRA LAGO EMPREENDIMENTO IMOBILIÁRIO SA (5158)</v>
          </cell>
          <cell r="E23" t="str">
            <v>LUIZ MAMERI (Argentina)</v>
          </cell>
          <cell r="F23" t="str">
            <v>CELSO FONSECA RODRIGUES</v>
          </cell>
        </row>
        <row r="24">
          <cell r="C24" t="str">
            <v>BELAS BUSINESS (OABUS)</v>
          </cell>
          <cell r="E24" t="str">
            <v>LUIZ ROCHA (Portugal)</v>
          </cell>
          <cell r="F24" t="str">
            <v>CESAR MAURICIO DE BARROS E AZEVEDO CHASTINET</v>
          </cell>
        </row>
        <row r="25">
          <cell r="C25" t="str">
            <v>BOCANA - CALLAO (6284)</v>
          </cell>
          <cell r="E25" t="str">
            <v xml:space="preserve">MARCO CRUZ </v>
          </cell>
          <cell r="F25" t="str">
            <v>DANILO RIBEIRO JUNIOR</v>
          </cell>
        </row>
        <row r="26">
          <cell r="C26" t="str">
            <v>BOULEVARD SIDE EMPRESARIAL (2269)</v>
          </cell>
          <cell r="E26" t="str">
            <v>MIGUEL PERES</v>
          </cell>
          <cell r="F26" t="str">
            <v>DILMAS DELLAMAGNA SALVIA</v>
          </cell>
        </row>
        <row r="27">
          <cell r="C27" t="str">
            <v>BOULEVARD SIDE RESIDENCIAL (2268)</v>
          </cell>
          <cell r="E27" t="str">
            <v>PAULO CESENA</v>
          </cell>
          <cell r="F27" t="str">
            <v>EDER PAOLO FERRACUTI</v>
          </cell>
        </row>
        <row r="28">
          <cell r="C28" t="str">
            <v>BT - LOTE 1N CASAS VELHAS - PALHAIS (1606)</v>
          </cell>
          <cell r="E28" t="str">
            <v>RENATO RODRIGUES</v>
          </cell>
          <cell r="F28" t="str">
            <v>EDUARDO ALEXANDRE DE ATHAYDE BADIN</v>
          </cell>
        </row>
        <row r="29">
          <cell r="C29" t="str">
            <v>BUTADIENO2 (012051)</v>
          </cell>
          <cell r="E29" t="str">
            <v>RICARDO BOLEIRA</v>
          </cell>
          <cell r="F29" t="str">
            <v>EDUARDO GARRIDO FONTENELLE</v>
          </cell>
        </row>
        <row r="30">
          <cell r="C30" t="str">
            <v>CARRETERA CARHUAZ - SAN LUIS (6204)</v>
          </cell>
          <cell r="E30" t="str">
            <v>SAULO VINICIUS</v>
          </cell>
          <cell r="F30" t="str">
            <v>EDUARDO POLEY PEÇANHA</v>
          </cell>
        </row>
        <row r="31">
          <cell r="C31" t="str">
            <v>CASAS ECONOMICAS DO ZANGO</v>
          </cell>
          <cell r="E31" t="str">
            <v>SERGIO NEVES</v>
          </cell>
          <cell r="F31" t="str">
            <v>EDUARDO SALOME</v>
          </cell>
        </row>
        <row r="32">
          <cell r="C32" t="str">
            <v>CEMF-CONS EMPR MODERN FURNAS (4671)</v>
          </cell>
          <cell r="E32" t="str">
            <v>VALTER LANA</v>
          </cell>
          <cell r="F32" t="str">
            <v>ELEUBERTO ANTONIO MARTORELLI</v>
          </cell>
        </row>
        <row r="33">
          <cell r="C33" t="str">
            <v>CENTRAL DE EQUIPAMENTOS IMOBILIÁRIOS (OACEI)</v>
          </cell>
          <cell r="F33" t="str">
            <v>EMYR DINIZ COSTA JUNIOR</v>
          </cell>
        </row>
        <row r="34">
          <cell r="C34" t="str">
            <v>CENTRO INDUSTRIAL DE VIANA (OAPIV)</v>
          </cell>
          <cell r="F34" t="str">
            <v>ESTEVÃO TIMPONI FRANÇA</v>
          </cell>
        </row>
        <row r="35">
          <cell r="C35" t="str">
            <v>CETREL LUMINA (6449)</v>
          </cell>
          <cell r="F35" t="str">
            <v>FABIANO RODRIGUES MUNHOZ</v>
          </cell>
        </row>
        <row r="36">
          <cell r="C36" t="str">
            <v>CINTA COSTEIRA FASE II (4459I)</v>
          </cell>
          <cell r="F36" t="str">
            <v>FABIO ADRIANO TOSCANO REBOUÇAS</v>
          </cell>
        </row>
        <row r="37">
          <cell r="C37" t="str">
            <v>CONCESIONARIA IIRSA NORTE S.A. (CIN)</v>
          </cell>
          <cell r="F37" t="str">
            <v>FARID ABY-ZAYAN FELDBERG</v>
          </cell>
        </row>
        <row r="38">
          <cell r="C38" t="str">
            <v>CONCESIONARIA INTEROCEANICA SURSA TRAMO 2 S.A. (CISR2)</v>
          </cell>
          <cell r="F38" t="str">
            <v>FELIX AUGUSTO</v>
          </cell>
        </row>
        <row r="39">
          <cell r="C39" t="str">
            <v>CONCESIONARIA INTEROCEANICA SURSA TRAMO 3 S.A. (CISR3)</v>
          </cell>
          <cell r="F39" t="str">
            <v>FERNANDO BARINI</v>
          </cell>
        </row>
        <row r="40">
          <cell r="C40" t="str">
            <v>CONCESIONARIA RUTA DEL SOL S.A.S. (6200)</v>
          </cell>
          <cell r="F40" t="str">
            <v>GIBRAN LOOR CAMPOVERDE</v>
          </cell>
        </row>
        <row r="41">
          <cell r="C41" t="str">
            <v>CONCESSIONARIA MADDEN COLON (CMC)</v>
          </cell>
          <cell r="F41" t="str">
            <v>GILBERTO COSTA</v>
          </cell>
        </row>
        <row r="42">
          <cell r="C42" t="str">
            <v>CONCESSIONÁRIA ROTA DAS BANDEIRAS (5139)</v>
          </cell>
          <cell r="F42" t="str">
            <v>GILBERTO DE CAMARGO E SILVA</v>
          </cell>
        </row>
        <row r="43">
          <cell r="C43" t="str">
            <v>CONCESSIONÁRIA ROTA DOS COQUEIROS (5194)</v>
          </cell>
          <cell r="F43" t="str">
            <v>GIOVANNI PALACIOS</v>
          </cell>
        </row>
        <row r="44">
          <cell r="C44" t="str">
            <v>CONDOMÍNIO MONTE BELO (OAMB)</v>
          </cell>
          <cell r="F44" t="str">
            <v>GUILLERMO BORGES DE QUEIROZ</v>
          </cell>
        </row>
        <row r="45">
          <cell r="C45" t="str">
            <v>CONDOMÍNIO RIVIERA ATLÂNTICO (OARIV-A)</v>
          </cell>
          <cell r="F45" t="str">
            <v>GUSTAVO HENRIQUES</v>
          </cell>
        </row>
        <row r="46">
          <cell r="C46" t="str">
            <v>CONSÓRCIO ALCANTARA CYCLONE SPACE (0116005)</v>
          </cell>
          <cell r="F46" t="str">
            <v>GUSTAVO TEIXEIRA BELITARDO</v>
          </cell>
        </row>
        <row r="47">
          <cell r="C47" t="str">
            <v>CONSÓRCIO ANGRA MELHOR (2635)</v>
          </cell>
          <cell r="F47" t="str">
            <v>HELIO BOLEIRA GUIMARÃES</v>
          </cell>
        </row>
        <row r="48">
          <cell r="C48" t="str">
            <v>CONSÓRCIO ARCO METROPOLITANO DO RIO (3410)</v>
          </cell>
          <cell r="F48" t="str">
            <v>HENRIQUE ANTERO PIO MARCHESI</v>
          </cell>
        </row>
        <row r="49">
          <cell r="C49" t="str">
            <v>CONSÓRCIO ARENA SALVADOR (0104030)</v>
          </cell>
          <cell r="F49" t="str">
            <v>ISAIAS AMANCIO DE SOUSA</v>
          </cell>
        </row>
        <row r="50">
          <cell r="C50" t="str">
            <v>CONSÓRCIO BONNAIRE (5114)</v>
          </cell>
          <cell r="F50" t="str">
            <v>JAVIER RAMON CHUMAN ROJAS</v>
          </cell>
        </row>
        <row r="51">
          <cell r="C51" t="str">
            <v>CONSÓRCIO CANOAS (6205)</v>
          </cell>
          <cell r="F51" t="str">
            <v>JOEL VENTURA RIBEIRO NETO</v>
          </cell>
        </row>
        <row r="52">
          <cell r="C52" t="str">
            <v>CONSÓRCIO CAPIVARI II (0310)</v>
          </cell>
          <cell r="F52" t="str">
            <v xml:space="preserve">JORGE AUGUSTO REGIS GOMES </v>
          </cell>
        </row>
        <row r="53">
          <cell r="C53" t="str">
            <v>CONSÓRCIO CBPO - ZADAR (0268)</v>
          </cell>
          <cell r="F53" t="str">
            <v>JORGE BARRAGAN HOLGUIN</v>
          </cell>
        </row>
        <row r="54">
          <cell r="C54" t="str">
            <v>CONSÓRCIO CONPAR-CARTEIRA GASOLINA E COQUE UN-REPAR (9455)</v>
          </cell>
          <cell r="F54" t="str">
            <v>JORGE DA SILVA GAVINO FILHO</v>
          </cell>
        </row>
        <row r="55">
          <cell r="C55" t="str">
            <v>CONSÓRCIO CONSTRUCTOR IIRSA NORTE (COCIN)</v>
          </cell>
          <cell r="F55" t="str">
            <v>JORGE LUIS MENDOZA GOMEZ</v>
          </cell>
        </row>
        <row r="56">
          <cell r="C56" t="str">
            <v>CONSÓRCIO CONSTRUCTOR IIRSA SUR TRAMO 2 (6276)</v>
          </cell>
          <cell r="F56" t="str">
            <v>JOSÉ CARLOS AVERSA</v>
          </cell>
        </row>
        <row r="57">
          <cell r="C57" t="str">
            <v>CONSÓRCIO CONSTRUCTOR IIRSA SUR TRAMO 3 (6277)</v>
          </cell>
          <cell r="F57" t="str">
            <v>JOSÉ CARLOS CAMARGO</v>
          </cell>
        </row>
        <row r="58">
          <cell r="C58" t="str">
            <v>CONSÓRCIO CONSTRUTOR RIO BARRA (0117021)</v>
          </cell>
          <cell r="F58" t="str">
            <v>JOSÉ CARLOS PROBER</v>
          </cell>
        </row>
        <row r="59">
          <cell r="C59" t="str">
            <v>CONSÓRCIO CONSTRUTOR SIMPLICIO (4680)</v>
          </cell>
          <cell r="F59" t="str">
            <v>JOSÉ EDUARDO BOMFIM FERREIRA</v>
          </cell>
        </row>
        <row r="60">
          <cell r="C60" t="str">
            <v>CONSÓRCIO CORREDOR DUARTE (CCD)</v>
          </cell>
          <cell r="F60" t="str">
            <v>JOSÉ EDUARDO DE SOUSA QUINTELLA</v>
          </cell>
        </row>
        <row r="61">
          <cell r="C61" t="str">
            <v>CONSÓRCIO CQG / CNO / OAS PIRAPAMA (5449)</v>
          </cell>
          <cell r="F61" t="str">
            <v xml:space="preserve">JOSÉ GILBERTO MARIANO COSTA </v>
          </cell>
        </row>
        <row r="62">
          <cell r="C62" t="str">
            <v>CONSÓRCIO EDIFÍCIO PETROBRAS VITORIA (2615)</v>
          </cell>
          <cell r="F62" t="str">
            <v>JOSÉ JOAQUIM FERREIRA MARTINS</v>
          </cell>
        </row>
        <row r="63">
          <cell r="C63" t="str">
            <v>CONSÓRCIO EPC - RUTA DEL SOL II (6210)</v>
          </cell>
          <cell r="F63" t="str">
            <v>JOSÉ LUIS COUTINHO DE FARIA</v>
          </cell>
        </row>
        <row r="64">
          <cell r="C64" t="str">
            <v>CONSÓRCIO ETANOLDUTO (3708)</v>
          </cell>
          <cell r="F64" t="str">
            <v>JOSÉ LUIZ ALEXANDRE RAMOS</v>
          </cell>
        </row>
        <row r="65">
          <cell r="C65" t="str">
            <v>CONSÓRCIO GASVAP (3704)</v>
          </cell>
          <cell r="F65" t="str">
            <v>JOSÉ PERGORARO DIAS</v>
          </cell>
        </row>
        <row r="66">
          <cell r="C66" t="str">
            <v>CONSÓRCIO LÍNEA 1 DEL METRO DE PANAMÁ (CLU)</v>
          </cell>
          <cell r="F66" t="str">
            <v>JOSÉ VIEIRA</v>
          </cell>
        </row>
        <row r="67">
          <cell r="C67" t="str">
            <v>CONSÓRCIO LINEA II (2630c)</v>
          </cell>
          <cell r="F67" t="str">
            <v>JULIO LOPES RAMOS</v>
          </cell>
        </row>
        <row r="68">
          <cell r="C68" t="str">
            <v>CONSÓRCIO LUZ PARA MINAS (0121006)</v>
          </cell>
          <cell r="F68" t="str">
            <v>JULIO PERDIGÃO</v>
          </cell>
        </row>
        <row r="69">
          <cell r="C69" t="str">
            <v>CONSÓRCIO LUZ PARA TODOS - LOTE 2 (0304)</v>
          </cell>
          <cell r="F69" t="str">
            <v>JUVENALITO GUSMÃO JUNIOR</v>
          </cell>
        </row>
        <row r="70">
          <cell r="C70" t="str">
            <v>CONSÓRCIO MARACANÃ - RIO 2014 (2637)</v>
          </cell>
          <cell r="F70" t="str">
            <v>LEANDRO ANDREDE AZEVEDO</v>
          </cell>
        </row>
        <row r="71">
          <cell r="C71" t="str">
            <v>CONSÓRCIO METRO SP - LINHA 5 LILAS - LOTE7 (0117028)</v>
          </cell>
          <cell r="F71" t="str">
            <v>LEONARDO BORGATTI</v>
          </cell>
        </row>
        <row r="72">
          <cell r="C72" t="str">
            <v>CONSÓRCIO MINTAKA (5136)</v>
          </cell>
          <cell r="F72" t="str">
            <v>LEONARDO LAGO DE SOUSA</v>
          </cell>
        </row>
        <row r="73">
          <cell r="C73" t="str">
            <v>CONSÓRCIO NOVO ASFALTO (0106015)</v>
          </cell>
          <cell r="F73" t="str">
            <v>LEONARDO NARIMATSU RIBEIRO</v>
          </cell>
        </row>
        <row r="74">
          <cell r="C74" t="str">
            <v>CONSÓRCIO ODEBRECHT/CARIOCA/MELLO AZEVEDO (5455)</v>
          </cell>
          <cell r="F74" t="str">
            <v>LUCAS PRADO</v>
          </cell>
        </row>
        <row r="75">
          <cell r="C75" t="str">
            <v>CONSÓRCIO PIER NOVO (0127006)</v>
          </cell>
          <cell r="F75" t="str">
            <v>LUIS SERGIO FERRAZ DA COSTA</v>
          </cell>
        </row>
        <row r="76">
          <cell r="C76" t="str">
            <v>CONSÓRCIO PIER PETROLEIRO (0272)</v>
          </cell>
          <cell r="F76" t="str">
            <v xml:space="preserve">LUÍS TEMIDO </v>
          </cell>
        </row>
        <row r="77">
          <cell r="C77" t="str">
            <v>CONSÓRCIO PLP - TERRAPLANAGEM DA ÁREA DO JM (1608)</v>
          </cell>
          <cell r="F77" t="str">
            <v>LUIS UBIRAJARA INÁCIO DE SOUSA</v>
          </cell>
        </row>
        <row r="78">
          <cell r="C78" t="str">
            <v>CONSÓRCIO PORTO RIO GRANDE (C8000)</v>
          </cell>
          <cell r="F78" t="str">
            <v>LUIZ CESAR LINGREN COSTA</v>
          </cell>
        </row>
        <row r="79">
          <cell r="C79" t="str">
            <v>CONSÓRCIO PROYECTO MINATITLÁN (8403)</v>
          </cell>
          <cell r="F79" t="str">
            <v>LUIZ SIMON</v>
          </cell>
        </row>
        <row r="80">
          <cell r="C80" t="str">
            <v>CONSÓRCIO PVC MVC 200 KTA (9490)</v>
          </cell>
          <cell r="F80" t="str">
            <v>MANUEL RICARDO CABRAL XIMENES</v>
          </cell>
        </row>
        <row r="81">
          <cell r="C81" t="str">
            <v>CONSÓRCIO RIO COLORADO (3090)</v>
          </cell>
          <cell r="F81" t="str">
            <v>MARCELO DE VIVEIROS COLAVOLPE</v>
          </cell>
        </row>
        <row r="82">
          <cell r="C82" t="str">
            <v>CONSÓRCIO RIO MELHOR (5450)</v>
          </cell>
          <cell r="F82" t="str">
            <v>MARCELO FURQUIM PAIVA</v>
          </cell>
        </row>
        <row r="83">
          <cell r="C83" t="str">
            <v>CONSÓRCIO RIO PARAGUAÇÚ (4809)</v>
          </cell>
          <cell r="F83" t="str">
            <v>MARCELO HOLFKE</v>
          </cell>
        </row>
        <row r="84">
          <cell r="C84" t="str">
            <v>CONSÓRCIO RIOFAZ (0322)</v>
          </cell>
          <cell r="F84" t="str">
            <v>MARCELO OLIVEIRA WALTER</v>
          </cell>
        </row>
        <row r="85">
          <cell r="C85" t="str">
            <v>CONSÓRCIO RNEST CONEST (9482)</v>
          </cell>
          <cell r="F85" t="str">
            <v>MARCIO COMPANY</v>
          </cell>
        </row>
        <row r="86">
          <cell r="C86" t="str">
            <v>CONSÓRCIO RODOVIA BA 093 (CNO) (7503)</v>
          </cell>
          <cell r="F86" t="str">
            <v>MARCIO DE CASTRO RIBEIRO</v>
          </cell>
        </row>
        <row r="87">
          <cell r="C87" t="str">
            <v>CONSÓRCIO RODOVIA BR 101 (3307)</v>
          </cell>
          <cell r="F87" t="str">
            <v>MARCO ANTONIO DURAN</v>
          </cell>
        </row>
        <row r="88">
          <cell r="C88" t="str">
            <v>CONSÓRCIO SÃO SALVADOR CIVIL (4678)</v>
          </cell>
          <cell r="F88" t="str">
            <v>MARCO AURÉLIO RODRIGUES BARROS</v>
          </cell>
        </row>
        <row r="89">
          <cell r="C89" t="str">
            <v>CONSÓRCIO SAÚDE GAMBOA (5143)</v>
          </cell>
          <cell r="F89" t="str">
            <v>MARCOS JOSE MENDES TEIXEIRA</v>
          </cell>
        </row>
        <row r="90">
          <cell r="C90" t="str">
            <v>CONSÓRCIO SISTEMA ADUTOR CASTANHÃO (5444A)</v>
          </cell>
          <cell r="F90" t="str">
            <v>MARCOS TEPEDINO</v>
          </cell>
        </row>
        <row r="91">
          <cell r="C91" t="str">
            <v>CONSÓRCIO TABULEIROS LITORÂNEOS (3510)</v>
          </cell>
          <cell r="F91" t="str">
            <v>MARCOS TORRES</v>
          </cell>
        </row>
        <row r="92">
          <cell r="C92" t="str">
            <v>CONSÓRCIO TERRA E MAR - BARRA DO FURADO (0110039)</v>
          </cell>
          <cell r="F92" t="str">
            <v>MARCOS VIDIGAL DO AMARAL</v>
          </cell>
        </row>
        <row r="93">
          <cell r="C93" t="str">
            <v>CONSÓRCIO TERRAPLENAGEM (9454)</v>
          </cell>
          <cell r="F93" t="str">
            <v>MARCUS FÁBIO SOUZA AZEREDO</v>
          </cell>
        </row>
        <row r="94">
          <cell r="C94" t="str">
            <v>CONSÓRCIO TREN ELECTRICO TRAMO 2 (6288)</v>
          </cell>
          <cell r="F94" t="str">
            <v>MARCUS FELIPE DE ARAGÃO</v>
          </cell>
        </row>
        <row r="95">
          <cell r="C95" t="str">
            <v>CONSÓRCIO UHE LCB DE CARVALHO (4675)</v>
          </cell>
          <cell r="F95" t="str">
            <v>MAURICIO CRUZ</v>
          </cell>
        </row>
        <row r="96">
          <cell r="C96" t="str">
            <v>CONSORTIUM LPV 3.2B (067)</v>
          </cell>
          <cell r="F96" t="str">
            <v>MAURIZIO PONDE BASTIANELLI</v>
          </cell>
        </row>
        <row r="97">
          <cell r="C97" t="str">
            <v>CONSORTIUM PLV 9.2 (065)</v>
          </cell>
          <cell r="F97" t="str">
            <v>MAURO HUEB</v>
          </cell>
        </row>
        <row r="98">
          <cell r="C98" t="str">
            <v>CONTRATO STATOIL - MAERSK (0114010)</v>
          </cell>
          <cell r="F98" t="str">
            <v>MICHAEL DANDANELL</v>
          </cell>
        </row>
        <row r="99">
          <cell r="C99" t="str">
            <v>CORREDOR D. PEDRO I (010 6007)</v>
          </cell>
          <cell r="F99" t="str">
            <v>MIGUEL PEDROSA DE SENNA FIGUEIREDO</v>
          </cell>
        </row>
        <row r="100">
          <cell r="C100" t="str">
            <v>DG BLUMENAU (C2718)</v>
          </cell>
          <cell r="F100" t="str">
            <v>NICOLAS EDUARDO VASQUEZ TAWING</v>
          </cell>
        </row>
        <row r="101">
          <cell r="C101" t="str">
            <v>DG CAMPINAS II (2708)</v>
          </cell>
          <cell r="F101" t="str">
            <v>NILTON COELHO DE ANDRADE JUNIOR</v>
          </cell>
        </row>
        <row r="102">
          <cell r="C102" t="str">
            <v>DG QUEIMADOS (2714)</v>
          </cell>
          <cell r="F102" t="str">
            <v>NUNO RICARDO ALMEIDA TEIXEIRA</v>
          </cell>
        </row>
        <row r="103">
          <cell r="C103" t="str">
            <v>DG SALVADOR (2717)</v>
          </cell>
          <cell r="F103" t="str">
            <v>PEDRO MOREIRA</v>
          </cell>
        </row>
        <row r="104">
          <cell r="C104" t="str">
            <v>DIMENSION OFFICE E PARK (5110)</v>
          </cell>
          <cell r="F104" t="str">
            <v>PABLO BROTTIER</v>
          </cell>
        </row>
        <row r="105">
          <cell r="C105" t="str">
            <v>ECLUSAS DE TUCURUÍ (3060)</v>
          </cell>
          <cell r="F105" t="str">
            <v>PAULO ALEXANDRE BAPTISTA SIMÕES RIBEIRO</v>
          </cell>
        </row>
        <row r="106">
          <cell r="C106" t="str">
            <v>ECOMP - ESTAÇÃO DE COMPRESSORES DE GUARAREMA (9478)</v>
          </cell>
          <cell r="F106" t="str">
            <v>PAULO FALCÃO CORREA LIMA FILHO</v>
          </cell>
        </row>
        <row r="107">
          <cell r="C107" t="str">
            <v>EDIFÍCIO ODEBRECHT SÃO PAULO - ABIATAR (5180)</v>
          </cell>
          <cell r="F107" t="str">
            <v>PAULO MOREIRA BRITO</v>
          </cell>
        </row>
        <row r="108">
          <cell r="C108" t="str">
            <v>EEFC - EXPANSÃO DA ESTRADA DE FERRO CARAJÁS (3634)</v>
          </cell>
          <cell r="F108" t="str">
            <v>PAULO SÁ</v>
          </cell>
        </row>
        <row r="109">
          <cell r="C109" t="str">
            <v>EL DILUVIO</v>
          </cell>
          <cell r="F109" t="str">
            <v>PEDRO AUGUSTO CARNEIRO LEÃO NETO</v>
          </cell>
        </row>
        <row r="110">
          <cell r="C110" t="str">
            <v>ELPASO</v>
          </cell>
          <cell r="F110" t="str">
            <v>PEDRO HENRIQUE SHETTINO</v>
          </cell>
        </row>
        <row r="111">
          <cell r="C111" t="str">
            <v>EMISSÁRIO JAGUARIBE (5454)</v>
          </cell>
          <cell r="F111" t="str">
            <v>PEDRO MARTINS PINHEIRO</v>
          </cell>
        </row>
        <row r="112">
          <cell r="C112" t="str">
            <v>ESTÁDIO CORINTHIANS COPA 2014 (0134001)</v>
          </cell>
          <cell r="F112" t="str">
            <v>PEDRO PAULO TOSCA</v>
          </cell>
        </row>
        <row r="113">
          <cell r="C113" t="str">
            <v>ESTRADA CAÁLA-GANDA (OACAA)</v>
          </cell>
          <cell r="F113" t="str">
            <v>RAYMUNDO SANTOS FILHO</v>
          </cell>
        </row>
        <row r="114">
          <cell r="C114" t="str">
            <v>ESTRADA CAPANDA - CACUSO (CAPCA)</v>
          </cell>
          <cell r="F114" t="str">
            <v>REINALDO LINS DE FREITAS</v>
          </cell>
        </row>
        <row r="115">
          <cell r="C115" t="str">
            <v>ESTRADA DO GOLFE (OAEGO)</v>
          </cell>
          <cell r="F115" t="str">
            <v>RICARDO PARERES REYES</v>
          </cell>
        </row>
        <row r="116">
          <cell r="C116" t="str">
            <v>EVOLUTION CORPORATE (5159)</v>
          </cell>
          <cell r="F116" t="str">
            <v>ROBERTO CUMPLIDO</v>
          </cell>
        </row>
        <row r="117">
          <cell r="C117" t="str">
            <v>EXTENSÃO NORTE LINHA 1 - TRENSURB (3629)</v>
          </cell>
          <cell r="F117" t="str">
            <v>ROBERTO RIBEIRO SANTOS</v>
          </cell>
        </row>
        <row r="118">
          <cell r="C118" t="str">
            <v>FERROVIA TRANSNORDESTINA (0108009)</v>
          </cell>
          <cell r="F118" t="str">
            <v>RODOLFO ARMENTA</v>
          </cell>
        </row>
        <row r="119">
          <cell r="C119" t="str">
            <v>FOZ BLUMENAU (5722)</v>
          </cell>
          <cell r="F119" t="str">
            <v>RODRIGO COSTA MELO</v>
          </cell>
        </row>
        <row r="120">
          <cell r="C120" t="str">
            <v>FOZ CACHOEIRO (5718)</v>
          </cell>
          <cell r="F120" t="str">
            <v>RONALDO PAVÃO VIEIRA</v>
          </cell>
        </row>
        <row r="121">
          <cell r="C121" t="str">
            <v>FOZ JAGUARIBE (5716)</v>
          </cell>
          <cell r="F121" t="str">
            <v>RONNY LOOR CAMPOVERDE</v>
          </cell>
        </row>
        <row r="122">
          <cell r="C122" t="str">
            <v xml:space="preserve">FOZ JECEABA (5721) </v>
          </cell>
          <cell r="F122" t="str">
            <v>SERGIO BEZERRA</v>
          </cell>
        </row>
        <row r="123">
          <cell r="C123" t="str">
            <v>FOZ LIMEIRA (5710)</v>
          </cell>
          <cell r="F123" t="str">
            <v>SERGIO PANICALI</v>
          </cell>
        </row>
        <row r="124">
          <cell r="C124" t="str">
            <v>FOZ MAUÁ (5713)</v>
          </cell>
          <cell r="F124" t="str">
            <v>SÉRGIO SHIGUEMITSU MIYASHIRO</v>
          </cell>
        </row>
        <row r="125">
          <cell r="C125" t="str">
            <v>FOZ RIO CLARO (5715)</v>
          </cell>
          <cell r="F125" t="str">
            <v>SERGIO SOUZA TETTAMANTI JUNIOR</v>
          </cell>
        </row>
        <row r="126">
          <cell r="C126" t="str">
            <v>FOZ RIO DAS OSTRAS (5712)</v>
          </cell>
          <cell r="F126" t="str">
            <v>SIDNEY PASSOS RAMOS</v>
          </cell>
        </row>
        <row r="127">
          <cell r="C127" t="str">
            <v>FOZ SANTA GERTRUDES (5727)</v>
          </cell>
          <cell r="F127" t="str">
            <v>TIAGO BRITTO</v>
          </cell>
        </row>
        <row r="128">
          <cell r="C128" t="str">
            <v>GSNC - RASO (CONSÓRCIO) (0142001)</v>
          </cell>
          <cell r="F128" t="str">
            <v>VICTOR CARVALHO MARQUES</v>
          </cell>
        </row>
        <row r="129">
          <cell r="C129" t="str">
            <v>IC17-CRIL-SUB.BURACA/PONTINHA (1602)</v>
          </cell>
          <cell r="F129" t="str">
            <v>VITO FACCIOLA</v>
          </cell>
        </row>
        <row r="130">
          <cell r="C130" t="str">
            <v>JARDINS MANGUEIRAL (PPPBR)</v>
          </cell>
          <cell r="F130" t="str">
            <v>WILSON MARTINS RIBEIRO JUNIOR</v>
          </cell>
        </row>
        <row r="131">
          <cell r="C131" t="str">
            <v>KLABIN OTACÍLIO COSTA (5726)</v>
          </cell>
          <cell r="F131" t="str">
            <v>YURI KERTZMAN</v>
          </cell>
        </row>
        <row r="132">
          <cell r="C132" t="str">
            <v>LIBERIAN IRON ORE RAILWAY REHABILITATION (RAIWA)</v>
          </cell>
        </row>
        <row r="133">
          <cell r="C133" t="str">
            <v>LUANDA SUL</v>
          </cell>
        </row>
        <row r="134">
          <cell r="C134" t="str">
            <v>MALHA VIÁRIA - RJ (0314)</v>
          </cell>
        </row>
        <row r="135">
          <cell r="C135" t="str">
            <v>METRO CABLE MARICHE (2720)</v>
          </cell>
        </row>
        <row r="136">
          <cell r="C136" t="str">
            <v>METRO CARACAS LINHA 3</v>
          </cell>
        </row>
        <row r="137">
          <cell r="C137" t="str">
            <v>METRO CARACAS LINHA 4</v>
          </cell>
        </row>
        <row r="138">
          <cell r="C138" t="str">
            <v>METRO CARACAS LINHA V (2650)</v>
          </cell>
        </row>
        <row r="139">
          <cell r="C139" t="str">
            <v>METRO IPANEMA</v>
          </cell>
        </row>
        <row r="140">
          <cell r="C140" t="str">
            <v>METRO IPANEMA EXPANSÃO GENERAL OSÓRIO (0117207)</v>
          </cell>
        </row>
        <row r="141">
          <cell r="C141" t="str">
            <v>METRO LINHA 4</v>
          </cell>
        </row>
        <row r="142">
          <cell r="C142" t="str">
            <v>METROCABLE SAN AGUSTÍN (2660)</v>
          </cell>
        </row>
        <row r="143">
          <cell r="C143" t="str">
            <v>METRORAILs MIC (EU071)</v>
          </cell>
        </row>
        <row r="144">
          <cell r="C144" t="str">
            <v>MIA MOVER APM SYSTEM (EU081)</v>
          </cell>
        </row>
        <row r="145">
          <cell r="C145" t="str">
            <v>MURANO (5142)</v>
          </cell>
        </row>
        <row r="146">
          <cell r="C146" t="str">
            <v>NORBE IX (COREIA DO SUL) (2358)</v>
          </cell>
        </row>
        <row r="147">
          <cell r="C147" t="str">
            <v>NORBE VI (ABU DAHABI/EAU) (2356)</v>
          </cell>
        </row>
        <row r="148">
          <cell r="C148" t="str">
            <v>NORBE VIII (COREIA DO SUL) (2358)</v>
          </cell>
        </row>
        <row r="149">
          <cell r="C149" t="str">
            <v>NORTH TERMINAL</v>
          </cell>
        </row>
        <row r="150">
          <cell r="C150" t="str">
            <v>OBRAS BIOCOM (CNBIO)</v>
          </cell>
        </row>
        <row r="151">
          <cell r="C151" t="str">
            <v>OBRAS EMERGENCIAIS VALE (0116009)</v>
          </cell>
        </row>
        <row r="152">
          <cell r="C152" t="str">
            <v>OBRAS SALOBO (3309)</v>
          </cell>
        </row>
        <row r="153">
          <cell r="C153" t="str">
            <v>ODEq - GUARULHOS (8402)</v>
          </cell>
        </row>
        <row r="154">
          <cell r="C154" t="str">
            <v>OSEL CONTRATO VALE CAIS 8 (2507)</v>
          </cell>
        </row>
        <row r="155">
          <cell r="C155" t="str">
            <v>OSVAT 30 (9475)</v>
          </cell>
        </row>
        <row r="156">
          <cell r="C156" t="str">
            <v>PAC SMS PETROBRAS (0125050)</v>
          </cell>
        </row>
        <row r="157">
          <cell r="C157" t="str">
            <v>PALÁCIO DE FERRO (OAPF)</v>
          </cell>
        </row>
        <row r="158">
          <cell r="C158" t="str">
            <v>PARANÁ DE LAS PALMAS (CONSÓRCIO) (3047)</v>
          </cell>
        </row>
        <row r="159">
          <cell r="C159" t="str">
            <v>PINTURA INDUSTRIAL (2373)</v>
          </cell>
        </row>
        <row r="160">
          <cell r="C160" t="str">
            <v>PORTO COIMEX EMBRAPORT (0110036)</v>
          </cell>
        </row>
        <row r="161">
          <cell r="C161" t="str">
            <v>PORTO DE MARIEL - CUBA (COI10)</v>
          </cell>
        </row>
        <row r="162">
          <cell r="C162" t="str">
            <v>PORTO ITAQUI - RECUP. BERÇOS 101-102 (3867)</v>
          </cell>
        </row>
        <row r="163">
          <cell r="C163" t="str">
            <v>PROJETO AEROPORTO INTERNACIONAL DA CATUMBELA (OAAIC)</v>
          </cell>
        </row>
        <row r="164">
          <cell r="C164" t="str">
            <v>PROJETO ÁGUAS DE BENGUELA 3ª ETAPA (OSMEA)</v>
          </cell>
        </row>
        <row r="165">
          <cell r="C165" t="str">
            <v>PROJETO AHE DARDANELOS (4682)</v>
          </cell>
        </row>
        <row r="166">
          <cell r="C166" t="str">
            <v>PROJETO AQUAPOLO (0112037)</v>
          </cell>
        </row>
        <row r="167">
          <cell r="C167" t="str">
            <v>PROJETO BRASKEM</v>
          </cell>
        </row>
        <row r="168">
          <cell r="C168" t="str">
            <v>PROJETO CARVÃO MOATIZE (2502)</v>
          </cell>
        </row>
        <row r="169">
          <cell r="C169" t="str">
            <v>PROJETO CLOD DO PLANALTO CENTRAL (OACLD)</v>
          </cell>
        </row>
        <row r="170">
          <cell r="C170" t="str">
            <v>PROJETO DE REVITALIZAÇÃO DO MARTIRES DO KIFANGONDO (OALMK)</v>
          </cell>
        </row>
        <row r="171">
          <cell r="C171" t="str">
            <v>PROJETO ESTALEIRO-BASE NAVAL (ESTALEIRO)</v>
          </cell>
        </row>
        <row r="172">
          <cell r="C172" t="str">
            <v>PROJETO ETH BRENCO (0125035)</v>
          </cell>
        </row>
        <row r="173">
          <cell r="C173" t="str">
            <v>PROJETO HIDRO-AGRÍCOLA DE MICHOACAN (CEAC)</v>
          </cell>
        </row>
        <row r="174">
          <cell r="C174" t="str">
            <v>PROJETO MORADA DA PENÍNSULA (2223)</v>
          </cell>
        </row>
        <row r="175">
          <cell r="C175" t="str">
            <v xml:space="preserve">PROJETO MORAR FELIZ (6462) </v>
          </cell>
        </row>
        <row r="176">
          <cell r="C176" t="str">
            <v>PROJETO NOBLESSE RESIDENCE (OANBL)</v>
          </cell>
        </row>
        <row r="177">
          <cell r="C177" t="str">
            <v>PROJETO NOSSO SUPER OPERAÇÃO (OLVAC)</v>
          </cell>
        </row>
        <row r="178">
          <cell r="C178" t="str">
            <v>PROJETO PEDREIRA CABO LEDO (CNPED)</v>
          </cell>
        </row>
        <row r="179">
          <cell r="C179" t="str">
            <v>PROJETO PETROQUÍMICA SUAPE - PTA (9458)</v>
          </cell>
        </row>
        <row r="180">
          <cell r="C180" t="str">
            <v>PROJETO POY PET (9480)</v>
          </cell>
        </row>
        <row r="181">
          <cell r="C181" t="str">
            <v>PROJETO REFORÇO ÁGUAS DE LUANDA</v>
          </cell>
        </row>
        <row r="182">
          <cell r="C182" t="str">
            <v>PROJETO SANEAMENTO ÁGUAS LIMPAS GRANDE VITORIA (5456)</v>
          </cell>
        </row>
        <row r="183">
          <cell r="C183" t="str">
            <v>PROJETO VIAS DE LUANDA (OARVL)</v>
          </cell>
        </row>
        <row r="184">
          <cell r="C184" t="str">
            <v>PROJETO VIAS EXPRESSAS (CNVEX)</v>
          </cell>
        </row>
        <row r="185">
          <cell r="C185" t="str">
            <v>PROYECTO ACUEDUCTO SAMANÁ (SAMA)</v>
          </cell>
        </row>
        <row r="186">
          <cell r="C186" t="str">
            <v>PROYECTO AUTOPISTA DEL CORAL (CORAL)</v>
          </cell>
        </row>
        <row r="187">
          <cell r="C187" t="str">
            <v>PROYECTO CARRETERA EL RIO  - JARABACOA (JARAB)</v>
          </cell>
        </row>
        <row r="188">
          <cell r="C188" t="str">
            <v>PROYECTO CATIA LA MAR (2803)</v>
          </cell>
        </row>
        <row r="189">
          <cell r="C189" t="str">
            <v>PROYECTO CHAGLLA (6286)</v>
          </cell>
        </row>
        <row r="190">
          <cell r="C190" t="str">
            <v>PROYECTO CONGA (6285)</v>
          </cell>
        </row>
        <row r="191">
          <cell r="C191" t="str">
            <v>PROYECTO CURUNDÚ (4459J)</v>
          </cell>
        </row>
        <row r="192">
          <cell r="C192" t="str">
            <v>PROYECTO DOS MARES (4459E)</v>
          </cell>
        </row>
        <row r="193">
          <cell r="C193" t="str">
            <v>PROYECTO HIDROELÉCTRICO PALOMINO (PALO)</v>
          </cell>
        </row>
        <row r="194">
          <cell r="C194" t="str">
            <v>PROYECTO HIDROELÉCTRICO SAN FRANCISCO (5373F)</v>
          </cell>
        </row>
        <row r="195">
          <cell r="C195" t="str">
            <v>PROYECTO SOYA ANZOATEGUI (2730)</v>
          </cell>
        </row>
        <row r="196">
          <cell r="C196" t="str">
            <v>PROYECTO TRASVASE OLMOS (6278)</v>
          </cell>
        </row>
        <row r="197">
          <cell r="C197" t="str">
            <v>PROYECTO YPF-CCR (3056)</v>
          </cell>
        </row>
        <row r="198">
          <cell r="C198" t="str">
            <v>REABILITAÇÃO AMBIENTAL PRAIA DE SEPETIBA (0313)</v>
          </cell>
        </row>
        <row r="199">
          <cell r="C199" t="str">
            <v>RECUPERAÇÃO CANAIS DE CAMPOS (0312)</v>
          </cell>
        </row>
        <row r="200">
          <cell r="C200" t="str">
            <v>REDES DA GRANDE VITÓRIA (5452A)</v>
          </cell>
        </row>
        <row r="201">
          <cell r="C201" t="str">
            <v>REHABILITACIÓN HIDROELÉCTRICA JIGUEY (RHJ)</v>
          </cell>
        </row>
        <row r="202">
          <cell r="C202" t="str">
            <v>RESERVA DO PAIVA RESIDENCE SUL (5162)</v>
          </cell>
        </row>
        <row r="203">
          <cell r="C203" t="str">
            <v>RIO CORPORATE (5112)</v>
          </cell>
        </row>
        <row r="204">
          <cell r="C204" t="str">
            <v>RIOS CCC - FASE II (CNRIO)</v>
          </cell>
        </row>
        <row r="205">
          <cell r="C205" t="str">
            <v>RODOVIA BENGUELA DOMBE GRANDE (OAROD-A)</v>
          </cell>
        </row>
        <row r="206">
          <cell r="C206" t="str">
            <v>RODOVIA EKUNHA CUSSE (OAREC)</v>
          </cell>
        </row>
        <row r="207">
          <cell r="C207" t="str">
            <v>SANEAMENTO BÁSICO (CNSAN)</v>
          </cell>
        </row>
        <row r="208">
          <cell r="C208" t="str">
            <v>SANEAMENTO DA BAHIA - PTA (4459G)</v>
          </cell>
        </row>
        <row r="209">
          <cell r="C209" t="str">
            <v>SANEAMENTO DA BAHIA - TUNEL (4459F)</v>
          </cell>
        </row>
        <row r="210">
          <cell r="C210" t="str">
            <v>SANEAMENTO DE NATAL (5443)</v>
          </cell>
        </row>
        <row r="211">
          <cell r="C211" t="str">
            <v>SANEAMENTO MACAÉ (0271)</v>
          </cell>
        </row>
        <row r="212">
          <cell r="C212" t="str">
            <v>SANEAMES II (5457A)</v>
          </cell>
        </row>
        <row r="213">
          <cell r="C213" t="str">
            <v>SANEAQUA MAIRINQUE S/A (5728)</v>
          </cell>
        </row>
        <row r="214">
          <cell r="C214" t="str">
            <v>SANTO OVIDIO (1605)</v>
          </cell>
        </row>
        <row r="215">
          <cell r="C215" t="str">
            <v>SERVIÇO DE ATENDIMENTO AO CLIENTE (SAC)</v>
          </cell>
        </row>
        <row r="216">
          <cell r="C216" t="str">
            <v>SIMANDOU GUINE CRONACRI (3101)</v>
          </cell>
        </row>
        <row r="217">
          <cell r="C217" t="str">
            <v>SISTEMA DE ÁGUAS COMPERJ - ADUTORA (0112050)</v>
          </cell>
        </row>
        <row r="218">
          <cell r="C218" t="str">
            <v>SPE ALPHA CORPORATE - OEI (5113)</v>
          </cell>
        </row>
        <row r="219">
          <cell r="C219" t="str">
            <v>TERCEIRA PONTE ORINOCO (2590)</v>
          </cell>
        </row>
        <row r="220">
          <cell r="C220" t="str">
            <v>THE BLUE (5164)</v>
          </cell>
        </row>
        <row r="221">
          <cell r="C221" t="str">
            <v>THE ONE (5146)</v>
          </cell>
        </row>
        <row r="222">
          <cell r="C222" t="str">
            <v>THIRD RING ROAD IN TRIPOLY (BPCTH)</v>
          </cell>
        </row>
        <row r="223">
          <cell r="C223" t="str">
            <v>TKCSA (5725)</v>
          </cell>
        </row>
        <row r="224">
          <cell r="C224" t="str">
            <v>TRANSPORTE MASIVO CARACAS - GUARENAS - GUATIRE (2640)</v>
          </cell>
        </row>
        <row r="225">
          <cell r="C225" t="str">
            <v>TREN ELECTRICO LIMA (6283)</v>
          </cell>
        </row>
        <row r="226">
          <cell r="C226" t="str">
            <v>TRÍPOLI INTERNATIONAL AIRPORT (BPCAI)</v>
          </cell>
        </row>
        <row r="227">
          <cell r="C227" t="str">
            <v>TÚNEL DA GROTA FUNDA (0119002)</v>
          </cell>
        </row>
        <row r="228">
          <cell r="C228" t="str">
            <v>UHE GOVE (OAGOV)</v>
          </cell>
        </row>
        <row r="229">
          <cell r="C229" t="str">
            <v>UHE SANTO ANTÔNIO (4687)</v>
          </cell>
        </row>
        <row r="230">
          <cell r="C230" t="str">
            <v>UHE SANTO ANTÔNIO (MONTAGEM) (4868)</v>
          </cell>
        </row>
        <row r="231">
          <cell r="C231" t="str">
            <v>UHE TELES PIRES (4869)</v>
          </cell>
        </row>
        <row r="232">
          <cell r="C232" t="str">
            <v>UHE TOCOMA (2670)</v>
          </cell>
        </row>
        <row r="233">
          <cell r="C233" t="str">
            <v>USINA VSB JECEABA - REDE UTLIDADES (5458)</v>
          </cell>
        </row>
        <row r="234">
          <cell r="C234" t="str">
            <v>VALE SÃO LUIS - PIER IV (3872)</v>
          </cell>
        </row>
        <row r="235">
          <cell r="C235" t="str">
            <v>VILA GRIMM (2227)</v>
          </cell>
        </row>
        <row r="236">
          <cell r="C236" t="str">
            <v>VILA OLIMPIA (5181)</v>
          </cell>
        </row>
        <row r="237">
          <cell r="C237" t="str">
            <v>VIVENDAS SÃO PAULO DE LOANDA (VIVEN)</v>
          </cell>
        </row>
        <row r="238">
          <cell r="C238" t="str">
            <v>ZANIAH EMPREENDIMENTOS IMOBILIÁRIOS (5155)</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bbreviations and acronyms"/>
      <sheetName val="Table1"/>
      <sheetName val="Table1.A(a)s1"/>
      <sheetName val="Table1.A(a)s2"/>
      <sheetName val="Table1.A(a)s3"/>
      <sheetName val="Table1.A(a)s4"/>
      <sheetName val="Table1.A(b)"/>
      <sheetName val="Table1.A(c)"/>
      <sheetName val="Table1.A(d)"/>
      <sheetName val="Table1.B.1"/>
      <sheetName val="Table1.B.2"/>
      <sheetName val="Table1.C"/>
      <sheetName val="Table1.D"/>
      <sheetName val="Table2(I)"/>
      <sheetName val="Table2(I).A-H"/>
      <sheetName val="Table2(II)"/>
      <sheetName val="Table2(II).B-Hs1"/>
      <sheetName val="Table2(II).B-Hs2"/>
      <sheetName val="Table3"/>
      <sheetName val="Table3.A"/>
      <sheetName val="Table3.B(a)"/>
      <sheetName val="Table3.B(b)"/>
      <sheetName val="Table3.C"/>
      <sheetName val="Table3.D"/>
      <sheetName val="Table3.E"/>
      <sheetName val="Table3.F"/>
      <sheetName val="Table3.G-J"/>
      <sheetName val="Table4"/>
      <sheetName val="Table4.1"/>
      <sheetName val="Table4.A"/>
      <sheetName val="Table4.B"/>
      <sheetName val="Table4.C"/>
      <sheetName val="Table4.D"/>
      <sheetName val="Table4.E"/>
      <sheetName val="Table4.F"/>
      <sheetName val="Table4(I)"/>
      <sheetName val="Table4(II)"/>
      <sheetName val="Table4(III)"/>
      <sheetName val="Table4(IV)"/>
      <sheetName val="Table4.Gs1 "/>
      <sheetName val="Table4.Gs2"/>
      <sheetName val="Table5"/>
      <sheetName val="Table5.A"/>
      <sheetName val="Table5.B"/>
      <sheetName val="Table5.C"/>
      <sheetName val="Table5.D"/>
      <sheetName val="Summary1"/>
      <sheetName val="Summary2"/>
      <sheetName val="Summary3"/>
      <sheetName val="Table6"/>
      <sheetName val="Table7"/>
      <sheetName val="Table8s1"/>
      <sheetName val="Table8s2"/>
      <sheetName val="Table9"/>
      <sheetName val="Table10s1"/>
      <sheetName val="Table10s2"/>
      <sheetName val="Table10s3"/>
      <sheetName val="Table10s4"/>
      <sheetName val="Table10s5"/>
      <sheetName val="Table10s6"/>
      <sheetName val="Flex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ítica"/>
      <sheetName val="Introdução"/>
      <sheetName val="Quadro 1 - Caracterização "/>
      <sheetName val="Quadro 2.A Combustível Cont."/>
      <sheetName val="Quadro 2.B Combustivel Não Cont"/>
      <sheetName val="Quadro 3 - Aquisição Comb e Lub"/>
      <sheetName val="Quadro 4 - Transp. Diário "/>
      <sheetName val="Quadro 5 - Transporte Cargas"/>
      <sheetName val="Quadro 6 - Mobilização desmobil"/>
      <sheetName val="Quadro 7-Viagens Aéreas"/>
      <sheetName val="Quadro 8 - Refrigeração"/>
      <sheetName val="LISTAS DROP DOWN"/>
      <sheetName val="Quadro 9 - Corte e Solda"/>
      <sheetName val="Quadro 10- Energia Elétrica"/>
      <sheetName val="Quadro 11- Infra Elétrica"/>
      <sheetName val="Quadro 12- Energia Térmica Obra"/>
      <sheetName val="Quadro 13 - Materiais"/>
      <sheetName val="Quadro 14 - Explosivos"/>
      <sheetName val="Quadro 15 - Pessoal"/>
      <sheetName val="Quadro 16 - Alimentação"/>
      <sheetName val="Quadro 17-Resíduos Sólidos"/>
      <sheetName val="Quadro 18- Efluentes"/>
    </sheetNames>
    <sheetDataSet>
      <sheetData sheetId="0"/>
      <sheetData sheetId="1"/>
      <sheetData sheetId="2"/>
      <sheetData sheetId="3"/>
      <sheetData sheetId="4"/>
      <sheetData sheetId="5"/>
      <sheetData sheetId="6"/>
      <sheetData sheetId="7"/>
      <sheetData sheetId="8"/>
      <sheetData sheetId="9"/>
      <sheetData sheetId="10"/>
      <sheetData sheetId="11">
        <row r="4">
          <cell r="Y4" t="str">
            <v>S</v>
          </cell>
        </row>
        <row r="5">
          <cell r="Y5" t="str">
            <v>N</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troduction"/>
      <sheetName val="Emissions based on fuel use"/>
      <sheetName val="Emissions based on distance"/>
      <sheetName val="Reference"/>
      <sheetName val="FAQ"/>
      <sheetName val="Macros"/>
    </sheetNames>
    <sheetDataSet>
      <sheetData sheetId="0" refreshError="1"/>
      <sheetData sheetId="1" refreshError="1"/>
      <sheetData sheetId="2" refreshError="1"/>
      <sheetData sheetId="3" refreshError="1"/>
      <sheetData sheetId="4" refreshError="1">
        <row r="196">
          <cell r="E196">
            <v>4</v>
          </cell>
          <cell r="F196">
            <v>2.2541567500000004</v>
          </cell>
          <cell r="G196">
            <v>2254.1567500000006</v>
          </cell>
          <cell r="H196">
            <v>1.6093</v>
          </cell>
          <cell r="I196">
            <v>1400.7063630149758</v>
          </cell>
        </row>
        <row r="197">
          <cell r="E197">
            <v>5</v>
          </cell>
          <cell r="F197">
            <v>1.8033254000000003</v>
          </cell>
          <cell r="G197">
            <v>1803.3254000000004</v>
          </cell>
          <cell r="H197">
            <v>1.6093</v>
          </cell>
          <cell r="I197">
            <v>1120.5650904119807</v>
          </cell>
        </row>
        <row r="198">
          <cell r="E198">
            <v>6</v>
          </cell>
          <cell r="F198">
            <v>1.502771166666667</v>
          </cell>
          <cell r="G198">
            <v>1502.7711666666669</v>
          </cell>
          <cell r="H198">
            <v>1.6093</v>
          </cell>
          <cell r="I198">
            <v>933.8042420099838</v>
          </cell>
        </row>
        <row r="199">
          <cell r="E199">
            <v>7</v>
          </cell>
          <cell r="F199">
            <v>1.2880895714285716</v>
          </cell>
          <cell r="G199">
            <v>1288.0895714285716</v>
          </cell>
          <cell r="H199">
            <v>1.6093</v>
          </cell>
          <cell r="I199">
            <v>800.40363600855756</v>
          </cell>
        </row>
        <row r="200">
          <cell r="E200">
            <v>8</v>
          </cell>
          <cell r="F200">
            <v>1.1270783750000002</v>
          </cell>
          <cell r="G200">
            <v>1127.0783750000003</v>
          </cell>
          <cell r="H200">
            <v>1.6093</v>
          </cell>
          <cell r="I200">
            <v>700.35318150748788</v>
          </cell>
        </row>
        <row r="201">
          <cell r="E201">
            <v>9</v>
          </cell>
          <cell r="F201">
            <v>1.0018474444444445</v>
          </cell>
          <cell r="G201">
            <v>1001.8474444444445</v>
          </cell>
          <cell r="H201">
            <v>1.6093</v>
          </cell>
          <cell r="I201">
            <v>622.53616133998912</v>
          </cell>
        </row>
        <row r="202">
          <cell r="E202">
            <v>10</v>
          </cell>
          <cell r="F202">
            <v>0.90166270000000015</v>
          </cell>
          <cell r="G202">
            <v>901.6627000000002</v>
          </cell>
          <cell r="H202">
            <v>1.6093</v>
          </cell>
          <cell r="I202">
            <v>560.28254520599035</v>
          </cell>
        </row>
        <row r="203">
          <cell r="E203">
            <v>11</v>
          </cell>
          <cell r="F203">
            <v>0.8196933636363638</v>
          </cell>
          <cell r="G203">
            <v>819.69336363636376</v>
          </cell>
          <cell r="H203">
            <v>1.6093</v>
          </cell>
          <cell r="I203">
            <v>509.34776836908208</v>
          </cell>
        </row>
        <row r="204">
          <cell r="E204">
            <v>12</v>
          </cell>
          <cell r="F204">
            <v>0.7513855833333335</v>
          </cell>
          <cell r="G204">
            <v>751.38558333333344</v>
          </cell>
          <cell r="H204">
            <v>1.6093</v>
          </cell>
          <cell r="I204">
            <v>466.9021210049919</v>
          </cell>
        </row>
        <row r="205">
          <cell r="E205">
            <v>13</v>
          </cell>
          <cell r="F205">
            <v>0.69358669230769243</v>
          </cell>
          <cell r="G205">
            <v>693.58669230769249</v>
          </cell>
          <cell r="H205">
            <v>1.6093</v>
          </cell>
          <cell r="I205">
            <v>430.98657323537719</v>
          </cell>
        </row>
        <row r="206">
          <cell r="E206">
            <v>14</v>
          </cell>
          <cell r="F206">
            <v>0.64404478571428581</v>
          </cell>
          <cell r="G206">
            <v>644.04478571428581</v>
          </cell>
          <cell r="H206">
            <v>1.6093</v>
          </cell>
          <cell r="I206">
            <v>400.20181800427878</v>
          </cell>
        </row>
        <row r="207">
          <cell r="E207">
            <v>15</v>
          </cell>
          <cell r="F207">
            <v>0.60110846666666673</v>
          </cell>
          <cell r="G207">
            <v>601.10846666666669</v>
          </cell>
          <cell r="H207">
            <v>1.6093</v>
          </cell>
          <cell r="I207">
            <v>373.52169680399345</v>
          </cell>
        </row>
        <row r="208">
          <cell r="E208">
            <v>16</v>
          </cell>
          <cell r="F208">
            <v>0.56353918750000009</v>
          </cell>
          <cell r="G208">
            <v>563.53918750000014</v>
          </cell>
          <cell r="H208">
            <v>1.6093</v>
          </cell>
          <cell r="I208">
            <v>350.17659075374394</v>
          </cell>
        </row>
        <row r="209">
          <cell r="E209">
            <v>17</v>
          </cell>
          <cell r="F209">
            <v>0.53038982352941189</v>
          </cell>
          <cell r="G209">
            <v>530.38982352941184</v>
          </cell>
          <cell r="H209">
            <v>1.6093</v>
          </cell>
          <cell r="I209">
            <v>329.5779677682296</v>
          </cell>
        </row>
        <row r="210">
          <cell r="E210">
            <v>18</v>
          </cell>
          <cell r="F210">
            <v>0.50092372222222226</v>
          </cell>
          <cell r="G210">
            <v>500.92372222222224</v>
          </cell>
          <cell r="H210">
            <v>1.6093</v>
          </cell>
          <cell r="I210">
            <v>311.26808066999456</v>
          </cell>
        </row>
        <row r="211">
          <cell r="E211">
            <v>19</v>
          </cell>
          <cell r="F211">
            <v>0.47455931578947375</v>
          </cell>
          <cell r="G211">
            <v>474.55931578947377</v>
          </cell>
          <cell r="H211">
            <v>1.6093</v>
          </cell>
          <cell r="I211">
            <v>294.88555010841594</v>
          </cell>
        </row>
        <row r="212">
          <cell r="E212">
            <v>20</v>
          </cell>
          <cell r="F212">
            <v>0.45083135000000008</v>
          </cell>
          <cell r="G212">
            <v>450.8313500000001</v>
          </cell>
          <cell r="H212">
            <v>1.6093</v>
          </cell>
          <cell r="I212">
            <v>280.14127260299517</v>
          </cell>
        </row>
        <row r="213">
          <cell r="E213">
            <v>21</v>
          </cell>
          <cell r="F213">
            <v>0.42936319047619054</v>
          </cell>
          <cell r="G213">
            <v>429.36319047619054</v>
          </cell>
          <cell r="H213">
            <v>1.6093</v>
          </cell>
          <cell r="I213">
            <v>266.80121200285254</v>
          </cell>
        </row>
        <row r="214">
          <cell r="E214">
            <v>22</v>
          </cell>
          <cell r="F214">
            <v>0.4098466818181819</v>
          </cell>
          <cell r="G214">
            <v>409.84668181818188</v>
          </cell>
          <cell r="H214">
            <v>1.6093</v>
          </cell>
          <cell r="I214">
            <v>254.67388418454104</v>
          </cell>
        </row>
        <row r="215">
          <cell r="E215">
            <v>23</v>
          </cell>
          <cell r="F215">
            <v>0.3920272608695653</v>
          </cell>
          <cell r="G215">
            <v>392.02726086956528</v>
          </cell>
          <cell r="H215">
            <v>1.6093</v>
          </cell>
          <cell r="I215">
            <v>243.60110661130014</v>
          </cell>
        </row>
        <row r="216">
          <cell r="E216">
            <v>24</v>
          </cell>
          <cell r="F216">
            <v>0.37569279166666675</v>
          </cell>
          <cell r="G216">
            <v>375.69279166666672</v>
          </cell>
          <cell r="H216">
            <v>1.6093</v>
          </cell>
          <cell r="I216">
            <v>233.45106050249595</v>
          </cell>
        </row>
        <row r="217">
          <cell r="E217">
            <v>25</v>
          </cell>
          <cell r="F217">
            <v>0.36066508000000008</v>
          </cell>
          <cell r="G217">
            <v>360.6650800000001</v>
          </cell>
          <cell r="H217">
            <v>1.6093</v>
          </cell>
          <cell r="I217">
            <v>224.11301808239614</v>
          </cell>
        </row>
        <row r="218">
          <cell r="E218">
            <v>26</v>
          </cell>
          <cell r="F218">
            <v>0.34679334615384622</v>
          </cell>
          <cell r="G218">
            <v>346.79334615384624</v>
          </cell>
          <cell r="H218">
            <v>1.6093</v>
          </cell>
          <cell r="I218">
            <v>215.4932866176886</v>
          </cell>
        </row>
        <row r="219">
          <cell r="E219">
            <v>27</v>
          </cell>
          <cell r="F219">
            <v>0.33394914814814819</v>
          </cell>
          <cell r="G219">
            <v>333.9491481481482</v>
          </cell>
          <cell r="H219">
            <v>1.6093</v>
          </cell>
          <cell r="I219">
            <v>207.51205377999639</v>
          </cell>
        </row>
        <row r="220">
          <cell r="E220">
            <v>28</v>
          </cell>
          <cell r="F220">
            <v>0.3220223928571429</v>
          </cell>
          <cell r="G220">
            <v>322.0223928571429</v>
          </cell>
          <cell r="H220">
            <v>1.6093</v>
          </cell>
          <cell r="I220">
            <v>200.10090900213939</v>
          </cell>
        </row>
        <row r="221">
          <cell r="E221">
            <v>29</v>
          </cell>
          <cell r="F221">
            <v>0.31091817241379316</v>
          </cell>
          <cell r="G221">
            <v>310.91817241379317</v>
          </cell>
          <cell r="H221">
            <v>1.6093</v>
          </cell>
          <cell r="I221">
            <v>193.20087765723804</v>
          </cell>
        </row>
        <row r="222">
          <cell r="E222">
            <v>30</v>
          </cell>
          <cell r="F222">
            <v>0.30055423333333336</v>
          </cell>
          <cell r="G222">
            <v>300.55423333333334</v>
          </cell>
          <cell r="H222">
            <v>1.6093</v>
          </cell>
          <cell r="I222">
            <v>186.76084840199672</v>
          </cell>
        </row>
        <row r="223">
          <cell r="E223">
            <v>31</v>
          </cell>
          <cell r="F223">
            <v>0.29085893548387104</v>
          </cell>
          <cell r="G223">
            <v>290.85893548387105</v>
          </cell>
          <cell r="H223">
            <v>1.6093</v>
          </cell>
          <cell r="I223">
            <v>180.73630490515819</v>
          </cell>
        </row>
        <row r="224">
          <cell r="E224">
            <v>32</v>
          </cell>
          <cell r="F224">
            <v>0.28176959375000005</v>
          </cell>
          <cell r="G224">
            <v>281.76959375000007</v>
          </cell>
          <cell r="H224">
            <v>1.6093</v>
          </cell>
          <cell r="I224">
            <v>175.08829537687197</v>
          </cell>
        </row>
        <row r="225">
          <cell r="E225">
            <v>33</v>
          </cell>
          <cell r="F225">
            <v>0.27323112121212123</v>
          </cell>
          <cell r="G225">
            <v>273.23112121212125</v>
          </cell>
          <cell r="H225">
            <v>1.6093</v>
          </cell>
          <cell r="I225">
            <v>169.78258945636068</v>
          </cell>
        </row>
        <row r="226">
          <cell r="E226">
            <v>34</v>
          </cell>
          <cell r="F226">
            <v>0.26519491176470594</v>
          </cell>
          <cell r="G226">
            <v>265.19491176470592</v>
          </cell>
          <cell r="H226">
            <v>1.6093</v>
          </cell>
          <cell r="I226">
            <v>164.7889838841148</v>
          </cell>
        </row>
        <row r="227">
          <cell r="E227">
            <v>35</v>
          </cell>
          <cell r="F227">
            <v>0.25761791428571434</v>
          </cell>
          <cell r="G227">
            <v>257.61791428571433</v>
          </cell>
          <cell r="H227">
            <v>1.6093</v>
          </cell>
          <cell r="I227">
            <v>160.08072720171151</v>
          </cell>
        </row>
        <row r="228">
          <cell r="E228">
            <v>36</v>
          </cell>
          <cell r="F228">
            <v>0.25046186111111113</v>
          </cell>
          <cell r="G228">
            <v>250.46186111111112</v>
          </cell>
          <cell r="H228">
            <v>1.6093</v>
          </cell>
          <cell r="I228">
            <v>155.63404033499728</v>
          </cell>
        </row>
        <row r="229">
          <cell r="E229">
            <v>37</v>
          </cell>
          <cell r="F229">
            <v>0.24369262162162167</v>
          </cell>
          <cell r="G229">
            <v>243.69262162162167</v>
          </cell>
          <cell r="H229">
            <v>1.6093</v>
          </cell>
          <cell r="I229">
            <v>151.42771492053791</v>
          </cell>
        </row>
        <row r="230">
          <cell r="E230">
            <v>38</v>
          </cell>
          <cell r="F230">
            <v>0.23727965789473687</v>
          </cell>
          <cell r="G230">
            <v>237.27965789473689</v>
          </cell>
          <cell r="H230">
            <v>1.6093</v>
          </cell>
          <cell r="I230">
            <v>147.44277505420797</v>
          </cell>
        </row>
        <row r="231">
          <cell r="E231">
            <v>39</v>
          </cell>
          <cell r="F231">
            <v>0.23119556410256414</v>
          </cell>
          <cell r="G231">
            <v>231.19556410256413</v>
          </cell>
          <cell r="H231">
            <v>1.6093</v>
          </cell>
          <cell r="I231">
            <v>143.66219107845905</v>
          </cell>
        </row>
        <row r="232">
          <cell r="E232">
            <v>40</v>
          </cell>
          <cell r="F232">
            <v>0.22541567500000004</v>
          </cell>
          <cell r="G232">
            <v>225.41567500000005</v>
          </cell>
          <cell r="H232">
            <v>1.6093</v>
          </cell>
          <cell r="I232">
            <v>140.07063630149759</v>
          </cell>
        </row>
        <row r="233">
          <cell r="E233">
            <v>41</v>
          </cell>
          <cell r="F233">
            <v>0.2199177317073171</v>
          </cell>
          <cell r="G233">
            <v>219.9177317073171</v>
          </cell>
          <cell r="H233">
            <v>1.6093</v>
          </cell>
          <cell r="I233">
            <v>136.65427931853421</v>
          </cell>
        </row>
        <row r="234">
          <cell r="E234">
            <v>42</v>
          </cell>
          <cell r="F234">
            <v>0.21468159523809527</v>
          </cell>
          <cell r="G234">
            <v>214.68159523809527</v>
          </cell>
          <cell r="H234">
            <v>1.6093</v>
          </cell>
          <cell r="I234">
            <v>133.40060600142627</v>
          </cell>
        </row>
        <row r="235">
          <cell r="E235">
            <v>43</v>
          </cell>
          <cell r="F235">
            <v>0.20968900000000004</v>
          </cell>
          <cell r="G235">
            <v>209.68900000000005</v>
          </cell>
          <cell r="H235">
            <v>1.6093</v>
          </cell>
          <cell r="I235">
            <v>130.2982663269745</v>
          </cell>
        </row>
        <row r="236">
          <cell r="E236">
            <v>44</v>
          </cell>
          <cell r="F236">
            <v>0.20492334090909095</v>
          </cell>
          <cell r="G236">
            <v>204.92334090909094</v>
          </cell>
          <cell r="H236">
            <v>1.6093</v>
          </cell>
          <cell r="I236">
            <v>127.33694209227052</v>
          </cell>
        </row>
        <row r="237">
          <cell r="E237">
            <v>45</v>
          </cell>
          <cell r="F237">
            <v>0.20036948888888892</v>
          </cell>
          <cell r="G237">
            <v>200.36948888888892</v>
          </cell>
          <cell r="H237">
            <v>1.6093</v>
          </cell>
          <cell r="I237">
            <v>124.50723226799785</v>
          </cell>
        </row>
        <row r="238">
          <cell r="E238">
            <v>46</v>
          </cell>
          <cell r="F238">
            <v>0.19601363043478265</v>
          </cell>
          <cell r="G238">
            <v>196.01363043478264</v>
          </cell>
          <cell r="H238">
            <v>1.6093</v>
          </cell>
          <cell r="I238">
            <v>121.80055330565007</v>
          </cell>
        </row>
        <row r="239">
          <cell r="E239">
            <v>47</v>
          </cell>
          <cell r="F239">
            <v>0.19184312765957451</v>
          </cell>
          <cell r="G239">
            <v>191.84312765957452</v>
          </cell>
          <cell r="H239">
            <v>1.6093</v>
          </cell>
          <cell r="I239">
            <v>119.20905217148731</v>
          </cell>
        </row>
        <row r="240">
          <cell r="E240">
            <v>48</v>
          </cell>
          <cell r="F240">
            <v>0.18784639583333337</v>
          </cell>
          <cell r="G240">
            <v>187.84639583333336</v>
          </cell>
          <cell r="H240">
            <v>1.6093</v>
          </cell>
          <cell r="I240">
            <v>116.72553025124797</v>
          </cell>
        </row>
        <row r="241">
          <cell r="E241">
            <v>49</v>
          </cell>
          <cell r="F241">
            <v>0.18401279591836739</v>
          </cell>
          <cell r="G241">
            <v>184.0127959183674</v>
          </cell>
          <cell r="H241">
            <v>1.6093</v>
          </cell>
          <cell r="I241">
            <v>114.3433765726511</v>
          </cell>
        </row>
        <row r="242">
          <cell r="E242">
            <v>50</v>
          </cell>
          <cell r="F242">
            <v>0.18033254000000004</v>
          </cell>
          <cell r="G242">
            <v>180.33254000000005</v>
          </cell>
          <cell r="H242">
            <v>1.6093</v>
          </cell>
          <cell r="I242">
            <v>112.05650904119807</v>
          </cell>
        </row>
        <row r="243">
          <cell r="E243">
            <v>51</v>
          </cell>
          <cell r="F243">
            <v>0.17679660784313728</v>
          </cell>
          <cell r="G243">
            <v>176.79660784313728</v>
          </cell>
          <cell r="H243">
            <v>1.6093</v>
          </cell>
          <cell r="I243">
            <v>109.85932258940986</v>
          </cell>
        </row>
        <row r="244">
          <cell r="E244">
            <v>52</v>
          </cell>
          <cell r="F244">
            <v>0.17339667307692311</v>
          </cell>
          <cell r="G244">
            <v>173.39667307692312</v>
          </cell>
          <cell r="H244">
            <v>1.6093</v>
          </cell>
          <cell r="I244">
            <v>107.7466433088443</v>
          </cell>
        </row>
        <row r="245">
          <cell r="E245">
            <v>53</v>
          </cell>
          <cell r="F245">
            <v>0.17012503773584908</v>
          </cell>
          <cell r="G245">
            <v>170.12503773584908</v>
          </cell>
          <cell r="H245">
            <v>1.6093</v>
          </cell>
          <cell r="I245">
            <v>105.71368777471514</v>
          </cell>
        </row>
        <row r="246">
          <cell r="E246">
            <v>54</v>
          </cell>
          <cell r="F246">
            <v>0.16697457407407409</v>
          </cell>
          <cell r="G246">
            <v>166.9745740740741</v>
          </cell>
          <cell r="H246">
            <v>1.6093</v>
          </cell>
          <cell r="I246">
            <v>103.7560268899982</v>
          </cell>
        </row>
        <row r="247">
          <cell r="E247">
            <v>55</v>
          </cell>
          <cell r="F247">
            <v>0.16393867272727275</v>
          </cell>
          <cell r="G247">
            <v>163.93867272727275</v>
          </cell>
          <cell r="H247">
            <v>1.6093</v>
          </cell>
          <cell r="I247">
            <v>101.86955367381641</v>
          </cell>
        </row>
        <row r="248">
          <cell r="E248">
            <v>56</v>
          </cell>
          <cell r="F248">
            <v>0.16101119642857145</v>
          </cell>
          <cell r="G248">
            <v>161.01119642857145</v>
          </cell>
          <cell r="H248">
            <v>1.6093</v>
          </cell>
          <cell r="I248">
            <v>100.05045450106969</v>
          </cell>
        </row>
        <row r="249">
          <cell r="E249">
            <v>57</v>
          </cell>
          <cell r="F249">
            <v>0.15818643859649126</v>
          </cell>
          <cell r="G249">
            <v>158.18643859649126</v>
          </cell>
          <cell r="H249">
            <v>1.6093</v>
          </cell>
          <cell r="I249">
            <v>98.295183369471985</v>
          </cell>
        </row>
        <row r="250">
          <cell r="E250">
            <v>58</v>
          </cell>
          <cell r="F250">
            <v>0.15545908620689658</v>
          </cell>
          <cell r="G250">
            <v>155.45908620689659</v>
          </cell>
          <cell r="H250">
            <v>1.6093</v>
          </cell>
          <cell r="I250">
            <v>96.600438828619019</v>
          </cell>
        </row>
        <row r="251">
          <cell r="E251">
            <v>59</v>
          </cell>
          <cell r="F251">
            <v>0.15282418644067799</v>
          </cell>
          <cell r="G251">
            <v>152.82418644067801</v>
          </cell>
          <cell r="H251">
            <v>1.6093</v>
          </cell>
          <cell r="I251">
            <v>94.963143255252604</v>
          </cell>
        </row>
        <row r="252">
          <cell r="E252">
            <v>60</v>
          </cell>
          <cell r="F252">
            <v>0.15027711666666668</v>
          </cell>
          <cell r="G252">
            <v>150.27711666666667</v>
          </cell>
          <cell r="H252">
            <v>1.6093</v>
          </cell>
          <cell r="I252">
            <v>93.380424200998362</v>
          </cell>
        </row>
        <row r="253">
          <cell r="E253">
            <v>61</v>
          </cell>
          <cell r="F253">
            <v>0.14781355737704921</v>
          </cell>
          <cell r="G253">
            <v>147.81355737704922</v>
          </cell>
          <cell r="H253">
            <v>1.6093</v>
          </cell>
          <cell r="I253">
            <v>91.849597574752522</v>
          </cell>
        </row>
        <row r="254">
          <cell r="E254">
            <v>62</v>
          </cell>
          <cell r="F254">
            <v>0.14542946774193552</v>
          </cell>
          <cell r="G254">
            <v>145.42946774193553</v>
          </cell>
          <cell r="H254">
            <v>1.6093</v>
          </cell>
          <cell r="I254">
            <v>90.368152452579096</v>
          </cell>
        </row>
        <row r="255">
          <cell r="E255">
            <v>63</v>
          </cell>
          <cell r="F255">
            <v>0.14312106349206352</v>
          </cell>
          <cell r="G255">
            <v>143.12106349206351</v>
          </cell>
          <cell r="H255">
            <v>1.6093</v>
          </cell>
          <cell r="I255">
            <v>88.933737334284174</v>
          </cell>
        </row>
        <row r="256">
          <cell r="E256">
            <v>64</v>
          </cell>
          <cell r="F256">
            <v>0.14088479687500002</v>
          </cell>
          <cell r="G256">
            <v>140.88479687500003</v>
          </cell>
          <cell r="H256">
            <v>1.6093</v>
          </cell>
          <cell r="I256">
            <v>87.544147688435984</v>
          </cell>
        </row>
        <row r="257">
          <cell r="E257">
            <v>65</v>
          </cell>
          <cell r="F257">
            <v>0.1387173384615385</v>
          </cell>
          <cell r="G257">
            <v>138.7173384615385</v>
          </cell>
          <cell r="H257">
            <v>1.6093</v>
          </cell>
          <cell r="I257">
            <v>86.197314647075444</v>
          </cell>
        </row>
        <row r="258">
          <cell r="E258">
            <v>66</v>
          </cell>
          <cell r="F258">
            <v>0.13661556060606062</v>
          </cell>
          <cell r="G258">
            <v>136.61556060606063</v>
          </cell>
          <cell r="H258">
            <v>1.6093</v>
          </cell>
          <cell r="I258">
            <v>84.891294728180341</v>
          </cell>
        </row>
        <row r="259">
          <cell r="E259">
            <v>67</v>
          </cell>
          <cell r="F259">
            <v>0.13457652238805973</v>
          </cell>
          <cell r="G259">
            <v>134.57652238805971</v>
          </cell>
          <cell r="H259">
            <v>1.6093</v>
          </cell>
          <cell r="I259">
            <v>83.624260478506002</v>
          </cell>
        </row>
      </sheetData>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G"/>
      <sheetName val="CO"/>
      <sheetName val="IN"/>
      <sheetName val="SE"/>
      <sheetName val="CE"/>
      <sheetName val="CN"/>
      <sheetName val="Direcciones Of Actuales"/>
      <sheetName val="Of. Cerradas"/>
      <sheetName val="Asistentes Regiona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Autos (Datos)"/>
      <sheetName val="Import. Comer. (Dato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s1"/>
      <sheetName val="Table1s2"/>
      <sheetName val="Table1.A(a)s1"/>
      <sheetName val="Table1.A(a)s2"/>
      <sheetName val="Table1.A(a)s3"/>
      <sheetName val="Table1.A(a)s4"/>
      <sheetName val="Table1.A(b)"/>
      <sheetName val="Table1.A(c)"/>
      <sheetName val="Table1.A(d)"/>
      <sheetName val="Table1.A(d)changed"/>
      <sheetName val="Table1.B.1"/>
      <sheetName val="Table1.B.2"/>
      <sheetName val="Table1.B_option 2"/>
      <sheetName val="Table1.C_new"/>
      <sheetName val="Table1.D"/>
      <sheetName val="Table2(I)s1"/>
      <sheetName val="Table2(I)s2"/>
      <sheetName val="Table2(I).A-Gs1"/>
      <sheetName val="Table2(I).A-Gs2"/>
      <sheetName val="Table2(II)s1"/>
      <sheetName val="Table2(II)s2"/>
      <sheetName val="Table2(II).C, E"/>
      <sheetName val="Table2(II)F-gases.new"/>
      <sheetName val="Table2(II).Fs1"/>
      <sheetName val="Table2(II).Fs2"/>
      <sheetName val="Table3"/>
      <sheetName val="Table3.A-D"/>
      <sheetName val="Table 3 new"/>
      <sheetName val="Table4s1"/>
      <sheetName val="Table4s2"/>
      <sheetName val="Table4.A"/>
      <sheetName val="Table4.B(a)"/>
      <sheetName val="Table4.B(b)"/>
      <sheetName val="Table4.C"/>
      <sheetName val="Table4.Ds1"/>
      <sheetName val="Table4.E"/>
      <sheetName val="Table4.F"/>
      <sheetName val="Table5"/>
      <sheetName val="new matrix"/>
      <sheetName val="Table5.A"/>
      <sheetName val="Table5.B"/>
      <sheetName val="Table5.C"/>
      <sheetName val="Table5.D"/>
      <sheetName val="Table5.E"/>
      <sheetName val="Table5.F"/>
      <sheetName val="new for 3.C"/>
      <sheetName val="Table5(I)"/>
      <sheetName val="Table5(II)"/>
      <sheetName val="Table5(III)"/>
      <sheetName val="Table5(IV)"/>
      <sheetName val="Table5(V)"/>
      <sheetName val="new HWP"/>
      <sheetName val="Table6"/>
      <sheetName val="Table6.A,C"/>
      <sheetName val="Sheet4"/>
      <sheetName val="Sheet3"/>
      <sheetName val="Table6.Bs1"/>
      <sheetName val="table6 new indirect"/>
      <sheetName val="Summary1.As1"/>
      <sheetName val="Summary1.As2"/>
      <sheetName val="Summary1.As3"/>
      <sheetName val="Summary1.B"/>
      <sheetName val="Summary2"/>
      <sheetName val="Summary3s1"/>
      <sheetName val="Summary3s2"/>
      <sheetName val="Table7"/>
      <sheetName val="Table8(a)s1"/>
      <sheetName val="Table8(a)s2"/>
      <sheetName val="Table8(a)s3"/>
      <sheetName val="Table8(a)s4"/>
      <sheetName val="Table8(b)"/>
      <sheetName val="Table9(a)"/>
      <sheetName val="Table9(b)"/>
      <sheetName val="Table10s1"/>
      <sheetName val="Table10s2"/>
      <sheetName val="Table10s3"/>
      <sheetName val="Table10s4"/>
      <sheetName val="Table10s5"/>
      <sheetName val="ReporterHelp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C3">
            <v>100</v>
          </cell>
        </row>
        <row r="4">
          <cell r="C4">
            <v>500</v>
          </cell>
        </row>
        <row r="8">
          <cell r="C8">
            <v>20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ítica"/>
      <sheetName val="Introdução"/>
      <sheetName val="Quadro 1 - Caracterização "/>
      <sheetName val="Quadro 2.A Combustível Cont."/>
      <sheetName val="Quadro 2.B Combustivel Não Cont"/>
      <sheetName val="Quadro 3 - Aquisição Comb e Lub"/>
      <sheetName val="Quadro 4 - Transp. Diário "/>
      <sheetName val="Quadro 5 - Transporte Cargas"/>
      <sheetName val="Quadro 6 - Mobilização desmobil"/>
      <sheetName val="Quadro 7-Viagens Aéreas"/>
      <sheetName val="Quadro 8 - Refrigeração"/>
      <sheetName val="LISTAS DROP DOWN"/>
      <sheetName val="Quadro 9 - Corte e Solda"/>
      <sheetName val="Quadro 10- Energia Elétrica"/>
      <sheetName val="Quadro 11- Infra Elétrica"/>
      <sheetName val="Quadro 12- Energia Térmica Obra"/>
      <sheetName val="Quadro 14 - Explosivos"/>
      <sheetName val="Quadro 13 - Materiais"/>
      <sheetName val="Quadro 15 - Pessoal"/>
      <sheetName val="Quadro 16 - Alimentação"/>
      <sheetName val="Quadro 17-Resíduos Sólidos"/>
      <sheetName val="Quadro 18- Eflu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CNO</v>
          </cell>
          <cell r="E4" t="str">
            <v>Litros</v>
          </cell>
          <cell r="G4" t="str">
            <v>Diesel</v>
          </cell>
          <cell r="I4" t="str">
            <v>Aéreo</v>
          </cell>
          <cell r="K4" t="str">
            <v>Ferroviário</v>
          </cell>
          <cell r="M4" t="str">
            <v>Kg</v>
          </cell>
          <cell r="Q4" t="str">
            <v>Kg</v>
          </cell>
          <cell r="S4" t="str">
            <v>Kg</v>
          </cell>
          <cell r="U4" t="str">
            <v>Kg</v>
          </cell>
          <cell r="W4" t="str">
            <v>Aterro</v>
          </cell>
          <cell r="Y4" t="str">
            <v>S</v>
          </cell>
        </row>
        <row r="5">
          <cell r="E5" t="str">
            <v>Kg</v>
          </cell>
          <cell r="G5" t="str">
            <v>Diesel B4</v>
          </cell>
          <cell r="I5" t="str">
            <v>Ferroviário</v>
          </cell>
          <cell r="K5" t="str">
            <v>Rodoviário</v>
          </cell>
          <cell r="M5" t="str">
            <v>ton</v>
          </cell>
          <cell r="Q5" t="str">
            <v>m3</v>
          </cell>
          <cell r="S5" t="str">
            <v>ton</v>
          </cell>
          <cell r="U5" t="str">
            <v>ton</v>
          </cell>
          <cell r="W5" t="str">
            <v>Reciclagem</v>
          </cell>
          <cell r="Y5" t="str">
            <v>N</v>
          </cell>
        </row>
        <row r="6">
          <cell r="E6" t="str">
            <v>m3</v>
          </cell>
          <cell r="G6" t="str">
            <v>Diesel B10</v>
          </cell>
          <cell r="I6" t="str">
            <v>Rodoviário</v>
          </cell>
          <cell r="K6" t="str">
            <v>Maritimo longo curso</v>
          </cell>
          <cell r="M6" t="str">
            <v>m3</v>
          </cell>
          <cell r="U6" t="str">
            <v>m3</v>
          </cell>
          <cell r="W6" t="str">
            <v>Incineração</v>
          </cell>
        </row>
        <row r="7">
          <cell r="E7" t="str">
            <v>ton</v>
          </cell>
          <cell r="G7" t="str">
            <v>Diesel B20</v>
          </cell>
          <cell r="I7" t="str">
            <v>Maritimo longo curso</v>
          </cell>
          <cell r="K7" t="str">
            <v>Marítimo costeiro</v>
          </cell>
          <cell r="U7" t="str">
            <v>litros</v>
          </cell>
          <cell r="W7" t="str">
            <v>Compostagem</v>
          </cell>
        </row>
        <row r="8">
          <cell r="G8" t="str">
            <v>Diesel B25</v>
          </cell>
          <cell r="I8" t="str">
            <v>Marítimo costeiro</v>
          </cell>
          <cell r="K8" t="str">
            <v>Barcaça</v>
          </cell>
          <cell r="U8" t="str">
            <v>Unidades</v>
          </cell>
          <cell r="W8" t="str">
            <v>Reutilização</v>
          </cell>
        </row>
        <row r="9">
          <cell r="G9" t="str">
            <v>Biodiesel B100</v>
          </cell>
          <cell r="I9" t="str">
            <v>Barcaça</v>
          </cell>
          <cell r="W9" t="str">
            <v>Outro</v>
          </cell>
        </row>
        <row r="10">
          <cell r="G10" t="str">
            <v>Gasolina</v>
          </cell>
        </row>
        <row r="11">
          <cell r="G11" t="str">
            <v>Gasolina E20</v>
          </cell>
        </row>
        <row r="12">
          <cell r="G12" t="str">
            <v>Gasolina E25</v>
          </cell>
        </row>
        <row r="13">
          <cell r="G13" t="str">
            <v>Etanol</v>
          </cell>
        </row>
        <row r="14">
          <cell r="G14" t="str">
            <v>GLP</v>
          </cell>
        </row>
        <row r="15">
          <cell r="G15" t="str">
            <v>GNV</v>
          </cell>
        </row>
        <row r="16">
          <cell r="G16" t="str">
            <v>Óleo combustível</v>
          </cell>
        </row>
        <row r="17">
          <cell r="G17" t="str">
            <v>Biomassa</v>
          </cell>
        </row>
        <row r="18">
          <cell r="G18" t="str">
            <v>Carvão mineral</v>
          </cell>
        </row>
        <row r="19">
          <cell r="G19" t="str">
            <v>Coque</v>
          </cell>
        </row>
        <row r="20">
          <cell r="G20" t="str">
            <v>Graxa</v>
          </cell>
        </row>
        <row r="21">
          <cell r="G21" t="str">
            <v>Óleo Hidráulico</v>
          </cell>
        </row>
        <row r="22">
          <cell r="G22" t="str">
            <v>Óleo Lubrificante</v>
          </cell>
        </row>
        <row r="23">
          <cell r="G23" t="str">
            <v>Propano</v>
          </cell>
        </row>
        <row r="24">
          <cell r="G24" t="str">
            <v>Outros*</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Encuestas Eficiencia"/>
      <sheetName val="N° Colaboradores"/>
      <sheetName val="Elegidos"/>
      <sheetName val="Todo"/>
      <sheetName val="faltantes"/>
      <sheetName val="EnerElec-Prov"/>
      <sheetName val="EnerElec-Lima"/>
    </sheetNames>
    <sheetDataSet>
      <sheetData sheetId="0"/>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
      <sheetName val="Tamaño muestral alumnos"/>
      <sheetName val="Tamaño muestral docentes"/>
      <sheetName val="Tamaño muestral administrativo"/>
      <sheetName val="CC Vehiculos propios"/>
      <sheetName val="CC en Villa deportiva"/>
      <sheetName val="Aire Acondicionado"/>
      <sheetName val="Fertilizantes Jardines"/>
      <sheetName val="C. Energia Electrica"/>
      <sheetName val="Transporte casa-Trabajo"/>
      <sheetName val="Viajes aéreos"/>
      <sheetName val="Viajes terrestres"/>
      <sheetName val="Uso de Papel Admi. y alumnos"/>
      <sheetName val="papel Xerox"/>
      <sheetName val="Papel de publicaciones"/>
      <sheetName val="Generacion de Residuos"/>
      <sheetName val="Courier-Mensajeria(Reg.)"/>
      <sheetName val="Courier-Mensajeria(Nac)"/>
      <sheetName val="Courier-Mensajeria(Inter.)"/>
      <sheetName val=" Transp. Residuos solidos"/>
      <sheetName val="Mov. de Taxi"/>
      <sheetName val="Transporte Insumos"/>
      <sheetName val="Translado de Materiales"/>
      <sheetName val="Translado de agua de mesa"/>
      <sheetName val="agua"/>
      <sheetName val="combustible jardineria"/>
      <sheetName val="C.C. de cafeteria"/>
      <sheetName val="Resumen por Alcances"/>
      <sheetName val="Resumen por unidades"/>
      <sheetName val="Ton CO2 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Caracterización"/>
      <sheetName val="1-Combustibles y Lubricantes"/>
      <sheetName val="2-Equipamientos (Móvil_Fijo)"/>
      <sheetName val="3-Equip. Comb. NO Adquirido"/>
      <sheetName val="4-Transporte Diário_Subcontr"/>
      <sheetName val="5-Rrefrigeración"/>
      <sheetName val="6-Corte y Soldadura "/>
      <sheetName val="7-Explosivos"/>
      <sheetName val="8-Eletriciadad"/>
      <sheetName val="9-Infra-Electrica (SF6)"/>
      <sheetName val="10-Viajens Aéreas"/>
      <sheetName val="11-Cemento_Concreto"/>
      <sheetName val="12-Acero"/>
      <sheetName val="13-Residuos Sólidos"/>
      <sheetName val="D.Resíduos"/>
      <sheetName val="DADOS"/>
      <sheetName val="14-Efluentes"/>
      <sheetName val="15-Deforestación_Refl"/>
      <sheetName val="16- Transporte de gde. cargas"/>
      <sheetName val="17-GAS_GLP"/>
      <sheetName val="Abreviações e Definições"/>
      <sheetName val="Factores de Convers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P1" t="str">
            <v>CEMENTO</v>
          </cell>
        </row>
        <row r="2">
          <cell r="L2" t="str">
            <v>Litros</v>
          </cell>
          <cell r="P2" t="str">
            <v>CONCRETO</v>
          </cell>
        </row>
        <row r="3">
          <cell r="L3" t="str">
            <v>m³</v>
          </cell>
        </row>
        <row r="4">
          <cell r="L4" t="str">
            <v>ton</v>
          </cell>
        </row>
        <row r="5">
          <cell r="L5" t="str">
            <v>kg</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aracterísticas datos"/>
      <sheetName val="Instructions"/>
      <sheetName val="IB Población"/>
      <sheetName val="IB GPC y Gestión"/>
      <sheetName val="IB Composición"/>
      <sheetName val="IB PBI"/>
      <sheetName val="Parametres"/>
      <sheetName val="IB Reducciones de GEI"/>
      <sheetName val="MCF"/>
      <sheetName val="Activity"/>
      <sheetName val="Amnt_Deposited"/>
      <sheetName val="Recovery_OX"/>
      <sheetName val="Results"/>
      <sheetName val="PGEI"/>
      <sheetName val="GEI - SERIE ANUAL"/>
      <sheetName val="RESULTADOS"/>
      <sheetName val="Incertidumbre"/>
      <sheetName val="Valores Incertidumbre"/>
      <sheetName val="HWP"/>
      <sheetName val="Stored_C"/>
      <sheetName val="Theory"/>
      <sheetName val="Defaults"/>
      <sheetName val="Food"/>
      <sheetName val="Garden"/>
      <sheetName val="Paper"/>
      <sheetName val="Wood"/>
      <sheetName val="Textiles"/>
      <sheetName val="Nappies"/>
      <sheetName val="Sludge"/>
      <sheetName val="Industry"/>
      <sheetName val="MSW"/>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t="str">
            <v>PERU</v>
          </cell>
        </row>
        <row r="9">
          <cell r="E9">
            <v>1950</v>
          </cell>
        </row>
        <row r="23">
          <cell r="E23">
            <v>0.5</v>
          </cell>
        </row>
        <row r="39">
          <cell r="E39">
            <v>0.5</v>
          </cell>
        </row>
        <row r="41">
          <cell r="E41">
            <v>1.3333333333333333</v>
          </cell>
        </row>
        <row r="43">
          <cell r="E43">
            <v>0</v>
          </cell>
        </row>
      </sheetData>
      <sheetData sheetId="8" refreshError="1"/>
      <sheetData sheetId="9" refreshError="1"/>
      <sheetData sheetId="10"/>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ow r="5">
          <cell r="W5">
            <v>18</v>
          </cell>
        </row>
        <row r="8">
          <cell r="D8">
            <v>0.04</v>
          </cell>
          <cell r="E8" t="str">
            <v>0.03–0.05</v>
          </cell>
          <cell r="F8">
            <v>0.06</v>
          </cell>
          <cell r="G8" t="str">
            <v>0.05–0.07</v>
          </cell>
          <cell r="H8">
            <v>4.4999999999999998E-2</v>
          </cell>
          <cell r="I8" t="str">
            <v>0.04–0.06</v>
          </cell>
          <cell r="J8">
            <v>7.0000000000000007E-2</v>
          </cell>
          <cell r="K8" t="str">
            <v>0.06–0.085</v>
          </cell>
          <cell r="P8">
            <v>0.15</v>
          </cell>
          <cell r="Q8" t="str">
            <v>0.08-0.20</v>
          </cell>
          <cell r="W8">
            <v>18.8</v>
          </cell>
          <cell r="X8">
            <v>3.5</v>
          </cell>
          <cell r="Y8">
            <v>26.2</v>
          </cell>
          <cell r="Z8">
            <v>3.5</v>
          </cell>
          <cell r="AD8">
            <v>1</v>
          </cell>
          <cell r="AE8">
            <v>47</v>
          </cell>
          <cell r="AF8">
            <v>0.55000000000000004</v>
          </cell>
          <cell r="AG8">
            <v>0.55000000000000004</v>
          </cell>
          <cell r="AH8">
            <v>0.14000000000000001</v>
          </cell>
        </row>
        <row r="9">
          <cell r="D9">
            <v>0.02</v>
          </cell>
          <cell r="E9" t="str">
            <v>0.01–0.03</v>
          </cell>
          <cell r="F9">
            <v>0.03</v>
          </cell>
          <cell r="G9" t="str">
            <v>0.02–0.04</v>
          </cell>
          <cell r="H9">
            <v>2.5000000000000001E-2</v>
          </cell>
          <cell r="I9" t="str">
            <v>0.02–0.04</v>
          </cell>
          <cell r="J9">
            <v>3.5000000000000003E-2</v>
          </cell>
          <cell r="K9" t="str">
            <v>0.03–0.05</v>
          </cell>
          <cell r="P9">
            <v>0.2</v>
          </cell>
          <cell r="Q9" t="str">
            <v>0.18-0.22</v>
          </cell>
          <cell r="W9">
            <v>11.3</v>
          </cell>
          <cell r="X9">
            <v>2.5</v>
          </cell>
          <cell r="Y9">
            <v>40.299999999999997</v>
          </cell>
          <cell r="Z9">
            <v>7.9</v>
          </cell>
          <cell r="AD9">
            <v>0.8</v>
          </cell>
          <cell r="AE9">
            <v>37.20000000000001</v>
          </cell>
          <cell r="AF9">
            <v>0.21</v>
          </cell>
          <cell r="AG9">
            <v>0.74</v>
          </cell>
          <cell r="AH9">
            <v>0.15</v>
          </cell>
        </row>
        <row r="10">
          <cell r="D10">
            <v>0.05</v>
          </cell>
          <cell r="E10" t="str">
            <v>0.04–0.06</v>
          </cell>
          <cell r="F10">
            <v>0.1</v>
          </cell>
          <cell r="G10" t="str">
            <v>0.06–0.1</v>
          </cell>
          <cell r="H10">
            <v>6.5000000000000002E-2</v>
          </cell>
          <cell r="I10" t="str">
            <v>0.05–0.08</v>
          </cell>
          <cell r="J10">
            <v>0.17</v>
          </cell>
          <cell r="K10" t="str">
            <v>0.15–0.2</v>
          </cell>
          <cell r="P10">
            <v>0.4</v>
          </cell>
          <cell r="Q10" t="str">
            <v>0.36-0.45</v>
          </cell>
          <cell r="W10">
            <v>12.9</v>
          </cell>
          <cell r="X10">
            <v>2.7</v>
          </cell>
          <cell r="Y10">
            <v>43.5</v>
          </cell>
          <cell r="Z10">
            <v>9.9</v>
          </cell>
          <cell r="AD10">
            <v>0.9</v>
          </cell>
          <cell r="AE10">
            <v>30.099999999999994</v>
          </cell>
          <cell r="AF10">
            <v>0.27</v>
          </cell>
          <cell r="AG10">
            <v>0.59</v>
          </cell>
          <cell r="AH10">
            <v>0.17</v>
          </cell>
        </row>
        <row r="11">
          <cell r="D11">
            <v>0.06</v>
          </cell>
          <cell r="E11" t="str">
            <v>0.05–0.08</v>
          </cell>
          <cell r="F11">
            <v>0.185</v>
          </cell>
          <cell r="G11" t="str">
            <v>0.1–0.2</v>
          </cell>
          <cell r="H11">
            <v>8.5000000000000006E-2</v>
          </cell>
          <cell r="I11" t="str">
            <v>0.07–0.1</v>
          </cell>
          <cell r="J11">
            <v>0.4</v>
          </cell>
          <cell r="K11" t="str">
            <v xml:space="preserve">0.17–0.7 </v>
          </cell>
          <cell r="P11">
            <v>0.43</v>
          </cell>
          <cell r="Q11" t="str">
            <v>0.39-0.46</v>
          </cell>
          <cell r="W11">
            <v>18</v>
          </cell>
          <cell r="X11">
            <v>2.9</v>
          </cell>
          <cell r="Y11">
            <v>41.1</v>
          </cell>
          <cell r="Z11">
            <v>9.8000000000000007</v>
          </cell>
          <cell r="AD11">
            <v>0.6</v>
          </cell>
          <cell r="AE11">
            <v>27.600000000000009</v>
          </cell>
          <cell r="AF11">
            <v>0.42055555555555557</v>
          </cell>
          <cell r="AG11">
            <v>0.676111111111111</v>
          </cell>
          <cell r="AH11">
            <v>0.19</v>
          </cell>
        </row>
        <row r="12">
          <cell r="D12">
            <v>0.05</v>
          </cell>
          <cell r="E12" t="str">
            <v>0.04–0.06</v>
          </cell>
          <cell r="F12">
            <v>0.09</v>
          </cell>
          <cell r="G12" t="str">
            <v>0.08–0.1</v>
          </cell>
          <cell r="H12">
            <v>6.5000000000000002E-2</v>
          </cell>
          <cell r="I12" t="str">
            <v>0.05–0.08</v>
          </cell>
          <cell r="J12">
            <v>0.17</v>
          </cell>
          <cell r="K12" t="str">
            <v>0.15–0.2</v>
          </cell>
          <cell r="P12">
            <v>0.24</v>
          </cell>
          <cell r="Q12" t="str">
            <v>0.20-0.40</v>
          </cell>
          <cell r="W12">
            <v>7.7</v>
          </cell>
          <cell r="X12">
            <v>1.7</v>
          </cell>
          <cell r="Y12">
            <v>53.9</v>
          </cell>
          <cell r="Z12">
            <v>7</v>
          </cell>
          <cell r="AD12">
            <v>1.1000000000000001</v>
          </cell>
          <cell r="AE12">
            <v>28.600000000000009</v>
          </cell>
          <cell r="AF12">
            <v>0.28999999999999998</v>
          </cell>
          <cell r="AG12">
            <v>0.69</v>
          </cell>
          <cell r="AH12">
            <v>0.15</v>
          </cell>
        </row>
        <row r="13">
          <cell r="P13">
            <v>0.24</v>
          </cell>
          <cell r="Q13" t="str">
            <v>0.18-0.32</v>
          </cell>
          <cell r="W13">
            <v>16.8</v>
          </cell>
          <cell r="X13">
            <v>2.5</v>
          </cell>
          <cell r="Y13">
            <v>43.4</v>
          </cell>
          <cell r="Z13">
            <v>6.5</v>
          </cell>
          <cell r="AE13">
            <v>30.799999999999997</v>
          </cell>
          <cell r="AF13">
            <v>0.28999999999999998</v>
          </cell>
          <cell r="AG13">
            <v>0.69</v>
          </cell>
          <cell r="AH13">
            <v>0.17</v>
          </cell>
        </row>
        <row r="14">
          <cell r="P14">
            <v>0.05</v>
          </cell>
          <cell r="Q14" t="str">
            <v>0.04-0.05</v>
          </cell>
          <cell r="W14">
            <v>16.5</v>
          </cell>
          <cell r="X14">
            <v>2.5</v>
          </cell>
          <cell r="Y14">
            <v>51.1</v>
          </cell>
          <cell r="Z14">
            <v>2</v>
          </cell>
          <cell r="AE14">
            <v>27.900000000000006</v>
          </cell>
          <cell r="AF14">
            <v>0.28999999999999998</v>
          </cell>
          <cell r="AG14">
            <v>0.69</v>
          </cell>
          <cell r="AH14">
            <v>0.16</v>
          </cell>
        </row>
        <row r="15">
          <cell r="P15">
            <v>0.39</v>
          </cell>
          <cell r="Q15" t="str">
            <v>0.39</v>
          </cell>
          <cell r="W15">
            <v>25</v>
          </cell>
          <cell r="Y15">
            <v>23</v>
          </cell>
          <cell r="Z15">
            <v>15</v>
          </cell>
          <cell r="AE15">
            <v>37</v>
          </cell>
          <cell r="AF15">
            <v>0.28999999999999998</v>
          </cell>
          <cell r="AG15">
            <v>0.69</v>
          </cell>
          <cell r="AH15">
            <v>0.2</v>
          </cell>
        </row>
        <row r="16">
          <cell r="P16">
            <v>0.18</v>
          </cell>
          <cell r="Q16" t="str">
            <v>0.12-0.28</v>
          </cell>
          <cell r="W16">
            <v>9.8000000000000007</v>
          </cell>
          <cell r="X16">
            <v>1</v>
          </cell>
          <cell r="Y16">
            <v>40.4</v>
          </cell>
          <cell r="Z16">
            <v>4.4000000000000004</v>
          </cell>
          <cell r="AE16">
            <v>44.4</v>
          </cell>
          <cell r="AF16">
            <v>0.28999999999999998</v>
          </cell>
          <cell r="AG16">
            <v>0.69</v>
          </cell>
          <cell r="AH16">
            <v>0.12</v>
          </cell>
        </row>
        <row r="17">
          <cell r="G17">
            <v>2</v>
          </cell>
          <cell r="P17">
            <v>0.15</v>
          </cell>
          <cell r="Q17" t="str">
            <v>0-0.54</v>
          </cell>
          <cell r="W17">
            <v>21.8</v>
          </cell>
          <cell r="X17">
            <v>4.7</v>
          </cell>
          <cell r="Y17">
            <v>30.1</v>
          </cell>
          <cell r="Z17">
            <v>7.5</v>
          </cell>
          <cell r="AD17">
            <v>1.4</v>
          </cell>
          <cell r="AE17">
            <v>34.5</v>
          </cell>
          <cell r="AF17">
            <v>0.38</v>
          </cell>
          <cell r="AG17">
            <v>0.9</v>
          </cell>
          <cell r="AH17">
            <v>0.18</v>
          </cell>
        </row>
        <row r="18">
          <cell r="W18">
            <v>30.6</v>
          </cell>
          <cell r="X18">
            <v>2</v>
          </cell>
          <cell r="Y18">
            <v>23.8</v>
          </cell>
          <cell r="Z18">
            <v>10</v>
          </cell>
          <cell r="AE18">
            <v>33.599999999999994</v>
          </cell>
          <cell r="AF18">
            <v>0.64</v>
          </cell>
          <cell r="AG18">
            <v>0.47</v>
          </cell>
          <cell r="AH18">
            <v>0.21</v>
          </cell>
        </row>
        <row r="19">
          <cell r="W19">
            <v>17</v>
          </cell>
          <cell r="Y19">
            <v>36.9</v>
          </cell>
          <cell r="Z19">
            <v>10.6</v>
          </cell>
          <cell r="AE19">
            <v>35.5</v>
          </cell>
          <cell r="AF19">
            <v>0.52</v>
          </cell>
          <cell r="AG19">
            <v>0.85</v>
          </cell>
          <cell r="AH19">
            <v>0.17</v>
          </cell>
        </row>
        <row r="20">
          <cell r="O20">
            <v>1</v>
          </cell>
          <cell r="W20">
            <v>27.5</v>
          </cell>
          <cell r="Y20">
            <v>24.2</v>
          </cell>
          <cell r="Z20">
            <v>11</v>
          </cell>
          <cell r="AE20">
            <v>37.299999999999997</v>
          </cell>
          <cell r="AF20">
            <v>0.56000000000000005</v>
          </cell>
          <cell r="AG20">
            <v>0.47</v>
          </cell>
          <cell r="AH20">
            <v>0.19</v>
          </cell>
        </row>
        <row r="21">
          <cell r="W21">
            <v>30</v>
          </cell>
          <cell r="Y21">
            <v>36</v>
          </cell>
          <cell r="Z21">
            <v>24</v>
          </cell>
          <cell r="AE21">
            <v>10</v>
          </cell>
          <cell r="AF21">
            <v>0.69</v>
          </cell>
          <cell r="AG21">
            <v>0.85</v>
          </cell>
          <cell r="AH21">
            <v>0.28000000000000003</v>
          </cell>
        </row>
        <row r="22">
          <cell r="W22">
            <v>6</v>
          </cell>
          <cell r="Y22">
            <v>67.5</v>
          </cell>
          <cell r="Z22">
            <v>2.5</v>
          </cell>
          <cell r="AE22">
            <v>24</v>
          </cell>
          <cell r="AF22">
            <v>0.69</v>
          </cell>
          <cell r="AG22">
            <v>0.85</v>
          </cell>
          <cell r="AH22">
            <v>0.14000000000000001</v>
          </cell>
        </row>
        <row r="23">
          <cell r="W23">
            <v>23.2</v>
          </cell>
          <cell r="X23">
            <v>3.9</v>
          </cell>
          <cell r="Y23">
            <v>33.9</v>
          </cell>
          <cell r="Z23">
            <v>6.2</v>
          </cell>
          <cell r="AD23">
            <v>1.4</v>
          </cell>
          <cell r="AE23">
            <v>31.399999999999991</v>
          </cell>
          <cell r="AF23">
            <v>0.65</v>
          </cell>
          <cell r="AG23">
            <v>0.57999999999999996</v>
          </cell>
          <cell r="AH23">
            <v>0.19</v>
          </cell>
        </row>
        <row r="24">
          <cell r="W24">
            <v>13.7</v>
          </cell>
          <cell r="X24">
            <v>2.6</v>
          </cell>
          <cell r="Y24">
            <v>43.8</v>
          </cell>
          <cell r="Z24">
            <v>13.5</v>
          </cell>
          <cell r="AD24">
            <v>1.8</v>
          </cell>
          <cell r="AE24">
            <v>24.600000000000009</v>
          </cell>
          <cell r="AF24">
            <v>0.21</v>
          </cell>
          <cell r="AG24">
            <v>0.5</v>
          </cell>
          <cell r="AH24">
            <v>0.19</v>
          </cell>
        </row>
        <row r="25">
          <cell r="W25">
            <v>17.100000000000001</v>
          </cell>
          <cell r="X25">
            <v>2.6</v>
          </cell>
          <cell r="Y25">
            <v>44.9</v>
          </cell>
          <cell r="Z25">
            <v>4.7</v>
          </cell>
          <cell r="AD25">
            <v>0.7</v>
          </cell>
          <cell r="AE25">
            <v>30</v>
          </cell>
          <cell r="AF25">
            <v>0.26</v>
          </cell>
          <cell r="AG25">
            <v>0.54</v>
          </cell>
          <cell r="AH25">
            <v>0.16</v>
          </cell>
        </row>
        <row r="26">
          <cell r="W26">
            <v>17</v>
          </cell>
          <cell r="X26">
            <v>5.0999999999999996</v>
          </cell>
          <cell r="Y26">
            <v>46.9</v>
          </cell>
          <cell r="Z26">
            <v>2.4</v>
          </cell>
          <cell r="AD26">
            <v>1.9</v>
          </cell>
          <cell r="AE26">
            <v>26.699999999999989</v>
          </cell>
          <cell r="AF26">
            <v>0.49</v>
          </cell>
          <cell r="AG26">
            <v>0.83</v>
          </cell>
          <cell r="AH26">
            <v>0.17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aracterísticas datos"/>
      <sheetName val="Instructions"/>
      <sheetName val="InfoBase4A (Población)"/>
      <sheetName val="InfoBase4A (GPC y Gestión)"/>
      <sheetName val="InfoBase4A (Comp.)"/>
      <sheetName val="InfoBase4A (PBI)"/>
      <sheetName val="infoBase4A (reducciónGEI)"/>
      <sheetName val="Parametres"/>
      <sheetName val="MCF"/>
      <sheetName val="Activity"/>
      <sheetName val="Amnt_Deposited"/>
      <sheetName val="Recovery_OX"/>
      <sheetName val="Results"/>
      <sheetName val="RESULTADOS"/>
      <sheetName val="SERIE TEMPORAL"/>
      <sheetName val="HWP"/>
      <sheetName val="Stored_C"/>
      <sheetName val="Theory"/>
      <sheetName val="Defaults"/>
      <sheetName val="Food"/>
      <sheetName val="Garden"/>
      <sheetName val="Paper"/>
      <sheetName val="Wood"/>
      <sheetName val="Textiles"/>
      <sheetName val="Nappies"/>
      <sheetName val="Sludge"/>
      <sheetName val="Industry"/>
      <sheetName val="MSW"/>
      <sheetName val="Hoja3"/>
    </sheetNames>
    <sheetDataSet>
      <sheetData sheetId="0"/>
      <sheetData sheetId="1"/>
      <sheetData sheetId="2"/>
      <sheetData sheetId="3">
        <row r="59">
          <cell r="D59">
            <v>23421416</v>
          </cell>
        </row>
      </sheetData>
      <sheetData sheetId="4"/>
      <sheetData sheetId="5"/>
      <sheetData sheetId="6"/>
      <sheetData sheetId="7"/>
      <sheetData sheetId="8">
        <row r="2">
          <cell r="D2" t="str">
            <v>PERU</v>
          </cell>
        </row>
        <row r="9">
          <cell r="E9">
            <v>1950</v>
          </cell>
        </row>
        <row r="23">
          <cell r="E23">
            <v>0.5</v>
          </cell>
        </row>
        <row r="39">
          <cell r="E39">
            <v>0.5</v>
          </cell>
        </row>
        <row r="41">
          <cell r="E41">
            <v>1.3333333333333333</v>
          </cell>
        </row>
        <row r="43">
          <cell r="E43">
            <v>0</v>
          </cell>
        </row>
      </sheetData>
      <sheetData sheetId="9"/>
      <sheetData sheetId="10"/>
      <sheetData sheetId="11"/>
      <sheetData sheetId="12"/>
      <sheetData sheetId="13"/>
      <sheetData sheetId="14"/>
      <sheetData sheetId="15"/>
      <sheetData sheetId="16"/>
      <sheetData sheetId="17"/>
      <sheetData sheetId="18"/>
      <sheetData sheetId="19">
        <row r="5">
          <cell r="W5">
            <v>18</v>
          </cell>
        </row>
        <row r="8">
          <cell r="D8">
            <v>0.04</v>
          </cell>
          <cell r="E8" t="str">
            <v>0.03–0.05</v>
          </cell>
          <cell r="F8">
            <v>0.06</v>
          </cell>
          <cell r="G8" t="str">
            <v>0.05–0.07</v>
          </cell>
          <cell r="H8">
            <v>4.4999999999999998E-2</v>
          </cell>
          <cell r="I8" t="str">
            <v>0.04–0.06</v>
          </cell>
          <cell r="J8">
            <v>7.0000000000000007E-2</v>
          </cell>
          <cell r="K8" t="str">
            <v>0.06–0.085</v>
          </cell>
          <cell r="P8">
            <v>0.15</v>
          </cell>
          <cell r="Q8" t="str">
            <v>0.08-0.20</v>
          </cell>
          <cell r="W8">
            <v>18.8</v>
          </cell>
          <cell r="X8">
            <v>3.5</v>
          </cell>
          <cell r="Y8">
            <v>26.2</v>
          </cell>
          <cell r="Z8">
            <v>3.5</v>
          </cell>
          <cell r="AD8">
            <v>1</v>
          </cell>
          <cell r="AE8">
            <v>47</v>
          </cell>
          <cell r="AF8">
            <v>0.55000000000000004</v>
          </cell>
          <cell r="AG8">
            <v>0.55000000000000004</v>
          </cell>
          <cell r="AH8">
            <v>0.14000000000000001</v>
          </cell>
        </row>
        <row r="9">
          <cell r="D9">
            <v>0.02</v>
          </cell>
          <cell r="E9" t="str">
            <v>0.01–0.03</v>
          </cell>
          <cell r="F9">
            <v>0.03</v>
          </cell>
          <cell r="G9" t="str">
            <v>0.02–0.04</v>
          </cell>
          <cell r="H9">
            <v>2.5000000000000001E-2</v>
          </cell>
          <cell r="I9" t="str">
            <v>0.02–0.04</v>
          </cell>
          <cell r="J9">
            <v>3.5000000000000003E-2</v>
          </cell>
          <cell r="K9" t="str">
            <v>0.03–0.05</v>
          </cell>
          <cell r="P9">
            <v>0.2</v>
          </cell>
          <cell r="Q9" t="str">
            <v>0.18-0.22</v>
          </cell>
          <cell r="W9">
            <v>11.3</v>
          </cell>
          <cell r="X9">
            <v>2.5</v>
          </cell>
          <cell r="Y9">
            <v>40.299999999999997</v>
          </cell>
          <cell r="Z9">
            <v>7.9</v>
          </cell>
          <cell r="AD9">
            <v>0.8</v>
          </cell>
          <cell r="AE9">
            <v>37.20000000000001</v>
          </cell>
          <cell r="AF9">
            <v>0.21</v>
          </cell>
          <cell r="AG9">
            <v>0.74</v>
          </cell>
          <cell r="AH9">
            <v>0.15</v>
          </cell>
        </row>
        <row r="10">
          <cell r="D10">
            <v>0.05</v>
          </cell>
          <cell r="E10" t="str">
            <v>0.04–0.06</v>
          </cell>
          <cell r="F10">
            <v>0.1</v>
          </cell>
          <cell r="G10" t="str">
            <v>0.06–0.1</v>
          </cell>
          <cell r="H10">
            <v>6.5000000000000002E-2</v>
          </cell>
          <cell r="I10" t="str">
            <v>0.05–0.08</v>
          </cell>
          <cell r="J10">
            <v>0.17</v>
          </cell>
          <cell r="K10" t="str">
            <v>0.15–0.2</v>
          </cell>
          <cell r="P10">
            <v>0.4</v>
          </cell>
          <cell r="Q10" t="str">
            <v>0.36-0.45</v>
          </cell>
          <cell r="W10">
            <v>12.9</v>
          </cell>
          <cell r="X10">
            <v>2.7</v>
          </cell>
          <cell r="Y10">
            <v>43.5</v>
          </cell>
          <cell r="Z10">
            <v>9.9</v>
          </cell>
          <cell r="AD10">
            <v>0.9</v>
          </cell>
          <cell r="AE10">
            <v>30.099999999999994</v>
          </cell>
          <cell r="AF10">
            <v>0.27</v>
          </cell>
          <cell r="AG10">
            <v>0.59</v>
          </cell>
          <cell r="AH10">
            <v>0.17</v>
          </cell>
        </row>
        <row r="11">
          <cell r="D11">
            <v>0.06</v>
          </cell>
          <cell r="E11" t="str">
            <v>0.05–0.08</v>
          </cell>
          <cell r="F11">
            <v>0.185</v>
          </cell>
          <cell r="G11" t="str">
            <v>0.1–0.2</v>
          </cell>
          <cell r="H11">
            <v>8.5000000000000006E-2</v>
          </cell>
          <cell r="I11" t="str">
            <v>0.07–0.1</v>
          </cell>
          <cell r="J11">
            <v>0.4</v>
          </cell>
          <cell r="K11" t="str">
            <v xml:space="preserve">0.17–0.7 </v>
          </cell>
          <cell r="P11">
            <v>0.43</v>
          </cell>
          <cell r="Q11" t="str">
            <v>0.39-0.46</v>
          </cell>
          <cell r="W11">
            <v>18</v>
          </cell>
          <cell r="X11">
            <v>2.9</v>
          </cell>
          <cell r="Y11">
            <v>41.1</v>
          </cell>
          <cell r="Z11">
            <v>9.8000000000000007</v>
          </cell>
          <cell r="AD11">
            <v>0.6</v>
          </cell>
          <cell r="AE11">
            <v>27.600000000000009</v>
          </cell>
          <cell r="AF11">
            <v>0.42055555555555557</v>
          </cell>
          <cell r="AG11">
            <v>0.676111111111111</v>
          </cell>
          <cell r="AH11">
            <v>0.19</v>
          </cell>
        </row>
        <row r="12">
          <cell r="D12">
            <v>0.05</v>
          </cell>
          <cell r="E12" t="str">
            <v>0.04–0.06</v>
          </cell>
          <cell r="F12">
            <v>0.09</v>
          </cell>
          <cell r="G12" t="str">
            <v>0.08–0.1</v>
          </cell>
          <cell r="H12">
            <v>6.5000000000000002E-2</v>
          </cell>
          <cell r="I12" t="str">
            <v>0.05–0.08</v>
          </cell>
          <cell r="J12">
            <v>0.17</v>
          </cell>
          <cell r="K12" t="str">
            <v>0.15–0.2</v>
          </cell>
          <cell r="P12">
            <v>0.24</v>
          </cell>
          <cell r="Q12" t="str">
            <v>0.20-0.40</v>
          </cell>
          <cell r="W12">
            <v>7.7</v>
          </cell>
          <cell r="X12">
            <v>1.7</v>
          </cell>
          <cell r="Y12">
            <v>53.9</v>
          </cell>
          <cell r="Z12">
            <v>7</v>
          </cell>
          <cell r="AD12">
            <v>1.1000000000000001</v>
          </cell>
          <cell r="AE12">
            <v>28.600000000000009</v>
          </cell>
          <cell r="AF12">
            <v>0.28999999999999998</v>
          </cell>
          <cell r="AG12">
            <v>0.69</v>
          </cell>
          <cell r="AH12">
            <v>0.15</v>
          </cell>
        </row>
        <row r="13">
          <cell r="P13">
            <v>0.24</v>
          </cell>
          <cell r="Q13" t="str">
            <v>0.18-0.32</v>
          </cell>
          <cell r="W13">
            <v>16.8</v>
          </cell>
          <cell r="X13">
            <v>2.5</v>
          </cell>
          <cell r="Y13">
            <v>43.4</v>
          </cell>
          <cell r="Z13">
            <v>6.5</v>
          </cell>
          <cell r="AE13">
            <v>30.799999999999997</v>
          </cell>
          <cell r="AF13">
            <v>0.28999999999999998</v>
          </cell>
          <cell r="AG13">
            <v>0.69</v>
          </cell>
          <cell r="AH13">
            <v>0.17</v>
          </cell>
        </row>
        <row r="14">
          <cell r="P14">
            <v>0.05</v>
          </cell>
          <cell r="Q14" t="str">
            <v>0.04-0.05</v>
          </cell>
          <cell r="W14">
            <v>16.5</v>
          </cell>
          <cell r="X14">
            <v>2.5</v>
          </cell>
          <cell r="Y14">
            <v>51.1</v>
          </cell>
          <cell r="Z14">
            <v>2</v>
          </cell>
          <cell r="AE14">
            <v>27.900000000000006</v>
          </cell>
          <cell r="AF14">
            <v>0.28999999999999998</v>
          </cell>
          <cell r="AG14">
            <v>0.69</v>
          </cell>
          <cell r="AH14">
            <v>0.16</v>
          </cell>
        </row>
        <row r="15">
          <cell r="P15">
            <v>0.39</v>
          </cell>
          <cell r="Q15" t="str">
            <v>0.39</v>
          </cell>
          <cell r="W15">
            <v>25</v>
          </cell>
          <cell r="Y15">
            <v>23</v>
          </cell>
          <cell r="Z15">
            <v>15</v>
          </cell>
          <cell r="AE15">
            <v>37</v>
          </cell>
          <cell r="AF15">
            <v>0.28999999999999998</v>
          </cell>
          <cell r="AG15">
            <v>0.69</v>
          </cell>
          <cell r="AH15">
            <v>0.2</v>
          </cell>
        </row>
        <row r="16">
          <cell r="P16">
            <v>0.18</v>
          </cell>
          <cell r="Q16" t="str">
            <v>0.12-0.28</v>
          </cell>
          <cell r="W16">
            <v>9.8000000000000007</v>
          </cell>
          <cell r="X16">
            <v>1</v>
          </cell>
          <cell r="Y16">
            <v>40.4</v>
          </cell>
          <cell r="Z16">
            <v>4.4000000000000004</v>
          </cell>
          <cell r="AE16">
            <v>44.4</v>
          </cell>
          <cell r="AF16">
            <v>0.28999999999999998</v>
          </cell>
          <cell r="AG16">
            <v>0.69</v>
          </cell>
          <cell r="AH16">
            <v>0.12</v>
          </cell>
        </row>
        <row r="17">
          <cell r="G17">
            <v>2</v>
          </cell>
          <cell r="P17">
            <v>0.15</v>
          </cell>
          <cell r="Q17" t="str">
            <v>0-0.54</v>
          </cell>
          <cell r="W17">
            <v>21.8</v>
          </cell>
          <cell r="X17">
            <v>4.7</v>
          </cell>
          <cell r="Y17">
            <v>30.1</v>
          </cell>
          <cell r="Z17">
            <v>7.5</v>
          </cell>
          <cell r="AD17">
            <v>1.4</v>
          </cell>
          <cell r="AE17">
            <v>34.5</v>
          </cell>
          <cell r="AF17">
            <v>0.38</v>
          </cell>
          <cell r="AG17">
            <v>0.9</v>
          </cell>
          <cell r="AH17">
            <v>0.18</v>
          </cell>
        </row>
        <row r="18">
          <cell r="W18">
            <v>30.6</v>
          </cell>
          <cell r="X18">
            <v>2</v>
          </cell>
          <cell r="Y18">
            <v>23.8</v>
          </cell>
          <cell r="Z18">
            <v>10</v>
          </cell>
          <cell r="AE18">
            <v>33.599999999999994</v>
          </cell>
          <cell r="AF18">
            <v>0.64</v>
          </cell>
          <cell r="AG18">
            <v>0.47</v>
          </cell>
          <cell r="AH18">
            <v>0.21</v>
          </cell>
        </row>
        <row r="19">
          <cell r="W19">
            <v>17</v>
          </cell>
          <cell r="Y19">
            <v>36.9</v>
          </cell>
          <cell r="Z19">
            <v>10.6</v>
          </cell>
          <cell r="AE19">
            <v>35.5</v>
          </cell>
          <cell r="AF19">
            <v>0.52</v>
          </cell>
          <cell r="AG19">
            <v>0.85</v>
          </cell>
          <cell r="AH19">
            <v>0.17</v>
          </cell>
        </row>
        <row r="20">
          <cell r="O20">
            <v>1</v>
          </cell>
          <cell r="W20">
            <v>27.5</v>
          </cell>
          <cell r="Y20">
            <v>24.2</v>
          </cell>
          <cell r="Z20">
            <v>11</v>
          </cell>
          <cell r="AE20">
            <v>37.299999999999997</v>
          </cell>
          <cell r="AF20">
            <v>0.56000000000000005</v>
          </cell>
          <cell r="AG20">
            <v>0.47</v>
          </cell>
          <cell r="AH20">
            <v>0.19</v>
          </cell>
        </row>
        <row r="21">
          <cell r="W21">
            <v>30</v>
          </cell>
          <cell r="Y21">
            <v>36</v>
          </cell>
          <cell r="Z21">
            <v>24</v>
          </cell>
          <cell r="AE21">
            <v>10</v>
          </cell>
          <cell r="AF21">
            <v>0.69</v>
          </cell>
          <cell r="AG21">
            <v>0.85</v>
          </cell>
          <cell r="AH21">
            <v>0.28000000000000003</v>
          </cell>
        </row>
        <row r="22">
          <cell r="W22">
            <v>6</v>
          </cell>
          <cell r="Y22">
            <v>67.5</v>
          </cell>
          <cell r="Z22">
            <v>2.5</v>
          </cell>
          <cell r="AE22">
            <v>24</v>
          </cell>
          <cell r="AF22">
            <v>0.69</v>
          </cell>
          <cell r="AG22">
            <v>0.85</v>
          </cell>
          <cell r="AH22">
            <v>0.14000000000000001</v>
          </cell>
        </row>
        <row r="23">
          <cell r="W23">
            <v>23.2</v>
          </cell>
          <cell r="X23">
            <v>3.9</v>
          </cell>
          <cell r="Y23">
            <v>33.9</v>
          </cell>
          <cell r="Z23">
            <v>6.2</v>
          </cell>
          <cell r="AD23">
            <v>1.4</v>
          </cell>
          <cell r="AE23">
            <v>31.399999999999991</v>
          </cell>
          <cell r="AF23">
            <v>0.65</v>
          </cell>
          <cell r="AG23">
            <v>0.57999999999999996</v>
          </cell>
          <cell r="AH23">
            <v>0.19</v>
          </cell>
        </row>
        <row r="24">
          <cell r="W24">
            <v>13.7</v>
          </cell>
          <cell r="X24">
            <v>2.6</v>
          </cell>
          <cell r="Y24">
            <v>43.8</v>
          </cell>
          <cell r="Z24">
            <v>13.5</v>
          </cell>
          <cell r="AD24">
            <v>1.8</v>
          </cell>
          <cell r="AE24">
            <v>24.600000000000009</v>
          </cell>
          <cell r="AF24">
            <v>0.21</v>
          </cell>
          <cell r="AG24">
            <v>0.5</v>
          </cell>
          <cell r="AH24">
            <v>0.19</v>
          </cell>
        </row>
        <row r="25">
          <cell r="W25">
            <v>17.100000000000001</v>
          </cell>
          <cell r="X25">
            <v>2.6</v>
          </cell>
          <cell r="Y25">
            <v>44.9</v>
          </cell>
          <cell r="Z25">
            <v>4.7</v>
          </cell>
          <cell r="AD25">
            <v>0.7</v>
          </cell>
          <cell r="AE25">
            <v>30</v>
          </cell>
          <cell r="AF25">
            <v>0.26</v>
          </cell>
          <cell r="AG25">
            <v>0.54</v>
          </cell>
          <cell r="AH25">
            <v>0.16</v>
          </cell>
        </row>
        <row r="26">
          <cell r="W26">
            <v>17</v>
          </cell>
          <cell r="X26">
            <v>5.0999999999999996</v>
          </cell>
          <cell r="Y26">
            <v>46.9</v>
          </cell>
          <cell r="Z26">
            <v>2.4</v>
          </cell>
          <cell r="AD26">
            <v>1.9</v>
          </cell>
          <cell r="AE26">
            <v>26.699999999999989</v>
          </cell>
          <cell r="AF26">
            <v>0.49</v>
          </cell>
          <cell r="AG26">
            <v>0.83</v>
          </cell>
          <cell r="AH26">
            <v>0.17</v>
          </cell>
        </row>
      </sheetData>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Caracterización"/>
      <sheetName val="1-Combustibles y Lubricantes"/>
      <sheetName val="2-Equipamientos (Móvil_Fijo)"/>
      <sheetName val="3-Equip. Comb. NO Adquirido"/>
      <sheetName val="4-Transporte Diário_Subcontr"/>
      <sheetName val="5-Rrefrigeración"/>
      <sheetName val="6-Corte y Soldadura "/>
      <sheetName val="7-Explosivos"/>
      <sheetName val="8-Eletriciadad"/>
      <sheetName val="9-Infra-Electrica (SF6)"/>
      <sheetName val="10-Viajens Aéreas"/>
      <sheetName val="11-Cemento_Concreto"/>
      <sheetName val="12-Acero"/>
      <sheetName val="13-Residuos Sólidos"/>
      <sheetName val="D.Resíduos"/>
      <sheetName val="DADOS"/>
      <sheetName val="14-Efluentes"/>
      <sheetName val="15-Deforestación_Refl"/>
      <sheetName val="16- Transporte de gde. cargas"/>
      <sheetName val="17-GAS_GLP"/>
      <sheetName val="Abreviações e Definições"/>
      <sheetName val="Factores de Convers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CLASE I – Residuos Sólidos Peligrosos</v>
          </cell>
          <cell r="C2" t="str">
            <v>Aceite de Corte y Mecanizado usado</v>
          </cell>
        </row>
        <row r="3">
          <cell r="B3" t="str">
            <v>CLASE II – Residuos No Peligrosos</v>
          </cell>
          <cell r="C3" t="str">
            <v>Aceite lubricante usado / contaminado</v>
          </cell>
        </row>
        <row r="4">
          <cell r="B4" t="str">
            <v>CLASE IIB – No Peligrosos – Inertes</v>
          </cell>
          <cell r="C4" t="str">
            <v>Aceites de Aislamiento Térmico</v>
          </cell>
        </row>
        <row r="5">
          <cell r="B5" t="str">
            <v>CLASE IIB – No Peligrosos – Inertes</v>
          </cell>
          <cell r="C5" t="str">
            <v>Acumuladores eléctricos a base de plomo y sus residuos</v>
          </cell>
        </row>
        <row r="6">
          <cell r="C6" t="str">
            <v>Aislamiento Térmico - silicato</v>
          </cell>
        </row>
        <row r="7">
          <cell r="C7" t="str">
            <v>Cartuchos y toner de impresión</v>
          </cell>
        </row>
        <row r="8">
          <cell r="C8" t="str">
            <v>Caucho no contaminado</v>
          </cell>
        </row>
        <row r="9">
          <cell r="C9" t="str">
            <v>Desmonte de Construcción Civil</v>
          </cell>
        </row>
        <row r="10">
          <cell r="C10" t="str">
            <v>Embalajes vacíos de productos químicos</v>
          </cell>
        </row>
        <row r="11">
          <cell r="C11" t="str">
            <v>EPI's - Equipos de Protección Individual usados / contaminados</v>
          </cell>
        </row>
        <row r="12">
          <cell r="C12" t="str">
            <v>Lámparas de vapor de mercurio</v>
          </cell>
        </row>
        <row r="13">
          <cell r="C13" t="str">
            <v>Lámparas de vapor de sodio</v>
          </cell>
        </row>
        <row r="14">
          <cell r="C14" t="str">
            <v>Lámparas incandescentes</v>
          </cell>
        </row>
        <row r="15">
          <cell r="C15" t="str">
            <v>Lana de vidrio</v>
          </cell>
        </row>
        <row r="16">
          <cell r="C16" t="str">
            <v>Latas vacías de Solventes</v>
          </cell>
        </row>
        <row r="17">
          <cell r="C17" t="str">
            <v>Latas vacías de Tinta</v>
          </cell>
        </row>
        <row r="18">
          <cell r="C18" t="str">
            <v>Lodos de Estaciones de Tratamiento de Agua</v>
          </cell>
        </row>
        <row r="19">
          <cell r="C19" t="str">
            <v>Lodos de Estaciones de Tratamiento de Efluentes Líquidos</v>
          </cell>
        </row>
        <row r="20">
          <cell r="C20" t="str">
            <v>Lodos de limpieza de cajas de agua</v>
          </cell>
        </row>
        <row r="21">
          <cell r="C21" t="str">
            <v>Lodos de Sistemas de Tratamiento de Emisiones Atmosféricas</v>
          </cell>
        </row>
        <row r="22">
          <cell r="C22" t="str">
            <v>Papel, Cartón y Plástico</v>
          </cell>
        </row>
        <row r="23">
          <cell r="C23" t="str">
            <v>Pilas y Baterías - depende de la composición</v>
          </cell>
        </row>
        <row r="24">
          <cell r="C24" t="str">
            <v>Poleas, cintas, cables de acero en chatarra</v>
          </cell>
        </row>
        <row r="25">
          <cell r="C25" t="str">
            <v>Puntas de Electrodos de Soldadura</v>
          </cell>
        </row>
        <row r="26">
          <cell r="C26" t="str">
            <v>Residuos de Barrido</v>
          </cell>
        </row>
        <row r="27">
          <cell r="C27" t="str">
            <v>Residuos de las Centrales de Asfalto</v>
          </cell>
        </row>
        <row r="28">
          <cell r="C28" t="str">
            <v>Residuos de restos de alimentos</v>
          </cell>
        </row>
        <row r="29">
          <cell r="C29" t="str">
            <v>Residuos del Servicio de Salud</v>
          </cell>
        </row>
        <row r="30">
          <cell r="C30" t="str">
            <v>Residuos Domésticos de oficinas</v>
          </cell>
        </row>
        <row r="31">
          <cell r="C31" t="str">
            <v>Restos de Podas de Vegetación</v>
          </cell>
        </row>
        <row r="32">
          <cell r="C32" t="str">
            <v>Restos de suelo / roca excedentes de la producción de agregados</v>
          </cell>
        </row>
        <row r="33">
          <cell r="C33" t="str">
            <v>Restos de yeso</v>
          </cell>
        </row>
        <row r="34">
          <cell r="C34" t="str">
            <v>Telas de amianto</v>
          </cell>
        </row>
        <row r="35">
          <cell r="C35" t="str">
            <v>Viruta de Madera</v>
          </cell>
        </row>
        <row r="36">
          <cell r="C36" t="str">
            <v>Viruta de metales no contaminada</v>
          </cell>
        </row>
      </sheetData>
      <sheetData sheetId="16">
        <row r="1">
          <cell r="P1" t="str">
            <v>CEMENTO</v>
          </cell>
        </row>
        <row r="2">
          <cell r="H2" t="str">
            <v>S</v>
          </cell>
          <cell r="I2" t="str">
            <v>Propia</v>
          </cell>
          <cell r="L2" t="str">
            <v>Litros</v>
          </cell>
          <cell r="M2" t="str">
            <v>Horas</v>
          </cell>
          <cell r="N2" t="str">
            <v>Road</v>
          </cell>
          <cell r="O2" t="str">
            <v>Relleno Sanitario</v>
          </cell>
          <cell r="P2" t="str">
            <v>CONCRETO</v>
          </cell>
          <cell r="Q2" t="str">
            <v>Tropical</v>
          </cell>
          <cell r="R2" t="str">
            <v>Bosque tropical lluvioso</v>
          </cell>
          <cell r="T2" t="str">
            <v>Móvil</v>
          </cell>
          <cell r="U2" t="str">
            <v>Aéreo</v>
          </cell>
        </row>
        <row r="3">
          <cell r="H3" t="str">
            <v>N</v>
          </cell>
          <cell r="I3" t="str">
            <v>Terceros/Sub</v>
          </cell>
          <cell r="L3" t="str">
            <v>m³</v>
          </cell>
          <cell r="M3" t="str">
            <v>KM</v>
          </cell>
          <cell r="N3" t="str">
            <v>Off-Road</v>
          </cell>
          <cell r="O3" t="str">
            <v>reciclaje</v>
          </cell>
          <cell r="Q3" t="str">
            <v>Subtropical</v>
          </cell>
          <cell r="R3" t="str">
            <v>Bosque tropical húmedo de hojas caducas</v>
          </cell>
          <cell r="T3" t="str">
            <v>Fijo</v>
          </cell>
          <cell r="U3" t="str">
            <v>ferrocarril</v>
          </cell>
        </row>
        <row r="4">
          <cell r="L4" t="str">
            <v>ton</v>
          </cell>
          <cell r="M4" t="str">
            <v>Milhas</v>
          </cell>
          <cell r="O4" t="str">
            <v xml:space="preserve"> reutilización</v>
          </cell>
          <cell r="R4" t="str">
            <v>Bosque tropical seco</v>
          </cell>
          <cell r="U4" t="str">
            <v>Carretera</v>
          </cell>
        </row>
        <row r="5">
          <cell r="L5" t="str">
            <v>kg</v>
          </cell>
          <cell r="O5" t="str">
            <v xml:space="preserve"> incineración</v>
          </cell>
          <cell r="R5" t="str">
            <v>Arbustos tropicales</v>
          </cell>
          <cell r="U5" t="str">
            <v xml:space="preserve"> Marítimo de larga distancia</v>
          </cell>
        </row>
        <row r="6">
          <cell r="L6" t="str">
            <v>US Gallón</v>
          </cell>
          <cell r="O6" t="str">
            <v xml:space="preserve"> compostaje</v>
          </cell>
          <cell r="R6" t="str">
            <v>Bosque seco subtropical</v>
          </cell>
          <cell r="U6" t="str">
            <v xml:space="preserve"> Marina Costera</v>
          </cell>
        </row>
        <row r="7">
          <cell r="O7" t="str">
            <v xml:space="preserve"> otro</v>
          </cell>
          <cell r="R7" t="str">
            <v>Estepa subtropical</v>
          </cell>
          <cell r="U7" t="str">
            <v>Barcaza</v>
          </cell>
        </row>
        <row r="8">
          <cell r="R8" t="str">
            <v>Sistemas montañosos subtropicales</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pcc-nggip.iges.or.jp/public/2006gl/spanish/vol2.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produce.gob.pe/documentos/estadisticas/anuarios/anuario-estadistico-pesca-2013.pdf" TargetMode="External"/><Relationship Id="rId7" Type="http://schemas.openxmlformats.org/officeDocument/2006/relationships/drawing" Target="../drawings/drawing2.xml"/><Relationship Id="rId2" Type="http://schemas.openxmlformats.org/officeDocument/2006/relationships/hyperlink" Target="https://ogeiee.produce.gob.pe/index.php/en/oee-documentos-publicaciones/publicaciones-anuales/item/1116-anuario-estadistico-pesquero-y-acuicola-2022" TargetMode="External"/><Relationship Id="rId1" Type="http://schemas.openxmlformats.org/officeDocument/2006/relationships/hyperlink" Target="https://ogeiee.produce.gob.pe/index.php/en/oee-documentos-publicaciones/publicaciones-anuales/item/1125-anuario-estadistico-industrial-mipyme-y-comercio-interno-2022" TargetMode="External"/><Relationship Id="rId6" Type="http://schemas.openxmlformats.org/officeDocument/2006/relationships/printerSettings" Target="../printerSettings/printerSettings3.bin"/><Relationship Id="rId5" Type="http://schemas.openxmlformats.org/officeDocument/2006/relationships/hyperlink" Target="https://www.produce.gob.pe/documentos/estadisticas/anuarios/anuario-estadistico-pesca-2015.pdf" TargetMode="External"/><Relationship Id="rId4" Type="http://schemas.openxmlformats.org/officeDocument/2006/relationships/hyperlink" Target="https://www.produce.gob.pe/documentos/estadisticas/anuarios/anuario-estadistico-pesca-2012.pdf"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Q101"/>
  <sheetViews>
    <sheetView zoomScale="84" zoomScaleNormal="84" workbookViewId="0">
      <selection activeCell="V23" sqref="V23"/>
    </sheetView>
  </sheetViews>
  <sheetFormatPr baseColWidth="10" defaultColWidth="11.42578125" defaultRowHeight="15"/>
  <cols>
    <col min="1" max="1" width="3.28515625" style="4" customWidth="1"/>
    <col min="2" max="2" width="15.85546875" style="3" customWidth="1"/>
    <col min="3" max="4" width="11.42578125" style="3"/>
    <col min="5" max="5" width="11.42578125" style="3" customWidth="1"/>
    <col min="6" max="11" width="11.42578125" style="3"/>
    <col min="12" max="12" width="12.42578125" style="3" customWidth="1"/>
    <col min="13" max="14" width="11.42578125" style="3"/>
    <col min="15" max="17" width="14.28515625" style="3" customWidth="1"/>
    <col min="18" max="16384" width="11.42578125" style="3"/>
  </cols>
  <sheetData>
    <row r="2" spans="1:17" ht="18.75">
      <c r="A2" s="2"/>
      <c r="B2" s="716" t="s">
        <v>675</v>
      </c>
      <c r="C2" s="716"/>
      <c r="D2" s="716"/>
      <c r="E2" s="716"/>
      <c r="F2" s="716"/>
      <c r="G2" s="716"/>
      <c r="H2" s="716"/>
      <c r="I2" s="716"/>
      <c r="J2" s="716"/>
      <c r="K2" s="716"/>
      <c r="L2" s="716"/>
      <c r="M2" s="716"/>
      <c r="N2" s="716"/>
      <c r="O2" s="716"/>
      <c r="P2" s="716"/>
      <c r="Q2" s="716"/>
    </row>
    <row r="3" spans="1:17" ht="18.75">
      <c r="A3" s="2"/>
      <c r="B3" s="716" t="s">
        <v>0</v>
      </c>
      <c r="C3" s="716"/>
      <c r="D3" s="716"/>
      <c r="E3" s="716"/>
      <c r="F3" s="716"/>
      <c r="G3" s="716"/>
      <c r="H3" s="716"/>
      <c r="I3" s="716"/>
      <c r="J3" s="716"/>
      <c r="K3" s="716"/>
      <c r="L3" s="716"/>
      <c r="M3" s="716"/>
      <c r="N3" s="716"/>
      <c r="O3" s="716"/>
      <c r="P3" s="716"/>
      <c r="Q3" s="716"/>
    </row>
    <row r="4" spans="1:17" ht="18.75">
      <c r="A4" s="2"/>
      <c r="B4" s="716" t="s">
        <v>1</v>
      </c>
      <c r="C4" s="716"/>
      <c r="D4" s="716"/>
      <c r="E4" s="716"/>
      <c r="F4" s="716"/>
      <c r="G4" s="716"/>
      <c r="H4" s="716"/>
      <c r="I4" s="716"/>
      <c r="J4" s="716"/>
      <c r="K4" s="716"/>
      <c r="L4" s="716"/>
      <c r="M4" s="716"/>
      <c r="N4" s="716"/>
      <c r="O4" s="716"/>
      <c r="P4" s="716"/>
      <c r="Q4" s="716"/>
    </row>
    <row r="5" spans="1:17">
      <c r="B5" s="5"/>
      <c r="C5" s="4"/>
      <c r="D5" s="4"/>
      <c r="E5" s="4"/>
      <c r="F5" s="4"/>
      <c r="G5" s="4"/>
      <c r="H5" s="4"/>
      <c r="I5" s="4"/>
      <c r="J5" s="4"/>
      <c r="K5" s="4"/>
      <c r="L5" s="4"/>
      <c r="M5" s="4"/>
      <c r="N5" s="4"/>
      <c r="O5" s="4"/>
      <c r="P5" s="4"/>
      <c r="Q5" s="4"/>
    </row>
    <row r="6" spans="1:17" ht="15.75">
      <c r="A6" s="6"/>
      <c r="B6" s="713" t="s">
        <v>2</v>
      </c>
      <c r="C6" s="713"/>
      <c r="D6" s="713"/>
      <c r="E6" s="713"/>
      <c r="F6" s="713"/>
      <c r="G6" s="713"/>
      <c r="H6" s="713"/>
      <c r="I6" s="713"/>
      <c r="J6" s="713"/>
      <c r="K6" s="713"/>
      <c r="L6" s="713"/>
      <c r="M6" s="713"/>
      <c r="N6" s="713"/>
      <c r="O6" s="713"/>
      <c r="P6" s="713"/>
      <c r="Q6" s="713"/>
    </row>
    <row r="7" spans="1:17">
      <c r="B7" s="7"/>
      <c r="C7" s="8"/>
      <c r="D7" s="8"/>
      <c r="E7" s="8"/>
      <c r="F7" s="8"/>
      <c r="G7" s="8"/>
      <c r="H7" s="8"/>
      <c r="I7" s="8"/>
      <c r="J7" s="8"/>
      <c r="K7" s="8"/>
      <c r="L7" s="4"/>
      <c r="M7" s="4"/>
      <c r="N7" s="4"/>
      <c r="O7" s="4"/>
      <c r="P7" s="4"/>
      <c r="Q7" s="4"/>
    </row>
    <row r="8" spans="1:17">
      <c r="B8" s="713" t="s">
        <v>3</v>
      </c>
      <c r="C8" s="713"/>
      <c r="D8" s="713"/>
      <c r="E8" s="713"/>
      <c r="F8" s="713"/>
      <c r="G8" s="713"/>
      <c r="H8" s="713"/>
      <c r="I8" s="713"/>
      <c r="J8" s="713"/>
      <c r="K8" s="713"/>
      <c r="L8" s="713"/>
      <c r="M8" s="713"/>
      <c r="N8" s="713"/>
      <c r="O8" s="713"/>
      <c r="P8" s="713"/>
      <c r="Q8" s="713"/>
    </row>
    <row r="9" spans="1:17" ht="28.5" customHeight="1">
      <c r="B9" s="717" t="s">
        <v>4</v>
      </c>
      <c r="C9" s="717"/>
      <c r="D9" s="717"/>
      <c r="E9" s="717"/>
      <c r="F9" s="717"/>
      <c r="G9" s="717"/>
      <c r="H9" s="717"/>
      <c r="I9" s="717"/>
      <c r="J9" s="717"/>
      <c r="K9" s="717"/>
      <c r="L9" s="717"/>
      <c r="M9" s="717"/>
      <c r="N9" s="9"/>
      <c r="O9" s="9"/>
      <c r="P9" s="9"/>
      <c r="Q9" s="9"/>
    </row>
    <row r="10" spans="1:17" ht="9" customHeight="1">
      <c r="C10" s="10"/>
      <c r="D10" s="10"/>
      <c r="E10" s="10"/>
      <c r="F10" s="10"/>
      <c r="G10" s="10"/>
      <c r="H10" s="10"/>
      <c r="I10" s="10"/>
      <c r="J10" s="10"/>
      <c r="K10" s="10"/>
      <c r="L10" s="10"/>
      <c r="M10" s="10"/>
      <c r="N10" s="4"/>
      <c r="O10" s="4"/>
      <c r="P10" s="4"/>
      <c r="Q10" s="4"/>
    </row>
    <row r="11" spans="1:17" ht="44.25" customHeight="1">
      <c r="B11" s="717" t="s">
        <v>5</v>
      </c>
      <c r="C11" s="717"/>
      <c r="D11" s="717"/>
      <c r="E11" s="717"/>
      <c r="F11" s="717"/>
      <c r="G11" s="717"/>
      <c r="H11" s="10"/>
      <c r="I11" s="10"/>
      <c r="J11" s="10"/>
      <c r="K11" s="10"/>
      <c r="L11" s="10"/>
      <c r="M11" s="10"/>
      <c r="N11" s="4"/>
      <c r="O11" s="4"/>
      <c r="P11" s="4"/>
      <c r="Q11" s="4"/>
    </row>
    <row r="12" spans="1:17">
      <c r="B12" s="713" t="s">
        <v>6</v>
      </c>
      <c r="C12" s="713"/>
      <c r="D12" s="713"/>
      <c r="E12" s="713"/>
      <c r="F12" s="713"/>
      <c r="G12" s="713"/>
      <c r="H12" s="713"/>
      <c r="I12" s="713"/>
      <c r="J12" s="713"/>
      <c r="K12" s="713"/>
      <c r="L12" s="713"/>
      <c r="M12" s="713"/>
      <c r="N12" s="713"/>
      <c r="O12" s="713"/>
      <c r="P12" s="713"/>
      <c r="Q12" s="713"/>
    </row>
    <row r="13" spans="1:17" ht="12" customHeight="1">
      <c r="B13" s="11"/>
      <c r="C13" s="4"/>
      <c r="D13" s="4"/>
      <c r="E13" s="4"/>
      <c r="F13" s="4"/>
      <c r="G13" s="4"/>
      <c r="H13" s="4"/>
      <c r="I13" s="4"/>
      <c r="J13" s="4"/>
      <c r="K13" s="4"/>
      <c r="L13" s="4"/>
      <c r="M13" s="4"/>
      <c r="N13" s="4"/>
      <c r="O13" s="4"/>
      <c r="P13" s="4"/>
      <c r="Q13" s="4"/>
    </row>
    <row r="14" spans="1:17">
      <c r="A14" s="3"/>
      <c r="B14" s="314" t="s">
        <v>7</v>
      </c>
      <c r="C14" s="4"/>
      <c r="D14" s="4"/>
      <c r="E14" s="4"/>
      <c r="F14" s="4"/>
      <c r="G14" s="4"/>
      <c r="H14" s="4"/>
      <c r="I14" s="4"/>
      <c r="J14" s="4"/>
      <c r="K14" s="4"/>
      <c r="L14" s="4"/>
      <c r="M14" s="4"/>
      <c r="N14" s="4"/>
      <c r="O14" s="4"/>
      <c r="P14" s="4"/>
      <c r="Q14" s="4"/>
    </row>
    <row r="15" spans="1:17" ht="13.5" customHeight="1">
      <c r="A15" s="3"/>
      <c r="B15" s="32"/>
      <c r="C15" s="4"/>
      <c r="D15" s="4"/>
      <c r="E15" s="4"/>
      <c r="F15" s="4"/>
      <c r="G15" s="4"/>
      <c r="H15" s="4"/>
      <c r="I15" s="4"/>
      <c r="J15" s="4"/>
      <c r="K15" s="4"/>
      <c r="L15" s="4"/>
      <c r="M15" s="4"/>
      <c r="N15" s="4"/>
      <c r="O15" s="4"/>
      <c r="P15" s="4"/>
      <c r="Q15" s="4"/>
    </row>
    <row r="16" spans="1:17">
      <c r="A16" s="3"/>
      <c r="B16" s="4" t="s">
        <v>8</v>
      </c>
      <c r="C16" s="12"/>
      <c r="D16" s="12"/>
      <c r="E16" s="12"/>
      <c r="G16" s="13"/>
      <c r="H16" s="4"/>
      <c r="I16" s="4"/>
      <c r="J16" s="4"/>
      <c r="K16" s="4"/>
      <c r="L16" s="4"/>
      <c r="M16" s="4"/>
      <c r="N16" s="4"/>
      <c r="O16" s="4"/>
      <c r="P16" s="4"/>
      <c r="Q16" s="4"/>
    </row>
    <row r="17" spans="1:17">
      <c r="A17" s="3"/>
      <c r="B17" s="4"/>
      <c r="C17" s="12"/>
      <c r="D17" s="12"/>
      <c r="E17" s="12"/>
      <c r="G17" s="13"/>
      <c r="H17" s="4"/>
      <c r="I17" s="4"/>
      <c r="J17" s="4"/>
      <c r="K17" s="4"/>
      <c r="L17" s="4"/>
      <c r="M17" s="4"/>
      <c r="N17" s="4"/>
      <c r="O17" s="4"/>
      <c r="P17" s="4"/>
      <c r="Q17" s="4"/>
    </row>
    <row r="18" spans="1:17">
      <c r="A18" s="3"/>
      <c r="B18" s="4"/>
      <c r="C18" s="4"/>
      <c r="D18" s="308" t="s">
        <v>9</v>
      </c>
      <c r="E18" s="4"/>
      <c r="G18" s="4"/>
      <c r="H18" s="4"/>
      <c r="I18" s="4"/>
      <c r="J18" s="4"/>
      <c r="K18" s="4"/>
      <c r="L18" s="4"/>
      <c r="M18" s="4"/>
      <c r="N18" s="4"/>
      <c r="O18" s="4"/>
      <c r="P18" s="4"/>
      <c r="Q18" s="4"/>
    </row>
    <row r="19" spans="1:17">
      <c r="A19" s="3"/>
      <c r="B19" s="4"/>
      <c r="C19" s="4"/>
      <c r="D19" s="4"/>
      <c r="E19" s="4"/>
      <c r="F19" s="4"/>
      <c r="G19" s="14"/>
      <c r="H19" s="14"/>
      <c r="J19" s="14"/>
      <c r="K19" s="14"/>
      <c r="L19" s="14"/>
      <c r="M19" s="14"/>
      <c r="N19" s="14"/>
      <c r="O19" s="14"/>
      <c r="P19" s="14"/>
      <c r="Q19" s="14"/>
    </row>
    <row r="20" spans="1:17">
      <c r="A20" s="3"/>
      <c r="B20" s="4"/>
      <c r="C20" s="4"/>
      <c r="D20" s="4"/>
      <c r="E20" s="4"/>
      <c r="F20" s="4"/>
      <c r="G20" s="4"/>
      <c r="H20" s="4"/>
      <c r="I20" s="710"/>
      <c r="J20" s="710"/>
      <c r="K20" s="710"/>
      <c r="L20" s="710"/>
      <c r="M20" s="710"/>
      <c r="N20" s="710"/>
      <c r="O20" s="4"/>
      <c r="P20" s="4"/>
      <c r="Q20" s="4"/>
    </row>
    <row r="21" spans="1:17">
      <c r="A21" s="3"/>
      <c r="B21" s="4"/>
      <c r="C21" s="4"/>
      <c r="D21" s="4"/>
      <c r="E21" s="4"/>
      <c r="F21" s="4"/>
      <c r="G21" s="4"/>
      <c r="H21" s="4"/>
      <c r="I21" s="710"/>
      <c r="J21" s="710"/>
      <c r="K21" s="710"/>
      <c r="L21" s="710"/>
      <c r="M21" s="710"/>
      <c r="N21" s="710"/>
      <c r="O21" s="4"/>
      <c r="P21" s="4"/>
      <c r="Q21" s="4"/>
    </row>
    <row r="22" spans="1:17" ht="27.75" customHeight="1">
      <c r="A22" s="3"/>
      <c r="B22" s="4"/>
      <c r="C22" s="4"/>
      <c r="D22" s="711" t="s">
        <v>10</v>
      </c>
      <c r="E22" s="712"/>
      <c r="F22" s="712"/>
      <c r="G22" s="712"/>
      <c r="H22" s="712"/>
      <c r="I22" s="712"/>
      <c r="J22" s="712"/>
      <c r="K22" s="712"/>
      <c r="L22" s="4"/>
      <c r="M22" s="4"/>
      <c r="N22" s="4"/>
      <c r="O22" s="4"/>
      <c r="P22" s="14"/>
      <c r="Q22" s="14"/>
    </row>
    <row r="23" spans="1:17" ht="15" customHeight="1">
      <c r="A23" s="3"/>
      <c r="B23" s="4"/>
      <c r="C23" s="4"/>
      <c r="D23" s="711" t="s">
        <v>11</v>
      </c>
      <c r="E23" s="712"/>
      <c r="F23" s="712"/>
      <c r="G23" s="712"/>
      <c r="H23" s="712"/>
      <c r="I23" s="712"/>
      <c r="J23" s="712"/>
      <c r="K23" s="712"/>
      <c r="L23" s="123"/>
      <c r="M23" s="123"/>
      <c r="N23" s="123"/>
      <c r="O23" s="123"/>
      <c r="P23" s="123"/>
      <c r="Q23" s="123"/>
    </row>
    <row r="24" spans="1:17">
      <c r="A24" s="3"/>
      <c r="B24" s="4"/>
      <c r="C24" s="4"/>
      <c r="D24" s="711" t="s">
        <v>12</v>
      </c>
      <c r="E24" s="712"/>
      <c r="F24" s="712"/>
      <c r="G24" s="712"/>
      <c r="H24" s="712"/>
      <c r="I24" s="712"/>
      <c r="J24" s="712"/>
      <c r="K24" s="712"/>
      <c r="L24" s="123"/>
      <c r="M24" s="123"/>
      <c r="N24" s="123"/>
      <c r="O24" s="123"/>
      <c r="P24" s="123"/>
      <c r="Q24" s="123"/>
    </row>
    <row r="25" spans="1:17">
      <c r="A25" s="3"/>
      <c r="B25" s="4"/>
      <c r="C25" s="4"/>
      <c r="D25" s="309"/>
      <c r="E25" s="309"/>
      <c r="F25" s="309"/>
      <c r="G25" s="309"/>
      <c r="H25" s="309"/>
      <c r="I25" s="309"/>
      <c r="J25" s="309"/>
      <c r="K25" s="309"/>
      <c r="L25" s="309"/>
      <c r="M25" s="309"/>
      <c r="N25" s="309"/>
      <c r="O25" s="309"/>
      <c r="P25" s="15"/>
      <c r="Q25" s="15"/>
    </row>
    <row r="26" spans="1:17">
      <c r="A26" s="3"/>
      <c r="B26" s="4"/>
      <c r="C26" s="4"/>
      <c r="D26" s="4"/>
      <c r="E26" s="4"/>
      <c r="F26" s="14"/>
      <c r="G26" s="14"/>
      <c r="H26" s="14"/>
      <c r="I26" s="14"/>
      <c r="J26" s="14"/>
      <c r="K26" s="14"/>
      <c r="L26" s="14"/>
      <c r="M26" s="14"/>
      <c r="N26" s="14"/>
      <c r="O26" s="14"/>
      <c r="P26" s="14"/>
      <c r="Q26" s="14"/>
    </row>
    <row r="27" spans="1:17">
      <c r="A27" s="3"/>
      <c r="B27" s="713" t="s">
        <v>13</v>
      </c>
      <c r="C27" s="713"/>
      <c r="D27" s="713"/>
      <c r="E27" s="713"/>
      <c r="F27" s="713"/>
      <c r="G27" s="713"/>
      <c r="H27" s="713"/>
      <c r="I27" s="713"/>
      <c r="J27" s="713"/>
      <c r="K27" s="713"/>
      <c r="L27" s="713"/>
      <c r="M27" s="713"/>
      <c r="N27" s="713"/>
      <c r="O27" s="713"/>
      <c r="P27" s="713"/>
      <c r="Q27" s="713"/>
    </row>
    <row r="28" spans="1:17" ht="11.25" customHeight="1">
      <c r="A28" s="3"/>
      <c r="B28" s="11"/>
      <c r="C28" s="4"/>
      <c r="D28" s="4"/>
      <c r="E28" s="4"/>
      <c r="F28" s="4"/>
      <c r="G28" s="4"/>
      <c r="H28" s="4"/>
      <c r="I28" s="4"/>
      <c r="J28" s="4"/>
      <c r="K28" s="4"/>
      <c r="L28" s="4"/>
      <c r="M28" s="4"/>
      <c r="N28" s="4"/>
      <c r="O28" s="4"/>
      <c r="P28" s="4"/>
      <c r="Q28" s="4"/>
    </row>
    <row r="29" spans="1:17">
      <c r="A29" s="3"/>
      <c r="B29" s="321" t="s">
        <v>14</v>
      </c>
      <c r="D29" s="4"/>
      <c r="E29" s="4"/>
      <c r="F29" s="4"/>
      <c r="G29" s="4"/>
      <c r="H29" s="4"/>
      <c r="I29" s="4"/>
      <c r="J29" s="4"/>
      <c r="K29" s="4"/>
      <c r="L29" s="4"/>
      <c r="M29" s="4"/>
      <c r="N29" s="4"/>
      <c r="O29" s="4"/>
      <c r="P29" s="4"/>
      <c r="Q29" s="4"/>
    </row>
    <row r="30" spans="1:17">
      <c r="A30" s="3"/>
      <c r="B30" s="310" t="s">
        <v>15</v>
      </c>
      <c r="C30" s="714" t="s">
        <v>16</v>
      </c>
      <c r="D30" s="714"/>
      <c r="E30" s="714"/>
      <c r="F30" s="714"/>
      <c r="G30" s="714"/>
      <c r="H30" s="714"/>
      <c r="I30" s="4"/>
      <c r="J30" s="4"/>
      <c r="K30" s="4"/>
      <c r="L30" s="4"/>
      <c r="M30" s="4"/>
      <c r="N30" s="4"/>
      <c r="O30" s="4"/>
      <c r="P30" s="4"/>
      <c r="Q30" s="4"/>
    </row>
    <row r="31" spans="1:17">
      <c r="A31" s="3"/>
      <c r="B31" s="315"/>
      <c r="C31" s="715" t="s">
        <v>17</v>
      </c>
      <c r="D31" s="715"/>
      <c r="E31" s="715"/>
      <c r="F31" s="715"/>
      <c r="G31" s="715"/>
      <c r="H31" s="715"/>
      <c r="I31" s="4"/>
      <c r="J31" s="4"/>
      <c r="K31" s="4"/>
      <c r="L31" s="4"/>
      <c r="M31" s="4"/>
      <c r="N31" s="4"/>
      <c r="O31" s="4"/>
      <c r="P31" s="4"/>
      <c r="Q31" s="4"/>
    </row>
    <row r="32" spans="1:17">
      <c r="A32" s="3"/>
      <c r="B32" s="316"/>
      <c r="C32" s="715" t="s">
        <v>18</v>
      </c>
      <c r="D32" s="715"/>
      <c r="E32" s="715"/>
      <c r="F32" s="715"/>
      <c r="G32" s="715"/>
      <c r="H32" s="715"/>
      <c r="I32" s="4"/>
      <c r="J32" s="4"/>
      <c r="K32" s="4"/>
      <c r="L32" s="4"/>
      <c r="M32" s="4"/>
      <c r="N32" s="4"/>
      <c r="O32" s="4"/>
      <c r="P32" s="4"/>
      <c r="Q32" s="4"/>
    </row>
    <row r="33" spans="1:17">
      <c r="A33" s="3"/>
      <c r="B33" s="317"/>
      <c r="C33" s="715" t="s">
        <v>19</v>
      </c>
      <c r="D33" s="715"/>
      <c r="E33" s="715"/>
      <c r="F33" s="715"/>
      <c r="G33" s="715"/>
      <c r="H33" s="715"/>
      <c r="I33" s="4"/>
      <c r="J33" s="4"/>
      <c r="K33" s="4"/>
      <c r="L33" s="4"/>
      <c r="M33" s="4"/>
      <c r="N33" s="4"/>
      <c r="O33" s="4"/>
      <c r="P33" s="4"/>
      <c r="Q33" s="4"/>
    </row>
    <row r="34" spans="1:17">
      <c r="A34" s="3"/>
      <c r="B34" s="318"/>
      <c r="C34" s="715" t="s">
        <v>20</v>
      </c>
      <c r="D34" s="715"/>
      <c r="E34" s="715"/>
      <c r="F34" s="715"/>
      <c r="G34" s="715"/>
      <c r="H34" s="715"/>
      <c r="I34" s="4"/>
      <c r="J34" s="4"/>
      <c r="K34" s="4"/>
      <c r="L34" s="4"/>
      <c r="M34" s="4"/>
      <c r="N34" s="4"/>
      <c r="O34" s="4"/>
      <c r="P34" s="4"/>
      <c r="Q34" s="4"/>
    </row>
    <row r="35" spans="1:17">
      <c r="A35" s="3"/>
      <c r="B35" s="319"/>
      <c r="C35" s="715" t="s">
        <v>21</v>
      </c>
      <c r="D35" s="715"/>
      <c r="E35" s="715"/>
      <c r="F35" s="715"/>
      <c r="G35" s="715"/>
      <c r="H35" s="715"/>
      <c r="I35" s="4"/>
      <c r="J35" s="4"/>
      <c r="K35" s="4"/>
      <c r="L35" s="4"/>
      <c r="M35" s="4"/>
      <c r="N35" s="4"/>
      <c r="O35" s="4"/>
      <c r="P35" s="4"/>
      <c r="Q35" s="4"/>
    </row>
    <row r="36" spans="1:17">
      <c r="A36" s="3"/>
      <c r="B36" s="320"/>
      <c r="C36" s="715" t="s">
        <v>22</v>
      </c>
      <c r="D36" s="715"/>
      <c r="E36" s="715"/>
      <c r="F36" s="715"/>
      <c r="G36" s="715"/>
      <c r="H36" s="715"/>
      <c r="I36" s="4"/>
      <c r="J36" s="4"/>
      <c r="K36" s="4"/>
      <c r="L36" s="4"/>
      <c r="M36" s="4"/>
      <c r="N36" s="4"/>
      <c r="O36" s="4"/>
      <c r="P36" s="4"/>
      <c r="Q36" s="4"/>
    </row>
    <row r="37" spans="1:17">
      <c r="A37" s="3"/>
      <c r="B37" s="4"/>
      <c r="C37" s="4"/>
      <c r="D37" s="4"/>
      <c r="E37" s="4"/>
      <c r="F37" s="4"/>
      <c r="G37" s="4"/>
      <c r="H37" s="4"/>
      <c r="I37" s="4"/>
      <c r="J37" s="4"/>
      <c r="K37" s="4"/>
      <c r="L37" s="4"/>
      <c r="M37" s="4"/>
      <c r="N37" s="4"/>
      <c r="O37" s="4"/>
      <c r="P37" s="4"/>
      <c r="Q37" s="4"/>
    </row>
    <row r="38" spans="1:17">
      <c r="A38" s="3"/>
      <c r="B38" s="3" t="s">
        <v>23</v>
      </c>
      <c r="O38" s="4"/>
      <c r="P38" s="4"/>
      <c r="Q38" s="4"/>
    </row>
    <row r="39" spans="1:17">
      <c r="A39" s="3"/>
      <c r="O39" s="4"/>
      <c r="P39" s="4"/>
      <c r="Q39" s="4"/>
    </row>
    <row r="40" spans="1:17">
      <c r="A40" s="3"/>
      <c r="O40" s="4"/>
      <c r="P40" s="4"/>
      <c r="Q40" s="4"/>
    </row>
    <row r="41" spans="1:17">
      <c r="A41" s="3"/>
      <c r="O41" s="4"/>
      <c r="P41" s="4"/>
      <c r="Q41" s="4"/>
    </row>
    <row r="42" spans="1:17">
      <c r="A42" s="3"/>
      <c r="O42" s="4"/>
      <c r="P42" s="4"/>
      <c r="Q42" s="4"/>
    </row>
    <row r="43" spans="1:17">
      <c r="A43" s="3"/>
      <c r="O43" s="4"/>
      <c r="P43" s="4"/>
      <c r="Q43" s="4"/>
    </row>
    <row r="44" spans="1:17">
      <c r="A44" s="3"/>
      <c r="O44" s="4"/>
      <c r="P44" s="4"/>
      <c r="Q44" s="4"/>
    </row>
    <row r="45" spans="1:17">
      <c r="A45" s="3"/>
      <c r="O45" s="4"/>
      <c r="P45" s="4"/>
      <c r="Q45" s="4"/>
    </row>
    <row r="46" spans="1:17">
      <c r="A46" s="3"/>
      <c r="O46" s="4"/>
      <c r="P46" s="4"/>
      <c r="Q46" s="4"/>
    </row>
    <row r="47" spans="1:17">
      <c r="A47" s="3"/>
      <c r="O47" s="4"/>
      <c r="P47" s="4"/>
      <c r="Q47" s="4"/>
    </row>
    <row r="48" spans="1:17">
      <c r="A48" s="3"/>
      <c r="O48" s="4"/>
      <c r="P48" s="4"/>
      <c r="Q48" s="4"/>
    </row>
    <row r="49" spans="1:17">
      <c r="A49" s="3"/>
      <c r="O49" s="4"/>
      <c r="P49" s="4"/>
      <c r="Q49" s="4"/>
    </row>
    <row r="50" spans="1:17">
      <c r="A50" s="3"/>
      <c r="O50" s="4"/>
      <c r="P50" s="4"/>
      <c r="Q50" s="4"/>
    </row>
    <row r="51" spans="1:17">
      <c r="A51" s="3"/>
      <c r="O51" s="4"/>
      <c r="P51" s="4"/>
      <c r="Q51" s="4"/>
    </row>
    <row r="52" spans="1:17">
      <c r="A52" s="3"/>
      <c r="O52" s="4"/>
      <c r="P52" s="4"/>
      <c r="Q52" s="4"/>
    </row>
    <row r="53" spans="1:17">
      <c r="A53" s="3"/>
      <c r="O53" s="4"/>
      <c r="P53" s="4"/>
      <c r="Q53" s="4"/>
    </row>
    <row r="54" spans="1:17">
      <c r="A54" s="3"/>
      <c r="O54" s="4"/>
      <c r="P54" s="4"/>
      <c r="Q54" s="4"/>
    </row>
    <row r="55" spans="1:17" ht="12" customHeight="1">
      <c r="A55" s="3"/>
      <c r="O55" s="4"/>
      <c r="P55" s="4"/>
      <c r="Q55" s="4"/>
    </row>
    <row r="56" spans="1:17">
      <c r="B56" s="713" t="s">
        <v>24</v>
      </c>
      <c r="C56" s="713"/>
      <c r="D56" s="713"/>
      <c r="E56" s="713"/>
      <c r="F56" s="713"/>
      <c r="G56" s="713"/>
      <c r="H56" s="713"/>
      <c r="I56" s="713"/>
      <c r="J56" s="713"/>
      <c r="K56" s="713"/>
      <c r="L56" s="713"/>
      <c r="M56" s="713"/>
      <c r="N56" s="713"/>
      <c r="O56" s="713"/>
      <c r="P56" s="713"/>
      <c r="Q56" s="713"/>
    </row>
    <row r="57" spans="1:17">
      <c r="D57" s="16"/>
      <c r="E57" s="16"/>
      <c r="F57" s="16"/>
      <c r="G57" s="16"/>
      <c r="H57" s="16"/>
      <c r="I57" s="16"/>
      <c r="J57" s="16"/>
      <c r="K57" s="16"/>
      <c r="L57" s="16"/>
      <c r="M57" s="16"/>
      <c r="N57" s="16"/>
      <c r="O57" s="16"/>
      <c r="P57" s="16"/>
      <c r="Q57" s="16"/>
    </row>
    <row r="58" spans="1:17">
      <c r="B58" s="8" t="s">
        <v>25</v>
      </c>
      <c r="C58" s="8" t="s">
        <v>26</v>
      </c>
      <c r="D58" s="16"/>
      <c r="E58" s="16"/>
      <c r="F58" s="16"/>
      <c r="G58" s="16"/>
      <c r="H58" s="16"/>
      <c r="I58" s="16"/>
      <c r="J58" s="16"/>
      <c r="K58" s="16"/>
      <c r="L58" s="16"/>
      <c r="M58" s="16"/>
      <c r="N58" s="16"/>
      <c r="O58" s="16"/>
      <c r="P58" s="16"/>
      <c r="Q58" s="16"/>
    </row>
    <row r="59" spans="1:17">
      <c r="B59" s="4" t="s">
        <v>27</v>
      </c>
      <c r="C59" s="4" t="s">
        <v>28</v>
      </c>
      <c r="D59" s="4"/>
      <c r="E59" s="16"/>
      <c r="F59" s="16"/>
      <c r="G59" s="16"/>
      <c r="H59" s="16"/>
      <c r="I59" s="16"/>
      <c r="J59" s="16"/>
      <c r="K59" s="16"/>
      <c r="L59" s="16"/>
      <c r="M59" s="16"/>
      <c r="N59" s="16"/>
      <c r="O59" s="16"/>
      <c r="P59" s="16"/>
      <c r="Q59" s="16"/>
    </row>
    <row r="60" spans="1:17" ht="14.45" customHeight="1">
      <c r="B60" s="4" t="s">
        <v>29</v>
      </c>
      <c r="C60" s="4" t="s">
        <v>30</v>
      </c>
      <c r="D60" s="4"/>
      <c r="E60" s="16"/>
      <c r="F60" s="16"/>
      <c r="G60" s="16"/>
      <c r="H60" s="16"/>
      <c r="I60" s="16"/>
      <c r="J60" s="16"/>
      <c r="K60" s="16"/>
      <c r="L60" s="16"/>
      <c r="M60" s="16"/>
      <c r="N60" s="16"/>
      <c r="O60" s="16"/>
      <c r="P60" s="16"/>
      <c r="Q60" s="16"/>
    </row>
    <row r="61" spans="1:17">
      <c r="B61" s="4" t="s">
        <v>31</v>
      </c>
      <c r="C61" s="4" t="s">
        <v>32</v>
      </c>
    </row>
    <row r="62" spans="1:17" ht="14.45" customHeight="1">
      <c r="B62" s="4" t="s">
        <v>33</v>
      </c>
      <c r="C62" s="4" t="s">
        <v>34</v>
      </c>
      <c r="D62" s="4"/>
      <c r="E62" s="16"/>
      <c r="F62" s="16"/>
      <c r="G62" s="16"/>
      <c r="H62" s="16"/>
      <c r="I62" s="16"/>
      <c r="J62" s="16"/>
      <c r="K62" s="16"/>
      <c r="L62" s="16"/>
      <c r="M62" s="16"/>
      <c r="N62" s="16"/>
      <c r="O62" s="16"/>
      <c r="P62" s="16"/>
      <c r="Q62" s="16"/>
    </row>
    <row r="63" spans="1:17" ht="14.45" customHeight="1">
      <c r="A63" s="3"/>
      <c r="B63" s="4" t="s">
        <v>35</v>
      </c>
      <c r="C63" s="8" t="s">
        <v>36</v>
      </c>
      <c r="D63" s="4"/>
      <c r="E63" s="4"/>
      <c r="F63" s="4"/>
      <c r="G63" s="4"/>
      <c r="H63" s="4"/>
      <c r="I63" s="4"/>
      <c r="J63" s="4"/>
      <c r="K63" s="4"/>
      <c r="L63" s="4"/>
      <c r="M63" s="4"/>
      <c r="N63" s="4"/>
      <c r="O63" s="4"/>
      <c r="P63" s="4"/>
      <c r="Q63" s="4"/>
    </row>
    <row r="64" spans="1:17">
      <c r="A64" s="3"/>
      <c r="B64" s="4" t="s">
        <v>37</v>
      </c>
      <c r="C64" s="8" t="s">
        <v>38</v>
      </c>
      <c r="D64" s="4"/>
      <c r="E64" s="4"/>
    </row>
    <row r="65" spans="2:5">
      <c r="B65" s="4" t="s">
        <v>39</v>
      </c>
      <c r="C65" s="8" t="s">
        <v>40</v>
      </c>
      <c r="D65" s="4"/>
      <c r="E65" s="4"/>
    </row>
    <row r="66" spans="2:5">
      <c r="B66" s="4" t="s">
        <v>41</v>
      </c>
      <c r="C66" s="8" t="s">
        <v>42</v>
      </c>
      <c r="D66" s="4"/>
      <c r="E66" s="4"/>
    </row>
    <row r="67" spans="2:5">
      <c r="B67" s="4" t="s">
        <v>43</v>
      </c>
      <c r="C67" s="4" t="s">
        <v>44</v>
      </c>
      <c r="D67" s="4"/>
      <c r="E67" s="4"/>
    </row>
    <row r="68" spans="2:5">
      <c r="B68" s="4" t="s">
        <v>45</v>
      </c>
      <c r="C68" s="8" t="s">
        <v>46</v>
      </c>
      <c r="D68" s="4"/>
      <c r="E68" s="4"/>
    </row>
    <row r="69" spans="2:5">
      <c r="B69" s="4" t="s">
        <v>47</v>
      </c>
      <c r="C69" s="4" t="s">
        <v>48</v>
      </c>
      <c r="D69" s="16"/>
      <c r="E69" s="4"/>
    </row>
    <row r="70" spans="2:5">
      <c r="B70" s="4" t="s">
        <v>49</v>
      </c>
      <c r="C70" s="4" t="s">
        <v>50</v>
      </c>
      <c r="D70" s="16"/>
      <c r="E70" s="4"/>
    </row>
    <row r="71" spans="2:5">
      <c r="B71" s="4" t="s">
        <v>51</v>
      </c>
      <c r="C71" s="8" t="s">
        <v>52</v>
      </c>
      <c r="D71" s="16"/>
      <c r="E71" s="4"/>
    </row>
    <row r="72" spans="2:5">
      <c r="B72" s="4" t="s">
        <v>53</v>
      </c>
      <c r="C72" s="4" t="s">
        <v>54</v>
      </c>
      <c r="D72" s="4"/>
      <c r="E72" s="4"/>
    </row>
    <row r="73" spans="2:5">
      <c r="B73" s="4" t="s">
        <v>55</v>
      </c>
      <c r="C73" s="4" t="s">
        <v>56</v>
      </c>
      <c r="D73" s="4"/>
      <c r="E73" s="4"/>
    </row>
    <row r="74" spans="2:5" ht="15" customHeight="1">
      <c r="B74" s="4" t="s">
        <v>57</v>
      </c>
      <c r="C74" s="4" t="s">
        <v>58</v>
      </c>
      <c r="D74" s="4"/>
      <c r="E74" s="4"/>
    </row>
    <row r="75" spans="2:5" ht="15" customHeight="1">
      <c r="B75" s="4" t="s">
        <v>59</v>
      </c>
      <c r="C75" s="4" t="s">
        <v>60</v>
      </c>
      <c r="D75" s="16"/>
      <c r="E75" s="4"/>
    </row>
    <row r="76" spans="2:5" ht="15" customHeight="1">
      <c r="B76" s="4" t="s">
        <v>61</v>
      </c>
      <c r="C76" s="4" t="s">
        <v>62</v>
      </c>
      <c r="D76" s="4"/>
      <c r="E76" s="4"/>
    </row>
    <row r="77" spans="2:5" ht="27.75" customHeight="1">
      <c r="B77" s="311" t="s">
        <v>63</v>
      </c>
      <c r="C77" s="8" t="s">
        <v>64</v>
      </c>
      <c r="D77" s="4"/>
      <c r="E77" s="4"/>
    </row>
    <row r="78" spans="2:5">
      <c r="B78" s="4" t="s">
        <v>65</v>
      </c>
      <c r="C78" s="8" t="s">
        <v>66</v>
      </c>
      <c r="D78" s="4"/>
      <c r="E78" s="4"/>
    </row>
    <row r="79" spans="2:5">
      <c r="B79" s="4" t="s">
        <v>67</v>
      </c>
      <c r="C79" s="8" t="s">
        <v>68</v>
      </c>
      <c r="D79" s="4"/>
      <c r="E79" s="4"/>
    </row>
    <row r="80" spans="2:5">
      <c r="B80" s="4" t="s">
        <v>69</v>
      </c>
      <c r="C80" s="8" t="s">
        <v>70</v>
      </c>
      <c r="D80" s="4"/>
      <c r="E80" s="4"/>
    </row>
    <row r="81" spans="2:5">
      <c r="B81" s="4" t="s">
        <v>71</v>
      </c>
      <c r="C81" s="8" t="s">
        <v>72</v>
      </c>
      <c r="D81" s="4"/>
      <c r="E81" s="4"/>
    </row>
    <row r="82" spans="2:5">
      <c r="B82" s="3" t="s">
        <v>73</v>
      </c>
      <c r="C82" s="8" t="s">
        <v>74</v>
      </c>
      <c r="D82" s="4"/>
      <c r="E82" s="4"/>
    </row>
    <row r="83" spans="2:5">
      <c r="B83" s="18" t="s">
        <v>75</v>
      </c>
      <c r="C83" s="8" t="s">
        <v>76</v>
      </c>
      <c r="D83" s="4"/>
      <c r="E83" s="4"/>
    </row>
    <row r="84" spans="2:5">
      <c r="B84" s="4" t="s">
        <v>77</v>
      </c>
      <c r="C84" s="8" t="s">
        <v>78</v>
      </c>
      <c r="D84" s="4"/>
      <c r="E84" s="4"/>
    </row>
    <row r="85" spans="2:5" ht="14.45" customHeight="1">
      <c r="B85" s="4" t="s">
        <v>79</v>
      </c>
      <c r="C85" s="8" t="s">
        <v>80</v>
      </c>
      <c r="D85" s="4"/>
      <c r="E85" s="4"/>
    </row>
    <row r="86" spans="2:5">
      <c r="B86" s="4" t="s">
        <v>81</v>
      </c>
      <c r="C86" s="4" t="s">
        <v>82</v>
      </c>
      <c r="D86" s="4"/>
      <c r="E86" s="4"/>
    </row>
    <row r="87" spans="2:5">
      <c r="B87" s="4" t="s">
        <v>83</v>
      </c>
      <c r="C87" s="4" t="s">
        <v>84</v>
      </c>
      <c r="D87" s="4"/>
      <c r="E87" s="4"/>
    </row>
    <row r="88" spans="2:5">
      <c r="B88" s="4" t="s">
        <v>85</v>
      </c>
      <c r="C88" s="4" t="s">
        <v>86</v>
      </c>
      <c r="D88" s="4"/>
      <c r="E88" s="4"/>
    </row>
    <row r="89" spans="2:5">
      <c r="B89" s="4" t="s">
        <v>87</v>
      </c>
      <c r="C89" s="4" t="s">
        <v>88</v>
      </c>
      <c r="D89" s="4"/>
      <c r="E89" s="4"/>
    </row>
    <row r="90" spans="2:5">
      <c r="B90" s="4" t="s">
        <v>89</v>
      </c>
      <c r="C90" s="8" t="s">
        <v>90</v>
      </c>
    </row>
    <row r="91" spans="2:5">
      <c r="B91" s="4" t="s">
        <v>91</v>
      </c>
      <c r="C91" s="4" t="s">
        <v>92</v>
      </c>
    </row>
    <row r="92" spans="2:5">
      <c r="B92" s="4" t="s">
        <v>93</v>
      </c>
      <c r="C92" s="4" t="s">
        <v>94</v>
      </c>
    </row>
    <row r="93" spans="2:5">
      <c r="B93" s="4" t="s">
        <v>95</v>
      </c>
      <c r="C93" s="4" t="s">
        <v>96</v>
      </c>
    </row>
    <row r="94" spans="2:5">
      <c r="B94" s="4" t="s">
        <v>97</v>
      </c>
      <c r="C94" s="4" t="s">
        <v>98</v>
      </c>
    </row>
    <row r="95" spans="2:5">
      <c r="B95" s="4" t="s">
        <v>99</v>
      </c>
      <c r="C95" s="4" t="s">
        <v>100</v>
      </c>
    </row>
    <row r="96" spans="2:5">
      <c r="B96" s="4" t="s">
        <v>101</v>
      </c>
      <c r="C96" s="8" t="s">
        <v>102</v>
      </c>
    </row>
    <row r="97" spans="2:3">
      <c r="B97" s="4" t="s">
        <v>103</v>
      </c>
      <c r="C97" s="4" t="s">
        <v>104</v>
      </c>
    </row>
    <row r="98" spans="2:3">
      <c r="B98" s="4" t="s">
        <v>105</v>
      </c>
      <c r="C98" s="4" t="s">
        <v>106</v>
      </c>
    </row>
    <row r="99" spans="2:3">
      <c r="B99" s="4" t="s">
        <v>107</v>
      </c>
      <c r="C99" s="4" t="s">
        <v>108</v>
      </c>
    </row>
    <row r="100" spans="2:3">
      <c r="B100" s="4" t="s">
        <v>109</v>
      </c>
      <c r="C100" s="4" t="s">
        <v>110</v>
      </c>
    </row>
    <row r="101" spans="2:3">
      <c r="B101" s="4" t="s">
        <v>111</v>
      </c>
      <c r="C101" s="4" t="s">
        <v>112</v>
      </c>
    </row>
  </sheetData>
  <sortState ref="B61:D84">
    <sortCondition ref="B61"/>
  </sortState>
  <mergeCells count="21">
    <mergeCell ref="B4:Q4"/>
    <mergeCell ref="B11:G11"/>
    <mergeCell ref="B2:Q2"/>
    <mergeCell ref="B3:Q3"/>
    <mergeCell ref="B12:Q12"/>
    <mergeCell ref="B6:Q6"/>
    <mergeCell ref="B8:Q8"/>
    <mergeCell ref="B9:M9"/>
    <mergeCell ref="I20:N21"/>
    <mergeCell ref="D22:K22"/>
    <mergeCell ref="D23:K23"/>
    <mergeCell ref="D24:K24"/>
    <mergeCell ref="B56:Q56"/>
    <mergeCell ref="B27:Q27"/>
    <mergeCell ref="C30:H30"/>
    <mergeCell ref="C31:H31"/>
    <mergeCell ref="C32:H32"/>
    <mergeCell ref="C33:H33"/>
    <mergeCell ref="C34:H34"/>
    <mergeCell ref="C35:H35"/>
    <mergeCell ref="C36:H36"/>
  </mergeCells>
  <hyperlinks>
    <hyperlink ref="B14" r:id="rId1" display="Directrices del IPCC para Inventarios Nacionales del IPCC - 2006 (IPCC 2006)"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7">
    <tabColor rgb="FF03EDDC"/>
  </sheetPr>
  <dimension ref="A1:W11"/>
  <sheetViews>
    <sheetView showGridLines="0" tabSelected="1" topLeftCell="D1" zoomScale="96" zoomScaleNormal="96" workbookViewId="0">
      <selection activeCell="K5" sqref="K5"/>
    </sheetView>
  </sheetViews>
  <sheetFormatPr baseColWidth="10" defaultColWidth="11.42578125" defaultRowHeight="15"/>
  <cols>
    <col min="1" max="1" width="3.28515625" style="3" customWidth="1"/>
    <col min="2" max="2" width="65.7109375" style="3" customWidth="1"/>
    <col min="3" max="3" width="17.85546875" style="3" customWidth="1"/>
    <col min="4" max="4" width="11.85546875" style="3" customWidth="1"/>
    <col min="5" max="5" width="11.28515625" style="3" customWidth="1"/>
    <col min="6" max="6" width="13.140625" style="3" customWidth="1"/>
    <col min="7" max="7" width="11.42578125" style="3"/>
    <col min="8" max="8" width="13.140625" style="3" bestFit="1" customWidth="1"/>
    <col min="9" max="11" width="11.42578125" style="3"/>
    <col min="12" max="12" width="27.42578125" style="3" customWidth="1"/>
    <col min="13" max="16384" width="11.42578125" style="3"/>
  </cols>
  <sheetData>
    <row r="1" spans="1:23" s="285" customFormat="1">
      <c r="B1" s="840" t="s">
        <v>600</v>
      </c>
      <c r="C1" s="840"/>
      <c r="D1" s="840"/>
      <c r="E1" s="840"/>
      <c r="F1" s="840"/>
      <c r="G1" s="840"/>
      <c r="H1" s="840"/>
      <c r="I1" s="840"/>
      <c r="J1" s="840"/>
      <c r="K1" s="840"/>
      <c r="L1" s="840"/>
    </row>
    <row r="2" spans="1:23" ht="15.75" thickBot="1">
      <c r="E2" s="124"/>
      <c r="F2" s="124"/>
      <c r="G2" s="124"/>
      <c r="H2" s="124"/>
      <c r="I2" s="124"/>
      <c r="J2" s="124"/>
      <c r="K2" s="124"/>
    </row>
    <row r="3" spans="1:23" s="370" customFormat="1" ht="13.5">
      <c r="B3" s="371" t="s">
        <v>603</v>
      </c>
      <c r="C3" s="372" t="s">
        <v>604</v>
      </c>
      <c r="D3" s="841" t="s">
        <v>605</v>
      </c>
      <c r="E3" s="842"/>
      <c r="F3" s="841" t="s">
        <v>606</v>
      </c>
      <c r="G3" s="842"/>
      <c r="H3" s="373" t="s">
        <v>607</v>
      </c>
      <c r="I3" s="374" t="s">
        <v>608</v>
      </c>
      <c r="J3" s="374" t="s">
        <v>609</v>
      </c>
      <c r="K3" s="375" t="s">
        <v>610</v>
      </c>
      <c r="L3" s="376" t="s">
        <v>611</v>
      </c>
    </row>
    <row r="4" spans="1:23" s="370" customFormat="1" ht="18" customHeight="1" thickBot="1">
      <c r="A4" s="377"/>
      <c r="B4" s="378"/>
      <c r="C4" s="379" t="s">
        <v>612</v>
      </c>
      <c r="D4" s="379" t="s">
        <v>612</v>
      </c>
      <c r="E4" s="380" t="s">
        <v>613</v>
      </c>
      <c r="F4" s="379" t="s">
        <v>612</v>
      </c>
      <c r="G4" s="380" t="s">
        <v>613</v>
      </c>
      <c r="H4" s="843" t="s">
        <v>612</v>
      </c>
      <c r="I4" s="844"/>
      <c r="J4" s="844"/>
      <c r="K4" s="845"/>
      <c r="L4" s="381" t="s">
        <v>614</v>
      </c>
    </row>
    <row r="5" spans="1:23" s="370" customFormat="1" ht="18" customHeight="1" thickTop="1" thickBot="1">
      <c r="B5" s="699" t="s">
        <v>616</v>
      </c>
      <c r="C5" s="700"/>
      <c r="D5" s="701">
        <f>'GEI SERIE ANUAL'!X49</f>
        <v>37.510889136538609</v>
      </c>
      <c r="E5" s="702">
        <f>D5*'Fac Conv'!C171</f>
        <v>1050.3048958230811</v>
      </c>
      <c r="F5" s="382" t="s">
        <v>93</v>
      </c>
      <c r="G5" s="382" t="s">
        <v>93</v>
      </c>
      <c r="H5" s="383" t="s">
        <v>93</v>
      </c>
      <c r="I5" s="383" t="s">
        <v>93</v>
      </c>
      <c r="J5" s="703">
        <f>PGEI!G12</f>
        <v>2.3626231812620582E-3</v>
      </c>
      <c r="K5" s="709"/>
      <c r="L5" s="704">
        <f>SUM(E5,G5)</f>
        <v>1050.3048958230811</v>
      </c>
    </row>
    <row r="6" spans="1:23" customFormat="1">
      <c r="A6" s="369"/>
      <c r="B6" s="369"/>
      <c r="C6" s="369"/>
      <c r="D6" s="124"/>
      <c r="E6" s="124"/>
      <c r="F6" s="124"/>
      <c r="G6" s="124"/>
      <c r="H6" s="124"/>
      <c r="I6" s="124"/>
      <c r="J6" s="124"/>
      <c r="K6" s="124"/>
      <c r="L6" s="124"/>
      <c r="M6" s="124"/>
      <c r="N6" s="124"/>
      <c r="O6" s="124"/>
      <c r="P6" s="124"/>
      <c r="Q6" s="124"/>
      <c r="R6" s="124"/>
      <c r="S6" s="124"/>
      <c r="T6" s="286"/>
      <c r="U6" s="286"/>
      <c r="V6" s="286"/>
      <c r="W6" s="286"/>
    </row>
    <row r="7" spans="1:23" customFormat="1">
      <c r="A7" s="369"/>
      <c r="B7" s="369"/>
      <c r="C7" s="369"/>
      <c r="D7" s="124"/>
      <c r="E7" s="124"/>
      <c r="F7" s="124"/>
      <c r="G7" s="124"/>
      <c r="H7" s="124"/>
      <c r="I7" s="124"/>
      <c r="J7" s="124"/>
      <c r="K7" s="124"/>
      <c r="L7" s="124"/>
      <c r="M7" s="124"/>
      <c r="N7" s="124"/>
      <c r="O7" s="124"/>
      <c r="P7" s="124"/>
      <c r="Q7" s="124"/>
      <c r="R7" s="124"/>
      <c r="S7" s="124"/>
      <c r="T7" s="286"/>
      <c r="U7" s="286"/>
      <c r="V7" s="286"/>
      <c r="W7" s="286"/>
    </row>
    <row r="8" spans="1:23" customFormat="1">
      <c r="A8" s="369"/>
      <c r="B8" s="369"/>
      <c r="C8" s="369"/>
      <c r="D8" s="124"/>
      <c r="E8" s="124"/>
      <c r="F8" s="124"/>
      <c r="G8" s="124"/>
      <c r="H8" s="124"/>
      <c r="I8" s="124"/>
      <c r="J8" s="124"/>
      <c r="K8" s="124"/>
      <c r="L8" s="124"/>
      <c r="M8" s="124"/>
      <c r="N8" s="124"/>
      <c r="O8" s="124"/>
      <c r="P8" s="124"/>
      <c r="Q8" s="124"/>
      <c r="R8" s="124"/>
      <c r="S8" s="124"/>
      <c r="T8" s="286"/>
      <c r="U8" s="286"/>
      <c r="V8" s="286"/>
      <c r="W8" s="286"/>
    </row>
    <row r="9" spans="1:23" customFormat="1">
      <c r="A9" s="369"/>
      <c r="B9" s="369"/>
      <c r="C9" s="369"/>
      <c r="D9" s="124"/>
      <c r="E9" s="124"/>
      <c r="F9" s="124"/>
      <c r="G9" s="124"/>
      <c r="H9" s="124"/>
      <c r="I9" s="124"/>
      <c r="J9" s="124"/>
      <c r="K9" s="124"/>
      <c r="L9" s="124"/>
      <c r="M9" s="124"/>
      <c r="N9" s="124"/>
      <c r="O9" s="124"/>
      <c r="P9" s="124"/>
      <c r="Q9" s="124"/>
      <c r="R9" s="124"/>
      <c r="S9" s="124"/>
      <c r="T9" s="286"/>
      <c r="U9" s="286"/>
      <c r="V9" s="286"/>
      <c r="W9" s="286"/>
    </row>
    <row r="10" spans="1:23" customFormat="1">
      <c r="A10" s="369"/>
      <c r="B10" s="369"/>
      <c r="C10" s="369"/>
      <c r="D10" s="124"/>
      <c r="E10" s="124"/>
      <c r="F10" s="124"/>
      <c r="G10" s="124"/>
      <c r="H10" s="124"/>
      <c r="I10" s="124"/>
      <c r="J10" s="124"/>
      <c r="K10" s="124"/>
      <c r="L10" s="124"/>
      <c r="M10" s="124"/>
      <c r="N10" s="124"/>
      <c r="O10" s="124"/>
      <c r="P10" s="124"/>
      <c r="Q10" s="124"/>
      <c r="R10" s="124"/>
      <c r="S10" s="124"/>
      <c r="T10" s="286"/>
      <c r="U10" s="286"/>
      <c r="V10" s="286"/>
      <c r="W10" s="286"/>
    </row>
    <row r="11" spans="1:23" customFormat="1">
      <c r="A11" s="369"/>
      <c r="B11" s="369"/>
      <c r="C11" s="369"/>
      <c r="D11" s="124"/>
      <c r="E11" s="124"/>
      <c r="F11" s="124"/>
      <c r="G11" s="124"/>
      <c r="H11" s="124"/>
      <c r="I11" s="124"/>
      <c r="J11" s="124"/>
      <c r="K11" s="124"/>
      <c r="L11" s="384"/>
    </row>
  </sheetData>
  <mergeCells count="4">
    <mergeCell ref="B1:L1"/>
    <mergeCell ref="D3:E3"/>
    <mergeCell ref="F3:G3"/>
    <mergeCell ref="H4:K4"/>
  </mergeCells>
  <dataValidations count="1">
    <dataValidation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B3:D4 IX3:IZ4 ST3:SV4 ACP3:ACR4 AML3:AMN4 AWH3:AWJ4 BGD3:BGF4 BPZ3:BQB4 BZV3:BZX4 CJR3:CJT4 CTN3:CTP4 DDJ3:DDL4 DNF3:DNH4 DXB3:DXD4 EGX3:EGZ4 EQT3:EQV4 FAP3:FAR4 FKL3:FKN4 FUH3:FUJ4 GED3:GEF4 GNZ3:GOB4 GXV3:GXX4 HHR3:HHT4 HRN3:HRP4 IBJ3:IBL4 ILF3:ILH4 IVB3:IVD4 JEX3:JEZ4 JOT3:JOV4 JYP3:JYR4 KIL3:KIN4 KSH3:KSJ4 LCD3:LCF4 LLZ3:LMB4 LVV3:LVX4 MFR3:MFT4 MPN3:MPP4 MZJ3:MZL4 NJF3:NJH4 NTB3:NTD4 OCX3:OCZ4 OMT3:OMV4 OWP3:OWR4 PGL3:PGN4 PQH3:PQJ4 QAD3:QAF4 QJZ3:QKB4 QTV3:QTX4 RDR3:RDT4 RNN3:RNP4 RXJ3:RXL4 SHF3:SHH4 SRB3:SRD4 TAX3:TAZ4 TKT3:TKV4 TUP3:TUR4 UEL3:UEN4 UOH3:UOJ4 UYD3:UYF4 VHZ3:VIB4 VRV3:VRX4 WBR3:WBT4 WLN3:WLP4 WVJ3:WVL4 E4:G4 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WVL5:WVS5 WLP5:WLW5 WBT5:WCA5 VRX5:VSE5 VIB5:VII5 UYF5:UYM5 UOJ5:UOQ5 UEN5:UEU5 TUR5:TUY5 TKV5:TLC5 TAZ5:TBG5 SRD5:SRK5 SHH5:SHO5 RXL5:RXS5 RNP5:RNW5 RDT5:REA5 QTX5:QUE5 QKB5:QKI5 QAF5:QAM5 PQJ5:PQQ5 PGN5:PGU5 OWR5:OWY5 OMV5:ONC5 OCZ5:ODG5 NTD5:NTK5 NJH5:NJO5 MZL5:MZS5 MPP5:MPW5 MFT5:MGA5 LVX5:LWE5 LMB5:LMI5 LCF5:LCM5 KSJ5:KSQ5 KIN5:KIU5 JYR5:JYY5 JOV5:JPC5 JEZ5:JFG5 IVD5:IVK5 ILH5:ILO5 IBL5:IBS5 HRP5:HRW5 HHT5:HIA5 GXX5:GYE5 GOB5:GOI5 GEF5:GEM5 FUJ5:FUQ5 FKN5:FKU5 FAR5:FAY5 EQV5:ERC5 EGZ5:EHG5 DXD5:DXK5 DNH5:DNO5 DDL5:DDS5 CTP5:CTW5 CJT5:CKA5 BZX5:CAE5 BQB5:BQI5 BGF5:BGM5 AWJ5:AWQ5 AMN5:AMU5 ACR5:ACY5 SV5:TC5 IZ5:JG5 D5:K5 WVJ5 WLN5 WBR5 VRV5 VHZ5 UYD5 UOH5 UEL5 TUP5 TKT5 TAX5 SRB5 SHF5 RXJ5 RNN5 RDR5 QTV5 QJZ5 QAD5 PQH5 PGL5 OWP5 OMT5 OCX5 NTB5 NJF5 MZJ5 MPN5 MFR5 LVV5 LLZ5 LCD5 KSH5 KIL5 JYP5 JOT5 JEX5 IVB5 ILF5 IBJ5 HRN5 HHR5 GXV5 GNZ5 GED5 FUH5 FKL5 FAP5 EQT5 EGX5 DXB5 DNF5 DDJ5 CTN5 CJR5 BZV5 BPZ5 BGD5 AWH5 AML5 ACP5 ST5 IX5 B5 WVT3:WVT5 WLX3:WLX5 WCB3:WCB5 VSF3:VSF5 VIJ3:VIJ5 UYN3:UYN5 UOR3:UOR5 UEV3:UEV5 TUZ3:TUZ5 TLD3:TLD5 TBH3:TBH5 SRL3:SRL5 SHP3:SHP5 RXT3:RXT5 RNX3:RNX5 REB3:REB5 QUF3:QUF5 QKJ3:QKJ5 QAN3:QAN5 PQR3:PQR5 PGV3:PGV5 OWZ3:OWZ5 OND3:OND5 ODH3:ODH5 NTL3:NTL5 NJP3:NJP5 MZT3:MZT5 MPX3:MPX5 MGB3:MGB5 LWF3:LWF5 LMJ3:LMJ5 LCN3:LCN5 KSR3:KSR5 KIV3:KIV5 JYZ3:JYZ5 JPD3:JPD5 JFH3:JFH5 IVL3:IVL5 ILP3:ILP5 IBT3:IBT5 HRX3:HRX5 HIB3:HIB5 GYF3:GYF5 GOJ3:GOJ5 GEN3:GEN5 FUR3:FUR5 FKV3:FKV5 FAZ3:FAZ5 ERD3:ERD5 EHH3:EHH5 DXL3:DXL5 DNP3:DNP5 DDT3:DDT5 CTX3:CTX5 CKB3:CKB5 CAF3:CAF5 BQJ3:BQJ5 BGN3:BGN5 AWR3:AWR5 AMV3:AMV5 ACZ3:ACZ5 TD3:TD5 JH3:JH5 L3:L5" xr:uid="{00000000-0002-0000-0900-000000000000}"/>
  </dataValidations>
  <pageMargins left="0.7" right="0.7" top="0.75" bottom="0.75" header="0.3" footer="0.3"/>
  <pageSetup paperSize="9" orientation="portrait"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B1:P13"/>
  <sheetViews>
    <sheetView zoomScale="84" zoomScaleNormal="84" workbookViewId="0">
      <selection activeCell="H8" sqref="H8"/>
    </sheetView>
  </sheetViews>
  <sheetFormatPr baseColWidth="10" defaultColWidth="11.42578125" defaultRowHeight="12.75"/>
  <cols>
    <col min="1" max="1" width="3" style="125" customWidth="1"/>
    <col min="2" max="2" width="4.7109375" style="125" customWidth="1"/>
    <col min="3" max="3" width="4.42578125" style="125" customWidth="1"/>
    <col min="4" max="4" width="25.140625" style="125" customWidth="1"/>
    <col min="5" max="5" width="6.42578125" style="125" customWidth="1"/>
    <col min="6" max="6" width="16.140625" style="125" customWidth="1"/>
    <col min="7" max="7" width="16" style="125" customWidth="1"/>
    <col min="8" max="8" width="17.5703125" style="125" customWidth="1"/>
    <col min="9" max="9" width="15" style="125" customWidth="1"/>
    <col min="10" max="10" width="12.5703125" style="125" customWidth="1"/>
    <col min="11" max="11" width="16" style="125" customWidth="1"/>
    <col min="12" max="12" width="15.28515625" style="125" customWidth="1"/>
    <col min="13" max="13" width="11.5703125" style="125" customWidth="1"/>
    <col min="14" max="14" width="22.28515625" style="125" customWidth="1"/>
    <col min="15" max="16" width="19.140625" style="125" customWidth="1"/>
    <col min="17" max="16384" width="11.42578125" style="125"/>
  </cols>
  <sheetData>
    <row r="1" spans="2:16" ht="13.5" thickBot="1">
      <c r="B1" s="138"/>
      <c r="C1" s="139"/>
      <c r="D1" s="138"/>
      <c r="E1" s="139"/>
      <c r="F1" s="139"/>
      <c r="G1" s="139"/>
      <c r="H1" s="138"/>
      <c r="I1" s="138"/>
      <c r="J1" s="138"/>
      <c r="K1" s="139"/>
      <c r="L1" s="138"/>
      <c r="M1" s="138"/>
      <c r="N1" s="138"/>
      <c r="O1" s="138"/>
      <c r="P1" s="138"/>
    </row>
    <row r="2" spans="2:16" ht="13.5" thickBot="1">
      <c r="B2" s="848" t="s">
        <v>523</v>
      </c>
      <c r="C2" s="849"/>
      <c r="D2" s="849"/>
      <c r="E2" s="140" t="s">
        <v>524</v>
      </c>
      <c r="F2" s="140" t="s">
        <v>31</v>
      </c>
      <c r="G2" s="140" t="s">
        <v>139</v>
      </c>
      <c r="H2" s="140" t="s">
        <v>525</v>
      </c>
      <c r="I2" s="140" t="s">
        <v>526</v>
      </c>
      <c r="J2" s="140" t="s">
        <v>409</v>
      </c>
      <c r="K2" s="140" t="s">
        <v>538</v>
      </c>
      <c r="L2" s="140" t="s">
        <v>539</v>
      </c>
      <c r="M2" s="140" t="s">
        <v>540</v>
      </c>
      <c r="N2" s="140" t="s">
        <v>541</v>
      </c>
      <c r="O2" s="140" t="s">
        <v>79</v>
      </c>
      <c r="P2" s="141" t="s">
        <v>407</v>
      </c>
    </row>
    <row r="3" spans="2:16" ht="75.75" customHeight="1">
      <c r="B3" s="850" t="s">
        <v>542</v>
      </c>
      <c r="C3" s="851"/>
      <c r="D3" s="851" t="s">
        <v>543</v>
      </c>
      <c r="E3" s="851" t="s">
        <v>544</v>
      </c>
      <c r="F3" s="143" t="s">
        <v>715</v>
      </c>
      <c r="G3" s="142" t="s">
        <v>617</v>
      </c>
      <c r="H3" s="143" t="s">
        <v>545</v>
      </c>
      <c r="I3" s="143" t="s">
        <v>546</v>
      </c>
      <c r="J3" s="143" t="s">
        <v>547</v>
      </c>
      <c r="K3" s="142" t="s">
        <v>548</v>
      </c>
      <c r="L3" s="143" t="s">
        <v>549</v>
      </c>
      <c r="M3" s="143" t="s">
        <v>550</v>
      </c>
      <c r="N3" s="143" t="s">
        <v>551</v>
      </c>
      <c r="O3" s="143" t="s">
        <v>552</v>
      </c>
      <c r="P3" s="144" t="s">
        <v>553</v>
      </c>
    </row>
    <row r="4" spans="2:16" ht="21" customHeight="1">
      <c r="B4" s="852"/>
      <c r="C4" s="853"/>
      <c r="D4" s="853"/>
      <c r="E4" s="853"/>
      <c r="F4" s="145" t="s">
        <v>554</v>
      </c>
      <c r="G4" s="145" t="s">
        <v>554</v>
      </c>
      <c r="H4" s="146" t="s">
        <v>554</v>
      </c>
      <c r="I4" s="146" t="s">
        <v>554</v>
      </c>
      <c r="J4" s="146" t="s">
        <v>555</v>
      </c>
      <c r="K4" s="145" t="s">
        <v>556</v>
      </c>
      <c r="L4" s="146" t="s">
        <v>557</v>
      </c>
      <c r="M4" s="146" t="s">
        <v>558</v>
      </c>
      <c r="N4" s="146" t="s">
        <v>559</v>
      </c>
      <c r="O4" s="146" t="s">
        <v>560</v>
      </c>
      <c r="P4" s="147" t="s">
        <v>561</v>
      </c>
    </row>
    <row r="5" spans="2:16">
      <c r="B5" s="852"/>
      <c r="C5" s="853"/>
      <c r="D5" s="853"/>
      <c r="E5" s="853"/>
      <c r="F5" s="145" t="s">
        <v>562</v>
      </c>
      <c r="G5" s="145" t="s">
        <v>562</v>
      </c>
      <c r="H5" s="146" t="s">
        <v>537</v>
      </c>
      <c r="I5" s="146" t="s">
        <v>537</v>
      </c>
      <c r="J5" s="146" t="s">
        <v>537</v>
      </c>
      <c r="K5" s="145" t="s">
        <v>563</v>
      </c>
      <c r="L5" s="146" t="s">
        <v>537</v>
      </c>
      <c r="M5" s="146" t="s">
        <v>537</v>
      </c>
      <c r="N5" s="146" t="s">
        <v>537</v>
      </c>
      <c r="O5" s="146" t="s">
        <v>537</v>
      </c>
      <c r="P5" s="147" t="s">
        <v>537</v>
      </c>
    </row>
    <row r="6" spans="2:16">
      <c r="B6" s="148">
        <v>5</v>
      </c>
      <c r="C6" s="146"/>
      <c r="D6" s="854" t="s">
        <v>129</v>
      </c>
      <c r="E6" s="854"/>
      <c r="F6" s="854"/>
      <c r="G6" s="854"/>
      <c r="H6" s="854"/>
      <c r="I6" s="854"/>
      <c r="J6" s="854"/>
      <c r="K6" s="854"/>
      <c r="L6" s="854"/>
      <c r="M6" s="854"/>
      <c r="N6" s="854"/>
      <c r="O6" s="854"/>
      <c r="P6" s="855"/>
    </row>
    <row r="7" spans="2:16" ht="17.25" customHeight="1">
      <c r="B7" s="149" t="s">
        <v>718</v>
      </c>
      <c r="C7" s="146"/>
      <c r="D7" s="854" t="s">
        <v>130</v>
      </c>
      <c r="E7" s="854"/>
      <c r="F7" s="854"/>
      <c r="G7" s="854"/>
      <c r="H7" s="854"/>
      <c r="I7" s="854"/>
      <c r="J7" s="854"/>
      <c r="K7" s="854"/>
      <c r="L7" s="854"/>
      <c r="M7" s="854"/>
      <c r="N7" s="854"/>
      <c r="O7" s="854"/>
      <c r="P7" s="855"/>
    </row>
    <row r="8" spans="2:16" ht="36" customHeight="1" thickBot="1">
      <c r="B8" s="150"/>
      <c r="C8" s="151" t="s">
        <v>628</v>
      </c>
      <c r="D8" s="152" t="s">
        <v>132</v>
      </c>
      <c r="E8" s="153" t="s">
        <v>35</v>
      </c>
      <c r="F8" s="337">
        <f>'GEI SERIE ANUAL'!Y38</f>
        <v>977.4045298505315</v>
      </c>
      <c r="G8" s="418">
        <f>RESULTADOS!E5</f>
        <v>1050.3048958230811</v>
      </c>
      <c r="H8" s="154">
        <f>'Valores Incertidumbre'!E5</f>
        <v>1.0307764064044151</v>
      </c>
      <c r="I8" s="154">
        <f>'Valores Incertidumbre'!E10</f>
        <v>0.58309518948452999</v>
      </c>
      <c r="J8" s="155">
        <f>SQRT(H8^2+I8^2)</f>
        <v>1.184271928232701</v>
      </c>
      <c r="K8" s="156">
        <f>(J8*G8)^2/($G$9)^2</f>
        <v>1.4024999999999994</v>
      </c>
      <c r="L8" s="338">
        <f>(((0.01*G8+$G$9)-ABS(0.01*F8+$F$9))/(0.01*F8+$F$9))-((($G$9)-($F$9))/$F$9)</f>
        <v>0</v>
      </c>
      <c r="M8" s="165">
        <f>G8/$F$9</f>
        <v>1.0745856641197455</v>
      </c>
      <c r="N8" s="165">
        <f>L8*I8</f>
        <v>0</v>
      </c>
      <c r="O8" s="165">
        <f>M8*H8*SQRT(2)</f>
        <v>1.5664643285931565</v>
      </c>
      <c r="P8" s="157">
        <f>N8^2+O8^2</f>
        <v>2.4538104927548088</v>
      </c>
    </row>
    <row r="9" spans="2:16" s="32" customFormat="1" ht="12.75" customHeight="1" thickBot="1">
      <c r="B9" s="158"/>
      <c r="C9" s="159"/>
      <c r="D9" s="159"/>
      <c r="E9" s="159"/>
      <c r="F9" s="160">
        <f>SUM(F7:F8)</f>
        <v>977.4045298505315</v>
      </c>
      <c r="G9" s="160">
        <f>SUM(G6:G8)</f>
        <v>1050.3048958230811</v>
      </c>
      <c r="H9" s="161"/>
      <c r="I9" s="161"/>
      <c r="J9" s="161"/>
      <c r="K9" s="162">
        <f>SQRT(SUM(K8))</f>
        <v>1.1842719282327008</v>
      </c>
      <c r="L9" s="163"/>
      <c r="M9" s="163"/>
      <c r="N9" s="846" t="s">
        <v>564</v>
      </c>
      <c r="O9" s="847"/>
      <c r="P9" s="164">
        <f>SQRT(SUM(P8))</f>
        <v>1.5664643285931565</v>
      </c>
    </row>
    <row r="13" spans="2:16">
      <c r="L13" s="336"/>
    </row>
  </sheetData>
  <mergeCells count="7">
    <mergeCell ref="N9:O9"/>
    <mergeCell ref="B2:D2"/>
    <mergeCell ref="B3:C5"/>
    <mergeCell ref="D3:D5"/>
    <mergeCell ref="E3:E5"/>
    <mergeCell ref="D6:P6"/>
    <mergeCell ref="D7:P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1:G10"/>
  <sheetViews>
    <sheetView workbookViewId="0">
      <selection activeCell="E10" sqref="E10"/>
    </sheetView>
  </sheetViews>
  <sheetFormatPr baseColWidth="10" defaultColWidth="11.42578125" defaultRowHeight="15"/>
  <cols>
    <col min="1" max="1" width="2.85546875" customWidth="1"/>
    <col min="2" max="2" width="7.28515625" customWidth="1"/>
    <col min="3" max="3" width="27.140625" customWidth="1"/>
    <col min="4" max="4" width="27.85546875" customWidth="1"/>
    <col min="5" max="5" width="14.42578125" customWidth="1"/>
    <col min="6" max="6" width="27.5703125" customWidth="1"/>
    <col min="7" max="7" width="27.85546875" customWidth="1"/>
  </cols>
  <sheetData>
    <row r="1" spans="2:7" ht="15.75" thickBot="1"/>
    <row r="2" spans="2:7" ht="14.25" customHeight="1">
      <c r="B2" s="131" t="s">
        <v>152</v>
      </c>
      <c r="C2" s="132" t="s">
        <v>565</v>
      </c>
      <c r="D2" s="132" t="s">
        <v>566</v>
      </c>
      <c r="E2" s="132" t="s">
        <v>567</v>
      </c>
      <c r="F2" s="132" t="s">
        <v>155</v>
      </c>
      <c r="G2" s="133" t="s">
        <v>124</v>
      </c>
    </row>
    <row r="3" spans="2:7" ht="29.25" customHeight="1">
      <c r="B3" s="858" t="s">
        <v>628</v>
      </c>
      <c r="C3" s="860" t="s">
        <v>132</v>
      </c>
      <c r="D3" s="287" t="s">
        <v>568</v>
      </c>
      <c r="E3" s="288">
        <v>0.25</v>
      </c>
      <c r="F3" s="287" t="s">
        <v>569</v>
      </c>
      <c r="G3" s="289"/>
    </row>
    <row r="4" spans="2:7" ht="30" customHeight="1" thickBot="1">
      <c r="B4" s="859"/>
      <c r="C4" s="861"/>
      <c r="D4" s="290" t="s">
        <v>570</v>
      </c>
      <c r="E4" s="291">
        <v>1</v>
      </c>
      <c r="F4" s="292" t="s">
        <v>571</v>
      </c>
      <c r="G4" s="293" t="s">
        <v>572</v>
      </c>
    </row>
    <row r="5" spans="2:7" ht="15.75" thickBot="1">
      <c r="B5" s="862" t="s">
        <v>547</v>
      </c>
      <c r="C5" s="863"/>
      <c r="D5" s="863"/>
      <c r="E5" s="134">
        <f>+SQRT(POWER(E3,2)+POWER(E4,2))</f>
        <v>1.0307764064044151</v>
      </c>
      <c r="F5" s="128"/>
      <c r="G5" s="128"/>
    </row>
    <row r="6" spans="2:7" ht="15.75" thickBot="1">
      <c r="B6" s="294"/>
      <c r="C6" s="294"/>
      <c r="D6" s="294"/>
      <c r="E6" s="129"/>
      <c r="F6" s="294"/>
      <c r="G6" s="294"/>
    </row>
    <row r="7" spans="2:7" ht="15.75" customHeight="1">
      <c r="B7" s="131" t="s">
        <v>152</v>
      </c>
      <c r="C7" s="132" t="s">
        <v>565</v>
      </c>
      <c r="D7" s="132" t="s">
        <v>573</v>
      </c>
      <c r="E7" s="132" t="s">
        <v>567</v>
      </c>
      <c r="F7" s="132" t="s">
        <v>155</v>
      </c>
      <c r="G7" s="133" t="s">
        <v>124</v>
      </c>
    </row>
    <row r="8" spans="2:7" ht="33">
      <c r="B8" s="858" t="s">
        <v>628</v>
      </c>
      <c r="C8" s="860" t="s">
        <v>132</v>
      </c>
      <c r="D8" s="295" t="s">
        <v>574</v>
      </c>
      <c r="E8" s="296">
        <v>0.3</v>
      </c>
      <c r="F8" s="297" t="s">
        <v>569</v>
      </c>
      <c r="G8" s="298"/>
    </row>
    <row r="9" spans="2:7" ht="30.75" thickBot="1">
      <c r="B9" s="858"/>
      <c r="C9" s="864"/>
      <c r="D9" s="299" t="s">
        <v>575</v>
      </c>
      <c r="E9" s="300">
        <v>0.5</v>
      </c>
      <c r="F9" s="301" t="s">
        <v>569</v>
      </c>
      <c r="G9" s="293"/>
    </row>
    <row r="10" spans="2:7" ht="15.75" customHeight="1" thickBot="1">
      <c r="B10" s="856" t="s">
        <v>547</v>
      </c>
      <c r="C10" s="857"/>
      <c r="D10" s="857"/>
      <c r="E10" s="130">
        <f>+SQRT(POWER(E8,2)+POWER(E9,2))</f>
        <v>0.58309518948452999</v>
      </c>
      <c r="F10" s="294"/>
      <c r="G10" s="294"/>
    </row>
  </sheetData>
  <mergeCells count="6">
    <mergeCell ref="B10:D10"/>
    <mergeCell ref="B3:B4"/>
    <mergeCell ref="C3:C4"/>
    <mergeCell ref="B5:D5"/>
    <mergeCell ref="B8:B9"/>
    <mergeCell ref="C8:C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O33"/>
  <sheetViews>
    <sheetView showGridLines="0" zoomScaleNormal="100" zoomScaleSheetLayoutView="100" workbookViewId="0">
      <selection activeCell="O29" sqref="O29"/>
    </sheetView>
  </sheetViews>
  <sheetFormatPr baseColWidth="10" defaultColWidth="8" defaultRowHeight="12" customHeight="1"/>
  <cols>
    <col min="1" max="1" width="1.85546875" style="422" customWidth="1"/>
    <col min="2" max="2" width="24.85546875" style="422" bestFit="1" customWidth="1"/>
    <col min="3" max="3" width="13" style="422" customWidth="1"/>
    <col min="4" max="4" width="8.85546875" style="422" bestFit="1" customWidth="1"/>
    <col min="5" max="5" width="10.85546875" style="422" bestFit="1" customWidth="1"/>
    <col min="6" max="7" width="12.85546875" style="422" customWidth="1"/>
    <col min="8" max="10" width="11.140625" style="422" customWidth="1"/>
    <col min="11" max="11" width="9.42578125" style="422" customWidth="1"/>
    <col min="12" max="12" width="12.85546875" style="422" customWidth="1"/>
    <col min="13" max="13" width="8" style="422"/>
    <col min="14" max="14" width="23.140625" style="422" customWidth="1"/>
    <col min="15" max="15" width="12.5703125" style="422" customWidth="1"/>
    <col min="16" max="16" width="6.85546875" style="422" customWidth="1"/>
    <col min="17" max="16384" width="8" style="422"/>
  </cols>
  <sheetData>
    <row r="1" spans="1:15" ht="15.75" customHeight="1">
      <c r="A1" s="419"/>
      <c r="B1" s="420" t="s">
        <v>638</v>
      </c>
      <c r="C1" s="420"/>
      <c r="D1" s="420"/>
      <c r="E1" s="420"/>
      <c r="F1" s="419"/>
      <c r="G1" s="419"/>
      <c r="H1" s="419"/>
      <c r="I1" s="419"/>
      <c r="J1" s="419"/>
      <c r="K1" s="421"/>
      <c r="L1" s="421" t="s">
        <v>639</v>
      </c>
      <c r="M1" s="419">
        <v>2021</v>
      </c>
      <c r="N1" s="419"/>
      <c r="O1" s="419"/>
    </row>
    <row r="2" spans="1:15" ht="15.75" customHeight="1">
      <c r="A2" s="419"/>
      <c r="B2" s="420" t="s">
        <v>640</v>
      </c>
      <c r="C2" s="420"/>
      <c r="D2" s="419"/>
      <c r="E2" s="419"/>
      <c r="F2" s="419"/>
      <c r="G2" s="419"/>
      <c r="H2" s="419"/>
      <c r="I2" s="419"/>
      <c r="J2" s="419"/>
      <c r="K2" s="421"/>
      <c r="L2" s="421" t="s">
        <v>641</v>
      </c>
      <c r="M2" s="419">
        <v>2024</v>
      </c>
      <c r="N2" s="419"/>
      <c r="O2" s="419"/>
    </row>
    <row r="3" spans="1:15" ht="15.75" customHeight="1">
      <c r="A3" s="419"/>
      <c r="B3" s="423" t="s">
        <v>642</v>
      </c>
      <c r="C3" s="419"/>
      <c r="D3" s="419"/>
      <c r="E3" s="419"/>
      <c r="F3" s="419"/>
      <c r="G3" s="419"/>
      <c r="H3" s="419"/>
      <c r="I3" s="419"/>
      <c r="J3" s="419"/>
      <c r="K3" s="421"/>
      <c r="L3" s="421" t="s">
        <v>643</v>
      </c>
      <c r="M3" s="419" t="s">
        <v>720</v>
      </c>
      <c r="N3" s="419"/>
      <c r="O3" s="419"/>
    </row>
    <row r="4" spans="1:15" ht="15.75" customHeight="1">
      <c r="A4" s="419"/>
      <c r="B4" s="423"/>
      <c r="C4" s="419"/>
      <c r="D4" s="419"/>
      <c r="E4" s="419"/>
      <c r="F4" s="419"/>
      <c r="G4" s="419"/>
      <c r="H4" s="419"/>
      <c r="I4" s="419"/>
      <c r="J4" s="419"/>
      <c r="K4" s="421"/>
      <c r="L4" s="421"/>
      <c r="M4" s="419"/>
      <c r="N4" s="419"/>
      <c r="O4" s="419"/>
    </row>
    <row r="5" spans="1:15" ht="12.75" customHeight="1" thickBot="1">
      <c r="A5" s="419"/>
      <c r="B5" s="424" t="s">
        <v>644</v>
      </c>
      <c r="C5" s="419"/>
      <c r="D5" s="419"/>
      <c r="E5" s="419"/>
      <c r="F5" s="419"/>
      <c r="G5" s="419"/>
      <c r="H5" s="419"/>
      <c r="I5" s="419"/>
      <c r="J5" s="419"/>
      <c r="K5" s="419"/>
      <c r="L5" s="419"/>
      <c r="M5" s="419"/>
      <c r="N5" s="419"/>
      <c r="O5" s="419"/>
    </row>
    <row r="6" spans="1:15" ht="24.75" thickBot="1">
      <c r="A6" s="419"/>
      <c r="B6" s="425" t="s">
        <v>603</v>
      </c>
      <c r="C6" s="426" t="s">
        <v>645</v>
      </c>
      <c r="D6" s="427"/>
      <c r="E6" s="428"/>
      <c r="F6" s="429" t="s">
        <v>646</v>
      </c>
      <c r="G6" s="428"/>
      <c r="H6" s="429" t="s">
        <v>647</v>
      </c>
      <c r="I6" s="427"/>
      <c r="J6" s="428"/>
      <c r="K6" s="427" t="s">
        <v>648</v>
      </c>
      <c r="L6" s="430"/>
      <c r="M6" s="419"/>
      <c r="N6" s="431" t="s">
        <v>649</v>
      </c>
      <c r="O6" s="432"/>
    </row>
    <row r="7" spans="1:15" ht="15.75" customHeight="1">
      <c r="A7" s="419"/>
      <c r="B7" s="433"/>
      <c r="C7" s="434"/>
      <c r="D7" s="435"/>
      <c r="E7" s="435"/>
      <c r="F7" s="436" t="s">
        <v>650</v>
      </c>
      <c r="G7" s="434" t="s">
        <v>651</v>
      </c>
      <c r="H7" s="437" t="s">
        <v>652</v>
      </c>
      <c r="I7" s="438" t="s">
        <v>651</v>
      </c>
      <c r="J7" s="439"/>
      <c r="K7" s="438" t="s">
        <v>653</v>
      </c>
      <c r="L7" s="440"/>
      <c r="M7" s="419"/>
      <c r="N7" s="441" t="s">
        <v>654</v>
      </c>
      <c r="O7" s="442"/>
    </row>
    <row r="8" spans="1:15" ht="39.75">
      <c r="A8" s="443"/>
      <c r="B8" s="433"/>
      <c r="C8" s="444" t="s">
        <v>655</v>
      </c>
      <c r="D8" s="445" t="s">
        <v>656</v>
      </c>
      <c r="E8" s="445" t="s">
        <v>657</v>
      </c>
      <c r="F8" s="446"/>
      <c r="G8" s="444"/>
      <c r="H8" s="447"/>
      <c r="I8" s="448" t="s">
        <v>658</v>
      </c>
      <c r="J8" s="444" t="s">
        <v>659</v>
      </c>
      <c r="K8" s="448" t="s">
        <v>660</v>
      </c>
      <c r="L8" s="449" t="s">
        <v>661</v>
      </c>
      <c r="M8" s="419"/>
      <c r="N8" s="450" t="s">
        <v>662</v>
      </c>
      <c r="O8" s="451"/>
    </row>
    <row r="9" spans="1:15" ht="18" customHeight="1" thickBot="1">
      <c r="A9" s="419"/>
      <c r="B9" s="452"/>
      <c r="C9" s="453" t="s">
        <v>663</v>
      </c>
      <c r="D9" s="454"/>
      <c r="E9" s="455" t="s">
        <v>664</v>
      </c>
      <c r="F9" s="455" t="s">
        <v>665</v>
      </c>
      <c r="G9" s="456" t="s">
        <v>666</v>
      </c>
      <c r="H9" s="453" t="s">
        <v>667</v>
      </c>
      <c r="I9" s="457"/>
      <c r="J9" s="457"/>
      <c r="K9" s="457"/>
      <c r="L9" s="458"/>
      <c r="M9" s="419"/>
      <c r="N9" s="450" t="s">
        <v>668</v>
      </c>
      <c r="O9" s="451"/>
    </row>
    <row r="10" spans="1:15" ht="18" customHeight="1" thickTop="1">
      <c r="A10" s="419"/>
      <c r="B10" s="459" t="s">
        <v>615</v>
      </c>
      <c r="C10" s="460"/>
      <c r="D10" s="460"/>
      <c r="E10" s="460"/>
      <c r="F10" s="461"/>
      <c r="G10" s="462"/>
      <c r="H10" s="463"/>
      <c r="I10" s="464"/>
      <c r="J10" s="464"/>
      <c r="K10" s="465"/>
      <c r="L10" s="466"/>
      <c r="M10" s="419"/>
      <c r="N10" s="450" t="s">
        <v>669</v>
      </c>
      <c r="O10" s="451"/>
    </row>
    <row r="11" spans="1:15" ht="18" customHeight="1">
      <c r="A11" s="419"/>
      <c r="B11" s="467" t="s">
        <v>616</v>
      </c>
      <c r="C11" s="506">
        <f>('GEI SERIE ANUAL'!F49+'GEI SERIE ANUAL'!F84+'GEI SERIE ANUAL'!F119+'GEI SERIE ANUAL'!F154+'GEI SERIE ANUAL'!F189+'GEI SERIE ANUAL'!F224+'GEI SERIE ANUAL'!F259+'GEI SERIE ANUAL'!F294+'GEI SERIE ANUAL'!F329+'GEI SERIE ANUAL'!F364+'GEI SERIE ANUAL'!F399+'GEI SERIE ANUAL'!F434+'GEI SERIE ANUAL'!F469)/1000000</f>
        <v>1098.9048826404041</v>
      </c>
      <c r="D11" s="460" t="s">
        <v>93</v>
      </c>
      <c r="E11" s="460" t="s">
        <v>93</v>
      </c>
      <c r="F11" s="507">
        <f>H11/C11</f>
        <v>3.4134791581241282E-2</v>
      </c>
      <c r="G11" s="468" t="s">
        <v>93</v>
      </c>
      <c r="H11" s="505">
        <f>RESULTADOS!D5</f>
        <v>37.510889136538609</v>
      </c>
      <c r="I11" s="469" t="s">
        <v>93</v>
      </c>
      <c r="J11" s="469" t="s">
        <v>93</v>
      </c>
      <c r="K11" s="470" t="s">
        <v>95</v>
      </c>
      <c r="L11" s="466" t="s">
        <v>95</v>
      </c>
      <c r="M11" s="419"/>
      <c r="N11" s="471" t="s">
        <v>670</v>
      </c>
      <c r="O11" s="451"/>
    </row>
    <row r="12" spans="1:15" ht="18" customHeight="1" thickBot="1">
      <c r="A12" s="419"/>
      <c r="B12" s="467" t="s">
        <v>671</v>
      </c>
      <c r="C12" s="705" t="s">
        <v>95</v>
      </c>
      <c r="D12" s="705" t="s">
        <v>95</v>
      </c>
      <c r="E12" s="705" t="s">
        <v>95</v>
      </c>
      <c r="F12" s="472" t="s">
        <v>95</v>
      </c>
      <c r="G12" s="473" t="s">
        <v>95</v>
      </c>
      <c r="H12" s="473" t="s">
        <v>95</v>
      </c>
      <c r="I12" s="473" t="s">
        <v>95</v>
      </c>
      <c r="J12" s="473" t="s">
        <v>95</v>
      </c>
      <c r="K12" s="468" t="s">
        <v>95</v>
      </c>
      <c r="L12" s="474" t="s">
        <v>95</v>
      </c>
      <c r="M12" s="419"/>
      <c r="N12" s="475" t="s">
        <v>672</v>
      </c>
      <c r="O12" s="476"/>
    </row>
    <row r="13" spans="1:15" ht="18" customHeight="1" thickBot="1">
      <c r="A13" s="419"/>
      <c r="B13" s="708" t="s">
        <v>95</v>
      </c>
      <c r="C13" s="706" t="s">
        <v>95</v>
      </c>
      <c r="D13" s="706" t="s">
        <v>95</v>
      </c>
      <c r="E13" s="706" t="s">
        <v>95</v>
      </c>
      <c r="F13" s="707" t="s">
        <v>95</v>
      </c>
      <c r="G13" s="707" t="s">
        <v>95</v>
      </c>
      <c r="H13" s="477" t="s">
        <v>95</v>
      </c>
      <c r="I13" s="477" t="s">
        <v>95</v>
      </c>
      <c r="J13" s="477" t="s">
        <v>95</v>
      </c>
      <c r="K13" s="478" t="s">
        <v>95</v>
      </c>
      <c r="L13" s="479" t="s">
        <v>95</v>
      </c>
      <c r="M13" s="419"/>
      <c r="N13" s="419"/>
      <c r="O13" s="419"/>
    </row>
    <row r="14" spans="1:15" ht="12" customHeight="1">
      <c r="A14" s="419"/>
      <c r="B14" s="480"/>
      <c r="C14" s="481"/>
      <c r="D14" s="481"/>
      <c r="E14" s="482"/>
      <c r="F14" s="482"/>
      <c r="G14" s="481"/>
      <c r="H14" s="483"/>
      <c r="I14" s="483"/>
      <c r="J14" s="484"/>
      <c r="K14" s="484"/>
      <c r="L14" s="419"/>
      <c r="M14" s="485"/>
      <c r="N14" s="419"/>
      <c r="O14" s="419"/>
    </row>
    <row r="15" spans="1:15" ht="13.5">
      <c r="A15" s="419"/>
      <c r="B15" s="486"/>
      <c r="C15" s="487"/>
      <c r="D15" s="487"/>
      <c r="E15" s="487"/>
      <c r="F15" s="487"/>
      <c r="G15" s="487"/>
      <c r="H15" s="487"/>
      <c r="I15" s="487"/>
      <c r="J15" s="487"/>
      <c r="K15" s="488"/>
      <c r="L15" s="484"/>
      <c r="M15" s="489"/>
      <c r="N15" s="419"/>
      <c r="O15" s="419"/>
    </row>
    <row r="16" spans="1:15" ht="13.5">
      <c r="A16" s="419"/>
      <c r="B16" s="490"/>
      <c r="C16" s="487"/>
      <c r="D16" s="487"/>
      <c r="E16" s="487"/>
      <c r="F16" s="487"/>
      <c r="G16" s="487"/>
      <c r="H16" s="487"/>
      <c r="I16" s="487"/>
      <c r="J16" s="487"/>
      <c r="K16" s="488"/>
      <c r="L16" s="484"/>
      <c r="M16" s="489"/>
      <c r="N16" s="489"/>
      <c r="O16" s="419"/>
    </row>
    <row r="17" spans="1:15" ht="13.5">
      <c r="A17" s="419"/>
      <c r="B17" s="491"/>
      <c r="C17" s="491"/>
      <c r="D17" s="491"/>
      <c r="E17" s="491"/>
      <c r="F17" s="491"/>
      <c r="G17" s="491"/>
      <c r="H17" s="491"/>
      <c r="I17" s="491"/>
      <c r="J17" s="419"/>
      <c r="K17" s="419"/>
      <c r="L17" s="488"/>
      <c r="M17" s="419"/>
      <c r="N17" s="489"/>
      <c r="O17" s="419"/>
    </row>
    <row r="18" spans="1:15" ht="13.5">
      <c r="A18" s="419"/>
      <c r="B18" s="491"/>
      <c r="C18" s="491"/>
      <c r="D18" s="491"/>
      <c r="E18" s="491"/>
      <c r="F18" s="491"/>
      <c r="G18" s="491"/>
      <c r="H18" s="491"/>
      <c r="I18" s="491"/>
      <c r="J18" s="419"/>
      <c r="K18" s="419"/>
      <c r="L18" s="419"/>
      <c r="M18" s="419"/>
      <c r="N18" s="419"/>
      <c r="O18" s="419"/>
    </row>
    <row r="19" spans="1:15" ht="13.5">
      <c r="A19" s="419"/>
      <c r="B19" s="491"/>
      <c r="C19" s="491"/>
      <c r="D19" s="491"/>
      <c r="E19" s="419"/>
      <c r="F19" s="419"/>
      <c r="G19" s="419"/>
      <c r="H19" s="419"/>
      <c r="I19" s="419"/>
      <c r="J19" s="419"/>
      <c r="K19" s="419"/>
      <c r="L19" s="419"/>
      <c r="M19" s="419"/>
      <c r="N19" s="419"/>
      <c r="O19" s="419"/>
    </row>
    <row r="20" spans="1:15" ht="13.5">
      <c r="A20" s="419"/>
      <c r="B20" s="491"/>
      <c r="C20" s="491"/>
      <c r="D20" s="491"/>
      <c r="E20" s="491"/>
      <c r="F20" s="491"/>
      <c r="G20" s="419"/>
      <c r="H20" s="419"/>
      <c r="I20" s="419"/>
      <c r="J20" s="419"/>
      <c r="K20" s="419"/>
      <c r="L20" s="419"/>
      <c r="M20" s="419"/>
      <c r="N20" s="419"/>
      <c r="O20" s="419"/>
    </row>
    <row r="21" spans="1:15" ht="13.5">
      <c r="A21" s="419"/>
      <c r="B21" s="488"/>
      <c r="C21" s="492"/>
      <c r="D21" s="492"/>
      <c r="E21" s="492"/>
      <c r="F21" s="492"/>
      <c r="G21" s="492"/>
      <c r="H21" s="492"/>
      <c r="I21" s="492"/>
      <c r="J21" s="492"/>
      <c r="K21" s="492"/>
      <c r="L21" s="419"/>
      <c r="M21" s="419"/>
      <c r="N21" s="419"/>
      <c r="O21" s="419"/>
    </row>
    <row r="22" spans="1:15" ht="13.5">
      <c r="A22" s="419"/>
      <c r="B22" s="488"/>
      <c r="C22" s="492"/>
      <c r="D22" s="492"/>
      <c r="E22" s="492"/>
      <c r="F22" s="492"/>
      <c r="G22" s="492"/>
      <c r="H22" s="492"/>
      <c r="I22" s="492"/>
      <c r="J22" s="492"/>
      <c r="K22" s="492"/>
      <c r="L22" s="419"/>
      <c r="M22" s="419"/>
      <c r="N22" s="419"/>
      <c r="O22" s="419"/>
    </row>
    <row r="23" spans="1:15" ht="13.5">
      <c r="A23" s="419"/>
      <c r="B23" s="488"/>
      <c r="C23" s="492"/>
      <c r="D23" s="492"/>
      <c r="E23" s="492"/>
      <c r="F23" s="492"/>
      <c r="G23" s="492"/>
      <c r="H23" s="492"/>
      <c r="I23" s="492"/>
      <c r="J23" s="492"/>
      <c r="K23" s="492"/>
      <c r="L23" s="419"/>
      <c r="M23" s="419"/>
      <c r="N23" s="419"/>
      <c r="O23" s="419"/>
    </row>
    <row r="24" spans="1:15" ht="13.5">
      <c r="A24" s="419"/>
      <c r="B24" s="488"/>
      <c r="C24" s="492"/>
      <c r="D24" s="492"/>
      <c r="E24" s="492"/>
      <c r="F24" s="492"/>
      <c r="G24" s="492"/>
      <c r="H24" s="492"/>
      <c r="I24" s="492"/>
      <c r="J24" s="492"/>
      <c r="K24" s="492"/>
      <c r="L24" s="419"/>
      <c r="M24" s="419"/>
      <c r="N24" s="419"/>
      <c r="O24" s="419"/>
    </row>
    <row r="25" spans="1:15" ht="14.25" thickBot="1">
      <c r="A25" s="419"/>
      <c r="B25" s="488"/>
      <c r="C25" s="492"/>
      <c r="D25" s="492"/>
      <c r="E25" s="492"/>
      <c r="F25" s="492"/>
      <c r="G25" s="492"/>
      <c r="H25" s="492"/>
      <c r="I25" s="492"/>
      <c r="J25" s="492"/>
      <c r="K25" s="492"/>
      <c r="L25" s="419"/>
      <c r="M25" s="419"/>
      <c r="N25" s="419"/>
      <c r="O25" s="419"/>
    </row>
    <row r="26" spans="1:15" ht="12.75">
      <c r="A26" s="419"/>
      <c r="B26" s="493" t="s">
        <v>673</v>
      </c>
      <c r="C26" s="494"/>
      <c r="D26" s="494"/>
      <c r="E26" s="494"/>
      <c r="F26" s="494"/>
      <c r="G26" s="494"/>
      <c r="H26" s="494"/>
      <c r="I26" s="494"/>
      <c r="J26" s="494"/>
      <c r="K26" s="494"/>
      <c r="L26" s="495"/>
      <c r="M26" s="419"/>
      <c r="N26" s="419"/>
      <c r="O26" s="419"/>
    </row>
    <row r="27" spans="1:15" ht="12.75">
      <c r="A27" s="419"/>
      <c r="B27" s="496"/>
      <c r="C27" s="497"/>
      <c r="D27" s="497"/>
      <c r="E27" s="497"/>
      <c r="F27" s="497"/>
      <c r="G27" s="497"/>
      <c r="H27" s="497"/>
      <c r="I27" s="497"/>
      <c r="J27" s="497"/>
      <c r="K27" s="497"/>
      <c r="L27" s="498"/>
      <c r="M27" s="419"/>
      <c r="N27" s="419"/>
      <c r="O27" s="419"/>
    </row>
    <row r="28" spans="1:15" ht="12.75">
      <c r="A28" s="419"/>
      <c r="B28" s="496"/>
      <c r="C28" s="497"/>
      <c r="D28" s="497"/>
      <c r="E28" s="497"/>
      <c r="F28" s="497"/>
      <c r="G28" s="497"/>
      <c r="H28" s="497"/>
      <c r="I28" s="497"/>
      <c r="J28" s="497"/>
      <c r="K28" s="497"/>
      <c r="L28" s="498"/>
      <c r="M28" s="419"/>
      <c r="N28" s="419"/>
      <c r="O28" s="419"/>
    </row>
    <row r="29" spans="1:15" ht="12.75">
      <c r="A29" s="419"/>
      <c r="B29" s="496"/>
      <c r="C29" s="497"/>
      <c r="D29" s="497"/>
      <c r="E29" s="497"/>
      <c r="F29" s="497"/>
      <c r="G29" s="497"/>
      <c r="H29" s="497"/>
      <c r="I29" s="497"/>
      <c r="J29" s="497"/>
      <c r="K29" s="497"/>
      <c r="L29" s="498"/>
      <c r="M29" s="419"/>
      <c r="N29" s="419"/>
      <c r="O29" s="419"/>
    </row>
    <row r="30" spans="1:15" ht="12.75">
      <c r="A30" s="419"/>
      <c r="B30" s="496"/>
      <c r="C30" s="497"/>
      <c r="D30" s="497"/>
      <c r="E30" s="497"/>
      <c r="F30" s="497"/>
      <c r="G30" s="497"/>
      <c r="H30" s="497"/>
      <c r="I30" s="497"/>
      <c r="J30" s="497"/>
      <c r="K30" s="497"/>
      <c r="L30" s="498"/>
      <c r="M30" s="419"/>
      <c r="N30" s="419"/>
      <c r="O30" s="419"/>
    </row>
    <row r="31" spans="1:15" ht="12.75">
      <c r="A31" s="419"/>
      <c r="B31" s="496"/>
      <c r="C31" s="497"/>
      <c r="D31" s="497"/>
      <c r="E31" s="497"/>
      <c r="F31" s="497"/>
      <c r="G31" s="497"/>
      <c r="H31" s="497"/>
      <c r="I31" s="497"/>
      <c r="J31" s="497"/>
      <c r="K31" s="497"/>
      <c r="L31" s="498"/>
      <c r="M31" s="419"/>
      <c r="N31" s="419"/>
      <c r="O31" s="419"/>
    </row>
    <row r="32" spans="1:15" ht="12.75">
      <c r="A32" s="419"/>
      <c r="B32" s="499"/>
      <c r="C32" s="500"/>
      <c r="D32" s="500"/>
      <c r="E32" s="500"/>
      <c r="F32" s="500"/>
      <c r="G32" s="500"/>
      <c r="H32" s="500"/>
      <c r="I32" s="500"/>
      <c r="J32" s="500"/>
      <c r="K32" s="500"/>
      <c r="L32" s="501"/>
      <c r="M32" s="419"/>
      <c r="N32" s="419"/>
      <c r="O32" s="419"/>
    </row>
    <row r="33" spans="1:15" ht="13.5" thickBot="1">
      <c r="A33" s="419"/>
      <c r="B33" s="502"/>
      <c r="C33" s="503"/>
      <c r="D33" s="503"/>
      <c r="E33" s="503"/>
      <c r="F33" s="503"/>
      <c r="G33" s="503"/>
      <c r="H33" s="503"/>
      <c r="I33" s="503"/>
      <c r="J33" s="503"/>
      <c r="K33" s="503"/>
      <c r="L33" s="504"/>
      <c r="M33" s="419"/>
      <c r="N33" s="419"/>
      <c r="O33" s="419"/>
    </row>
  </sheetData>
  <dataValidations count="1">
    <dataValidation allowBlank="1" showInputMessage="1" showErrorMessage="1" sqref="F1:I4 B15:B20 C3:C5 B1:B5 E19:F19 D2:E5 J17:K20 G19:I20 K1:L4 B33:B65544 C34:M65544 L18:L25 N15 M1:IR5 F5:L5 O6:IS7 P8:IS13 I8:L8 N18:N65545 O8:O65545 P14:IR65544 B26:L32" xr:uid="{00000000-0002-0000-0C00-000000000000}"/>
  </dataValidations>
  <hyperlinks>
    <hyperlink ref="B5" location="Index" display="Back to Index" xr:uid="{00000000-0004-0000-0C00-000000000000}"/>
  </hyperlinks>
  <printOptions horizontalCentered="1" verticalCentered="1"/>
  <pageMargins left="0.39370078740157483" right="0.39370078740157483" top="0.39370078740157483" bottom="0.39370078740157483" header="0.19685039370078741" footer="0.19685039370078741"/>
  <pageSetup paperSize="9" scale="76" fitToHeight="0" orientation="landscape" r:id="rId1"/>
  <headerFooter alignWithMargins="0">
    <oddFooter>&amp;L&amp;A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theme="9" tint="0.39997558519241921"/>
  </sheetPr>
  <dimension ref="A1:AY10"/>
  <sheetViews>
    <sheetView topLeftCell="A5" zoomScale="82" zoomScaleNormal="82" workbookViewId="0">
      <selection activeCell="K7" sqref="K7"/>
    </sheetView>
  </sheetViews>
  <sheetFormatPr baseColWidth="10" defaultColWidth="11.42578125" defaultRowHeight="12.75"/>
  <cols>
    <col min="1" max="1" width="2.5703125" style="4" customWidth="1"/>
    <col min="2" max="2" width="5.140625" style="1" customWidth="1"/>
    <col min="3" max="3" width="5" style="31" customWidth="1"/>
    <col min="4" max="4" width="5.5703125" style="1" customWidth="1"/>
    <col min="5" max="5" width="20.85546875" style="1" customWidth="1"/>
    <col min="6" max="6" width="30" style="1" customWidth="1"/>
    <col min="7" max="7" width="15.85546875" style="1" customWidth="1"/>
    <col min="8" max="8" width="29.140625" style="1" customWidth="1"/>
    <col min="9" max="9" width="16.85546875" style="350" customWidth="1"/>
    <col min="10" max="10" width="8" style="33" customWidth="1"/>
    <col min="11" max="11" width="96.85546875" style="1" customWidth="1"/>
    <col min="12" max="12" width="14.140625" style="1" customWidth="1"/>
    <col min="13" max="13" width="16.28515625" style="1" customWidth="1"/>
    <col min="14" max="14" width="14.42578125" style="1" customWidth="1"/>
    <col min="15" max="15" width="2.140625" style="1" customWidth="1"/>
    <col min="16" max="16" width="14.140625" style="1" customWidth="1"/>
    <col min="17" max="17" width="27.140625" style="1" customWidth="1"/>
    <col min="18" max="18" width="21.85546875" style="1" customWidth="1"/>
    <col min="19" max="19" width="18.42578125" style="1" customWidth="1"/>
    <col min="20" max="20" width="14.28515625" style="1" customWidth="1"/>
    <col min="21" max="21" width="11.42578125" style="1"/>
    <col min="22" max="22" width="57.28515625" style="1" customWidth="1"/>
    <col min="23" max="16384" width="11.42578125" style="1"/>
  </cols>
  <sheetData>
    <row r="1" spans="2:51" s="62" customFormat="1">
      <c r="B1" s="64"/>
      <c r="C1" s="55"/>
      <c r="D1" s="63"/>
      <c r="E1" s="64"/>
      <c r="F1" s="64"/>
      <c r="G1" s="65"/>
      <c r="H1" s="64"/>
      <c r="I1" s="345"/>
      <c r="J1" s="55"/>
      <c r="K1" s="55"/>
      <c r="L1" s="64"/>
      <c r="M1" s="64"/>
      <c r="N1" s="55"/>
      <c r="O1" s="55"/>
      <c r="P1" s="55"/>
      <c r="Q1" s="55"/>
      <c r="T1" s="55"/>
      <c r="V1" s="55"/>
    </row>
    <row r="2" spans="2:51" s="67" customFormat="1">
      <c r="B2" s="69" t="s">
        <v>113</v>
      </c>
      <c r="C2" s="61"/>
      <c r="D2" s="68"/>
      <c r="E2" s="69"/>
      <c r="F2" s="69"/>
      <c r="G2" s="70"/>
      <c r="H2" s="69"/>
      <c r="I2" s="346"/>
      <c r="J2" s="61"/>
      <c r="K2" s="61"/>
      <c r="L2" s="69"/>
      <c r="M2" s="69"/>
      <c r="N2" s="61"/>
      <c r="O2" s="61"/>
      <c r="P2" s="61"/>
      <c r="Q2" s="61"/>
      <c r="T2" s="61"/>
      <c r="V2" s="61"/>
    </row>
    <row r="3" spans="2:51" s="54" customFormat="1">
      <c r="B3" s="55"/>
      <c r="C3" s="56"/>
      <c r="D3" s="57"/>
      <c r="E3" s="58"/>
      <c r="F3" s="58"/>
      <c r="G3" s="59"/>
      <c r="H3" s="58"/>
      <c r="I3" s="347"/>
      <c r="J3" s="56"/>
      <c r="K3" s="56"/>
      <c r="L3" s="58"/>
      <c r="M3" s="58"/>
      <c r="N3" s="56"/>
      <c r="O3" s="56"/>
      <c r="P3" s="56"/>
      <c r="Q3" s="56"/>
      <c r="T3" s="56"/>
      <c r="V3" s="56"/>
    </row>
    <row r="4" spans="2:51" s="36" customFormat="1" ht="41.25" customHeight="1">
      <c r="B4" s="725" t="s">
        <v>114</v>
      </c>
      <c r="C4" s="725"/>
      <c r="D4" s="725"/>
      <c r="E4" s="45" t="s">
        <v>115</v>
      </c>
      <c r="F4" s="45" t="s">
        <v>116</v>
      </c>
      <c r="G4" s="45" t="s">
        <v>117</v>
      </c>
      <c r="H4" s="45" t="s">
        <v>118</v>
      </c>
      <c r="I4" s="46" t="s">
        <v>119</v>
      </c>
      <c r="J4" s="45" t="s">
        <v>120</v>
      </c>
      <c r="K4" s="45" t="s">
        <v>121</v>
      </c>
      <c r="L4" s="45" t="s">
        <v>122</v>
      </c>
      <c r="M4" s="45" t="s">
        <v>123</v>
      </c>
      <c r="N4" s="45" t="s">
        <v>124</v>
      </c>
      <c r="O4" s="35"/>
      <c r="P4" s="45" t="s">
        <v>114</v>
      </c>
      <c r="Q4" s="45" t="s">
        <v>125</v>
      </c>
      <c r="R4" s="45" t="s">
        <v>126</v>
      </c>
      <c r="S4" s="45" t="s">
        <v>127</v>
      </c>
      <c r="T4" s="45" t="s">
        <v>118</v>
      </c>
      <c r="U4" s="45" t="s">
        <v>120</v>
      </c>
      <c r="V4" s="45" t="s">
        <v>121</v>
      </c>
    </row>
    <row r="5" spans="2:51" s="37" customFormat="1" ht="12">
      <c r="B5" s="51">
        <v>5</v>
      </c>
      <c r="C5" s="52"/>
      <c r="D5" s="53"/>
      <c r="E5" s="47" t="s">
        <v>128</v>
      </c>
      <c r="F5" s="47"/>
      <c r="G5" s="48"/>
      <c r="H5" s="49"/>
      <c r="I5" s="348"/>
      <c r="J5" s="50"/>
      <c r="K5" s="47"/>
      <c r="L5" s="47"/>
      <c r="M5" s="49"/>
      <c r="N5" s="47"/>
      <c r="P5" s="49">
        <v>5</v>
      </c>
      <c r="Q5" s="49" t="s">
        <v>129</v>
      </c>
      <c r="R5" s="49"/>
      <c r="S5" s="49"/>
      <c r="T5" s="49"/>
      <c r="U5" s="49"/>
      <c r="V5" s="49"/>
    </row>
    <row r="6" spans="2:51" s="43" customFormat="1" ht="48" customHeight="1">
      <c r="B6" s="42"/>
      <c r="C6" s="42" t="s">
        <v>718</v>
      </c>
      <c r="D6" s="312"/>
      <c r="E6" s="38" t="s">
        <v>130</v>
      </c>
      <c r="F6" s="335" t="s">
        <v>131</v>
      </c>
      <c r="G6" s="39"/>
      <c r="H6" s="39"/>
      <c r="I6" s="39"/>
      <c r="J6" s="40"/>
      <c r="K6" s="39"/>
      <c r="L6" s="39"/>
      <c r="M6" s="40"/>
      <c r="N6" s="39"/>
      <c r="O6" s="41"/>
      <c r="P6" s="42" t="s">
        <v>718</v>
      </c>
      <c r="Q6" s="38" t="s">
        <v>130</v>
      </c>
      <c r="R6" s="39"/>
      <c r="S6" s="40"/>
      <c r="T6" s="39"/>
      <c r="U6" s="40"/>
      <c r="V6" s="39"/>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row>
    <row r="7" spans="2:51" s="44" customFormat="1" ht="181.5" customHeight="1">
      <c r="B7" s="718"/>
      <c r="C7" s="718"/>
      <c r="D7" s="726" t="s">
        <v>628</v>
      </c>
      <c r="E7" s="719" t="s">
        <v>132</v>
      </c>
      <c r="F7" s="729" t="s">
        <v>133</v>
      </c>
      <c r="G7" s="723" t="s">
        <v>134</v>
      </c>
      <c r="H7" s="360" t="s">
        <v>716</v>
      </c>
      <c r="I7" s="340" t="s">
        <v>135</v>
      </c>
      <c r="J7" s="684">
        <v>1</v>
      </c>
      <c r="K7" s="44" t="str">
        <f>'IB 5D2-(MYPE_I)(Pesca_A)_2021'!C9</f>
        <v>(1) Información de los años 2013 al 2022: Ministerio de la Producción (2023). Anuario Estadístico Industrial, Mipyme y Comercio Interno 2022. Lima: Oficina General de Evaluación de Impacto y Estudios Económicos. Obtenido en noviembre del 2023, de Ministerio de la Producción: https://ogeiee.produce.gob.pe/index.php/en/oee-documentos-publicaciones/publicaciones-anuales/item/1125-anuario-estadistico-industrial-mipyme-y-comercio-interno-2022 (Página del 115 al 121).
(2) Información del año 2012: Anuario Estadístico Industrial, Mipyme y Comercio Interno 2021, disponible en https://ogeiee.produce.gob.pe/index.php/en/shortcode/oee-documentos-publicaciones/publicaciones-anuales/item/1063-anuario-estadistico-industrial-mipyme-y-comercio-interno-2021  (Página del 115 al 121)
(3) Información del año 2003 al 2011: Anuario Estadístico Industrial, Mipyme y Comercio Interno 2012, disponible en https://ogeiee.produce.gob.pe/index.php/en/shortcode/oee-documentos-publicaciones/publicaciones-anuales/item/713-2012-anuario-estadistico-industrial-mipyme-y-comercio-interno  (Página  del 81 al 83)
(4) Información del año 1992 al 2002: Instituto Nacional de Estadística e Informática. (s.f.). Series Nacionales: Instituto Nacional de Estadística e Informática. Recuperado el 15 de enero de 2024, de Instituto Nacional de Estadística e Informática: https://webapp.inei.gob.pe:8443/sirtod-series/
Se ha descargado los datos de 1992 al 2002 en un archivo excel "datos producción industrial 1992-2002"</v>
      </c>
      <c r="L7" s="730" t="s">
        <v>136</v>
      </c>
      <c r="M7" s="730" t="s">
        <v>137</v>
      </c>
      <c r="N7" s="731"/>
      <c r="P7" s="727" t="s">
        <v>628</v>
      </c>
      <c r="Q7" s="728" t="s">
        <v>132</v>
      </c>
      <c r="R7" s="339" t="s">
        <v>138</v>
      </c>
      <c r="S7" s="339" t="s">
        <v>139</v>
      </c>
      <c r="T7" s="339" t="s">
        <v>139</v>
      </c>
      <c r="U7" s="720">
        <v>1</v>
      </c>
      <c r="V7" s="339" t="str">
        <f>'Fac Conv'!$B$109</f>
        <v>The Intergovernmental Panel on Climate Change. (2006). Directrices del IPCC de 2006 para los inventarios nacionales de gases de efecto invernadero. Obtenido de The Intergovernmental Panel on Climate Change: https://www.ipcc-nggip.iges.or.jp/public/2006gl/
( Volumen 5: Desechos - Pag 6.23 - Cuadro 6.8)</v>
      </c>
    </row>
    <row r="8" spans="2:51" s="44" customFormat="1" ht="155.25" customHeight="1">
      <c r="B8" s="718"/>
      <c r="C8" s="718"/>
      <c r="D8" s="726"/>
      <c r="E8" s="719"/>
      <c r="F8" s="729"/>
      <c r="G8" s="724"/>
      <c r="H8" s="340" t="s">
        <v>717</v>
      </c>
      <c r="I8" s="340" t="s">
        <v>144</v>
      </c>
      <c r="J8" s="685"/>
      <c r="K8" s="339" t="str">
        <f>'IB 5D2-(MYPE_I)(Pesca_A)_2021'!C130</f>
        <v>(1). Información de los años 2013 al 2022: Ministerio de la Producción (2023). Anuario Estadístico Pesquero y Acuícola 2022. Ministerio de la Producción. Lima: Oficina General de Evaluación de Impacto y Estudios Económicos. Obtenido en noviembre de 2023, de Ministerio de la Producción: https://ogeiee.produce.gob.pe/index.php/en/oee-documentos-publicaciones/publicaciones-anuales/item/1116-anuario-estadistico-pesquero-y-acuicola-2022  
(Ver cuadros de las páginas 79, 80, 82, 84 y 85, tiene datos más exactos en TMB)
(2). Información del año 2003 al 2012: Anuario Estadístico Pesquero y Acuícola 2012, disponible en https://www.produce.gob.pe/documentos/estadisticas/anuarios/anuario-estadistico-pesca-2012.pdf  (Páginas 55, 57, 58, 59 y 60)
https://www.produce.gob.pe/index.php/27-estadistica/84-anuario-estadistico
(3) Información del año 1992 al 2002: Instituto Nacional de Estadística e Informática. (s.f.). Series Nacionales: Instituto Nacional de Estadística e Informática. Recuperado el 15 de enero de 2024, de Instituto Nacional de Estadística e Informática: https://webapp.inei.gob.pe:8443/sirtod-series/
Se ha descargado los datos de 1992 al 2002 en un archivo excel "datos pesca 1992-2002"</v>
      </c>
      <c r="L8" s="730"/>
      <c r="M8" s="730"/>
      <c r="N8" s="731"/>
      <c r="P8" s="727"/>
      <c r="Q8" s="728"/>
      <c r="R8" s="339" t="s">
        <v>140</v>
      </c>
      <c r="S8" s="339" t="s">
        <v>139</v>
      </c>
      <c r="T8" s="339" t="s">
        <v>139</v>
      </c>
      <c r="U8" s="721"/>
      <c r="V8" s="339" t="str">
        <f>'Fac Conv'!$B$112</f>
        <v>The Intergovernmental Panel on Climate Change. (2006). Directrices del IPCC de 2006 para los inventarios nacionales de gases de efecto invernadero. Obtenido de The Intergovernmental Panel on Climate Change: https://www.ipcc-nggip.iges.or.jp/public/2006gl/
( Volumen 5: Desechos - Pag 6.23)</v>
      </c>
    </row>
    <row r="9" spans="2:51" s="44" customFormat="1" ht="85.5" customHeight="1">
      <c r="B9" s="718"/>
      <c r="C9" s="718"/>
      <c r="D9" s="726"/>
      <c r="E9" s="719"/>
      <c r="F9" s="729"/>
      <c r="G9" s="688" t="s">
        <v>145</v>
      </c>
      <c r="H9" s="342" t="str">
        <f>'IB 5D2 - Tipos de tratamiento'!$C$8</f>
        <v>Tipos de tratamiento de las aguas residuales industriales previos a su vertimiento al cuerpo de agua natural</v>
      </c>
      <c r="I9" s="344" t="s">
        <v>146</v>
      </c>
      <c r="J9" s="685"/>
      <c r="K9" s="343" t="str">
        <f>'IB 5D2 - Tipos de tratamiento'!$C$9</f>
        <v xml:space="preserve">Autoridad Nacional del Agua. (2020). Autorizaciones de vertimientos de aguas residuales tratadas (2009-2020) - Registro administrativo de vertimientos y reusos de aguas residuales tratadas. Información reportada por la Autoridad Nacional del Agua, en el marco de la elaboración del RAGEI 2016 (por Jorge Silva Morán). 
Ministerio del Ambiente - Ministerio de la Producción. (2021). Evaluación de tratamientos de efluentes industriales (para RAGEI 2016, por Inés Mendoza) a partir de información reportada por la Autoridad Nacional del Agua, en el marco de la elaboración del RAGEI 2016, de " autorizaciones de vertimientos de aguas residuales tratadas" de su "Registro administrativo de vertimientos y reusos de aguas residuales tratadas". </v>
      </c>
      <c r="L9" s="730"/>
      <c r="M9" s="730"/>
      <c r="N9" s="731"/>
      <c r="P9" s="727"/>
      <c r="Q9" s="728"/>
      <c r="R9" s="339" t="s">
        <v>141</v>
      </c>
      <c r="S9" s="341" t="s">
        <v>139</v>
      </c>
      <c r="T9" s="341" t="s">
        <v>139</v>
      </c>
      <c r="U9" s="721"/>
      <c r="V9" s="339" t="s">
        <v>142</v>
      </c>
    </row>
    <row r="10" spans="2:51" s="44" customFormat="1" ht="64.5" customHeight="1">
      <c r="B10" s="718"/>
      <c r="C10" s="718"/>
      <c r="D10" s="726"/>
      <c r="E10" s="719"/>
      <c r="F10" s="729"/>
      <c r="G10" s="687"/>
      <c r="H10" s="351" t="str">
        <f>'IB 5D2 - Tipos de tratamiento'!$C$32</f>
        <v>Grado de utilización de tecnologías de tratamiento de las aguas residuales domésticas (con red de alcantarillado - solo EPS). Se excluye los % no tratados.</v>
      </c>
      <c r="I10" s="349" t="s">
        <v>147</v>
      </c>
      <c r="J10" s="686"/>
      <c r="K10" s="343" t="str">
        <f>'IB 5D2 - Tipos de tratamiento'!$C$33</f>
        <v xml:space="preserve">Ministerio del Ambiente. (2023). RAGEI 5D1 Tratamiento y Eliminación de Aguas Residuales Domésticas año 2021 - Información de avance a diciembre del 2023. </v>
      </c>
      <c r="L10" s="730"/>
      <c r="M10" s="730"/>
      <c r="N10" s="731"/>
      <c r="P10" s="727"/>
      <c r="Q10" s="728"/>
      <c r="R10" s="339" t="s">
        <v>143</v>
      </c>
      <c r="S10" s="341" t="s">
        <v>139</v>
      </c>
      <c r="T10" s="341" t="s">
        <v>139</v>
      </c>
      <c r="U10" s="722"/>
      <c r="V10" s="339" t="s">
        <v>142</v>
      </c>
    </row>
  </sheetData>
  <mergeCells count="13">
    <mergeCell ref="B7:B10"/>
    <mergeCell ref="E7:E10"/>
    <mergeCell ref="U7:U10"/>
    <mergeCell ref="G7:G8"/>
    <mergeCell ref="B4:D4"/>
    <mergeCell ref="D7:D10"/>
    <mergeCell ref="C7:C10"/>
    <mergeCell ref="P7:P10"/>
    <mergeCell ref="Q7:Q10"/>
    <mergeCell ref="F7:F10"/>
    <mergeCell ref="L7:L10"/>
    <mergeCell ref="M7:M10"/>
    <mergeCell ref="N7:N10"/>
  </mergeCells>
  <phoneticPr fontId="16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DD7EE"/>
    <pageSetUpPr fitToPage="1"/>
  </sheetPr>
  <dimension ref="A1:AV146"/>
  <sheetViews>
    <sheetView showGridLines="0" zoomScale="86" zoomScaleNormal="86" workbookViewId="0">
      <selection activeCell="C9" sqref="C9:AH9"/>
    </sheetView>
  </sheetViews>
  <sheetFormatPr baseColWidth="10" defaultColWidth="11.42578125" defaultRowHeight="14.25" customHeight="1"/>
  <cols>
    <col min="1" max="1" width="1.28515625" style="1" customWidth="1"/>
    <col min="2" max="2" width="12.5703125" style="1" customWidth="1"/>
    <col min="3" max="3" width="22.5703125" style="1" customWidth="1"/>
    <col min="4" max="4" width="57.85546875" style="1" customWidth="1"/>
    <col min="5" max="5" width="13.28515625" style="33" customWidth="1"/>
    <col min="6" max="26" width="15.7109375" style="33" customWidth="1"/>
    <col min="27" max="33" width="16.7109375" style="33" customWidth="1"/>
    <col min="34" max="34" width="16.7109375" style="79" customWidth="1"/>
    <col min="35" max="36" width="16.7109375" style="1" customWidth="1"/>
    <col min="37" max="38" width="13.28515625" style="33" customWidth="1"/>
    <col min="39" max="39" width="15.42578125" style="33" bestFit="1" customWidth="1"/>
    <col min="40" max="40" width="14.28515625" style="1" customWidth="1"/>
    <col min="41" max="41" width="10.28515625" style="1" customWidth="1"/>
    <col min="42" max="42" width="15" style="1" customWidth="1"/>
    <col min="43" max="43" width="50.85546875" style="1" customWidth="1"/>
    <col min="44" max="44" width="16.42578125" style="1" customWidth="1"/>
    <col min="45" max="46" width="11.42578125" style="1" customWidth="1"/>
    <col min="47" max="16384" width="11.42578125" style="1"/>
  </cols>
  <sheetData>
    <row r="1" spans="1:48" s="62" customFormat="1" ht="14.45" customHeight="1">
      <c r="B1" s="62" t="s">
        <v>148</v>
      </c>
      <c r="AI1" s="65"/>
      <c r="AJ1" s="65"/>
      <c r="AK1" s="64"/>
      <c r="AL1" s="66"/>
      <c r="AM1" s="55"/>
      <c r="AN1" s="55"/>
      <c r="AO1" s="64"/>
      <c r="AP1" s="64"/>
      <c r="AQ1" s="55"/>
      <c r="AS1" s="55"/>
      <c r="AT1" s="55"/>
      <c r="AU1" s="55"/>
      <c r="AV1" s="64"/>
    </row>
    <row r="2" spans="1:48" s="67" customFormat="1" ht="41.25" customHeight="1">
      <c r="B2" s="754" t="s">
        <v>577</v>
      </c>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0"/>
      <c r="AJ2" s="70"/>
      <c r="AK2" s="69"/>
      <c r="AL2" s="71"/>
      <c r="AM2" s="61"/>
      <c r="AN2" s="61"/>
      <c r="AO2" s="69"/>
      <c r="AP2" s="69"/>
      <c r="AQ2" s="61"/>
      <c r="AS2" s="61"/>
      <c r="AT2" s="61"/>
      <c r="AU2" s="61"/>
      <c r="AV2" s="69"/>
    </row>
    <row r="3" spans="1:48" s="54" customFormat="1" ht="12.75">
      <c r="C3" s="55"/>
      <c r="D3" s="56"/>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6"/>
      <c r="AI3" s="59"/>
      <c r="AJ3" s="59"/>
      <c r="AK3" s="58"/>
      <c r="AL3" s="60"/>
      <c r="AM3" s="56"/>
      <c r="AN3" s="56"/>
      <c r="AO3" s="58"/>
      <c r="AP3" s="58"/>
      <c r="AQ3" s="56"/>
      <c r="AS3" s="56"/>
      <c r="AT3" s="56"/>
      <c r="AU3" s="56"/>
      <c r="AV3" s="58"/>
    </row>
    <row r="4" spans="1:48" s="72" customFormat="1" ht="12">
      <c r="C4" s="72" t="s">
        <v>149</v>
      </c>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row>
    <row r="5" spans="1:48" ht="14.25" customHeight="1">
      <c r="AK5" s="1"/>
      <c r="AL5" s="1"/>
    </row>
    <row r="6" spans="1:48" ht="14.25" customHeight="1">
      <c r="B6" s="755" t="s">
        <v>150</v>
      </c>
      <c r="C6" s="756"/>
      <c r="D6" s="756"/>
      <c r="E6" s="756"/>
      <c r="F6" s="756"/>
      <c r="G6" s="756"/>
      <c r="H6" s="756"/>
      <c r="I6" s="75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7"/>
      <c r="AI6" s="24" t="s">
        <v>151</v>
      </c>
      <c r="AJ6" s="33"/>
      <c r="AO6" s="25"/>
      <c r="AP6" s="26"/>
      <c r="AQ6" s="26"/>
      <c r="AR6" s="27"/>
    </row>
    <row r="7" spans="1:48" ht="14.25" customHeight="1">
      <c r="A7" s="24"/>
      <c r="B7" s="78" t="s">
        <v>152</v>
      </c>
      <c r="C7" s="758" t="s">
        <v>628</v>
      </c>
      <c r="D7" s="759"/>
      <c r="E7" s="759"/>
      <c r="F7" s="759"/>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60"/>
      <c r="AI7" s="33"/>
      <c r="AJ7" s="33"/>
      <c r="AM7" s="24"/>
      <c r="AO7"/>
      <c r="AP7" s="26"/>
      <c r="AQ7" s="26"/>
      <c r="AR7" s="27"/>
    </row>
    <row r="8" spans="1:48" ht="14.25" customHeight="1">
      <c r="A8" s="24"/>
      <c r="B8" s="78" t="s">
        <v>153</v>
      </c>
      <c r="C8" s="761" t="s">
        <v>154</v>
      </c>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3"/>
      <c r="AI8" s="33"/>
      <c r="AJ8" s="33"/>
    </row>
    <row r="9" spans="1:48" ht="66" customHeight="1">
      <c r="A9" s="24"/>
      <c r="B9" s="73" t="s">
        <v>155</v>
      </c>
      <c r="C9" s="761" t="s">
        <v>697</v>
      </c>
      <c r="D9" s="762"/>
      <c r="E9" s="762"/>
      <c r="F9" s="762"/>
      <c r="G9" s="762"/>
      <c r="H9" s="762"/>
      <c r="I9" s="762"/>
      <c r="J9" s="762"/>
      <c r="K9" s="762"/>
      <c r="L9" s="762"/>
      <c r="M9" s="762"/>
      <c r="N9" s="762"/>
      <c r="O9" s="762"/>
      <c r="P9" s="762"/>
      <c r="Q9" s="762"/>
      <c r="R9" s="762"/>
      <c r="S9" s="762"/>
      <c r="T9" s="762"/>
      <c r="U9" s="762"/>
      <c r="V9" s="762"/>
      <c r="W9" s="762"/>
      <c r="X9" s="762"/>
      <c r="Y9" s="762"/>
      <c r="Z9" s="762"/>
      <c r="AA9" s="762"/>
      <c r="AB9" s="762"/>
      <c r="AC9" s="762"/>
      <c r="AD9" s="762"/>
      <c r="AE9" s="762"/>
      <c r="AF9" s="762"/>
      <c r="AG9" s="762"/>
      <c r="AH9" s="763"/>
      <c r="AI9" s="33"/>
      <c r="AJ9" s="33"/>
    </row>
    <row r="10" spans="1:48" ht="54" customHeight="1">
      <c r="A10" s="24"/>
      <c r="B10" s="78" t="s">
        <v>156</v>
      </c>
      <c r="C10" s="764" t="s">
        <v>696</v>
      </c>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3"/>
      <c r="AK10" s="1"/>
    </row>
    <row r="11" spans="1:48" ht="15" customHeight="1">
      <c r="A11" s="24"/>
      <c r="B11" s="74" t="s">
        <v>157</v>
      </c>
      <c r="C11" s="761"/>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3"/>
      <c r="AI11" s="33"/>
      <c r="AJ11" s="33"/>
    </row>
    <row r="12" spans="1:48" ht="14.25" customHeight="1" thickBot="1">
      <c r="C12" s="313"/>
    </row>
    <row r="13" spans="1:48" ht="14.25" customHeight="1">
      <c r="E13" s="1"/>
      <c r="F13" s="527" t="s">
        <v>686</v>
      </c>
      <c r="G13" s="528" t="s">
        <v>687</v>
      </c>
      <c r="H13" s="528" t="s">
        <v>688</v>
      </c>
      <c r="I13" s="528" t="s">
        <v>689</v>
      </c>
      <c r="J13" s="528" t="s">
        <v>690</v>
      </c>
      <c r="K13" s="528" t="s">
        <v>691</v>
      </c>
      <c r="L13" s="528" t="s">
        <v>692</v>
      </c>
      <c r="M13" s="528" t="s">
        <v>693</v>
      </c>
      <c r="N13" s="528" t="s">
        <v>303</v>
      </c>
      <c r="O13" s="528" t="s">
        <v>592</v>
      </c>
      <c r="P13" s="529" t="s">
        <v>593</v>
      </c>
      <c r="Q13" s="527" t="s">
        <v>594</v>
      </c>
      <c r="R13" s="528" t="s">
        <v>595</v>
      </c>
      <c r="S13" s="528" t="s">
        <v>301</v>
      </c>
      <c r="T13" s="528" t="s">
        <v>596</v>
      </c>
      <c r="U13" s="528" t="s">
        <v>597</v>
      </c>
      <c r="V13" s="528" t="s">
        <v>598</v>
      </c>
      <c r="W13" s="528" t="s">
        <v>591</v>
      </c>
      <c r="X13" s="528" t="s">
        <v>298</v>
      </c>
      <c r="Y13" s="529" t="s">
        <v>589</v>
      </c>
      <c r="Z13" s="562" t="s">
        <v>297</v>
      </c>
      <c r="AA13" s="548" t="s">
        <v>590</v>
      </c>
      <c r="AB13" s="361" t="s">
        <v>296</v>
      </c>
      <c r="AC13" s="361" t="s">
        <v>588</v>
      </c>
      <c r="AD13" s="361" t="s">
        <v>295</v>
      </c>
      <c r="AE13" s="361" t="s">
        <v>586</v>
      </c>
      <c r="AF13" s="361" t="s">
        <v>587</v>
      </c>
      <c r="AG13" s="361" t="s">
        <v>158</v>
      </c>
      <c r="AH13" s="361" t="s">
        <v>576</v>
      </c>
      <c r="AI13" s="361" t="s">
        <v>578</v>
      </c>
      <c r="AJ13" s="361" t="s">
        <v>579</v>
      </c>
      <c r="AK13" s="1"/>
      <c r="AL13" s="1"/>
      <c r="AM13" s="1"/>
      <c r="AN13" s="4"/>
    </row>
    <row r="14" spans="1:48" ht="39.75" customHeight="1">
      <c r="C14" s="80" t="s">
        <v>159</v>
      </c>
      <c r="D14" s="82" t="s">
        <v>160</v>
      </c>
      <c r="E14" s="574" t="s">
        <v>161</v>
      </c>
      <c r="F14" s="530" t="s">
        <v>162</v>
      </c>
      <c r="G14" s="84" t="s">
        <v>162</v>
      </c>
      <c r="H14" s="84" t="s">
        <v>162</v>
      </c>
      <c r="I14" s="84" t="s">
        <v>162</v>
      </c>
      <c r="J14" s="84" t="s">
        <v>162</v>
      </c>
      <c r="K14" s="84" t="s">
        <v>162</v>
      </c>
      <c r="L14" s="84" t="s">
        <v>162</v>
      </c>
      <c r="M14" s="84" t="s">
        <v>162</v>
      </c>
      <c r="N14" s="84" t="s">
        <v>162</v>
      </c>
      <c r="O14" s="84" t="s">
        <v>162</v>
      </c>
      <c r="P14" s="531" t="s">
        <v>162</v>
      </c>
      <c r="Q14" s="530" t="s">
        <v>162</v>
      </c>
      <c r="R14" s="84" t="s">
        <v>162</v>
      </c>
      <c r="S14" s="84" t="s">
        <v>162</v>
      </c>
      <c r="T14" s="84" t="s">
        <v>162</v>
      </c>
      <c r="U14" s="84" t="s">
        <v>162</v>
      </c>
      <c r="V14" s="84" t="s">
        <v>162</v>
      </c>
      <c r="W14" s="84" t="s">
        <v>162</v>
      </c>
      <c r="X14" s="84" t="s">
        <v>162</v>
      </c>
      <c r="Y14" s="531" t="s">
        <v>162</v>
      </c>
      <c r="Z14" s="563" t="s">
        <v>162</v>
      </c>
      <c r="AA14" s="517" t="s">
        <v>162</v>
      </c>
      <c r="AB14" s="84" t="s">
        <v>162</v>
      </c>
      <c r="AC14" s="84" t="s">
        <v>162</v>
      </c>
      <c r="AD14" s="84" t="s">
        <v>162</v>
      </c>
      <c r="AE14" s="84" t="s">
        <v>162</v>
      </c>
      <c r="AF14" s="84" t="s">
        <v>162</v>
      </c>
      <c r="AG14" s="84" t="s">
        <v>162</v>
      </c>
      <c r="AH14" s="84" t="s">
        <v>162</v>
      </c>
      <c r="AI14" s="84" t="s">
        <v>162</v>
      </c>
      <c r="AJ14" s="84" t="s">
        <v>162</v>
      </c>
      <c r="AK14" s="1"/>
      <c r="AL14" s="1"/>
      <c r="AM14" s="1"/>
      <c r="AN14" s="4"/>
    </row>
    <row r="15" spans="1:48" ht="14.25" customHeight="1">
      <c r="A15" s="4"/>
      <c r="C15" s="751" t="s">
        <v>163</v>
      </c>
      <c r="D15" s="85" t="s">
        <v>164</v>
      </c>
      <c r="E15" s="509" t="s">
        <v>165</v>
      </c>
      <c r="F15" s="532" t="s">
        <v>206</v>
      </c>
      <c r="G15" s="104" t="s">
        <v>206</v>
      </c>
      <c r="H15" s="104" t="s">
        <v>206</v>
      </c>
      <c r="I15" s="104" t="s">
        <v>206</v>
      </c>
      <c r="J15" s="104" t="s">
        <v>206</v>
      </c>
      <c r="K15" s="104" t="s">
        <v>206</v>
      </c>
      <c r="L15" s="104" t="s">
        <v>206</v>
      </c>
      <c r="M15" s="104" t="s">
        <v>206</v>
      </c>
      <c r="N15" s="104" t="s">
        <v>206</v>
      </c>
      <c r="O15" s="104" t="s">
        <v>206</v>
      </c>
      <c r="P15" s="533" t="s">
        <v>206</v>
      </c>
      <c r="Q15" s="532" t="s">
        <v>206</v>
      </c>
      <c r="R15" s="104" t="s">
        <v>206</v>
      </c>
      <c r="S15" s="104" t="s">
        <v>206</v>
      </c>
      <c r="T15" s="104" t="s">
        <v>206</v>
      </c>
      <c r="U15" s="104" t="s">
        <v>206</v>
      </c>
      <c r="V15" s="104" t="s">
        <v>206</v>
      </c>
      <c r="W15" s="104" t="s">
        <v>206</v>
      </c>
      <c r="X15" s="104" t="s">
        <v>206</v>
      </c>
      <c r="Y15" s="533" t="s">
        <v>206</v>
      </c>
      <c r="Z15" s="564">
        <v>1774000</v>
      </c>
      <c r="AA15" s="518">
        <v>1899000</v>
      </c>
      <c r="AB15" s="86">
        <v>1849000</v>
      </c>
      <c r="AC15" s="86">
        <v>1833671</v>
      </c>
      <c r="AD15" s="86">
        <v>1826000</v>
      </c>
      <c r="AE15" s="86">
        <v>1713716</v>
      </c>
      <c r="AF15" s="86">
        <v>1827000</v>
      </c>
      <c r="AG15" s="86">
        <v>2022370</v>
      </c>
      <c r="AH15" s="86">
        <v>1691300</v>
      </c>
      <c r="AI15" s="86">
        <v>1983169</v>
      </c>
      <c r="AJ15" s="86">
        <v>1842483</v>
      </c>
      <c r="AK15" s="1"/>
      <c r="AL15" s="1"/>
      <c r="AM15" s="1"/>
      <c r="AN15" s="28"/>
    </row>
    <row r="16" spans="1:48" ht="14.25" customHeight="1">
      <c r="A16" s="4"/>
      <c r="C16" s="752"/>
      <c r="D16" s="87" t="s">
        <v>166</v>
      </c>
      <c r="E16" s="510" t="s">
        <v>165</v>
      </c>
      <c r="F16" s="534" t="s">
        <v>206</v>
      </c>
      <c r="G16" s="92" t="s">
        <v>206</v>
      </c>
      <c r="H16" s="92" t="s">
        <v>206</v>
      </c>
      <c r="I16" s="92" t="s">
        <v>206</v>
      </c>
      <c r="J16" s="92" t="s">
        <v>206</v>
      </c>
      <c r="K16" s="92" t="s">
        <v>206</v>
      </c>
      <c r="L16" s="93" t="s">
        <v>206</v>
      </c>
      <c r="M16" s="93" t="s">
        <v>206</v>
      </c>
      <c r="N16" s="93" t="s">
        <v>206</v>
      </c>
      <c r="O16" s="93" t="s">
        <v>206</v>
      </c>
      <c r="P16" s="535" t="s">
        <v>206</v>
      </c>
      <c r="Q16" s="534" t="s">
        <v>206</v>
      </c>
      <c r="R16" s="93" t="s">
        <v>206</v>
      </c>
      <c r="S16" s="93" t="s">
        <v>206</v>
      </c>
      <c r="T16" s="93" t="s">
        <v>206</v>
      </c>
      <c r="U16" s="93" t="s">
        <v>206</v>
      </c>
      <c r="V16" s="93" t="s">
        <v>206</v>
      </c>
      <c r="W16" s="93" t="s">
        <v>206</v>
      </c>
      <c r="X16" s="93" t="s">
        <v>206</v>
      </c>
      <c r="Y16" s="535" t="s">
        <v>206</v>
      </c>
      <c r="Z16" s="565">
        <v>5448000</v>
      </c>
      <c r="AA16" s="519">
        <v>6027000</v>
      </c>
      <c r="AB16" s="88">
        <v>6354000</v>
      </c>
      <c r="AC16" s="88">
        <v>6749065</v>
      </c>
      <c r="AD16" s="88">
        <v>6357000</v>
      </c>
      <c r="AE16" s="88">
        <v>6968000</v>
      </c>
      <c r="AF16" s="88">
        <v>7999000</v>
      </c>
      <c r="AG16" s="88">
        <v>7365040</v>
      </c>
      <c r="AH16" s="88">
        <v>6085700</v>
      </c>
      <c r="AI16" s="88">
        <v>6747514</v>
      </c>
      <c r="AJ16" s="88">
        <v>7682840</v>
      </c>
      <c r="AK16" s="1"/>
      <c r="AL16" s="1"/>
      <c r="AM16" s="1"/>
      <c r="AN16" s="28"/>
    </row>
    <row r="17" spans="1:40" ht="14.25" customHeight="1">
      <c r="A17" s="4"/>
      <c r="C17" s="752"/>
      <c r="D17" s="87" t="s">
        <v>167</v>
      </c>
      <c r="E17" s="510" t="s">
        <v>700</v>
      </c>
      <c r="F17" s="534" t="s">
        <v>206</v>
      </c>
      <c r="G17" s="92" t="s">
        <v>206</v>
      </c>
      <c r="H17" s="92" t="s">
        <v>206</v>
      </c>
      <c r="I17" s="92" t="s">
        <v>206</v>
      </c>
      <c r="J17" s="92" t="s">
        <v>206</v>
      </c>
      <c r="K17" s="92" t="s">
        <v>206</v>
      </c>
      <c r="L17" s="88">
        <f>8533</f>
        <v>8533</v>
      </c>
      <c r="M17" s="88">
        <f>9592</f>
        <v>9592</v>
      </c>
      <c r="N17" s="88">
        <f>10159</f>
        <v>10159</v>
      </c>
      <c r="O17" s="88">
        <f>10337</f>
        <v>10337</v>
      </c>
      <c r="P17" s="537">
        <f>12145</f>
        <v>12145</v>
      </c>
      <c r="Q17" s="536">
        <v>12520000</v>
      </c>
      <c r="R17" s="88">
        <v>12738400</v>
      </c>
      <c r="S17" s="88">
        <v>13010000</v>
      </c>
      <c r="T17" s="88">
        <v>15708000</v>
      </c>
      <c r="U17" s="88">
        <v>17542000</v>
      </c>
      <c r="V17" s="88">
        <v>20879000</v>
      </c>
      <c r="W17" s="88">
        <v>21175000</v>
      </c>
      <c r="X17" s="88">
        <v>22240000</v>
      </c>
      <c r="Y17" s="537">
        <v>23307000</v>
      </c>
      <c r="Z17" s="565">
        <v>23352000</v>
      </c>
      <c r="AA17" s="519">
        <v>24446000</v>
      </c>
      <c r="AB17" s="88">
        <v>25534000</v>
      </c>
      <c r="AC17" s="88">
        <v>24981493</v>
      </c>
      <c r="AD17" s="88">
        <v>27297300</v>
      </c>
      <c r="AE17" s="88">
        <v>31159000</v>
      </c>
      <c r="AF17" s="88">
        <v>41746000</v>
      </c>
      <c r="AG17" s="88">
        <v>32274220</v>
      </c>
      <c r="AH17" s="88">
        <v>29276000</v>
      </c>
      <c r="AI17" s="88">
        <v>28847632</v>
      </c>
      <c r="AJ17" s="88">
        <v>30529258</v>
      </c>
      <c r="AK17" s="1"/>
      <c r="AL17" s="1"/>
      <c r="AM17" s="1"/>
      <c r="AN17" s="28"/>
    </row>
    <row r="18" spans="1:40" ht="14.25" customHeight="1">
      <c r="A18" s="4"/>
      <c r="C18" s="752"/>
      <c r="D18" s="87" t="s">
        <v>168</v>
      </c>
      <c r="E18" s="510" t="s">
        <v>700</v>
      </c>
      <c r="F18" s="534" t="s">
        <v>206</v>
      </c>
      <c r="G18" s="92" t="s">
        <v>206</v>
      </c>
      <c r="H18" s="92" t="s">
        <v>206</v>
      </c>
      <c r="I18" s="92" t="s">
        <v>206</v>
      </c>
      <c r="J18" s="92" t="s">
        <v>206</v>
      </c>
      <c r="K18" s="92" t="s">
        <v>206</v>
      </c>
      <c r="L18" s="88">
        <f>2805</f>
        <v>2805</v>
      </c>
      <c r="M18" s="88">
        <f>2741.3</f>
        <v>2741.3</v>
      </c>
      <c r="N18" s="88">
        <f>2903</f>
        <v>2903</v>
      </c>
      <c r="O18" s="88">
        <f>2950</f>
        <v>2950</v>
      </c>
      <c r="P18" s="537">
        <f>3035</f>
        <v>3035</v>
      </c>
      <c r="Q18" s="536">
        <v>3212000</v>
      </c>
      <c r="R18" s="88">
        <v>3425800</v>
      </c>
      <c r="S18" s="88">
        <v>3705000</v>
      </c>
      <c r="T18" s="88">
        <v>4011000</v>
      </c>
      <c r="U18" s="88">
        <v>4376000</v>
      </c>
      <c r="V18" s="88">
        <v>4807000</v>
      </c>
      <c r="W18" s="88">
        <v>4861000</v>
      </c>
      <c r="X18" s="88">
        <v>5496000</v>
      </c>
      <c r="Y18" s="537">
        <v>6072000</v>
      </c>
      <c r="Z18" s="565">
        <v>6477000</v>
      </c>
      <c r="AA18" s="519">
        <v>7138000</v>
      </c>
      <c r="AB18" s="88">
        <v>7536601</v>
      </c>
      <c r="AC18" s="88">
        <v>7486960</v>
      </c>
      <c r="AD18" s="88">
        <v>7045400</v>
      </c>
      <c r="AE18" s="88">
        <v>7192157</v>
      </c>
      <c r="AF18" s="88">
        <v>9216000</v>
      </c>
      <c r="AG18" s="88">
        <v>8939330</v>
      </c>
      <c r="AH18" s="88">
        <v>8047100</v>
      </c>
      <c r="AI18" s="88">
        <v>9220800</v>
      </c>
      <c r="AJ18" s="88">
        <v>10129062</v>
      </c>
      <c r="AK18" s="1"/>
      <c r="AL18" s="1"/>
      <c r="AM18" s="1"/>
      <c r="AN18" s="28"/>
    </row>
    <row r="19" spans="1:40" ht="14.25" customHeight="1">
      <c r="A19" s="4"/>
      <c r="C19" s="752"/>
      <c r="D19" s="87" t="s">
        <v>169</v>
      </c>
      <c r="E19" s="510" t="s">
        <v>700</v>
      </c>
      <c r="F19" s="534" t="s">
        <v>206</v>
      </c>
      <c r="G19" s="92" t="s">
        <v>206</v>
      </c>
      <c r="H19" s="92" t="s">
        <v>206</v>
      </c>
      <c r="I19" s="92" t="s">
        <v>206</v>
      </c>
      <c r="J19" s="92" t="s">
        <v>206</v>
      </c>
      <c r="K19" s="92" t="s">
        <v>206</v>
      </c>
      <c r="L19" s="88">
        <f>6078</f>
        <v>6078</v>
      </c>
      <c r="M19" s="88">
        <f>6149</f>
        <v>6149</v>
      </c>
      <c r="N19" s="88">
        <f>6692</f>
        <v>6692</v>
      </c>
      <c r="O19" s="88">
        <f>6987</f>
        <v>6987</v>
      </c>
      <c r="P19" s="537">
        <f>8315</f>
        <v>8315</v>
      </c>
      <c r="Q19" s="536">
        <v>8170000</v>
      </c>
      <c r="R19" s="88">
        <v>8498500</v>
      </c>
      <c r="S19" s="88">
        <v>8642000</v>
      </c>
      <c r="T19" s="88">
        <v>9289000</v>
      </c>
      <c r="U19" s="88">
        <v>9867000</v>
      </c>
      <c r="V19" s="88">
        <v>10758000</v>
      </c>
      <c r="W19" s="88">
        <v>10889000</v>
      </c>
      <c r="X19" s="88">
        <v>11012000</v>
      </c>
      <c r="Y19" s="537">
        <v>11250000</v>
      </c>
      <c r="Z19" s="565">
        <v>11668250</v>
      </c>
      <c r="AA19" s="519">
        <v>12146000</v>
      </c>
      <c r="AB19" s="88">
        <v>11911000</v>
      </c>
      <c r="AC19" s="88">
        <v>11575419</v>
      </c>
      <c r="AD19" s="88">
        <v>11690000</v>
      </c>
      <c r="AE19" s="88">
        <v>12679654</v>
      </c>
      <c r="AF19" s="88">
        <v>15361000</v>
      </c>
      <c r="AG19" s="88">
        <v>11938880</v>
      </c>
      <c r="AH19" s="88">
        <v>10173000</v>
      </c>
      <c r="AI19" s="88">
        <v>10471839</v>
      </c>
      <c r="AJ19" s="88">
        <v>11232998</v>
      </c>
      <c r="AK19" s="1"/>
      <c r="AL19" s="1"/>
      <c r="AM19" s="1"/>
      <c r="AN19" s="28"/>
    </row>
    <row r="20" spans="1:40" ht="14.25" customHeight="1">
      <c r="A20" s="4"/>
      <c r="C20" s="752"/>
      <c r="D20" s="87" t="s">
        <v>170</v>
      </c>
      <c r="E20" s="510" t="s">
        <v>165</v>
      </c>
      <c r="F20" s="534" t="s">
        <v>206</v>
      </c>
      <c r="G20" s="92" t="s">
        <v>206</v>
      </c>
      <c r="H20" s="92" t="s">
        <v>206</v>
      </c>
      <c r="I20" s="92" t="s">
        <v>206</v>
      </c>
      <c r="J20" s="92" t="s">
        <v>206</v>
      </c>
      <c r="K20" s="92" t="s">
        <v>206</v>
      </c>
      <c r="L20" s="92" t="s">
        <v>206</v>
      </c>
      <c r="M20" s="92" t="s">
        <v>206</v>
      </c>
      <c r="N20" s="92" t="s">
        <v>206</v>
      </c>
      <c r="O20" s="92" t="s">
        <v>206</v>
      </c>
      <c r="P20" s="559" t="s">
        <v>206</v>
      </c>
      <c r="Q20" s="534" t="s">
        <v>206</v>
      </c>
      <c r="R20" s="93" t="s">
        <v>206</v>
      </c>
      <c r="S20" s="93" t="s">
        <v>206</v>
      </c>
      <c r="T20" s="93" t="s">
        <v>206</v>
      </c>
      <c r="U20" s="93" t="s">
        <v>206</v>
      </c>
      <c r="V20" s="93" t="s">
        <v>206</v>
      </c>
      <c r="W20" s="93" t="s">
        <v>206</v>
      </c>
      <c r="X20" s="93" t="s">
        <v>206</v>
      </c>
      <c r="Y20" s="535" t="s">
        <v>206</v>
      </c>
      <c r="Z20" s="565">
        <v>514000</v>
      </c>
      <c r="AA20" s="519">
        <v>571000</v>
      </c>
      <c r="AB20" s="88">
        <v>636000</v>
      </c>
      <c r="AC20" s="88">
        <v>571615</v>
      </c>
      <c r="AD20" s="88">
        <v>891400</v>
      </c>
      <c r="AE20" s="88">
        <v>563754</v>
      </c>
      <c r="AF20" s="88">
        <v>377000</v>
      </c>
      <c r="AG20" s="88">
        <v>574720</v>
      </c>
      <c r="AH20" s="88">
        <v>571000</v>
      </c>
      <c r="AI20" s="88">
        <v>588058</v>
      </c>
      <c r="AJ20" s="88">
        <v>556631</v>
      </c>
      <c r="AK20" s="1"/>
      <c r="AL20" s="1"/>
      <c r="AM20" s="1"/>
      <c r="AN20" s="28"/>
    </row>
    <row r="21" spans="1:40" ht="14.25" customHeight="1">
      <c r="A21" s="4"/>
      <c r="C21" s="752"/>
      <c r="D21" s="89" t="s">
        <v>171</v>
      </c>
      <c r="E21" s="510" t="s">
        <v>107</v>
      </c>
      <c r="F21" s="534" t="s">
        <v>206</v>
      </c>
      <c r="G21" s="92" t="s">
        <v>206</v>
      </c>
      <c r="H21" s="92" t="s">
        <v>206</v>
      </c>
      <c r="I21" s="88">
        <v>410800</v>
      </c>
      <c r="J21" s="88">
        <v>410500</v>
      </c>
      <c r="K21" s="88">
        <v>443900</v>
      </c>
      <c r="L21" s="88">
        <v>490300</v>
      </c>
      <c r="M21" s="88">
        <v>553600</v>
      </c>
      <c r="N21" s="88">
        <v>609798</v>
      </c>
      <c r="O21" s="88">
        <v>622128</v>
      </c>
      <c r="P21" s="537">
        <v>661275</v>
      </c>
      <c r="Q21" s="536">
        <v>443361</v>
      </c>
      <c r="R21" s="88">
        <v>443899</v>
      </c>
      <c r="S21" s="88">
        <v>498822</v>
      </c>
      <c r="T21" s="88">
        <v>544949</v>
      </c>
      <c r="U21" s="88">
        <v>583552</v>
      </c>
      <c r="V21" s="88">
        <v>672855</v>
      </c>
      <c r="W21" s="88">
        <v>739772</v>
      </c>
      <c r="X21" s="88">
        <v>782365</v>
      </c>
      <c r="Y21" s="537">
        <v>827131</v>
      </c>
      <c r="Z21" s="565">
        <v>1171467</v>
      </c>
      <c r="AA21" s="519">
        <v>1202612</v>
      </c>
      <c r="AB21" s="88">
        <v>1317440</v>
      </c>
      <c r="AC21" s="88">
        <v>1423590</v>
      </c>
      <c r="AD21" s="88">
        <v>1513960</v>
      </c>
      <c r="AE21" s="88">
        <v>1569280</v>
      </c>
      <c r="AF21" s="88">
        <v>1687610</v>
      </c>
      <c r="AG21" s="88">
        <v>1762850</v>
      </c>
      <c r="AH21" s="88">
        <v>1728460</v>
      </c>
      <c r="AI21" s="88">
        <v>1751608</v>
      </c>
      <c r="AJ21" s="88">
        <v>1789903</v>
      </c>
      <c r="AK21" s="1"/>
      <c r="AL21" s="1"/>
      <c r="AM21" s="1"/>
      <c r="AN21" s="28"/>
    </row>
    <row r="22" spans="1:40" ht="14.25" customHeight="1">
      <c r="A22" s="4"/>
      <c r="C22" s="752"/>
      <c r="D22" s="89" t="s">
        <v>172</v>
      </c>
      <c r="E22" s="510" t="s">
        <v>107</v>
      </c>
      <c r="F22" s="534" t="s">
        <v>206</v>
      </c>
      <c r="G22" s="92" t="s">
        <v>206</v>
      </c>
      <c r="H22" s="92" t="s">
        <v>206</v>
      </c>
      <c r="I22" s="92" t="s">
        <v>206</v>
      </c>
      <c r="J22" s="92" t="s">
        <v>206</v>
      </c>
      <c r="K22" s="92" t="s">
        <v>206</v>
      </c>
      <c r="L22" s="92" t="s">
        <v>206</v>
      </c>
      <c r="M22" s="92" t="s">
        <v>206</v>
      </c>
      <c r="N22" s="92" t="s">
        <v>206</v>
      </c>
      <c r="O22" s="92" t="s">
        <v>206</v>
      </c>
      <c r="P22" s="559" t="s">
        <v>206</v>
      </c>
      <c r="Q22" s="534" t="s">
        <v>206</v>
      </c>
      <c r="R22" s="93" t="s">
        <v>206</v>
      </c>
      <c r="S22" s="93" t="s">
        <v>206</v>
      </c>
      <c r="T22" s="93" t="s">
        <v>206</v>
      </c>
      <c r="U22" s="93" t="s">
        <v>206</v>
      </c>
      <c r="V22" s="93" t="s">
        <v>206</v>
      </c>
      <c r="W22" s="93" t="s">
        <v>206</v>
      </c>
      <c r="X22" s="93" t="s">
        <v>206</v>
      </c>
      <c r="Y22" s="535" t="s">
        <v>206</v>
      </c>
      <c r="Z22" s="565">
        <v>6376</v>
      </c>
      <c r="AA22" s="519">
        <v>6439</v>
      </c>
      <c r="AB22" s="88">
        <v>6170</v>
      </c>
      <c r="AC22" s="88">
        <v>5900</v>
      </c>
      <c r="AD22" s="88">
        <v>5820</v>
      </c>
      <c r="AE22" s="88">
        <v>5530</v>
      </c>
      <c r="AF22" s="88">
        <v>4920</v>
      </c>
      <c r="AG22" s="88">
        <v>5100</v>
      </c>
      <c r="AH22" s="88">
        <v>4970</v>
      </c>
      <c r="AI22" s="88">
        <v>4940</v>
      </c>
      <c r="AJ22" s="88">
        <v>4921</v>
      </c>
      <c r="AK22" s="1"/>
      <c r="AL22" s="1"/>
      <c r="AM22" s="1"/>
      <c r="AN22" s="28"/>
    </row>
    <row r="23" spans="1:40" ht="14.25" customHeight="1">
      <c r="A23" s="4"/>
      <c r="C23" s="752"/>
      <c r="D23" s="89" t="s">
        <v>173</v>
      </c>
      <c r="E23" s="510" t="s">
        <v>107</v>
      </c>
      <c r="F23" s="534" t="s">
        <v>206</v>
      </c>
      <c r="G23" s="92" t="s">
        <v>206</v>
      </c>
      <c r="H23" s="92" t="s">
        <v>206</v>
      </c>
      <c r="I23" s="92" t="s">
        <v>206</v>
      </c>
      <c r="J23" s="92" t="s">
        <v>206</v>
      </c>
      <c r="K23" s="92" t="s">
        <v>206</v>
      </c>
      <c r="L23" s="92" t="s">
        <v>206</v>
      </c>
      <c r="M23" s="92" t="s">
        <v>206</v>
      </c>
      <c r="N23" s="92" t="s">
        <v>206</v>
      </c>
      <c r="O23" s="92" t="s">
        <v>206</v>
      </c>
      <c r="P23" s="559" t="s">
        <v>206</v>
      </c>
      <c r="Q23" s="534" t="s">
        <v>206</v>
      </c>
      <c r="R23" s="93" t="s">
        <v>206</v>
      </c>
      <c r="S23" s="93" t="s">
        <v>206</v>
      </c>
      <c r="T23" s="93" t="s">
        <v>206</v>
      </c>
      <c r="U23" s="93" t="s">
        <v>206</v>
      </c>
      <c r="V23" s="93" t="s">
        <v>206</v>
      </c>
      <c r="W23" s="93" t="s">
        <v>206</v>
      </c>
      <c r="X23" s="93" t="s">
        <v>206</v>
      </c>
      <c r="Y23" s="535" t="s">
        <v>206</v>
      </c>
      <c r="Z23" s="565">
        <v>126226</v>
      </c>
      <c r="AA23" s="519">
        <v>127684</v>
      </c>
      <c r="AB23" s="88">
        <v>135390</v>
      </c>
      <c r="AC23" s="88">
        <v>142620</v>
      </c>
      <c r="AD23" s="88">
        <v>153090</v>
      </c>
      <c r="AE23" s="88">
        <v>157750</v>
      </c>
      <c r="AF23" s="88">
        <v>162300</v>
      </c>
      <c r="AG23" s="88">
        <v>172720</v>
      </c>
      <c r="AH23" s="88">
        <v>169780</v>
      </c>
      <c r="AI23" s="88">
        <v>177862</v>
      </c>
      <c r="AJ23" s="88">
        <v>181512</v>
      </c>
      <c r="AK23" s="1"/>
      <c r="AL23" s="1"/>
      <c r="AM23" s="1"/>
      <c r="AN23" s="28"/>
    </row>
    <row r="24" spans="1:40" ht="14.25" customHeight="1">
      <c r="A24" s="4"/>
      <c r="C24" s="752"/>
      <c r="D24" s="89" t="s">
        <v>174</v>
      </c>
      <c r="E24" s="510" t="s">
        <v>107</v>
      </c>
      <c r="F24" s="534" t="s">
        <v>206</v>
      </c>
      <c r="G24" s="92" t="s">
        <v>206</v>
      </c>
      <c r="H24" s="92" t="s">
        <v>206</v>
      </c>
      <c r="I24" s="88">
        <v>107100</v>
      </c>
      <c r="J24" s="88">
        <v>110100</v>
      </c>
      <c r="K24" s="88">
        <v>118200</v>
      </c>
      <c r="L24" s="88">
        <v>123900</v>
      </c>
      <c r="M24" s="88">
        <v>133500</v>
      </c>
      <c r="N24" s="88">
        <v>136233</v>
      </c>
      <c r="O24" s="88">
        <v>137791</v>
      </c>
      <c r="P24" s="537">
        <v>141470</v>
      </c>
      <c r="Q24" s="536">
        <v>138270</v>
      </c>
      <c r="R24" s="88">
        <v>146361</v>
      </c>
      <c r="S24" s="88">
        <v>153109</v>
      </c>
      <c r="T24" s="88">
        <v>162577</v>
      </c>
      <c r="U24" s="88">
        <v>163233</v>
      </c>
      <c r="V24" s="88">
        <v>163320</v>
      </c>
      <c r="W24" s="88">
        <v>164704</v>
      </c>
      <c r="X24" s="88">
        <v>171872</v>
      </c>
      <c r="Y24" s="537">
        <v>178582</v>
      </c>
      <c r="Z24" s="565">
        <v>186997</v>
      </c>
      <c r="AA24" s="519">
        <v>190567</v>
      </c>
      <c r="AB24" s="88">
        <v>196230</v>
      </c>
      <c r="AC24" s="88">
        <v>197350</v>
      </c>
      <c r="AD24" s="88">
        <v>190970</v>
      </c>
      <c r="AE24" s="88">
        <v>188740</v>
      </c>
      <c r="AF24" s="88">
        <v>189830</v>
      </c>
      <c r="AG24" s="88">
        <v>193010</v>
      </c>
      <c r="AH24" s="88">
        <v>184070</v>
      </c>
      <c r="AI24" s="88">
        <v>187936</v>
      </c>
      <c r="AJ24" s="88">
        <v>191578</v>
      </c>
      <c r="AK24" s="1"/>
      <c r="AL24" s="1"/>
      <c r="AM24" s="1"/>
      <c r="AN24" s="28"/>
    </row>
    <row r="25" spans="1:40" ht="14.25" customHeight="1">
      <c r="A25" s="4"/>
      <c r="C25" s="752"/>
      <c r="D25" s="89" t="s">
        <v>175</v>
      </c>
      <c r="E25" s="510" t="s">
        <v>107</v>
      </c>
      <c r="F25" s="534" t="s">
        <v>206</v>
      </c>
      <c r="G25" s="92" t="s">
        <v>206</v>
      </c>
      <c r="H25" s="92" t="s">
        <v>206</v>
      </c>
      <c r="I25" s="92" t="s">
        <v>206</v>
      </c>
      <c r="J25" s="92" t="s">
        <v>206</v>
      </c>
      <c r="K25" s="92" t="s">
        <v>206</v>
      </c>
      <c r="L25" s="92" t="s">
        <v>206</v>
      </c>
      <c r="M25" s="92" t="s">
        <v>206</v>
      </c>
      <c r="N25" s="92" t="s">
        <v>206</v>
      </c>
      <c r="O25" s="92" t="s">
        <v>206</v>
      </c>
      <c r="P25" s="559" t="s">
        <v>206</v>
      </c>
      <c r="Q25" s="534" t="s">
        <v>206</v>
      </c>
      <c r="R25" s="93" t="s">
        <v>206</v>
      </c>
      <c r="S25" s="93" t="s">
        <v>206</v>
      </c>
      <c r="T25" s="93" t="s">
        <v>206</v>
      </c>
      <c r="U25" s="93" t="s">
        <v>206</v>
      </c>
      <c r="V25" s="93" t="s">
        <v>206</v>
      </c>
      <c r="W25" s="93" t="s">
        <v>206</v>
      </c>
      <c r="X25" s="93" t="s">
        <v>206</v>
      </c>
      <c r="Y25" s="535" t="s">
        <v>206</v>
      </c>
      <c r="Z25" s="565">
        <v>4373</v>
      </c>
      <c r="AA25" s="519">
        <v>4177</v>
      </c>
      <c r="AB25" s="88">
        <v>4160</v>
      </c>
      <c r="AC25" s="88">
        <v>4250</v>
      </c>
      <c r="AD25" s="88">
        <v>3970</v>
      </c>
      <c r="AE25" s="88">
        <v>4010</v>
      </c>
      <c r="AF25" s="88">
        <v>3980</v>
      </c>
      <c r="AG25" s="88">
        <v>3840</v>
      </c>
      <c r="AH25" s="88">
        <v>3840</v>
      </c>
      <c r="AI25" s="88">
        <v>3940</v>
      </c>
      <c r="AJ25" s="88">
        <v>4003</v>
      </c>
      <c r="AK25" s="1"/>
      <c r="AL25" s="1"/>
      <c r="AM25" s="1"/>
      <c r="AN25" s="28"/>
    </row>
    <row r="26" spans="1:40" ht="14.25" customHeight="1">
      <c r="A26" s="4"/>
      <c r="C26" s="752"/>
      <c r="D26" s="89" t="s">
        <v>176</v>
      </c>
      <c r="E26" s="510" t="s">
        <v>107</v>
      </c>
      <c r="F26" s="534" t="s">
        <v>206</v>
      </c>
      <c r="G26" s="92" t="s">
        <v>206</v>
      </c>
      <c r="H26" s="92" t="s">
        <v>206</v>
      </c>
      <c r="I26" s="92" t="s">
        <v>206</v>
      </c>
      <c r="J26" s="92" t="s">
        <v>206</v>
      </c>
      <c r="K26" s="92" t="s">
        <v>206</v>
      </c>
      <c r="L26" s="92" t="s">
        <v>206</v>
      </c>
      <c r="M26" s="92" t="s">
        <v>206</v>
      </c>
      <c r="N26" s="92" t="s">
        <v>206</v>
      </c>
      <c r="O26" s="92" t="s">
        <v>206</v>
      </c>
      <c r="P26" s="559" t="s">
        <v>206</v>
      </c>
      <c r="Q26" s="534" t="s">
        <v>206</v>
      </c>
      <c r="R26" s="93" t="s">
        <v>206</v>
      </c>
      <c r="S26" s="93" t="s">
        <v>206</v>
      </c>
      <c r="T26" s="93" t="s">
        <v>206</v>
      </c>
      <c r="U26" s="93" t="s">
        <v>206</v>
      </c>
      <c r="V26" s="93" t="s">
        <v>206</v>
      </c>
      <c r="W26" s="93" t="s">
        <v>206</v>
      </c>
      <c r="X26" s="93" t="s">
        <v>206</v>
      </c>
      <c r="Y26" s="535" t="s">
        <v>206</v>
      </c>
      <c r="Z26" s="565">
        <v>37228</v>
      </c>
      <c r="AA26" s="519">
        <v>34905</v>
      </c>
      <c r="AB26" s="88">
        <v>34420</v>
      </c>
      <c r="AC26" s="88">
        <v>34630</v>
      </c>
      <c r="AD26" s="88">
        <v>33950</v>
      </c>
      <c r="AE26" s="88">
        <v>33440</v>
      </c>
      <c r="AF26" s="88">
        <v>33620</v>
      </c>
      <c r="AG26" s="88">
        <v>33780</v>
      </c>
      <c r="AH26" s="88">
        <v>32350</v>
      </c>
      <c r="AI26" s="88">
        <v>33158</v>
      </c>
      <c r="AJ26" s="88">
        <v>33399</v>
      </c>
      <c r="AK26" s="1"/>
      <c r="AL26" s="1"/>
      <c r="AM26" s="1"/>
      <c r="AN26" s="28"/>
    </row>
    <row r="27" spans="1:40" ht="14.25" customHeight="1">
      <c r="A27" s="4"/>
      <c r="C27" s="752"/>
      <c r="D27" s="89" t="s">
        <v>177</v>
      </c>
      <c r="E27" s="510" t="s">
        <v>107</v>
      </c>
      <c r="F27" s="534" t="s">
        <v>206</v>
      </c>
      <c r="G27" s="92" t="s">
        <v>206</v>
      </c>
      <c r="H27" s="92" t="s">
        <v>206</v>
      </c>
      <c r="I27" s="92" t="s">
        <v>206</v>
      </c>
      <c r="J27" s="92" t="s">
        <v>206</v>
      </c>
      <c r="K27" s="92" t="s">
        <v>206</v>
      </c>
      <c r="L27" s="92" t="s">
        <v>206</v>
      </c>
      <c r="M27" s="92" t="s">
        <v>206</v>
      </c>
      <c r="N27" s="92" t="s">
        <v>206</v>
      </c>
      <c r="O27" s="92" t="s">
        <v>206</v>
      </c>
      <c r="P27" s="559" t="s">
        <v>206</v>
      </c>
      <c r="Q27" s="534" t="s">
        <v>206</v>
      </c>
      <c r="R27" s="93" t="s">
        <v>206</v>
      </c>
      <c r="S27" s="93" t="s">
        <v>206</v>
      </c>
      <c r="T27" s="93" t="s">
        <v>206</v>
      </c>
      <c r="U27" s="93" t="s">
        <v>206</v>
      </c>
      <c r="V27" s="93" t="s">
        <v>206</v>
      </c>
      <c r="W27" s="93" t="s">
        <v>206</v>
      </c>
      <c r="X27" s="93" t="s">
        <v>206</v>
      </c>
      <c r="Y27" s="535" t="s">
        <v>206</v>
      </c>
      <c r="Z27" s="565">
        <v>11998</v>
      </c>
      <c r="AA27" s="519">
        <v>12171</v>
      </c>
      <c r="AB27" s="88">
        <v>12600</v>
      </c>
      <c r="AC27" s="88">
        <v>12420</v>
      </c>
      <c r="AD27" s="88">
        <v>12430</v>
      </c>
      <c r="AE27" s="88">
        <v>12730</v>
      </c>
      <c r="AF27" s="88">
        <v>12730</v>
      </c>
      <c r="AG27" s="88">
        <v>12590</v>
      </c>
      <c r="AH27" s="88">
        <v>12450</v>
      </c>
      <c r="AI27" s="88">
        <v>12581</v>
      </c>
      <c r="AJ27" s="88">
        <v>12708</v>
      </c>
      <c r="AN27" s="28"/>
    </row>
    <row r="28" spans="1:40" ht="14.25" customHeight="1">
      <c r="A28" s="4"/>
      <c r="C28" s="752"/>
      <c r="D28" s="89" t="s">
        <v>178</v>
      </c>
      <c r="E28" s="510" t="s">
        <v>700</v>
      </c>
      <c r="F28" s="534" t="s">
        <v>206</v>
      </c>
      <c r="G28" s="92" t="s">
        <v>206</v>
      </c>
      <c r="H28" s="92" t="s">
        <v>206</v>
      </c>
      <c r="I28" s="88">
        <f>2773</f>
        <v>2773</v>
      </c>
      <c r="J28" s="88">
        <f>3727</f>
        <v>3727</v>
      </c>
      <c r="K28" s="88">
        <f>4681</f>
        <v>4681</v>
      </c>
      <c r="L28" s="88">
        <f>5321</f>
        <v>5321</v>
      </c>
      <c r="M28" s="88">
        <f>5667</f>
        <v>5667</v>
      </c>
      <c r="N28" s="88">
        <f>5229</f>
        <v>5229</v>
      </c>
      <c r="O28" s="88">
        <f>5962</f>
        <v>5962</v>
      </c>
      <c r="P28" s="537">
        <f>6307</f>
        <v>6307</v>
      </c>
      <c r="Q28" s="536">
        <v>7652000</v>
      </c>
      <c r="R28" s="88">
        <v>6776000</v>
      </c>
      <c r="S28" s="88">
        <v>6596000</v>
      </c>
      <c r="T28" s="88">
        <v>8535000</v>
      </c>
      <c r="U28" s="88">
        <v>9401000</v>
      </c>
      <c r="V28" s="88">
        <v>11938619</v>
      </c>
      <c r="W28" s="88">
        <v>8678000</v>
      </c>
      <c r="X28" s="88">
        <v>10603000</v>
      </c>
      <c r="Y28" s="537">
        <v>12646000</v>
      </c>
      <c r="Z28" s="565">
        <v>13964000</v>
      </c>
      <c r="AA28" s="519">
        <v>14456000</v>
      </c>
      <c r="AB28" s="88">
        <v>9664400</v>
      </c>
      <c r="AC28" s="88">
        <v>6802195</v>
      </c>
      <c r="AD28" s="88">
        <v>9177000</v>
      </c>
      <c r="AE28" s="88">
        <v>10196009</v>
      </c>
      <c r="AF28" s="88">
        <v>9097000</v>
      </c>
      <c r="AG28" s="88">
        <v>11534000</v>
      </c>
      <c r="AH28" s="88">
        <v>7925000</v>
      </c>
      <c r="AI28" s="88">
        <v>8529430</v>
      </c>
      <c r="AJ28" s="88">
        <v>4917307</v>
      </c>
      <c r="AN28" s="4"/>
    </row>
    <row r="29" spans="1:40" ht="14.25" customHeight="1">
      <c r="A29" s="4"/>
      <c r="C29" s="752"/>
      <c r="D29" s="89" t="s">
        <v>179</v>
      </c>
      <c r="E29" s="510" t="s">
        <v>700</v>
      </c>
      <c r="F29" s="534" t="s">
        <v>206</v>
      </c>
      <c r="G29" s="92" t="s">
        <v>206</v>
      </c>
      <c r="H29" s="92" t="s">
        <v>206</v>
      </c>
      <c r="I29" s="88">
        <f>14967</f>
        <v>14967</v>
      </c>
      <c r="J29" s="88">
        <f>20218</f>
        <v>20218</v>
      </c>
      <c r="K29" s="88">
        <f>14754</f>
        <v>14754</v>
      </c>
      <c r="L29" s="88">
        <f>32612</f>
        <v>32612</v>
      </c>
      <c r="M29" s="88">
        <f>31081</f>
        <v>31081</v>
      </c>
      <c r="N29" s="88">
        <f>29314</f>
        <v>29314</v>
      </c>
      <c r="O29" s="88">
        <f>28720</f>
        <v>28720</v>
      </c>
      <c r="P29" s="537">
        <f>25618</f>
        <v>25618</v>
      </c>
      <c r="Q29" s="536">
        <v>28077000</v>
      </c>
      <c r="R29" s="88">
        <v>25318000</v>
      </c>
      <c r="S29" s="88">
        <v>25783000</v>
      </c>
      <c r="T29" s="88">
        <v>30333000</v>
      </c>
      <c r="U29" s="88">
        <v>36400000</v>
      </c>
      <c r="V29" s="88">
        <v>43909398</v>
      </c>
      <c r="W29" s="88">
        <v>31956000</v>
      </c>
      <c r="X29" s="88">
        <v>31735000</v>
      </c>
      <c r="Y29" s="537">
        <v>38018000</v>
      </c>
      <c r="Z29" s="565">
        <v>37513000</v>
      </c>
      <c r="AA29" s="519">
        <v>35374000</v>
      </c>
      <c r="AB29" s="88">
        <v>25695000</v>
      </c>
      <c r="AC29" s="88">
        <v>22032251</v>
      </c>
      <c r="AD29" s="88">
        <v>17888000</v>
      </c>
      <c r="AE29" s="88">
        <v>13533622</v>
      </c>
      <c r="AF29" s="88">
        <v>10201000</v>
      </c>
      <c r="AG29" s="88">
        <v>24584000</v>
      </c>
      <c r="AH29" s="88">
        <v>21521000</v>
      </c>
      <c r="AI29" s="88">
        <v>26021100</v>
      </c>
      <c r="AJ29" s="88">
        <v>15049304</v>
      </c>
      <c r="AN29" s="4"/>
    </row>
    <row r="30" spans="1:40" ht="14.25" customHeight="1">
      <c r="A30" s="4"/>
      <c r="C30" s="752"/>
      <c r="D30" s="89" t="s">
        <v>180</v>
      </c>
      <c r="E30" s="510" t="s">
        <v>165</v>
      </c>
      <c r="F30" s="534" t="s">
        <v>206</v>
      </c>
      <c r="G30" s="92" t="s">
        <v>206</v>
      </c>
      <c r="H30" s="92" t="s">
        <v>206</v>
      </c>
      <c r="I30" s="92" t="s">
        <v>206</v>
      </c>
      <c r="J30" s="92" t="s">
        <v>206</v>
      </c>
      <c r="K30" s="92" t="s">
        <v>206</v>
      </c>
      <c r="L30" s="92" t="s">
        <v>206</v>
      </c>
      <c r="M30" s="92" t="s">
        <v>206</v>
      </c>
      <c r="N30" s="92" t="s">
        <v>206</v>
      </c>
      <c r="O30" s="92" t="s">
        <v>206</v>
      </c>
      <c r="P30" s="559" t="s">
        <v>206</v>
      </c>
      <c r="Q30" s="534" t="s">
        <v>206</v>
      </c>
      <c r="R30" s="93" t="s">
        <v>206</v>
      </c>
      <c r="S30" s="93" t="s">
        <v>206</v>
      </c>
      <c r="T30" s="93" t="s">
        <v>206</v>
      </c>
      <c r="U30" s="93" t="s">
        <v>206</v>
      </c>
      <c r="V30" s="93" t="s">
        <v>206</v>
      </c>
      <c r="W30" s="93" t="s">
        <v>206</v>
      </c>
      <c r="X30" s="93" t="s">
        <v>206</v>
      </c>
      <c r="Y30" s="535" t="s">
        <v>206</v>
      </c>
      <c r="Z30" s="565">
        <v>19640629</v>
      </c>
      <c r="AA30" s="519">
        <v>13002600</v>
      </c>
      <c r="AB30" s="88">
        <v>22237837</v>
      </c>
      <c r="AC30" s="88">
        <v>19504405</v>
      </c>
      <c r="AD30" s="88">
        <v>25133156</v>
      </c>
      <c r="AE30" s="88">
        <v>31732104</v>
      </c>
      <c r="AF30" s="88">
        <v>28887513</v>
      </c>
      <c r="AG30" s="88">
        <v>27337594</v>
      </c>
      <c r="AH30" s="88">
        <v>36443931</v>
      </c>
      <c r="AI30" s="88">
        <v>33603254</v>
      </c>
      <c r="AJ30" s="88">
        <v>51533908</v>
      </c>
      <c r="AN30" s="4"/>
    </row>
    <row r="31" spans="1:40" ht="14.25" customHeight="1">
      <c r="A31" s="4"/>
      <c r="C31" s="752"/>
      <c r="D31" s="89" t="s">
        <v>181</v>
      </c>
      <c r="E31" s="510" t="s">
        <v>700</v>
      </c>
      <c r="F31" s="534" t="s">
        <v>206</v>
      </c>
      <c r="G31" s="92" t="s">
        <v>206</v>
      </c>
      <c r="H31" s="92" t="s">
        <v>206</v>
      </c>
      <c r="I31" s="88">
        <f>15415.872925</f>
        <v>15415.872925</v>
      </c>
      <c r="J31" s="88">
        <f>18249.327721</f>
        <v>18249.327721000001</v>
      </c>
      <c r="K31" s="88">
        <f>30071.934694</f>
        <v>30071.934694</v>
      </c>
      <c r="L31" s="88">
        <f>30148.623958</f>
        <v>30148.623958</v>
      </c>
      <c r="M31" s="88">
        <f>32796.877332</f>
        <v>32796.877331999996</v>
      </c>
      <c r="N31" s="88">
        <f>29900.345213</f>
        <v>29900.345213000001</v>
      </c>
      <c r="O31" s="88">
        <f>29782.787033</f>
        <v>29782.787033000001</v>
      </c>
      <c r="P31" s="537">
        <f>32112.187</f>
        <v>32112.187000000002</v>
      </c>
      <c r="Q31" s="536">
        <v>33649115.100000001</v>
      </c>
      <c r="R31" s="88">
        <v>40618550.5</v>
      </c>
      <c r="S31" s="88">
        <v>63327316.5</v>
      </c>
      <c r="T31" s="88">
        <v>107293196</v>
      </c>
      <c r="U31" s="88">
        <v>217180036.19999999</v>
      </c>
      <c r="V31" s="88">
        <v>300508562.19999999</v>
      </c>
      <c r="W31" s="88">
        <v>287298158.60000002</v>
      </c>
      <c r="X31" s="88">
        <v>310346156.69999999</v>
      </c>
      <c r="Y31" s="537">
        <v>337953719</v>
      </c>
      <c r="Z31" s="565">
        <v>255853396</v>
      </c>
      <c r="AA31" s="519">
        <v>230522869</v>
      </c>
      <c r="AB31" s="88">
        <v>250795522</v>
      </c>
      <c r="AC31" s="88">
        <v>269436308</v>
      </c>
      <c r="AD31" s="88">
        <v>274576077</v>
      </c>
      <c r="AE31" s="88">
        <v>258944387</v>
      </c>
      <c r="AF31" s="88">
        <v>217600889</v>
      </c>
      <c r="AG31" s="88">
        <v>212629939</v>
      </c>
      <c r="AH31" s="88">
        <v>191256795</v>
      </c>
      <c r="AI31" s="88">
        <v>209512010</v>
      </c>
      <c r="AJ31" s="88">
        <v>202913330</v>
      </c>
      <c r="AN31" s="4"/>
    </row>
    <row r="32" spans="1:40" ht="14.25" customHeight="1">
      <c r="A32" s="4"/>
      <c r="C32" s="752"/>
      <c r="D32" s="89" t="s">
        <v>182</v>
      </c>
      <c r="E32" s="510" t="s">
        <v>165</v>
      </c>
      <c r="F32" s="534" t="s">
        <v>206</v>
      </c>
      <c r="G32" s="92" t="s">
        <v>206</v>
      </c>
      <c r="H32" s="92" t="s">
        <v>206</v>
      </c>
      <c r="I32" s="92" t="s">
        <v>206</v>
      </c>
      <c r="J32" s="92" t="s">
        <v>206</v>
      </c>
      <c r="K32" s="92" t="s">
        <v>206</v>
      </c>
      <c r="L32" s="92" t="s">
        <v>206</v>
      </c>
      <c r="M32" s="92" t="s">
        <v>206</v>
      </c>
      <c r="N32" s="92" t="s">
        <v>206</v>
      </c>
      <c r="O32" s="92" t="s">
        <v>206</v>
      </c>
      <c r="P32" s="559" t="s">
        <v>206</v>
      </c>
      <c r="Q32" s="534" t="s">
        <v>206</v>
      </c>
      <c r="R32" s="93" t="s">
        <v>206</v>
      </c>
      <c r="S32" s="93" t="s">
        <v>206</v>
      </c>
      <c r="T32" s="93" t="s">
        <v>206</v>
      </c>
      <c r="U32" s="93" t="s">
        <v>206</v>
      </c>
      <c r="V32" s="93" t="s">
        <v>206</v>
      </c>
      <c r="W32" s="93" t="s">
        <v>206</v>
      </c>
      <c r="X32" s="93" t="s">
        <v>206</v>
      </c>
      <c r="Y32" s="535" t="s">
        <v>206</v>
      </c>
      <c r="Z32" s="565">
        <v>30034891</v>
      </c>
      <c r="AA32" s="519">
        <v>31098085</v>
      </c>
      <c r="AB32" s="88">
        <v>37857347</v>
      </c>
      <c r="AC32" s="88">
        <v>32445687</v>
      </c>
      <c r="AD32" s="88">
        <v>40663872</v>
      </c>
      <c r="AE32" s="88">
        <v>39736368</v>
      </c>
      <c r="AF32" s="88">
        <v>38085299</v>
      </c>
      <c r="AG32" s="88">
        <v>34185336</v>
      </c>
      <c r="AH32" s="88">
        <v>41451402</v>
      </c>
      <c r="AI32" s="88">
        <v>37560504</v>
      </c>
      <c r="AJ32" s="88">
        <v>39784429</v>
      </c>
      <c r="AM32" s="34"/>
      <c r="AN32" s="4"/>
    </row>
    <row r="33" spans="1:40" ht="14.25" customHeight="1">
      <c r="A33" s="4"/>
      <c r="C33" s="752"/>
      <c r="D33" s="89" t="s">
        <v>183</v>
      </c>
      <c r="E33" s="510" t="s">
        <v>165</v>
      </c>
      <c r="F33" s="534" t="s">
        <v>206</v>
      </c>
      <c r="G33" s="92" t="s">
        <v>206</v>
      </c>
      <c r="H33" s="92" t="s">
        <v>206</v>
      </c>
      <c r="I33" s="92" t="s">
        <v>206</v>
      </c>
      <c r="J33" s="92" t="s">
        <v>206</v>
      </c>
      <c r="K33" s="92" t="s">
        <v>206</v>
      </c>
      <c r="L33" s="92" t="s">
        <v>206</v>
      </c>
      <c r="M33" s="92" t="s">
        <v>206</v>
      </c>
      <c r="N33" s="92" t="s">
        <v>206</v>
      </c>
      <c r="O33" s="92" t="s">
        <v>206</v>
      </c>
      <c r="P33" s="559" t="s">
        <v>206</v>
      </c>
      <c r="Q33" s="534" t="s">
        <v>206</v>
      </c>
      <c r="R33" s="93" t="s">
        <v>206</v>
      </c>
      <c r="S33" s="93" t="s">
        <v>206</v>
      </c>
      <c r="T33" s="93" t="s">
        <v>206</v>
      </c>
      <c r="U33" s="93" t="s">
        <v>206</v>
      </c>
      <c r="V33" s="93" t="s">
        <v>206</v>
      </c>
      <c r="W33" s="93" t="s">
        <v>206</v>
      </c>
      <c r="X33" s="93" t="s">
        <v>206</v>
      </c>
      <c r="Y33" s="535" t="s">
        <v>206</v>
      </c>
      <c r="Z33" s="565">
        <v>8261755</v>
      </c>
      <c r="AA33" s="519">
        <v>12204704</v>
      </c>
      <c r="AB33" s="88">
        <v>15826922</v>
      </c>
      <c r="AC33" s="88">
        <v>18858563</v>
      </c>
      <c r="AD33" s="88">
        <v>17557527</v>
      </c>
      <c r="AE33" s="88">
        <v>17810756</v>
      </c>
      <c r="AF33" s="88">
        <v>35457191</v>
      </c>
      <c r="AG33" s="88">
        <v>38344996</v>
      </c>
      <c r="AH33" s="88">
        <v>54839456</v>
      </c>
      <c r="AI33" s="88">
        <v>42724847</v>
      </c>
      <c r="AJ33" s="88">
        <v>47678661</v>
      </c>
      <c r="AM33" s="34"/>
      <c r="AN33" s="4"/>
    </row>
    <row r="34" spans="1:40" ht="14.25" customHeight="1">
      <c r="A34" s="4"/>
      <c r="C34" s="752"/>
      <c r="D34" s="89" t="s">
        <v>184</v>
      </c>
      <c r="E34" s="510" t="s">
        <v>107</v>
      </c>
      <c r="F34" s="534" t="s">
        <v>206</v>
      </c>
      <c r="G34" s="92" t="s">
        <v>206</v>
      </c>
      <c r="H34" s="92" t="s">
        <v>206</v>
      </c>
      <c r="I34" s="92" t="s">
        <v>206</v>
      </c>
      <c r="J34" s="92" t="s">
        <v>206</v>
      </c>
      <c r="K34" s="92" t="s">
        <v>206</v>
      </c>
      <c r="L34" s="92" t="s">
        <v>206</v>
      </c>
      <c r="M34" s="92" t="s">
        <v>206</v>
      </c>
      <c r="N34" s="92" t="s">
        <v>206</v>
      </c>
      <c r="O34" s="92" t="s">
        <v>206</v>
      </c>
      <c r="P34" s="559" t="s">
        <v>206</v>
      </c>
      <c r="Q34" s="534" t="s">
        <v>206</v>
      </c>
      <c r="R34" s="93" t="s">
        <v>206</v>
      </c>
      <c r="S34" s="93" t="s">
        <v>206</v>
      </c>
      <c r="T34" s="93" t="s">
        <v>206</v>
      </c>
      <c r="U34" s="93" t="s">
        <v>206</v>
      </c>
      <c r="V34" s="93" t="s">
        <v>206</v>
      </c>
      <c r="W34" s="93" t="s">
        <v>206</v>
      </c>
      <c r="X34" s="93" t="s">
        <v>206</v>
      </c>
      <c r="Y34" s="535" t="s">
        <v>206</v>
      </c>
      <c r="Z34" s="565">
        <v>76556</v>
      </c>
      <c r="AA34" s="519">
        <v>76787</v>
      </c>
      <c r="AB34" s="88">
        <v>80972</v>
      </c>
      <c r="AC34" s="88">
        <v>80026</v>
      </c>
      <c r="AD34" s="88">
        <v>80234</v>
      </c>
      <c r="AE34" s="88">
        <v>84145</v>
      </c>
      <c r="AF34" s="88">
        <v>84549</v>
      </c>
      <c r="AG34" s="88">
        <v>89970</v>
      </c>
      <c r="AH34" s="88">
        <v>81053</v>
      </c>
      <c r="AI34" s="88">
        <v>92275</v>
      </c>
      <c r="AJ34" s="88">
        <v>86170</v>
      </c>
      <c r="AM34" s="34"/>
      <c r="AN34" s="4"/>
    </row>
    <row r="35" spans="1:40" ht="14.25" customHeight="1">
      <c r="A35" s="4"/>
      <c r="C35" s="752"/>
      <c r="D35" s="89" t="s">
        <v>185</v>
      </c>
      <c r="E35" s="510" t="s">
        <v>107</v>
      </c>
      <c r="F35" s="536">
        <v>15903</v>
      </c>
      <c r="G35" s="88">
        <v>18679</v>
      </c>
      <c r="H35" s="88">
        <v>18719</v>
      </c>
      <c r="I35" s="88">
        <v>18102</v>
      </c>
      <c r="J35" s="88">
        <v>18178</v>
      </c>
      <c r="K35" s="88">
        <v>17884</v>
      </c>
      <c r="L35" s="88">
        <v>16681</v>
      </c>
      <c r="M35" s="88">
        <v>17268</v>
      </c>
      <c r="N35" s="88">
        <v>15449</v>
      </c>
      <c r="O35" s="88">
        <v>14297</v>
      </c>
      <c r="P35" s="537">
        <v>13162</v>
      </c>
      <c r="Q35" s="536">
        <v>12558</v>
      </c>
      <c r="R35" s="88">
        <v>11431</v>
      </c>
      <c r="S35" s="88">
        <v>16194</v>
      </c>
      <c r="T35" s="88">
        <v>16449</v>
      </c>
      <c r="U35" s="88">
        <v>16428</v>
      </c>
      <c r="V35" s="88">
        <v>16736</v>
      </c>
      <c r="W35" s="88">
        <v>18118</v>
      </c>
      <c r="X35" s="88">
        <v>21920</v>
      </c>
      <c r="Y35" s="537">
        <v>19802</v>
      </c>
      <c r="Z35" s="565">
        <v>19525</v>
      </c>
      <c r="AA35" s="519">
        <v>19289</v>
      </c>
      <c r="AB35" s="88">
        <v>18173</v>
      </c>
      <c r="AC35" s="88">
        <v>19056</v>
      </c>
      <c r="AD35" s="88">
        <v>18923</v>
      </c>
      <c r="AE35" s="88">
        <v>19938</v>
      </c>
      <c r="AF35" s="88">
        <v>21700</v>
      </c>
      <c r="AG35" s="88">
        <v>23340</v>
      </c>
      <c r="AH35" s="88">
        <v>21510</v>
      </c>
      <c r="AI35" s="88">
        <v>15806</v>
      </c>
      <c r="AJ35" s="88">
        <v>18455</v>
      </c>
      <c r="AM35" s="34"/>
    </row>
    <row r="36" spans="1:40" ht="14.25" customHeight="1">
      <c r="A36" s="4"/>
      <c r="C36" s="752"/>
      <c r="D36" s="89" t="s">
        <v>186</v>
      </c>
      <c r="E36" s="510" t="s">
        <v>107</v>
      </c>
      <c r="F36" s="534" t="s">
        <v>206</v>
      </c>
      <c r="G36" s="92" t="s">
        <v>206</v>
      </c>
      <c r="H36" s="92" t="s">
        <v>206</v>
      </c>
      <c r="I36" s="88">
        <v>145575</v>
      </c>
      <c r="J36" s="88">
        <v>152977</v>
      </c>
      <c r="K36" s="88">
        <v>157142</v>
      </c>
      <c r="L36" s="88">
        <v>152511</v>
      </c>
      <c r="M36" s="88">
        <v>168300</v>
      </c>
      <c r="N36" s="88">
        <v>164880</v>
      </c>
      <c r="O36" s="88">
        <v>162385</v>
      </c>
      <c r="P36" s="537">
        <v>173867</v>
      </c>
      <c r="Q36" s="536">
        <v>188014</v>
      </c>
      <c r="R36" s="88">
        <v>184766</v>
      </c>
      <c r="S36" s="88">
        <v>186297</v>
      </c>
      <c r="T36" s="88">
        <v>202003</v>
      </c>
      <c r="U36" s="88">
        <v>204476</v>
      </c>
      <c r="V36" s="88">
        <v>188146</v>
      </c>
      <c r="W36" s="88">
        <v>190165</v>
      </c>
      <c r="X36" s="88">
        <v>233965</v>
      </c>
      <c r="Y36" s="537">
        <v>224062</v>
      </c>
      <c r="Z36" s="565">
        <v>248871</v>
      </c>
      <c r="AA36" s="519">
        <v>257491</v>
      </c>
      <c r="AB36" s="88">
        <v>270742</v>
      </c>
      <c r="AC36" s="88">
        <v>286429</v>
      </c>
      <c r="AD36" s="88">
        <v>294752</v>
      </c>
      <c r="AE36" s="88">
        <v>314930</v>
      </c>
      <c r="AF36" s="88">
        <v>322140</v>
      </c>
      <c r="AG36" s="88">
        <v>329430</v>
      </c>
      <c r="AH36" s="88">
        <v>304604</v>
      </c>
      <c r="AI36" s="88">
        <v>322571</v>
      </c>
      <c r="AJ36" s="88">
        <v>306050</v>
      </c>
      <c r="AM36" s="34"/>
      <c r="AN36" s="4"/>
    </row>
    <row r="37" spans="1:40" ht="14.25" customHeight="1">
      <c r="A37" s="4"/>
      <c r="C37" s="752"/>
      <c r="D37" s="89" t="s">
        <v>187</v>
      </c>
      <c r="E37" s="510" t="s">
        <v>107</v>
      </c>
      <c r="F37" s="534" t="s">
        <v>206</v>
      </c>
      <c r="G37" s="92" t="s">
        <v>206</v>
      </c>
      <c r="H37" s="92" t="s">
        <v>206</v>
      </c>
      <c r="I37" s="88">
        <v>154458</v>
      </c>
      <c r="J37" s="88">
        <v>153666</v>
      </c>
      <c r="K37" s="88">
        <v>148798.712</v>
      </c>
      <c r="L37" s="88">
        <v>163326</v>
      </c>
      <c r="M37" s="88">
        <v>178862</v>
      </c>
      <c r="N37" s="88">
        <v>221862</v>
      </c>
      <c r="O37" s="88">
        <v>211558</v>
      </c>
      <c r="P37" s="537">
        <v>245262</v>
      </c>
      <c r="Q37" s="536">
        <v>270048.90000000002</v>
      </c>
      <c r="R37" s="88">
        <v>311928.8</v>
      </c>
      <c r="S37" s="88">
        <v>327423</v>
      </c>
      <c r="T37" s="88">
        <v>364243.6</v>
      </c>
      <c r="U37" s="88">
        <v>384012.2</v>
      </c>
      <c r="V37" s="88">
        <v>397824.8</v>
      </c>
      <c r="W37" s="88">
        <v>363595.9</v>
      </c>
      <c r="X37" s="88">
        <v>409468.9</v>
      </c>
      <c r="Y37" s="537">
        <v>418932.8</v>
      </c>
      <c r="Z37" s="565">
        <v>449162</v>
      </c>
      <c r="AA37" s="519">
        <v>478117</v>
      </c>
      <c r="AB37" s="88">
        <v>487466</v>
      </c>
      <c r="AC37" s="88">
        <v>513792</v>
      </c>
      <c r="AD37" s="88">
        <v>481933</v>
      </c>
      <c r="AE37" s="88">
        <v>466063</v>
      </c>
      <c r="AF37" s="88">
        <v>469798</v>
      </c>
      <c r="AG37" s="88">
        <v>468067</v>
      </c>
      <c r="AH37" s="88">
        <v>487286</v>
      </c>
      <c r="AI37" s="88">
        <v>537824</v>
      </c>
      <c r="AJ37" s="88">
        <v>499164</v>
      </c>
      <c r="AM37" s="1"/>
      <c r="AN37" s="4"/>
    </row>
    <row r="38" spans="1:40" s="24" customFormat="1" ht="14.25" customHeight="1">
      <c r="A38" s="4"/>
      <c r="B38" s="1"/>
      <c r="C38" s="752"/>
      <c r="D38" s="89" t="s">
        <v>188</v>
      </c>
      <c r="E38" s="511" t="s">
        <v>165</v>
      </c>
      <c r="F38" s="534" t="s">
        <v>206</v>
      </c>
      <c r="G38" s="92" t="s">
        <v>206</v>
      </c>
      <c r="H38" s="92" t="s">
        <v>206</v>
      </c>
      <c r="I38" s="92" t="s">
        <v>206</v>
      </c>
      <c r="J38" s="92" t="s">
        <v>206</v>
      </c>
      <c r="K38" s="92" t="s">
        <v>206</v>
      </c>
      <c r="L38" s="92" t="s">
        <v>206</v>
      </c>
      <c r="M38" s="92" t="s">
        <v>206</v>
      </c>
      <c r="N38" s="92" t="s">
        <v>206</v>
      </c>
      <c r="O38" s="92" t="s">
        <v>206</v>
      </c>
      <c r="P38" s="559" t="s">
        <v>206</v>
      </c>
      <c r="Q38" s="536">
        <v>32970639.899999999</v>
      </c>
      <c r="R38" s="88">
        <v>44379970.600000001</v>
      </c>
      <c r="S38" s="88">
        <v>51151457.399999999</v>
      </c>
      <c r="T38" s="88">
        <v>58803336</v>
      </c>
      <c r="U38" s="88">
        <v>73137242.400000006</v>
      </c>
      <c r="V38" s="88">
        <v>100443970</v>
      </c>
      <c r="W38" s="88">
        <v>116025253.8</v>
      </c>
      <c r="X38" s="88">
        <v>135351577</v>
      </c>
      <c r="Y38" s="537">
        <v>143967525</v>
      </c>
      <c r="Z38" s="565">
        <v>161406141</v>
      </c>
      <c r="AA38" s="519">
        <v>175000787</v>
      </c>
      <c r="AB38" s="88">
        <v>187923609</v>
      </c>
      <c r="AC38" s="88">
        <v>204511011</v>
      </c>
      <c r="AD38" s="88">
        <v>197073667</v>
      </c>
      <c r="AE38" s="88">
        <v>161750657</v>
      </c>
      <c r="AF38" s="88">
        <v>156638315</v>
      </c>
      <c r="AG38" s="88">
        <v>168269532</v>
      </c>
      <c r="AH38" s="88">
        <v>172523204</v>
      </c>
      <c r="AI38" s="88">
        <v>172405708</v>
      </c>
      <c r="AJ38" s="88">
        <v>144616469</v>
      </c>
      <c r="AK38" s="33"/>
      <c r="AL38" s="33"/>
      <c r="AN38" s="4"/>
    </row>
    <row r="39" spans="1:40" s="24" customFormat="1" ht="14.25" customHeight="1">
      <c r="A39" s="4"/>
      <c r="B39" s="1"/>
      <c r="C39" s="752"/>
      <c r="D39" s="89" t="s">
        <v>189</v>
      </c>
      <c r="E39" s="511" t="s">
        <v>165</v>
      </c>
      <c r="F39" s="534" t="s">
        <v>206</v>
      </c>
      <c r="G39" s="92" t="s">
        <v>206</v>
      </c>
      <c r="H39" s="92" t="s">
        <v>206</v>
      </c>
      <c r="I39" s="92" t="s">
        <v>206</v>
      </c>
      <c r="J39" s="92" t="s">
        <v>206</v>
      </c>
      <c r="K39" s="92" t="s">
        <v>206</v>
      </c>
      <c r="L39" s="92" t="s">
        <v>206</v>
      </c>
      <c r="M39" s="92" t="s">
        <v>206</v>
      </c>
      <c r="N39" s="92" t="s">
        <v>206</v>
      </c>
      <c r="O39" s="92" t="s">
        <v>206</v>
      </c>
      <c r="P39" s="559" t="s">
        <v>206</v>
      </c>
      <c r="Q39" s="534" t="s">
        <v>206</v>
      </c>
      <c r="R39" s="93" t="s">
        <v>206</v>
      </c>
      <c r="S39" s="93" t="s">
        <v>206</v>
      </c>
      <c r="T39" s="93" t="s">
        <v>206</v>
      </c>
      <c r="U39" s="93" t="s">
        <v>206</v>
      </c>
      <c r="V39" s="93" t="s">
        <v>206</v>
      </c>
      <c r="W39" s="93" t="s">
        <v>206</v>
      </c>
      <c r="X39" s="93" t="s">
        <v>206</v>
      </c>
      <c r="Y39" s="535" t="s">
        <v>206</v>
      </c>
      <c r="Z39" s="565">
        <v>116326803</v>
      </c>
      <c r="AA39" s="519">
        <v>117399896</v>
      </c>
      <c r="AB39" s="88">
        <v>117255611</v>
      </c>
      <c r="AC39" s="88">
        <v>124430979</v>
      </c>
      <c r="AD39" s="88">
        <v>131222548</v>
      </c>
      <c r="AE39" s="88">
        <v>139147209</v>
      </c>
      <c r="AF39" s="88">
        <v>135840015</v>
      </c>
      <c r="AG39" s="88">
        <v>137681412</v>
      </c>
      <c r="AH39" s="88">
        <v>121125940</v>
      </c>
      <c r="AI39" s="88">
        <v>60966659</v>
      </c>
      <c r="AJ39" s="88">
        <v>37512054</v>
      </c>
      <c r="AK39" s="33"/>
      <c r="AL39" s="33"/>
      <c r="AN39" s="4"/>
    </row>
    <row r="40" spans="1:40" s="24" customFormat="1" ht="14.25" customHeight="1">
      <c r="A40" s="4"/>
      <c r="B40" s="1"/>
      <c r="C40" s="752"/>
      <c r="D40" s="87" t="s">
        <v>190</v>
      </c>
      <c r="E40" s="511" t="s">
        <v>165</v>
      </c>
      <c r="F40" s="534" t="s">
        <v>206</v>
      </c>
      <c r="G40" s="92" t="s">
        <v>206</v>
      </c>
      <c r="H40" s="92" t="s">
        <v>206</v>
      </c>
      <c r="I40" s="92" t="s">
        <v>206</v>
      </c>
      <c r="J40" s="92" t="s">
        <v>206</v>
      </c>
      <c r="K40" s="92" t="s">
        <v>206</v>
      </c>
      <c r="L40" s="92" t="s">
        <v>206</v>
      </c>
      <c r="M40" s="92" t="s">
        <v>206</v>
      </c>
      <c r="N40" s="92" t="s">
        <v>206</v>
      </c>
      <c r="O40" s="92" t="s">
        <v>206</v>
      </c>
      <c r="P40" s="559" t="s">
        <v>206</v>
      </c>
      <c r="Q40" s="534" t="s">
        <v>206</v>
      </c>
      <c r="R40" s="93" t="s">
        <v>206</v>
      </c>
      <c r="S40" s="93" t="s">
        <v>206</v>
      </c>
      <c r="T40" s="93" t="s">
        <v>206</v>
      </c>
      <c r="U40" s="93" t="s">
        <v>206</v>
      </c>
      <c r="V40" s="93" t="s">
        <v>206</v>
      </c>
      <c r="W40" s="93" t="s">
        <v>206</v>
      </c>
      <c r="X40" s="93" t="s">
        <v>206</v>
      </c>
      <c r="Y40" s="535" t="s">
        <v>206</v>
      </c>
      <c r="Z40" s="565">
        <v>983578</v>
      </c>
      <c r="AA40" s="519">
        <v>1131882</v>
      </c>
      <c r="AB40" s="88">
        <v>1299612</v>
      </c>
      <c r="AC40" s="88">
        <v>1454550</v>
      </c>
      <c r="AD40" s="88">
        <v>1477611</v>
      </c>
      <c r="AE40" s="88">
        <v>1558229</v>
      </c>
      <c r="AF40" s="88">
        <v>1856603</v>
      </c>
      <c r="AG40" s="88">
        <v>2059489</v>
      </c>
      <c r="AH40" s="88">
        <v>968604</v>
      </c>
      <c r="AI40" s="88">
        <v>1224758</v>
      </c>
      <c r="AJ40" s="88">
        <v>1910544</v>
      </c>
      <c r="AK40" s="33"/>
      <c r="AL40" s="33"/>
      <c r="AN40" s="4"/>
    </row>
    <row r="41" spans="1:40" ht="14.25" customHeight="1">
      <c r="A41" s="4"/>
      <c r="C41" s="752"/>
      <c r="D41" s="89" t="s">
        <v>191</v>
      </c>
      <c r="E41" s="510" t="s">
        <v>165</v>
      </c>
      <c r="F41" s="534" t="s">
        <v>206</v>
      </c>
      <c r="G41" s="92" t="s">
        <v>206</v>
      </c>
      <c r="H41" s="92" t="s">
        <v>206</v>
      </c>
      <c r="I41" s="92" t="s">
        <v>206</v>
      </c>
      <c r="J41" s="92" t="s">
        <v>206</v>
      </c>
      <c r="K41" s="92" t="s">
        <v>206</v>
      </c>
      <c r="L41" s="92" t="s">
        <v>206</v>
      </c>
      <c r="M41" s="92" t="s">
        <v>206</v>
      </c>
      <c r="N41" s="92" t="s">
        <v>206</v>
      </c>
      <c r="O41" s="92" t="s">
        <v>206</v>
      </c>
      <c r="P41" s="559" t="s">
        <v>206</v>
      </c>
      <c r="Q41" s="534" t="s">
        <v>206</v>
      </c>
      <c r="R41" s="93" t="s">
        <v>206</v>
      </c>
      <c r="S41" s="93" t="s">
        <v>206</v>
      </c>
      <c r="T41" s="93" t="s">
        <v>206</v>
      </c>
      <c r="U41" s="93" t="s">
        <v>206</v>
      </c>
      <c r="V41" s="93" t="s">
        <v>206</v>
      </c>
      <c r="W41" s="93" t="s">
        <v>206</v>
      </c>
      <c r="X41" s="93" t="s">
        <v>206</v>
      </c>
      <c r="Y41" s="535" t="s">
        <v>206</v>
      </c>
      <c r="Z41" s="565">
        <v>5254274</v>
      </c>
      <c r="AA41" s="519">
        <v>5434933</v>
      </c>
      <c r="AB41" s="88">
        <v>4868686</v>
      </c>
      <c r="AC41" s="88">
        <v>5890859</v>
      </c>
      <c r="AD41" s="88">
        <v>5604813</v>
      </c>
      <c r="AE41" s="88">
        <v>4695539</v>
      </c>
      <c r="AF41" s="88">
        <v>5107208</v>
      </c>
      <c r="AG41" s="88">
        <v>5652585</v>
      </c>
      <c r="AH41" s="88">
        <v>5542146</v>
      </c>
      <c r="AI41" s="88">
        <v>5311529</v>
      </c>
      <c r="AJ41" s="88">
        <v>5235322</v>
      </c>
      <c r="AM41" s="1"/>
      <c r="AN41" s="4"/>
    </row>
    <row r="42" spans="1:40" ht="14.25" customHeight="1">
      <c r="A42" s="4"/>
      <c r="C42" s="752"/>
      <c r="D42" s="89" t="s">
        <v>192</v>
      </c>
      <c r="E42" s="510" t="s">
        <v>165</v>
      </c>
      <c r="F42" s="534" t="s">
        <v>206</v>
      </c>
      <c r="G42" s="92" t="s">
        <v>206</v>
      </c>
      <c r="H42" s="92" t="s">
        <v>206</v>
      </c>
      <c r="I42" s="92" t="s">
        <v>206</v>
      </c>
      <c r="J42" s="92" t="s">
        <v>206</v>
      </c>
      <c r="K42" s="92" t="s">
        <v>206</v>
      </c>
      <c r="L42" s="92" t="s">
        <v>206</v>
      </c>
      <c r="M42" s="92" t="s">
        <v>206</v>
      </c>
      <c r="N42" s="92" t="s">
        <v>206</v>
      </c>
      <c r="O42" s="92" t="s">
        <v>206</v>
      </c>
      <c r="P42" s="559" t="s">
        <v>206</v>
      </c>
      <c r="Q42" s="534" t="s">
        <v>206</v>
      </c>
      <c r="R42" s="93" t="s">
        <v>206</v>
      </c>
      <c r="S42" s="93" t="s">
        <v>206</v>
      </c>
      <c r="T42" s="93" t="s">
        <v>206</v>
      </c>
      <c r="U42" s="93" t="s">
        <v>206</v>
      </c>
      <c r="V42" s="93" t="s">
        <v>206</v>
      </c>
      <c r="W42" s="93" t="s">
        <v>206</v>
      </c>
      <c r="X42" s="93" t="s">
        <v>206</v>
      </c>
      <c r="Y42" s="535" t="s">
        <v>206</v>
      </c>
      <c r="Z42" s="565">
        <v>3069190</v>
      </c>
      <c r="AA42" s="519">
        <v>2920276</v>
      </c>
      <c r="AB42" s="88">
        <v>2923034</v>
      </c>
      <c r="AC42" s="88">
        <v>3116161</v>
      </c>
      <c r="AD42" s="88">
        <v>3240667</v>
      </c>
      <c r="AE42" s="88">
        <v>3046447</v>
      </c>
      <c r="AF42" s="88">
        <v>3050436</v>
      </c>
      <c r="AG42" s="88">
        <v>3562310</v>
      </c>
      <c r="AH42" s="88">
        <v>3258212</v>
      </c>
      <c r="AI42" s="88">
        <v>2444199</v>
      </c>
      <c r="AJ42" s="88">
        <v>2237926</v>
      </c>
      <c r="AM42" s="1"/>
      <c r="AN42" s="4"/>
    </row>
    <row r="43" spans="1:40" ht="14.25" customHeight="1">
      <c r="A43" s="4"/>
      <c r="C43" s="752"/>
      <c r="D43" s="89" t="s">
        <v>193</v>
      </c>
      <c r="E43" s="510" t="s">
        <v>165</v>
      </c>
      <c r="F43" s="534" t="s">
        <v>206</v>
      </c>
      <c r="G43" s="92" t="s">
        <v>206</v>
      </c>
      <c r="H43" s="92" t="s">
        <v>206</v>
      </c>
      <c r="I43" s="92" t="s">
        <v>206</v>
      </c>
      <c r="J43" s="92" t="s">
        <v>206</v>
      </c>
      <c r="K43" s="92" t="s">
        <v>206</v>
      </c>
      <c r="L43" s="92" t="s">
        <v>206</v>
      </c>
      <c r="M43" s="92" t="s">
        <v>206</v>
      </c>
      <c r="N43" s="92" t="s">
        <v>206</v>
      </c>
      <c r="O43" s="92" t="s">
        <v>206</v>
      </c>
      <c r="P43" s="559" t="s">
        <v>206</v>
      </c>
      <c r="Q43" s="534" t="s">
        <v>206</v>
      </c>
      <c r="R43" s="93" t="s">
        <v>206</v>
      </c>
      <c r="S43" s="93" t="s">
        <v>206</v>
      </c>
      <c r="T43" s="93" t="s">
        <v>206</v>
      </c>
      <c r="U43" s="93" t="s">
        <v>206</v>
      </c>
      <c r="V43" s="93" t="s">
        <v>206</v>
      </c>
      <c r="W43" s="93" t="s">
        <v>206</v>
      </c>
      <c r="X43" s="93" t="s">
        <v>206</v>
      </c>
      <c r="Y43" s="535" t="s">
        <v>206</v>
      </c>
      <c r="Z43" s="565">
        <v>2659628</v>
      </c>
      <c r="AA43" s="519">
        <v>3527521</v>
      </c>
      <c r="AB43" s="88">
        <v>3562525</v>
      </c>
      <c r="AC43" s="88">
        <v>4223508</v>
      </c>
      <c r="AD43" s="88">
        <v>4160027</v>
      </c>
      <c r="AE43" s="88">
        <v>4843524</v>
      </c>
      <c r="AF43" s="88">
        <v>5436107</v>
      </c>
      <c r="AG43" s="88">
        <v>5458280</v>
      </c>
      <c r="AH43" s="88">
        <v>6955861</v>
      </c>
      <c r="AI43" s="88">
        <v>5761980</v>
      </c>
      <c r="AJ43" s="88">
        <v>5385586</v>
      </c>
      <c r="AM43" s="1"/>
      <c r="AN43" s="4"/>
    </row>
    <row r="44" spans="1:40" ht="14.25" customHeight="1">
      <c r="A44" s="4"/>
      <c r="C44" s="752"/>
      <c r="D44" s="87" t="s">
        <v>194</v>
      </c>
      <c r="E44" s="510" t="s">
        <v>195</v>
      </c>
      <c r="F44" s="534" t="s">
        <v>206</v>
      </c>
      <c r="G44" s="92" t="s">
        <v>206</v>
      </c>
      <c r="H44" s="92" t="s">
        <v>206</v>
      </c>
      <c r="I44" s="92" t="s">
        <v>206</v>
      </c>
      <c r="J44" s="92" t="s">
        <v>206</v>
      </c>
      <c r="K44" s="92" t="s">
        <v>206</v>
      </c>
      <c r="L44" s="92" t="s">
        <v>206</v>
      </c>
      <c r="M44" s="92" t="s">
        <v>206</v>
      </c>
      <c r="N44" s="92" t="s">
        <v>206</v>
      </c>
      <c r="O44" s="92" t="s">
        <v>206</v>
      </c>
      <c r="P44" s="559" t="s">
        <v>206</v>
      </c>
      <c r="Q44" s="534" t="s">
        <v>206</v>
      </c>
      <c r="R44" s="93" t="s">
        <v>206</v>
      </c>
      <c r="S44" s="93" t="s">
        <v>206</v>
      </c>
      <c r="T44" s="93" t="s">
        <v>206</v>
      </c>
      <c r="U44" s="93" t="s">
        <v>206</v>
      </c>
      <c r="V44" s="93" t="s">
        <v>206</v>
      </c>
      <c r="W44" s="93" t="s">
        <v>206</v>
      </c>
      <c r="X44" s="93" t="s">
        <v>206</v>
      </c>
      <c r="Y44" s="535" t="s">
        <v>206</v>
      </c>
      <c r="Z44" s="565">
        <v>54451797</v>
      </c>
      <c r="AA44" s="519">
        <v>49893953</v>
      </c>
      <c r="AB44" s="88">
        <v>47057587</v>
      </c>
      <c r="AC44" s="88">
        <v>39915255</v>
      </c>
      <c r="AD44" s="88">
        <v>38083017</v>
      </c>
      <c r="AE44" s="88">
        <v>35927931</v>
      </c>
      <c r="AF44" s="88">
        <v>37568502</v>
      </c>
      <c r="AG44" s="88">
        <v>42592272</v>
      </c>
      <c r="AH44" s="88">
        <v>35039108</v>
      </c>
      <c r="AI44" s="88">
        <v>42777101</v>
      </c>
      <c r="AJ44" s="88">
        <v>37903571</v>
      </c>
      <c r="AM44" s="1"/>
      <c r="AN44" s="4"/>
    </row>
    <row r="45" spans="1:40" ht="14.25" customHeight="1">
      <c r="A45" s="4"/>
      <c r="C45" s="752"/>
      <c r="D45" s="89" t="s">
        <v>196</v>
      </c>
      <c r="E45" s="510" t="s">
        <v>107</v>
      </c>
      <c r="F45" s="534" t="s">
        <v>206</v>
      </c>
      <c r="G45" s="92" t="s">
        <v>206</v>
      </c>
      <c r="H45" s="92" t="s">
        <v>206</v>
      </c>
      <c r="I45" s="88">
        <v>641926</v>
      </c>
      <c r="J45" s="88">
        <v>607808</v>
      </c>
      <c r="K45" s="88">
        <v>674334</v>
      </c>
      <c r="L45" s="88">
        <v>449582</v>
      </c>
      <c r="M45" s="88">
        <v>604569</v>
      </c>
      <c r="N45" s="88">
        <v>724095.86300000001</v>
      </c>
      <c r="O45" s="88">
        <v>759934.66145000001</v>
      </c>
      <c r="P45" s="537">
        <v>876648</v>
      </c>
      <c r="Q45" s="536">
        <v>958807</v>
      </c>
      <c r="R45" s="88">
        <v>746181.3</v>
      </c>
      <c r="S45" s="88">
        <v>695598.3</v>
      </c>
      <c r="T45" s="88">
        <v>805132.7</v>
      </c>
      <c r="U45" s="88">
        <v>908964.4</v>
      </c>
      <c r="V45" s="88">
        <v>1007169.6</v>
      </c>
      <c r="W45" s="88">
        <v>1064499.3</v>
      </c>
      <c r="X45" s="88">
        <v>1039167.5</v>
      </c>
      <c r="Y45" s="537">
        <v>1076214.8</v>
      </c>
      <c r="Z45" s="565">
        <v>1106278</v>
      </c>
      <c r="AA45" s="519">
        <v>1174068</v>
      </c>
      <c r="AB45" s="88">
        <v>1203492</v>
      </c>
      <c r="AC45" s="88">
        <v>1087985</v>
      </c>
      <c r="AD45" s="88">
        <v>1143793</v>
      </c>
      <c r="AE45" s="88">
        <v>1080559</v>
      </c>
      <c r="AF45" s="88">
        <v>1182999</v>
      </c>
      <c r="AG45" s="88">
        <v>1198823</v>
      </c>
      <c r="AH45" s="88">
        <v>1197370</v>
      </c>
      <c r="AI45" s="88">
        <v>1098598</v>
      </c>
      <c r="AJ45" s="88">
        <v>1111812</v>
      </c>
      <c r="AM45" s="1"/>
      <c r="AN45" s="4"/>
    </row>
    <row r="46" spans="1:40" ht="14.25" customHeight="1">
      <c r="A46" s="4"/>
      <c r="C46" s="752"/>
      <c r="D46" s="87" t="s">
        <v>197</v>
      </c>
      <c r="E46" s="510" t="s">
        <v>700</v>
      </c>
      <c r="F46" s="534" t="s">
        <v>206</v>
      </c>
      <c r="G46" s="92" t="s">
        <v>206</v>
      </c>
      <c r="H46" s="92" t="s">
        <v>206</v>
      </c>
      <c r="I46" s="88">
        <f>1230</f>
        <v>1230</v>
      </c>
      <c r="J46" s="88">
        <f>1403</f>
        <v>1403</v>
      </c>
      <c r="K46" s="88">
        <f>1317</f>
        <v>1317</v>
      </c>
      <c r="L46" s="88">
        <f>1472</f>
        <v>1472</v>
      </c>
      <c r="M46" s="88">
        <f>1481</f>
        <v>1481</v>
      </c>
      <c r="N46" s="88">
        <f>1549</f>
        <v>1549</v>
      </c>
      <c r="O46" s="88">
        <f>861</f>
        <v>861</v>
      </c>
      <c r="P46" s="537">
        <f>650</f>
        <v>650</v>
      </c>
      <c r="Q46" s="534" t="s">
        <v>206</v>
      </c>
      <c r="R46" s="93" t="s">
        <v>206</v>
      </c>
      <c r="S46" s="93" t="s">
        <v>206</v>
      </c>
      <c r="T46" s="93" t="s">
        <v>206</v>
      </c>
      <c r="U46" s="93" t="s">
        <v>206</v>
      </c>
      <c r="V46" s="93" t="s">
        <v>206</v>
      </c>
      <c r="W46" s="93" t="s">
        <v>206</v>
      </c>
      <c r="X46" s="93" t="s">
        <v>206</v>
      </c>
      <c r="Y46" s="535" t="s">
        <v>206</v>
      </c>
      <c r="Z46" s="565">
        <v>52662281</v>
      </c>
      <c r="AA46" s="519">
        <v>57502294</v>
      </c>
      <c r="AB46" s="88">
        <v>42329135</v>
      </c>
      <c r="AC46" s="88">
        <v>34184364</v>
      </c>
      <c r="AD46" s="88">
        <v>43821739</v>
      </c>
      <c r="AE46" s="88">
        <v>49959692</v>
      </c>
      <c r="AF46" s="88">
        <v>51211783</v>
      </c>
      <c r="AG46" s="88">
        <v>52556497</v>
      </c>
      <c r="AH46" s="88">
        <v>46010367</v>
      </c>
      <c r="AI46" s="88">
        <v>42404195</v>
      </c>
      <c r="AJ46" s="88">
        <v>45849594</v>
      </c>
      <c r="AM46" s="1"/>
      <c r="AN46" s="4"/>
    </row>
    <row r="47" spans="1:40" ht="14.25" customHeight="1">
      <c r="A47" s="4"/>
      <c r="C47" s="752"/>
      <c r="D47" s="91" t="s">
        <v>198</v>
      </c>
      <c r="E47" s="92" t="s">
        <v>107</v>
      </c>
      <c r="F47" s="534" t="s">
        <v>206</v>
      </c>
      <c r="G47" s="92" t="s">
        <v>206</v>
      </c>
      <c r="H47" s="92" t="s">
        <v>206</v>
      </c>
      <c r="I47" s="92" t="s">
        <v>206</v>
      </c>
      <c r="J47" s="92" t="s">
        <v>206</v>
      </c>
      <c r="K47" s="92" t="s">
        <v>206</v>
      </c>
      <c r="L47" s="92" t="s">
        <v>206</v>
      </c>
      <c r="M47" s="92" t="s">
        <v>206</v>
      </c>
      <c r="N47" s="92" t="s">
        <v>206</v>
      </c>
      <c r="O47" s="92" t="s">
        <v>206</v>
      </c>
      <c r="P47" s="559" t="s">
        <v>206</v>
      </c>
      <c r="Q47" s="534">
        <v>1604348</v>
      </c>
      <c r="R47" s="93">
        <v>1609639</v>
      </c>
      <c r="S47" s="93">
        <v>1591314</v>
      </c>
      <c r="T47" s="93">
        <v>1700526</v>
      </c>
      <c r="U47" s="93">
        <v>1845382</v>
      </c>
      <c r="V47" s="93">
        <v>2077301</v>
      </c>
      <c r="W47" s="93">
        <v>2175089</v>
      </c>
      <c r="X47" s="93">
        <v>2293952</v>
      </c>
      <c r="Y47" s="535">
        <v>2394624</v>
      </c>
      <c r="Z47" s="566">
        <v>229481</v>
      </c>
      <c r="AA47" s="520">
        <v>249118</v>
      </c>
      <c r="AB47" s="93">
        <v>233335</v>
      </c>
      <c r="AC47" s="93">
        <v>225421</v>
      </c>
      <c r="AD47" s="93">
        <v>228626</v>
      </c>
      <c r="AE47" s="93">
        <v>193649</v>
      </c>
      <c r="AF47" s="93">
        <v>185776</v>
      </c>
      <c r="AG47" s="93">
        <v>202067</v>
      </c>
      <c r="AH47" s="93">
        <v>171168</v>
      </c>
      <c r="AI47" s="93">
        <v>175811</v>
      </c>
      <c r="AJ47" s="93">
        <v>174716</v>
      </c>
      <c r="AK47" s="334" t="s">
        <v>199</v>
      </c>
      <c r="AM47" s="1"/>
      <c r="AN47" s="4"/>
    </row>
    <row r="48" spans="1:40" ht="14.25" customHeight="1">
      <c r="A48" s="4"/>
      <c r="C48" s="752"/>
      <c r="D48" s="91" t="s">
        <v>200</v>
      </c>
      <c r="E48" s="92" t="s">
        <v>107</v>
      </c>
      <c r="F48" s="534" t="s">
        <v>206</v>
      </c>
      <c r="G48" s="92" t="s">
        <v>206</v>
      </c>
      <c r="H48" s="92" t="s">
        <v>206</v>
      </c>
      <c r="I48" s="92" t="s">
        <v>206</v>
      </c>
      <c r="J48" s="92" t="s">
        <v>206</v>
      </c>
      <c r="K48" s="92" t="s">
        <v>206</v>
      </c>
      <c r="L48" s="92" t="s">
        <v>206</v>
      </c>
      <c r="M48" s="92" t="s">
        <v>206</v>
      </c>
      <c r="N48" s="92" t="s">
        <v>206</v>
      </c>
      <c r="O48" s="92" t="s">
        <v>206</v>
      </c>
      <c r="P48" s="559" t="s">
        <v>206</v>
      </c>
      <c r="Q48" s="534" t="s">
        <v>206</v>
      </c>
      <c r="R48" s="93" t="s">
        <v>206</v>
      </c>
      <c r="S48" s="93" t="s">
        <v>206</v>
      </c>
      <c r="T48" s="93" t="s">
        <v>206</v>
      </c>
      <c r="U48" s="93" t="s">
        <v>206</v>
      </c>
      <c r="V48" s="93" t="s">
        <v>206</v>
      </c>
      <c r="W48" s="93" t="s">
        <v>206</v>
      </c>
      <c r="X48" s="93" t="s">
        <v>206</v>
      </c>
      <c r="Y48" s="535" t="s">
        <v>206</v>
      </c>
      <c r="Z48" s="566">
        <v>153379</v>
      </c>
      <c r="AA48" s="520">
        <v>154869</v>
      </c>
      <c r="AB48" s="93">
        <v>162631</v>
      </c>
      <c r="AC48" s="93">
        <v>146670</v>
      </c>
      <c r="AD48" s="93">
        <v>144554</v>
      </c>
      <c r="AE48" s="93">
        <v>179427</v>
      </c>
      <c r="AF48" s="93">
        <v>206619</v>
      </c>
      <c r="AG48" s="93">
        <v>214263</v>
      </c>
      <c r="AH48" s="93">
        <v>165440</v>
      </c>
      <c r="AI48" s="93">
        <v>222395</v>
      </c>
      <c r="AJ48" s="93">
        <v>260618</v>
      </c>
      <c r="AK48" s="334" t="s">
        <v>199</v>
      </c>
      <c r="AM48" s="1"/>
      <c r="AN48" s="4"/>
    </row>
    <row r="49" spans="1:40" ht="14.25" customHeight="1">
      <c r="A49" s="4"/>
      <c r="C49" s="752"/>
      <c r="D49" s="91" t="s">
        <v>201</v>
      </c>
      <c r="E49" s="92" t="s">
        <v>107</v>
      </c>
      <c r="F49" s="534" t="s">
        <v>206</v>
      </c>
      <c r="G49" s="92" t="s">
        <v>206</v>
      </c>
      <c r="H49" s="92" t="s">
        <v>206</v>
      </c>
      <c r="I49" s="92" t="s">
        <v>206</v>
      </c>
      <c r="J49" s="92" t="s">
        <v>206</v>
      </c>
      <c r="K49" s="92" t="s">
        <v>206</v>
      </c>
      <c r="L49" s="92" t="s">
        <v>206</v>
      </c>
      <c r="M49" s="92" t="s">
        <v>206</v>
      </c>
      <c r="N49" s="92" t="s">
        <v>206</v>
      </c>
      <c r="O49" s="92" t="s">
        <v>206</v>
      </c>
      <c r="P49" s="559" t="s">
        <v>206</v>
      </c>
      <c r="Q49" s="534" t="s">
        <v>206</v>
      </c>
      <c r="R49" s="93" t="s">
        <v>206</v>
      </c>
      <c r="S49" s="93" t="s">
        <v>206</v>
      </c>
      <c r="T49" s="93" t="s">
        <v>206</v>
      </c>
      <c r="U49" s="93" t="s">
        <v>206</v>
      </c>
      <c r="V49" s="93" t="s">
        <v>206</v>
      </c>
      <c r="W49" s="93" t="s">
        <v>206</v>
      </c>
      <c r="X49" s="93" t="s">
        <v>206</v>
      </c>
      <c r="Y49" s="535" t="s">
        <v>206</v>
      </c>
      <c r="Z49" s="566">
        <v>16217</v>
      </c>
      <c r="AA49" s="520">
        <v>19269</v>
      </c>
      <c r="AB49" s="93">
        <v>17387</v>
      </c>
      <c r="AC49" s="93">
        <v>16992</v>
      </c>
      <c r="AD49" s="93">
        <v>20506</v>
      </c>
      <c r="AE49" s="93">
        <v>20147</v>
      </c>
      <c r="AF49" s="93">
        <v>34558</v>
      </c>
      <c r="AG49" s="93">
        <v>38099</v>
      </c>
      <c r="AH49" s="93">
        <v>47926</v>
      </c>
      <c r="AI49" s="93">
        <v>50567</v>
      </c>
      <c r="AJ49" s="93">
        <v>39980</v>
      </c>
      <c r="AK49" s="334" t="s">
        <v>199</v>
      </c>
      <c r="AM49" s="1"/>
      <c r="AN49" s="4"/>
    </row>
    <row r="50" spans="1:40" ht="14.25" customHeight="1">
      <c r="A50" s="4"/>
      <c r="C50" s="752"/>
      <c r="D50" s="91" t="s">
        <v>202</v>
      </c>
      <c r="E50" s="92" t="s">
        <v>107</v>
      </c>
      <c r="F50" s="534" t="s">
        <v>206</v>
      </c>
      <c r="G50" s="92" t="s">
        <v>206</v>
      </c>
      <c r="H50" s="92" t="s">
        <v>206</v>
      </c>
      <c r="I50" s="92" t="s">
        <v>206</v>
      </c>
      <c r="J50" s="92" t="s">
        <v>206</v>
      </c>
      <c r="K50" s="92" t="s">
        <v>206</v>
      </c>
      <c r="L50" s="92" t="s">
        <v>206</v>
      </c>
      <c r="M50" s="92" t="s">
        <v>206</v>
      </c>
      <c r="N50" s="92" t="s">
        <v>206</v>
      </c>
      <c r="O50" s="92" t="s">
        <v>206</v>
      </c>
      <c r="P50" s="559" t="s">
        <v>206</v>
      </c>
      <c r="Q50" s="534">
        <v>58751</v>
      </c>
      <c r="R50" s="93">
        <v>61060</v>
      </c>
      <c r="S50" s="93">
        <v>69122</v>
      </c>
      <c r="T50" s="93">
        <v>85250</v>
      </c>
      <c r="U50" s="93">
        <v>75948</v>
      </c>
      <c r="V50" s="93">
        <v>90250</v>
      </c>
      <c r="W50" s="93">
        <v>93685</v>
      </c>
      <c r="X50" s="93">
        <v>101300</v>
      </c>
      <c r="Y50" s="535">
        <v>100598</v>
      </c>
      <c r="Z50" s="566">
        <v>6227</v>
      </c>
      <c r="AA50" s="520">
        <v>6985</v>
      </c>
      <c r="AB50" s="93">
        <v>7803</v>
      </c>
      <c r="AC50" s="93">
        <v>6876</v>
      </c>
      <c r="AD50" s="93">
        <v>6839</v>
      </c>
      <c r="AE50" s="93">
        <v>6898</v>
      </c>
      <c r="AF50" s="93">
        <v>7407</v>
      </c>
      <c r="AG50" s="93">
        <v>7189</v>
      </c>
      <c r="AH50" s="93">
        <v>6077</v>
      </c>
      <c r="AI50" s="93">
        <v>6113</v>
      </c>
      <c r="AJ50" s="93">
        <v>5803</v>
      </c>
      <c r="AK50" s="334" t="s">
        <v>199</v>
      </c>
      <c r="AM50" s="1"/>
      <c r="AN50" s="4"/>
    </row>
    <row r="51" spans="1:40" ht="14.25" customHeight="1">
      <c r="A51" s="4"/>
      <c r="C51" s="752"/>
      <c r="D51" s="91" t="s">
        <v>203</v>
      </c>
      <c r="E51" s="92" t="s">
        <v>107</v>
      </c>
      <c r="F51" s="534" t="s">
        <v>206</v>
      </c>
      <c r="G51" s="92" t="s">
        <v>206</v>
      </c>
      <c r="H51" s="92" t="s">
        <v>206</v>
      </c>
      <c r="I51" s="92" t="s">
        <v>206</v>
      </c>
      <c r="J51" s="92" t="s">
        <v>206</v>
      </c>
      <c r="K51" s="92" t="s">
        <v>206</v>
      </c>
      <c r="L51" s="92" t="s">
        <v>206</v>
      </c>
      <c r="M51" s="92" t="s">
        <v>206</v>
      </c>
      <c r="N51" s="92" t="s">
        <v>206</v>
      </c>
      <c r="O51" s="92" t="s">
        <v>206</v>
      </c>
      <c r="P51" s="559" t="s">
        <v>206</v>
      </c>
      <c r="Q51" s="534">
        <v>74914</v>
      </c>
      <c r="R51" s="93">
        <v>76042</v>
      </c>
      <c r="S51" s="93">
        <v>75016</v>
      </c>
      <c r="T51" s="93">
        <v>79863</v>
      </c>
      <c r="U51" s="93">
        <v>82059</v>
      </c>
      <c r="V51" s="93">
        <v>89403</v>
      </c>
      <c r="W51" s="93">
        <v>96167</v>
      </c>
      <c r="X51" s="93">
        <v>97548</v>
      </c>
      <c r="Y51" s="535">
        <v>108172</v>
      </c>
      <c r="Z51" s="566">
        <v>1217</v>
      </c>
      <c r="AA51" s="520">
        <v>1075</v>
      </c>
      <c r="AB51" s="93">
        <v>994</v>
      </c>
      <c r="AC51" s="93">
        <v>1022</v>
      </c>
      <c r="AD51" s="93">
        <v>1110</v>
      </c>
      <c r="AE51" s="93">
        <v>900</v>
      </c>
      <c r="AF51" s="93">
        <v>761</v>
      </c>
      <c r="AG51" s="93">
        <v>1218</v>
      </c>
      <c r="AH51" s="93">
        <v>1339</v>
      </c>
      <c r="AI51" s="93">
        <v>2196</v>
      </c>
      <c r="AJ51" s="93">
        <v>1439</v>
      </c>
      <c r="AK51" s="334" t="s">
        <v>199</v>
      </c>
      <c r="AM51" s="1"/>
      <c r="AN51" s="4"/>
    </row>
    <row r="52" spans="1:40" ht="14.25" customHeight="1">
      <c r="A52" s="4"/>
      <c r="C52" s="752"/>
      <c r="D52" s="87" t="s">
        <v>204</v>
      </c>
      <c r="E52" s="510" t="s">
        <v>107</v>
      </c>
      <c r="F52" s="534" t="s">
        <v>206</v>
      </c>
      <c r="G52" s="92" t="s">
        <v>206</v>
      </c>
      <c r="H52" s="92" t="s">
        <v>206</v>
      </c>
      <c r="I52" s="88">
        <v>349.618786</v>
      </c>
      <c r="J52" s="88">
        <v>292.40489200000002</v>
      </c>
      <c r="K52" s="88">
        <v>342.019049</v>
      </c>
      <c r="L52" s="88">
        <v>175.97896</v>
      </c>
      <c r="M52" s="88">
        <v>159.231797</v>
      </c>
      <c r="N52" s="88">
        <v>127.03389199999999</v>
      </c>
      <c r="O52" s="88">
        <v>195.93208200000001</v>
      </c>
      <c r="P52" s="537">
        <v>162.38357099999999</v>
      </c>
      <c r="Q52" s="534" t="s">
        <v>206</v>
      </c>
      <c r="R52" s="93" t="s">
        <v>206</v>
      </c>
      <c r="S52" s="93" t="s">
        <v>206</v>
      </c>
      <c r="T52" s="93" t="s">
        <v>206</v>
      </c>
      <c r="U52" s="93" t="s">
        <v>206</v>
      </c>
      <c r="V52" s="93" t="s">
        <v>206</v>
      </c>
      <c r="W52" s="93" t="s">
        <v>206</v>
      </c>
      <c r="X52" s="93" t="s">
        <v>206</v>
      </c>
      <c r="Y52" s="535" t="s">
        <v>206</v>
      </c>
      <c r="Z52" s="566" t="s">
        <v>206</v>
      </c>
      <c r="AA52" s="520" t="s">
        <v>206</v>
      </c>
      <c r="AB52" s="93" t="s">
        <v>206</v>
      </c>
      <c r="AC52" s="93" t="s">
        <v>206</v>
      </c>
      <c r="AD52" s="93" t="s">
        <v>206</v>
      </c>
      <c r="AE52" s="93" t="s">
        <v>206</v>
      </c>
      <c r="AF52" s="93" t="s">
        <v>206</v>
      </c>
      <c r="AG52" s="93" t="s">
        <v>206</v>
      </c>
      <c r="AH52" s="93" t="s">
        <v>206</v>
      </c>
      <c r="AI52" s="93" t="s">
        <v>206</v>
      </c>
      <c r="AJ52" s="93" t="s">
        <v>206</v>
      </c>
      <c r="AK52" s="4"/>
      <c r="AM52" s="1"/>
      <c r="AN52" s="4"/>
    </row>
    <row r="53" spans="1:40" ht="14.25" customHeight="1">
      <c r="A53" s="4"/>
      <c r="C53" s="752"/>
      <c r="D53" s="87" t="s">
        <v>207</v>
      </c>
      <c r="E53" s="510" t="s">
        <v>700</v>
      </c>
      <c r="F53" s="534" t="s">
        <v>206</v>
      </c>
      <c r="G53" s="92" t="s">
        <v>206</v>
      </c>
      <c r="H53" s="92" t="s">
        <v>206</v>
      </c>
      <c r="I53" s="88">
        <f>684.44462</f>
        <v>684.44461999999999</v>
      </c>
      <c r="J53" s="88">
        <f>775.35738</f>
        <v>775.35738000000003</v>
      </c>
      <c r="K53" s="88">
        <f>801.79249</f>
        <v>801.79249000000004</v>
      </c>
      <c r="L53" s="88">
        <f>829.976002</f>
        <v>829.97600199999999</v>
      </c>
      <c r="M53" s="88">
        <f>931.701001</f>
        <v>931.70100100000002</v>
      </c>
      <c r="N53" s="88">
        <f>1014.816521</f>
        <v>1014.816521</v>
      </c>
      <c r="O53" s="88">
        <f>764.818762</f>
        <v>764.81876199999999</v>
      </c>
      <c r="P53" s="537">
        <f>908.24706</f>
        <v>908.24706000000003</v>
      </c>
      <c r="Q53" s="536">
        <v>1303892.3999999999</v>
      </c>
      <c r="R53" s="88">
        <v>1011652.8</v>
      </c>
      <c r="S53" s="88">
        <v>1069963.1000000001</v>
      </c>
      <c r="T53" s="88">
        <v>1082856.7</v>
      </c>
      <c r="U53" s="88">
        <v>1136395.2</v>
      </c>
      <c r="V53" s="88">
        <v>1338633.5</v>
      </c>
      <c r="W53" s="88">
        <v>1409977.9</v>
      </c>
      <c r="X53" s="88">
        <v>1626176.4</v>
      </c>
      <c r="Y53" s="537">
        <v>1762437.5</v>
      </c>
      <c r="Z53" s="566" t="s">
        <v>206</v>
      </c>
      <c r="AA53" s="520" t="s">
        <v>206</v>
      </c>
      <c r="AB53" s="93" t="s">
        <v>206</v>
      </c>
      <c r="AC53" s="93" t="s">
        <v>206</v>
      </c>
      <c r="AD53" s="93" t="s">
        <v>206</v>
      </c>
      <c r="AE53" s="93" t="s">
        <v>206</v>
      </c>
      <c r="AF53" s="93" t="s">
        <v>206</v>
      </c>
      <c r="AG53" s="93" t="s">
        <v>206</v>
      </c>
      <c r="AH53" s="93" t="s">
        <v>206</v>
      </c>
      <c r="AI53" s="93" t="s">
        <v>206</v>
      </c>
      <c r="AJ53" s="93" t="s">
        <v>206</v>
      </c>
      <c r="AK53" s="4"/>
      <c r="AM53" s="34"/>
      <c r="AN53" s="4"/>
    </row>
    <row r="54" spans="1:40" ht="14.25" customHeight="1">
      <c r="A54" s="4"/>
      <c r="C54" s="752"/>
      <c r="D54" s="87" t="s">
        <v>208</v>
      </c>
      <c r="E54" s="510" t="s">
        <v>107</v>
      </c>
      <c r="F54" s="534" t="s">
        <v>206</v>
      </c>
      <c r="G54" s="92" t="s">
        <v>206</v>
      </c>
      <c r="H54" s="92" t="s">
        <v>206</v>
      </c>
      <c r="I54" s="88">
        <v>1342.955555</v>
      </c>
      <c r="J54" s="88">
        <v>1712.0106270000001</v>
      </c>
      <c r="K54" s="88">
        <v>3043.10241</v>
      </c>
      <c r="L54" s="88">
        <v>1760.452603</v>
      </c>
      <c r="M54" s="88">
        <v>1039.808</v>
      </c>
      <c r="N54" s="88">
        <v>1053.69561</v>
      </c>
      <c r="O54" s="88">
        <v>818.92662499999994</v>
      </c>
      <c r="P54" s="537">
        <v>976.25595999999996</v>
      </c>
      <c r="Q54" s="534" t="s">
        <v>206</v>
      </c>
      <c r="R54" s="93" t="s">
        <v>206</v>
      </c>
      <c r="S54" s="93" t="s">
        <v>206</v>
      </c>
      <c r="T54" s="93" t="s">
        <v>206</v>
      </c>
      <c r="U54" s="93" t="s">
        <v>206</v>
      </c>
      <c r="V54" s="93" t="s">
        <v>206</v>
      </c>
      <c r="W54" s="93" t="s">
        <v>206</v>
      </c>
      <c r="X54" s="93" t="s">
        <v>206</v>
      </c>
      <c r="Y54" s="535" t="s">
        <v>206</v>
      </c>
      <c r="Z54" s="566" t="s">
        <v>206</v>
      </c>
      <c r="AA54" s="520" t="s">
        <v>206</v>
      </c>
      <c r="AB54" s="93" t="s">
        <v>206</v>
      </c>
      <c r="AC54" s="93" t="s">
        <v>206</v>
      </c>
      <c r="AD54" s="93" t="s">
        <v>206</v>
      </c>
      <c r="AE54" s="93" t="s">
        <v>206</v>
      </c>
      <c r="AF54" s="93" t="s">
        <v>206</v>
      </c>
      <c r="AG54" s="93" t="s">
        <v>206</v>
      </c>
      <c r="AH54" s="93" t="s">
        <v>206</v>
      </c>
      <c r="AI54" s="93" t="s">
        <v>206</v>
      </c>
      <c r="AJ54" s="93" t="s">
        <v>206</v>
      </c>
      <c r="AK54" s="4"/>
      <c r="AM54" s="1"/>
      <c r="AN54" s="4"/>
    </row>
    <row r="55" spans="1:40" ht="14.25" customHeight="1">
      <c r="A55" s="4"/>
      <c r="C55" s="753"/>
      <c r="D55" s="100" t="s">
        <v>209</v>
      </c>
      <c r="E55" s="508" t="s">
        <v>700</v>
      </c>
      <c r="F55" s="534" t="s">
        <v>206</v>
      </c>
      <c r="G55" s="92" t="s">
        <v>206</v>
      </c>
      <c r="H55" s="92" t="s">
        <v>206</v>
      </c>
      <c r="I55" s="97" t="s">
        <v>206</v>
      </c>
      <c r="J55" s="97" t="s">
        <v>206</v>
      </c>
      <c r="K55" s="97" t="s">
        <v>206</v>
      </c>
      <c r="L55" s="101">
        <f>3850</f>
        <v>3850</v>
      </c>
      <c r="M55" s="101">
        <f>4982</f>
        <v>4982</v>
      </c>
      <c r="N55" s="101">
        <f>6392</f>
        <v>6392</v>
      </c>
      <c r="O55" s="101">
        <f>6474</f>
        <v>6474</v>
      </c>
      <c r="P55" s="542">
        <f>8519</f>
        <v>8519</v>
      </c>
      <c r="Q55" s="547">
        <v>5241163.8</v>
      </c>
      <c r="R55" s="101">
        <v>5758131.5</v>
      </c>
      <c r="S55" s="101">
        <v>6202457.7999999998</v>
      </c>
      <c r="T55" s="101">
        <v>7334797.4000000004</v>
      </c>
      <c r="U55" s="101">
        <v>7317497.7999999998</v>
      </c>
      <c r="V55" s="101">
        <v>7185867.2999999998</v>
      </c>
      <c r="W55" s="101">
        <v>5906141.0999999996</v>
      </c>
      <c r="X55" s="101">
        <v>6358934.9000000004</v>
      </c>
      <c r="Y55" s="542">
        <v>6689783.7000000002</v>
      </c>
      <c r="Z55" s="567" t="s">
        <v>206</v>
      </c>
      <c r="AA55" s="521" t="s">
        <v>206</v>
      </c>
      <c r="AB55" s="98" t="s">
        <v>206</v>
      </c>
      <c r="AC55" s="98" t="s">
        <v>206</v>
      </c>
      <c r="AD55" s="98" t="s">
        <v>206</v>
      </c>
      <c r="AE55" s="98" t="s">
        <v>206</v>
      </c>
      <c r="AF55" s="98" t="s">
        <v>206</v>
      </c>
      <c r="AG55" s="98" t="s">
        <v>206</v>
      </c>
      <c r="AH55" s="98" t="s">
        <v>206</v>
      </c>
      <c r="AI55" s="98" t="s">
        <v>206</v>
      </c>
      <c r="AJ55" s="98" t="s">
        <v>206</v>
      </c>
      <c r="AK55" s="1"/>
      <c r="AM55" s="1"/>
      <c r="AN55" s="4"/>
    </row>
    <row r="56" spans="1:40" ht="14.25" customHeight="1">
      <c r="A56" s="4"/>
      <c r="C56" s="765" t="s">
        <v>210</v>
      </c>
      <c r="D56" s="113" t="s">
        <v>211</v>
      </c>
      <c r="E56" s="512" t="s">
        <v>701</v>
      </c>
      <c r="F56" s="541" t="s">
        <v>206</v>
      </c>
      <c r="G56" s="103" t="s">
        <v>206</v>
      </c>
      <c r="H56" s="103" t="s">
        <v>206</v>
      </c>
      <c r="I56" s="114">
        <f>324.9</f>
        <v>324.89999999999998</v>
      </c>
      <c r="J56" s="114">
        <f>456.664</f>
        <v>456.66399999999999</v>
      </c>
      <c r="K56" s="114">
        <f>448.19</f>
        <v>448.19</v>
      </c>
      <c r="L56" s="114">
        <f>249.881</f>
        <v>249.881</v>
      </c>
      <c r="M56" s="114">
        <f>367.443</f>
        <v>367.44299999999998</v>
      </c>
      <c r="N56" s="114">
        <f>341.1054</f>
        <v>341.10539999999997</v>
      </c>
      <c r="O56" s="114">
        <f>380.13975</f>
        <v>380.13974999999999</v>
      </c>
      <c r="P56" s="539">
        <f>311.3288</f>
        <v>311.3288</v>
      </c>
      <c r="Q56" s="549">
        <v>488885.5</v>
      </c>
      <c r="R56" s="114">
        <v>600166.30000000005</v>
      </c>
      <c r="S56" s="114">
        <v>813960.3</v>
      </c>
      <c r="T56" s="114">
        <v>874136.3</v>
      </c>
      <c r="U56" s="114">
        <v>1089715.3</v>
      </c>
      <c r="V56" s="114">
        <v>1507421.2</v>
      </c>
      <c r="W56" s="114">
        <v>1394130.8</v>
      </c>
      <c r="X56" s="114">
        <v>1332318.8999999999</v>
      </c>
      <c r="Y56" s="539">
        <v>1326551.3</v>
      </c>
      <c r="Z56" s="568">
        <v>2829893</v>
      </c>
      <c r="AA56" s="522">
        <v>2827768</v>
      </c>
      <c r="AB56" s="114">
        <v>3434488</v>
      </c>
      <c r="AC56" s="114">
        <v>3804203</v>
      </c>
      <c r="AD56" s="114">
        <v>4190897</v>
      </c>
      <c r="AE56" s="114">
        <v>4218399</v>
      </c>
      <c r="AF56" s="114">
        <v>5211766</v>
      </c>
      <c r="AG56" s="114">
        <v>4964516</v>
      </c>
      <c r="AH56" s="114">
        <v>4253956</v>
      </c>
      <c r="AI56" s="114">
        <v>6349565</v>
      </c>
      <c r="AJ56" s="114">
        <v>7546437</v>
      </c>
      <c r="AK56" s="24"/>
      <c r="AM56" s="1"/>
      <c r="AN56" s="4"/>
    </row>
    <row r="57" spans="1:40" ht="14.25" customHeight="1">
      <c r="A57" s="4"/>
      <c r="C57" s="766"/>
      <c r="D57" s="87" t="s">
        <v>212</v>
      </c>
      <c r="E57" s="269" t="s">
        <v>701</v>
      </c>
      <c r="F57" s="534" t="s">
        <v>206</v>
      </c>
      <c r="G57" s="92" t="s">
        <v>206</v>
      </c>
      <c r="H57" s="92" t="s">
        <v>206</v>
      </c>
      <c r="I57" s="88">
        <f>2724.511</f>
        <v>2724.511</v>
      </c>
      <c r="J57" s="88">
        <f>3062.75</f>
        <v>3062.75</v>
      </c>
      <c r="K57" s="88">
        <f>3371.79</f>
        <v>3371.79</v>
      </c>
      <c r="L57" s="88">
        <f>3076.116</f>
        <v>3076.116</v>
      </c>
      <c r="M57" s="88">
        <f>3273.953</f>
        <v>3273.953</v>
      </c>
      <c r="N57" s="88">
        <f>3266.469434</f>
        <v>3266.4694340000001</v>
      </c>
      <c r="O57" s="88">
        <f>3732.265604</f>
        <v>3732.2656040000002</v>
      </c>
      <c r="P57" s="537">
        <f>4045.8351</f>
        <v>4045.8350999999998</v>
      </c>
      <c r="Q57" s="536">
        <v>4575455</v>
      </c>
      <c r="R57" s="88">
        <v>4800502</v>
      </c>
      <c r="S57" s="88">
        <v>5864560</v>
      </c>
      <c r="T57" s="88">
        <v>5986483.2999999998</v>
      </c>
      <c r="U57" s="88">
        <v>6785332.5</v>
      </c>
      <c r="V57" s="88">
        <v>8450040.0999999996</v>
      </c>
      <c r="W57" s="88">
        <v>7700689.7000000002</v>
      </c>
      <c r="X57" s="88">
        <v>9794177</v>
      </c>
      <c r="Y57" s="537">
        <v>9619449.5999999996</v>
      </c>
      <c r="Z57" s="565">
        <v>9324559</v>
      </c>
      <c r="AA57" s="519">
        <v>10104483</v>
      </c>
      <c r="AB57" s="88">
        <v>11841040</v>
      </c>
      <c r="AC57" s="88">
        <v>11239302</v>
      </c>
      <c r="AD57" s="88">
        <v>11135486</v>
      </c>
      <c r="AE57" s="88">
        <v>10862037</v>
      </c>
      <c r="AF57" s="88">
        <v>13814176</v>
      </c>
      <c r="AG57" s="88">
        <v>15108532</v>
      </c>
      <c r="AH57" s="88">
        <v>17171468</v>
      </c>
      <c r="AI57" s="88">
        <v>21841234</v>
      </c>
      <c r="AJ57" s="88">
        <v>23337930</v>
      </c>
      <c r="AK57" s="4"/>
      <c r="AM57" s="1"/>
      <c r="AN57" s="4"/>
    </row>
    <row r="58" spans="1:40" ht="14.25" customHeight="1">
      <c r="A58" s="4"/>
      <c r="C58" s="766"/>
      <c r="D58" s="89" t="s">
        <v>213</v>
      </c>
      <c r="E58" s="269" t="s">
        <v>701</v>
      </c>
      <c r="F58" s="534" t="s">
        <v>206</v>
      </c>
      <c r="G58" s="92" t="s">
        <v>206</v>
      </c>
      <c r="H58" s="92" t="s">
        <v>206</v>
      </c>
      <c r="I58" s="88">
        <f>753436.256</f>
        <v>753436.25600000005</v>
      </c>
      <c r="J58" s="88">
        <f>718450.398</f>
        <v>718450.39800000004</v>
      </c>
      <c r="K58" s="88">
        <f>728157.287</f>
        <v>728157.28700000001</v>
      </c>
      <c r="L58" s="88">
        <f>640581.438</f>
        <v>640581.43799999997</v>
      </c>
      <c r="M58" s="88">
        <f>602720.687</f>
        <v>602720.68700000003</v>
      </c>
      <c r="N58" s="88">
        <f>558767.172</f>
        <v>558767.17200000002</v>
      </c>
      <c r="O58" s="88">
        <f>519333.591</f>
        <v>519333.59100000001</v>
      </c>
      <c r="P58" s="537">
        <f>605900.542</f>
        <v>605900.54200000002</v>
      </c>
      <c r="Q58" s="536">
        <f>632714.1*1000</f>
        <v>632714100</v>
      </c>
      <c r="R58" s="88">
        <f>663616.9*1000</f>
        <v>663616900</v>
      </c>
      <c r="S58" s="88">
        <f>781110.7*1000</f>
        <v>781110700</v>
      </c>
      <c r="T58" s="88">
        <f>943362.4*1000</f>
        <v>943362400</v>
      </c>
      <c r="U58" s="88">
        <f>1037052.9*1000</f>
        <v>1037052900</v>
      </c>
      <c r="V58" s="88">
        <f>1179776.9*1000</f>
        <v>1179776900</v>
      </c>
      <c r="W58" s="88">
        <f>1169677.2*1000</f>
        <v>1169677200</v>
      </c>
      <c r="X58" s="88">
        <f>1230334.8*1000</f>
        <v>1230334800</v>
      </c>
      <c r="Y58" s="537">
        <f>1305390.3*1000</f>
        <v>1305390300</v>
      </c>
      <c r="Z58" s="565">
        <v>1365089100</v>
      </c>
      <c r="AA58" s="519">
        <v>1349327892</v>
      </c>
      <c r="AB58" s="88">
        <v>1355140799</v>
      </c>
      <c r="AC58" s="88">
        <v>1356011336</v>
      </c>
      <c r="AD58" s="88">
        <v>1360119923</v>
      </c>
      <c r="AE58" s="88">
        <v>1368914013</v>
      </c>
      <c r="AF58" s="88">
        <v>1353704298</v>
      </c>
      <c r="AG58" s="88">
        <v>1363582139</v>
      </c>
      <c r="AH58" s="88">
        <v>998170924</v>
      </c>
      <c r="AI58" s="88">
        <v>1275676031</v>
      </c>
      <c r="AJ58" s="88">
        <v>1452161531</v>
      </c>
      <c r="AK58" s="4"/>
      <c r="AM58" s="1"/>
      <c r="AN58" s="4"/>
    </row>
    <row r="59" spans="1:40" ht="14.25" customHeight="1">
      <c r="A59" s="4"/>
      <c r="C59" s="766"/>
      <c r="D59" s="91" t="s">
        <v>214</v>
      </c>
      <c r="E59" s="92" t="s">
        <v>701</v>
      </c>
      <c r="F59" s="534" t="s">
        <v>206</v>
      </c>
      <c r="G59" s="92" t="s">
        <v>206</v>
      </c>
      <c r="H59" s="92" t="s">
        <v>206</v>
      </c>
      <c r="I59" s="93">
        <f>556246.706293</f>
        <v>556246.70629300002</v>
      </c>
      <c r="J59" s="93">
        <f>524209.061229</f>
        <v>524209.06122899998</v>
      </c>
      <c r="K59" s="93">
        <f>653362.486203</f>
        <v>653362.48620299995</v>
      </c>
      <c r="L59" s="93">
        <f>756795.682096</f>
        <v>756795.68209599995</v>
      </c>
      <c r="M59" s="93">
        <f>844509.802545</f>
        <v>844509.80254499998</v>
      </c>
      <c r="N59" s="93">
        <f>1110801.63633</f>
        <v>1110801.6363299999</v>
      </c>
      <c r="O59" s="93">
        <f>1185424.211996</f>
        <v>1185424.211996</v>
      </c>
      <c r="P59" s="535">
        <f>1179689.0086</f>
        <v>1179689.0086000001</v>
      </c>
      <c r="Q59" s="534">
        <v>1199942544.2</v>
      </c>
      <c r="R59" s="93">
        <v>1283010916.7</v>
      </c>
      <c r="S59" s="93">
        <v>1258311768.9000001</v>
      </c>
      <c r="T59" s="93">
        <v>1319547112.8</v>
      </c>
      <c r="U59" s="93">
        <v>1314089256.3</v>
      </c>
      <c r="V59" s="93">
        <v>1477948704.7</v>
      </c>
      <c r="W59" s="93">
        <v>1556884515.5999999</v>
      </c>
      <c r="X59" s="93">
        <v>1665267603</v>
      </c>
      <c r="Y59" s="535">
        <v>1707455568.8</v>
      </c>
      <c r="Z59" s="566">
        <v>1805825201</v>
      </c>
      <c r="AA59" s="520">
        <v>1909745094</v>
      </c>
      <c r="AB59" s="93">
        <v>1936638722</v>
      </c>
      <c r="AC59" s="93">
        <v>1955529582</v>
      </c>
      <c r="AD59" s="93">
        <v>1956647409</v>
      </c>
      <c r="AE59" s="93">
        <v>1899320642</v>
      </c>
      <c r="AF59" s="93">
        <v>1690341027</v>
      </c>
      <c r="AG59" s="93">
        <v>2220670999</v>
      </c>
      <c r="AH59" s="93">
        <v>1853990494</v>
      </c>
      <c r="AI59" s="93">
        <v>2109364448</v>
      </c>
      <c r="AJ59" s="93">
        <v>2147093972</v>
      </c>
      <c r="AK59" s="334" t="s">
        <v>199</v>
      </c>
      <c r="AM59" s="1"/>
      <c r="AN59" s="4"/>
    </row>
    <row r="60" spans="1:40" ht="14.25" customHeight="1">
      <c r="A60" s="4"/>
      <c r="C60" s="766"/>
      <c r="D60" s="91" t="s">
        <v>214</v>
      </c>
      <c r="E60" s="92" t="s">
        <v>701</v>
      </c>
      <c r="F60" s="534" t="s">
        <v>206</v>
      </c>
      <c r="G60" s="92" t="s">
        <v>206</v>
      </c>
      <c r="H60" s="92" t="s">
        <v>206</v>
      </c>
      <c r="I60" s="93">
        <f>25464.17685</f>
        <v>25464.17685</v>
      </c>
      <c r="J60" s="93">
        <f>26102.671652</f>
        <v>26102.671652000001</v>
      </c>
      <c r="K60" s="93">
        <f>30863.552491</f>
        <v>30863.552490999999</v>
      </c>
      <c r="L60" s="93">
        <f>32441.784115</f>
        <v>32441.784114999999</v>
      </c>
      <c r="M60" s="93">
        <f>34089.353469</f>
        <v>34089.353469000001</v>
      </c>
      <c r="N60" s="93">
        <f>38965.37079</f>
        <v>38965.370790000001</v>
      </c>
      <c r="O60" s="93">
        <f>42882.0063</f>
        <v>42882.006300000001</v>
      </c>
      <c r="P60" s="535">
        <f>46038.4734</f>
        <v>46038.473400000003</v>
      </c>
      <c r="Q60" s="534">
        <v>53268124.5</v>
      </c>
      <c r="R60" s="93">
        <v>43575050.299999997</v>
      </c>
      <c r="S60" s="93">
        <v>36683664.5</v>
      </c>
      <c r="T60" s="93">
        <v>38352952.899999999</v>
      </c>
      <c r="U60" s="93">
        <v>41230514</v>
      </c>
      <c r="V60" s="93">
        <v>40442975.600000001</v>
      </c>
      <c r="W60" s="93">
        <v>36884367.299999997</v>
      </c>
      <c r="X60" s="93">
        <v>32925251.800000001</v>
      </c>
      <c r="Y60" s="535">
        <v>36774400.799999997</v>
      </c>
      <c r="Z60" s="566" t="s">
        <v>206</v>
      </c>
      <c r="AA60" s="520" t="s">
        <v>206</v>
      </c>
      <c r="AB60" s="93" t="s">
        <v>206</v>
      </c>
      <c r="AC60" s="93" t="s">
        <v>206</v>
      </c>
      <c r="AD60" s="93" t="s">
        <v>206</v>
      </c>
      <c r="AE60" s="93" t="s">
        <v>206</v>
      </c>
      <c r="AF60" s="93" t="s">
        <v>206</v>
      </c>
      <c r="AG60" s="93" t="s">
        <v>206</v>
      </c>
      <c r="AH60" s="93" t="s">
        <v>206</v>
      </c>
      <c r="AI60" s="93" t="s">
        <v>206</v>
      </c>
      <c r="AJ60" s="93" t="s">
        <v>206</v>
      </c>
      <c r="AK60" s="334" t="s">
        <v>199</v>
      </c>
      <c r="AM60" s="1"/>
      <c r="AN60" s="4"/>
    </row>
    <row r="61" spans="1:40" ht="14.25" customHeight="1">
      <c r="A61" s="4"/>
      <c r="C61" s="766"/>
      <c r="D61" s="91" t="s">
        <v>215</v>
      </c>
      <c r="E61" s="92" t="s">
        <v>195</v>
      </c>
      <c r="F61" s="534" t="s">
        <v>206</v>
      </c>
      <c r="G61" s="92" t="s">
        <v>206</v>
      </c>
      <c r="H61" s="92" t="s">
        <v>206</v>
      </c>
      <c r="I61" s="92" t="s">
        <v>206</v>
      </c>
      <c r="J61" s="92" t="s">
        <v>206</v>
      </c>
      <c r="K61" s="92" t="s">
        <v>206</v>
      </c>
      <c r="L61" s="92" t="s">
        <v>206</v>
      </c>
      <c r="M61" s="92" t="s">
        <v>206</v>
      </c>
      <c r="N61" s="92" t="s">
        <v>206</v>
      </c>
      <c r="O61" s="92" t="s">
        <v>206</v>
      </c>
      <c r="P61" s="559" t="s">
        <v>206</v>
      </c>
      <c r="Q61" s="534" t="s">
        <v>206</v>
      </c>
      <c r="R61" s="93" t="s">
        <v>206</v>
      </c>
      <c r="S61" s="93" t="s">
        <v>206</v>
      </c>
      <c r="T61" s="93" t="s">
        <v>206</v>
      </c>
      <c r="U61" s="93" t="s">
        <v>206</v>
      </c>
      <c r="V61" s="93" t="s">
        <v>206</v>
      </c>
      <c r="W61" s="93" t="s">
        <v>206</v>
      </c>
      <c r="X61" s="93" t="s">
        <v>206</v>
      </c>
      <c r="Y61" s="535" t="s">
        <v>206</v>
      </c>
      <c r="Z61" s="566">
        <v>108344832</v>
      </c>
      <c r="AA61" s="520">
        <v>145067575</v>
      </c>
      <c r="AB61" s="93">
        <v>120758383</v>
      </c>
      <c r="AC61" s="93">
        <v>114317872</v>
      </c>
      <c r="AD61" s="93">
        <v>117691715</v>
      </c>
      <c r="AE61" s="93">
        <v>124089700</v>
      </c>
      <c r="AF61" s="93">
        <v>116262879</v>
      </c>
      <c r="AG61" s="93">
        <v>89773683</v>
      </c>
      <c r="AH61" s="93">
        <v>64865964</v>
      </c>
      <c r="AI61" s="93">
        <v>94050578</v>
      </c>
      <c r="AJ61" s="93">
        <v>111744485</v>
      </c>
      <c r="AK61" s="334" t="s">
        <v>199</v>
      </c>
      <c r="AM61" s="1"/>
      <c r="AN61" s="4"/>
    </row>
    <row r="62" spans="1:40" ht="13.15" customHeight="1">
      <c r="A62" s="4"/>
      <c r="C62" s="766"/>
      <c r="D62" s="91" t="s">
        <v>216</v>
      </c>
      <c r="E62" s="92" t="s">
        <v>195</v>
      </c>
      <c r="F62" s="534" t="s">
        <v>206</v>
      </c>
      <c r="G62" s="92" t="s">
        <v>206</v>
      </c>
      <c r="H62" s="92" t="s">
        <v>206</v>
      </c>
      <c r="I62" s="92" t="s">
        <v>206</v>
      </c>
      <c r="J62" s="92" t="s">
        <v>206</v>
      </c>
      <c r="K62" s="92" t="s">
        <v>206</v>
      </c>
      <c r="L62" s="92" t="s">
        <v>206</v>
      </c>
      <c r="M62" s="92" t="s">
        <v>206</v>
      </c>
      <c r="N62" s="92" t="s">
        <v>206</v>
      </c>
      <c r="O62" s="92" t="s">
        <v>206</v>
      </c>
      <c r="P62" s="559" t="s">
        <v>206</v>
      </c>
      <c r="Q62" s="534" t="s">
        <v>206</v>
      </c>
      <c r="R62" s="93" t="s">
        <v>206</v>
      </c>
      <c r="S62" s="93" t="s">
        <v>206</v>
      </c>
      <c r="T62" s="93" t="s">
        <v>206</v>
      </c>
      <c r="U62" s="93" t="s">
        <v>206</v>
      </c>
      <c r="V62" s="93" t="s">
        <v>206</v>
      </c>
      <c r="W62" s="93" t="s">
        <v>206</v>
      </c>
      <c r="X62" s="93" t="s">
        <v>206</v>
      </c>
      <c r="Y62" s="535" t="s">
        <v>206</v>
      </c>
      <c r="Z62" s="566">
        <v>116120086</v>
      </c>
      <c r="AA62" s="520">
        <v>135996151</v>
      </c>
      <c r="AB62" s="93">
        <v>136257892</v>
      </c>
      <c r="AC62" s="93">
        <v>154647542</v>
      </c>
      <c r="AD62" s="93">
        <v>165272622</v>
      </c>
      <c r="AE62" s="93">
        <v>141293296</v>
      </c>
      <c r="AF62" s="93">
        <v>131267956</v>
      </c>
      <c r="AG62" s="93">
        <v>142132463</v>
      </c>
      <c r="AH62" s="93">
        <v>132797178</v>
      </c>
      <c r="AI62" s="93">
        <v>216217360</v>
      </c>
      <c r="AJ62" s="93">
        <v>234449039</v>
      </c>
      <c r="AK62" s="334" t="s">
        <v>199</v>
      </c>
      <c r="AM62" s="34"/>
      <c r="AN62" s="4"/>
    </row>
    <row r="63" spans="1:40" ht="13.15" customHeight="1">
      <c r="A63" s="4"/>
      <c r="C63" s="766"/>
      <c r="D63" s="91" t="s">
        <v>217</v>
      </c>
      <c r="E63" s="92" t="s">
        <v>195</v>
      </c>
      <c r="F63" s="534" t="s">
        <v>206</v>
      </c>
      <c r="G63" s="92" t="s">
        <v>206</v>
      </c>
      <c r="H63" s="92" t="s">
        <v>206</v>
      </c>
      <c r="I63" s="92" t="s">
        <v>206</v>
      </c>
      <c r="J63" s="92" t="s">
        <v>206</v>
      </c>
      <c r="K63" s="92" t="s">
        <v>206</v>
      </c>
      <c r="L63" s="92" t="s">
        <v>206</v>
      </c>
      <c r="M63" s="92" t="s">
        <v>206</v>
      </c>
      <c r="N63" s="92" t="s">
        <v>206</v>
      </c>
      <c r="O63" s="92" t="s">
        <v>206</v>
      </c>
      <c r="P63" s="559" t="s">
        <v>206</v>
      </c>
      <c r="Q63" s="534">
        <v>0</v>
      </c>
      <c r="R63" s="93">
        <v>0</v>
      </c>
      <c r="S63" s="93">
        <v>0</v>
      </c>
      <c r="T63" s="93">
        <v>0</v>
      </c>
      <c r="U63" s="93">
        <v>37271256.100000001</v>
      </c>
      <c r="V63" s="93">
        <v>59256108.100000001</v>
      </c>
      <c r="W63" s="93">
        <v>83930736.5</v>
      </c>
      <c r="X63" s="93">
        <v>95906210.799999997</v>
      </c>
      <c r="Y63" s="535">
        <v>116539698.8</v>
      </c>
      <c r="Z63" s="566" t="s">
        <v>206</v>
      </c>
      <c r="AA63" s="520" t="s">
        <v>206</v>
      </c>
      <c r="AB63" s="93" t="s">
        <v>206</v>
      </c>
      <c r="AC63" s="93" t="s">
        <v>206</v>
      </c>
      <c r="AD63" s="93" t="s">
        <v>206</v>
      </c>
      <c r="AE63" s="93" t="s">
        <v>206</v>
      </c>
      <c r="AF63" s="93" t="s">
        <v>206</v>
      </c>
      <c r="AG63" s="93" t="s">
        <v>206</v>
      </c>
      <c r="AH63" s="93" t="s">
        <v>206</v>
      </c>
      <c r="AI63" s="93" t="s">
        <v>206</v>
      </c>
      <c r="AJ63" s="93" t="s">
        <v>206</v>
      </c>
      <c r="AK63" s="334" t="s">
        <v>199</v>
      </c>
      <c r="AM63" s="34"/>
      <c r="AN63" s="4"/>
    </row>
    <row r="64" spans="1:40" ht="14.25" customHeight="1">
      <c r="A64" s="4"/>
      <c r="C64" s="766"/>
      <c r="D64" s="89" t="s">
        <v>218</v>
      </c>
      <c r="E64" s="269" t="s">
        <v>299</v>
      </c>
      <c r="F64" s="534" t="s">
        <v>206</v>
      </c>
      <c r="G64" s="92" t="s">
        <v>206</v>
      </c>
      <c r="H64" s="92" t="s">
        <v>206</v>
      </c>
      <c r="I64" s="88">
        <v>2928.4589999999998</v>
      </c>
      <c r="J64" s="88">
        <v>2956.0819999999999</v>
      </c>
      <c r="K64" s="88">
        <v>3657.9520000000002</v>
      </c>
      <c r="L64" s="88">
        <v>5440.7730009999996</v>
      </c>
      <c r="M64" s="88">
        <v>8163.665</v>
      </c>
      <c r="N64" s="88">
        <v>10907.306200999999</v>
      </c>
      <c r="O64" s="88">
        <v>9330.3653040000008</v>
      </c>
      <c r="P64" s="537">
        <v>8335.2409000000007</v>
      </c>
      <c r="Q64" s="534" t="s">
        <v>206</v>
      </c>
      <c r="R64" s="93" t="s">
        <v>206</v>
      </c>
      <c r="S64" s="93" t="s">
        <v>206</v>
      </c>
      <c r="T64" s="93" t="s">
        <v>206</v>
      </c>
      <c r="U64" s="93" t="s">
        <v>206</v>
      </c>
      <c r="V64" s="93" t="s">
        <v>206</v>
      </c>
      <c r="W64" s="93" t="s">
        <v>206</v>
      </c>
      <c r="X64" s="93" t="s">
        <v>206</v>
      </c>
      <c r="Y64" s="535" t="s">
        <v>206</v>
      </c>
      <c r="Z64" s="566" t="s">
        <v>206</v>
      </c>
      <c r="AA64" s="520" t="s">
        <v>206</v>
      </c>
      <c r="AB64" s="93" t="s">
        <v>206</v>
      </c>
      <c r="AC64" s="93" t="s">
        <v>206</v>
      </c>
      <c r="AD64" s="93" t="s">
        <v>206</v>
      </c>
      <c r="AE64" s="93" t="s">
        <v>206</v>
      </c>
      <c r="AF64" s="93" t="s">
        <v>206</v>
      </c>
      <c r="AG64" s="93" t="s">
        <v>206</v>
      </c>
      <c r="AH64" s="93" t="s">
        <v>206</v>
      </c>
      <c r="AI64" s="93" t="s">
        <v>206</v>
      </c>
      <c r="AJ64" s="93" t="s">
        <v>206</v>
      </c>
      <c r="AK64" s="4"/>
      <c r="AM64" s="1"/>
      <c r="AN64" s="4"/>
    </row>
    <row r="65" spans="1:40" ht="14.25" customHeight="1">
      <c r="A65" s="4"/>
      <c r="C65" s="766"/>
      <c r="D65" s="100" t="s">
        <v>219</v>
      </c>
      <c r="E65" s="508" t="s">
        <v>299</v>
      </c>
      <c r="F65" s="534" t="s">
        <v>206</v>
      </c>
      <c r="G65" s="92" t="s">
        <v>206</v>
      </c>
      <c r="H65" s="92" t="s">
        <v>206</v>
      </c>
      <c r="I65" s="101">
        <v>28289.553</v>
      </c>
      <c r="J65" s="101">
        <v>24995.832999999999</v>
      </c>
      <c r="K65" s="101">
        <v>14899.371999999999</v>
      </c>
      <c r="L65" s="101">
        <v>15144.201999999999</v>
      </c>
      <c r="M65" s="101">
        <v>14075.43</v>
      </c>
      <c r="N65" s="101">
        <v>11784.17</v>
      </c>
      <c r="O65" s="101">
        <v>10284.300999999999</v>
      </c>
      <c r="P65" s="542">
        <v>10415.434999999999</v>
      </c>
      <c r="Q65" s="550" t="s">
        <v>206</v>
      </c>
      <c r="R65" s="94" t="s">
        <v>206</v>
      </c>
      <c r="S65" s="94" t="s">
        <v>206</v>
      </c>
      <c r="T65" s="94" t="s">
        <v>206</v>
      </c>
      <c r="U65" s="94" t="s">
        <v>206</v>
      </c>
      <c r="V65" s="94" t="s">
        <v>206</v>
      </c>
      <c r="W65" s="94" t="s">
        <v>206</v>
      </c>
      <c r="X65" s="94" t="s">
        <v>206</v>
      </c>
      <c r="Y65" s="540" t="s">
        <v>206</v>
      </c>
      <c r="Z65" s="569" t="s">
        <v>206</v>
      </c>
      <c r="AA65" s="523" t="s">
        <v>206</v>
      </c>
      <c r="AB65" s="94" t="s">
        <v>206</v>
      </c>
      <c r="AC65" s="94" t="s">
        <v>206</v>
      </c>
      <c r="AD65" s="94" t="s">
        <v>206</v>
      </c>
      <c r="AE65" s="94" t="s">
        <v>206</v>
      </c>
      <c r="AF65" s="94" t="s">
        <v>206</v>
      </c>
      <c r="AG65" s="94" t="s">
        <v>206</v>
      </c>
      <c r="AH65" s="94" t="s">
        <v>206</v>
      </c>
      <c r="AI65" s="94" t="s">
        <v>206</v>
      </c>
      <c r="AJ65" s="94" t="s">
        <v>206</v>
      </c>
      <c r="AK65" s="4"/>
      <c r="AM65" s="1"/>
      <c r="AN65" s="4"/>
    </row>
    <row r="66" spans="1:40" ht="14.25" customHeight="1">
      <c r="A66" s="4"/>
      <c r="C66" s="751" t="s">
        <v>220</v>
      </c>
      <c r="D66" s="102" t="s">
        <v>221</v>
      </c>
      <c r="E66" s="103" t="s">
        <v>700</v>
      </c>
      <c r="F66" s="541" t="s">
        <v>206</v>
      </c>
      <c r="G66" s="103" t="s">
        <v>206</v>
      </c>
      <c r="H66" s="103" t="s">
        <v>206</v>
      </c>
      <c r="I66" s="557">
        <f>43452.715</f>
        <v>43452.714999999997</v>
      </c>
      <c r="J66" s="557">
        <f>46123.547</f>
        <v>46123.546999999999</v>
      </c>
      <c r="K66" s="557">
        <f>53218.355</f>
        <v>53218.355000000003</v>
      </c>
      <c r="L66" s="557">
        <f>46914.024</f>
        <v>46914.023999999998</v>
      </c>
      <c r="M66" s="557">
        <f>41949.464</f>
        <v>41949.464</v>
      </c>
      <c r="N66" s="557">
        <f>47116.64</f>
        <v>47116.639999999999</v>
      </c>
      <c r="O66" s="557">
        <f>43277.212</f>
        <v>43277.212</v>
      </c>
      <c r="P66" s="533">
        <f>41230.412</f>
        <v>41230.411999999997</v>
      </c>
      <c r="Q66" s="532">
        <f>39763.3*1000</f>
        <v>39763300</v>
      </c>
      <c r="R66" s="524">
        <f>41631*1000</f>
        <v>41631000</v>
      </c>
      <c r="S66" s="524">
        <f>42255.5*1000</f>
        <v>42255500</v>
      </c>
      <c r="T66" s="524">
        <f>41805*1000</f>
        <v>41805000</v>
      </c>
      <c r="U66" s="524">
        <f>45168.8*1000</f>
        <v>45168800</v>
      </c>
      <c r="V66" s="524">
        <f>41981.9*1000</f>
        <v>41981900</v>
      </c>
      <c r="W66" s="524">
        <f>34012.8*1000</f>
        <v>34012800</v>
      </c>
      <c r="X66" s="524">
        <f>41316.6*1000</f>
        <v>41316600</v>
      </c>
      <c r="Y66" s="551">
        <f>37689.1*1000</f>
        <v>37689100</v>
      </c>
      <c r="Z66" s="570">
        <v>29106161</v>
      </c>
      <c r="AA66" s="524">
        <v>34966669</v>
      </c>
      <c r="AB66" s="104">
        <v>31276228</v>
      </c>
      <c r="AC66" s="104">
        <v>29606406</v>
      </c>
      <c r="AD66" s="104">
        <v>24483685</v>
      </c>
      <c r="AE66" s="104">
        <v>23570360</v>
      </c>
      <c r="AF66" s="104">
        <v>23365442</v>
      </c>
      <c r="AG66" s="104">
        <v>22662813</v>
      </c>
      <c r="AH66" s="104">
        <v>15979413</v>
      </c>
      <c r="AI66" s="104">
        <v>26037729</v>
      </c>
      <c r="AJ66" s="104">
        <v>25670380</v>
      </c>
      <c r="AK66" s="334" t="s">
        <v>199</v>
      </c>
      <c r="AM66" s="1"/>
      <c r="AN66" s="4"/>
    </row>
    <row r="67" spans="1:40" ht="14.25" customHeight="1">
      <c r="A67" s="4"/>
      <c r="C67" s="752"/>
      <c r="D67" s="91" t="s">
        <v>222</v>
      </c>
      <c r="E67" s="92" t="s">
        <v>223</v>
      </c>
      <c r="F67" s="534" t="s">
        <v>206</v>
      </c>
      <c r="G67" s="92" t="s">
        <v>206</v>
      </c>
      <c r="H67" s="92" t="s">
        <v>206</v>
      </c>
      <c r="I67" s="265">
        <v>53871601.401000001</v>
      </c>
      <c r="J67" s="265">
        <v>61855228.601000004</v>
      </c>
      <c r="K67" s="265">
        <v>65303842.045000002</v>
      </c>
      <c r="L67" s="265">
        <v>56168029.340000004</v>
      </c>
      <c r="M67" s="265">
        <v>46840964.140000001</v>
      </c>
      <c r="N67" s="265">
        <v>52001518.145000003</v>
      </c>
      <c r="O67" s="265">
        <v>51002305.512000002</v>
      </c>
      <c r="P67" s="535">
        <v>46264061.292000003</v>
      </c>
      <c r="Q67" s="534">
        <v>42783631.5</v>
      </c>
      <c r="R67" s="520">
        <v>43734918.200000003</v>
      </c>
      <c r="S67" s="520">
        <v>42416803.299999997</v>
      </c>
      <c r="T67" s="520">
        <v>45963339.600000001</v>
      </c>
      <c r="U67" s="520">
        <v>48380602.299999997</v>
      </c>
      <c r="V67" s="520">
        <v>46453944.200000003</v>
      </c>
      <c r="W67" s="520">
        <v>35621499.600000001</v>
      </c>
      <c r="X67" s="520">
        <v>40893788.200000003</v>
      </c>
      <c r="Y67" s="552">
        <v>44626665.5</v>
      </c>
      <c r="Z67" s="566">
        <v>34422650</v>
      </c>
      <c r="AA67" s="520">
        <v>39915780</v>
      </c>
      <c r="AB67" s="93">
        <v>43527345</v>
      </c>
      <c r="AC67" s="93">
        <v>43998273</v>
      </c>
      <c r="AD67" s="93">
        <v>42288879</v>
      </c>
      <c r="AE67" s="93">
        <v>40627774</v>
      </c>
      <c r="AF67" s="93">
        <v>39644534</v>
      </c>
      <c r="AG67" s="93">
        <v>36766805</v>
      </c>
      <c r="AH67" s="93">
        <v>24093284</v>
      </c>
      <c r="AI67" s="93">
        <v>32397372</v>
      </c>
      <c r="AJ67" s="93">
        <v>33773097</v>
      </c>
      <c r="AK67" s="334" t="s">
        <v>199</v>
      </c>
      <c r="AM67" s="1"/>
      <c r="AN67" s="4"/>
    </row>
    <row r="68" spans="1:40" ht="14.25" customHeight="1">
      <c r="A68" s="4"/>
      <c r="C68" s="752"/>
      <c r="D68" s="91" t="s">
        <v>224</v>
      </c>
      <c r="E68" s="92" t="s">
        <v>165</v>
      </c>
      <c r="F68" s="534" t="s">
        <v>206</v>
      </c>
      <c r="G68" s="92" t="s">
        <v>206</v>
      </c>
      <c r="H68" s="92" t="s">
        <v>206</v>
      </c>
      <c r="I68" s="92" t="s">
        <v>206</v>
      </c>
      <c r="J68" s="92" t="s">
        <v>206</v>
      </c>
      <c r="K68" s="92" t="s">
        <v>206</v>
      </c>
      <c r="L68" s="92" t="s">
        <v>206</v>
      </c>
      <c r="M68" s="92" t="s">
        <v>206</v>
      </c>
      <c r="N68" s="92" t="s">
        <v>206</v>
      </c>
      <c r="O68" s="92" t="s">
        <v>206</v>
      </c>
      <c r="P68" s="559" t="s">
        <v>206</v>
      </c>
      <c r="Q68" s="534" t="s">
        <v>206</v>
      </c>
      <c r="R68" s="93" t="s">
        <v>206</v>
      </c>
      <c r="S68" s="93" t="s">
        <v>206</v>
      </c>
      <c r="T68" s="93" t="s">
        <v>206</v>
      </c>
      <c r="U68" s="93" t="s">
        <v>206</v>
      </c>
      <c r="V68" s="93" t="s">
        <v>206</v>
      </c>
      <c r="W68" s="93" t="s">
        <v>206</v>
      </c>
      <c r="X68" s="93" t="s">
        <v>206</v>
      </c>
      <c r="Y68" s="535" t="s">
        <v>206</v>
      </c>
      <c r="Z68" s="566">
        <v>885899</v>
      </c>
      <c r="AA68" s="520">
        <v>539958</v>
      </c>
      <c r="AB68" s="93">
        <v>617283</v>
      </c>
      <c r="AC68" s="93">
        <v>439416</v>
      </c>
      <c r="AD68" s="93">
        <v>394604</v>
      </c>
      <c r="AE68" s="93">
        <v>287064</v>
      </c>
      <c r="AF68" s="93">
        <v>281409</v>
      </c>
      <c r="AG68" s="93">
        <v>326640</v>
      </c>
      <c r="AH68" s="93">
        <v>345335</v>
      </c>
      <c r="AI68" s="93">
        <v>900214</v>
      </c>
      <c r="AJ68" s="93">
        <v>1246553</v>
      </c>
      <c r="AK68" s="334" t="s">
        <v>199</v>
      </c>
      <c r="AM68" s="1"/>
      <c r="AN68" s="4"/>
    </row>
    <row r="69" spans="1:40" ht="14.25" customHeight="1">
      <c r="A69" s="4"/>
      <c r="C69" s="752"/>
      <c r="D69" s="91" t="s">
        <v>225</v>
      </c>
      <c r="E69" s="92" t="s">
        <v>107</v>
      </c>
      <c r="F69" s="534" t="s">
        <v>206</v>
      </c>
      <c r="G69" s="92" t="s">
        <v>206</v>
      </c>
      <c r="H69" s="92" t="s">
        <v>206</v>
      </c>
      <c r="I69" s="265">
        <v>2169.13</v>
      </c>
      <c r="J69" s="265">
        <v>1341.24</v>
      </c>
      <c r="K69" s="265">
        <v>1504.422</v>
      </c>
      <c r="L69" s="265">
        <v>1693.576</v>
      </c>
      <c r="M69" s="265">
        <v>1370.7349999999999</v>
      </c>
      <c r="N69" s="265">
        <v>1318.877</v>
      </c>
      <c r="O69" s="265">
        <v>1334.643</v>
      </c>
      <c r="P69" s="535">
        <v>1628.729</v>
      </c>
      <c r="Q69" s="534">
        <v>1847.1</v>
      </c>
      <c r="R69" s="520">
        <v>2383.6999999999998</v>
      </c>
      <c r="S69" s="520">
        <v>2514.9</v>
      </c>
      <c r="T69" s="520">
        <v>2901.4</v>
      </c>
      <c r="U69" s="520">
        <v>2616.1</v>
      </c>
      <c r="V69" s="520">
        <v>2358.5</v>
      </c>
      <c r="W69" s="520">
        <v>1917.4</v>
      </c>
      <c r="X69" s="520">
        <v>2572.6999999999998</v>
      </c>
      <c r="Y69" s="552">
        <v>2579.8000000000002</v>
      </c>
      <c r="Z69" s="566" t="s">
        <v>206</v>
      </c>
      <c r="AA69" s="520" t="s">
        <v>206</v>
      </c>
      <c r="AB69" s="93" t="s">
        <v>206</v>
      </c>
      <c r="AC69" s="93" t="s">
        <v>206</v>
      </c>
      <c r="AD69" s="93" t="s">
        <v>206</v>
      </c>
      <c r="AE69" s="93" t="s">
        <v>206</v>
      </c>
      <c r="AF69" s="93" t="s">
        <v>206</v>
      </c>
      <c r="AG69" s="93" t="s">
        <v>206</v>
      </c>
      <c r="AH69" s="93" t="s">
        <v>206</v>
      </c>
      <c r="AI69" s="93" t="s">
        <v>206</v>
      </c>
      <c r="AJ69" s="93" t="s">
        <v>206</v>
      </c>
      <c r="AK69" s="334" t="s">
        <v>199</v>
      </c>
      <c r="AM69" s="1"/>
      <c r="AN69" s="4"/>
    </row>
    <row r="70" spans="1:40" ht="14.25" customHeight="1">
      <c r="A70" s="4"/>
      <c r="C70" s="752"/>
      <c r="D70" s="91" t="s">
        <v>226</v>
      </c>
      <c r="E70" s="92" t="s">
        <v>107</v>
      </c>
      <c r="F70" s="534" t="s">
        <v>206</v>
      </c>
      <c r="G70" s="92" t="s">
        <v>206</v>
      </c>
      <c r="H70" s="92" t="s">
        <v>206</v>
      </c>
      <c r="I70" s="265">
        <v>2313.06</v>
      </c>
      <c r="J70" s="265">
        <v>2572.5419999999999</v>
      </c>
      <c r="K70" s="265">
        <v>2897.3780000000002</v>
      </c>
      <c r="L70" s="265">
        <v>2556.59</v>
      </c>
      <c r="M70" s="265">
        <v>3532.2109999999998</v>
      </c>
      <c r="N70" s="265">
        <v>3886.2089999999998</v>
      </c>
      <c r="O70" s="265">
        <v>2841.93</v>
      </c>
      <c r="P70" s="535">
        <v>2901.634</v>
      </c>
      <c r="Q70" s="534" t="s">
        <v>206</v>
      </c>
      <c r="R70" s="520" t="s">
        <v>206</v>
      </c>
      <c r="S70" s="520" t="s">
        <v>206</v>
      </c>
      <c r="T70" s="520" t="s">
        <v>206</v>
      </c>
      <c r="U70" s="520" t="s">
        <v>206</v>
      </c>
      <c r="V70" s="520" t="s">
        <v>206</v>
      </c>
      <c r="W70" s="520" t="s">
        <v>206</v>
      </c>
      <c r="X70" s="520" t="s">
        <v>206</v>
      </c>
      <c r="Y70" s="552" t="s">
        <v>206</v>
      </c>
      <c r="Z70" s="566" t="s">
        <v>206</v>
      </c>
      <c r="AA70" s="520" t="s">
        <v>206</v>
      </c>
      <c r="AB70" s="93" t="s">
        <v>206</v>
      </c>
      <c r="AC70" s="93" t="s">
        <v>206</v>
      </c>
      <c r="AD70" s="93" t="s">
        <v>206</v>
      </c>
      <c r="AE70" s="93" t="s">
        <v>206</v>
      </c>
      <c r="AF70" s="93" t="s">
        <v>206</v>
      </c>
      <c r="AG70" s="93" t="s">
        <v>206</v>
      </c>
      <c r="AH70" s="93" t="s">
        <v>206</v>
      </c>
      <c r="AI70" s="93" t="s">
        <v>206</v>
      </c>
      <c r="AJ70" s="93" t="s">
        <v>206</v>
      </c>
      <c r="AK70" s="334" t="s">
        <v>199</v>
      </c>
      <c r="AM70" s="1"/>
      <c r="AN70" s="4"/>
    </row>
    <row r="71" spans="1:40" ht="14.25" customHeight="1">
      <c r="A71" s="4"/>
      <c r="C71" s="753"/>
      <c r="D71" s="96" t="s">
        <v>227</v>
      </c>
      <c r="E71" s="92" t="s">
        <v>107</v>
      </c>
      <c r="F71" s="534" t="s">
        <v>206</v>
      </c>
      <c r="G71" s="92" t="s">
        <v>206</v>
      </c>
      <c r="H71" s="92" t="s">
        <v>206</v>
      </c>
      <c r="I71" s="266">
        <v>408.55500000000001</v>
      </c>
      <c r="J71" s="266">
        <v>146.42099999999999</v>
      </c>
      <c r="K71" s="266">
        <v>93.063999999999993</v>
      </c>
      <c r="L71" s="266">
        <v>412.84100000000001</v>
      </c>
      <c r="M71" s="266">
        <v>318.73899999999998</v>
      </c>
      <c r="N71" s="266">
        <v>568.66999999999996</v>
      </c>
      <c r="O71" s="266">
        <v>655.48800000000006</v>
      </c>
      <c r="P71" s="538">
        <v>983.20600000000002</v>
      </c>
      <c r="Q71" s="553" t="s">
        <v>206</v>
      </c>
      <c r="R71" s="521" t="s">
        <v>206</v>
      </c>
      <c r="S71" s="521" t="s">
        <v>206</v>
      </c>
      <c r="T71" s="521" t="s">
        <v>206</v>
      </c>
      <c r="U71" s="521" t="s">
        <v>206</v>
      </c>
      <c r="V71" s="521" t="s">
        <v>206</v>
      </c>
      <c r="W71" s="521" t="s">
        <v>206</v>
      </c>
      <c r="X71" s="521" t="s">
        <v>206</v>
      </c>
      <c r="Y71" s="554" t="s">
        <v>206</v>
      </c>
      <c r="Z71" s="567" t="s">
        <v>206</v>
      </c>
      <c r="AA71" s="521" t="s">
        <v>206</v>
      </c>
      <c r="AB71" s="98" t="s">
        <v>206</v>
      </c>
      <c r="AC71" s="98" t="s">
        <v>206</v>
      </c>
      <c r="AD71" s="98" t="s">
        <v>206</v>
      </c>
      <c r="AE71" s="98" t="s">
        <v>206</v>
      </c>
      <c r="AF71" s="98" t="s">
        <v>206</v>
      </c>
      <c r="AG71" s="98" t="s">
        <v>206</v>
      </c>
      <c r="AH71" s="98" t="s">
        <v>206</v>
      </c>
      <c r="AI71" s="98" t="s">
        <v>206</v>
      </c>
      <c r="AJ71" s="98" t="s">
        <v>206</v>
      </c>
      <c r="AK71" s="334" t="s">
        <v>199</v>
      </c>
      <c r="AM71" s="34"/>
      <c r="AN71" s="4"/>
    </row>
    <row r="72" spans="1:40" ht="14.25" customHeight="1">
      <c r="A72" s="4"/>
      <c r="C72" s="765" t="s">
        <v>228</v>
      </c>
      <c r="D72" s="95" t="s">
        <v>229</v>
      </c>
      <c r="E72" s="513" t="s">
        <v>107</v>
      </c>
      <c r="F72" s="541" t="s">
        <v>206</v>
      </c>
      <c r="G72" s="103" t="s">
        <v>206</v>
      </c>
      <c r="H72" s="103" t="s">
        <v>206</v>
      </c>
      <c r="I72" s="103" t="s">
        <v>206</v>
      </c>
      <c r="J72" s="103" t="s">
        <v>206</v>
      </c>
      <c r="K72" s="103" t="s">
        <v>206</v>
      </c>
      <c r="L72" s="103" t="s">
        <v>206</v>
      </c>
      <c r="M72" s="103" t="s">
        <v>206</v>
      </c>
      <c r="N72" s="103" t="s">
        <v>206</v>
      </c>
      <c r="O72" s="103" t="s">
        <v>206</v>
      </c>
      <c r="P72" s="560" t="s">
        <v>206</v>
      </c>
      <c r="Q72" s="532" t="s">
        <v>206</v>
      </c>
      <c r="R72" s="104" t="s">
        <v>206</v>
      </c>
      <c r="S72" s="104" t="s">
        <v>206</v>
      </c>
      <c r="T72" s="104" t="s">
        <v>206</v>
      </c>
      <c r="U72" s="104" t="s">
        <v>206</v>
      </c>
      <c r="V72" s="104" t="s">
        <v>206</v>
      </c>
      <c r="W72" s="104" t="s">
        <v>206</v>
      </c>
      <c r="X72" s="104" t="s">
        <v>206</v>
      </c>
      <c r="Y72" s="533" t="s">
        <v>206</v>
      </c>
      <c r="Z72" s="564">
        <v>39787</v>
      </c>
      <c r="AA72" s="518">
        <v>44314</v>
      </c>
      <c r="AB72" s="86">
        <v>42712</v>
      </c>
      <c r="AC72" s="86">
        <v>43140</v>
      </c>
      <c r="AD72" s="86">
        <v>48147</v>
      </c>
      <c r="AE72" s="86">
        <v>47872</v>
      </c>
      <c r="AF72" s="86">
        <v>53310</v>
      </c>
      <c r="AG72" s="86">
        <v>55161</v>
      </c>
      <c r="AH72" s="86">
        <v>53414</v>
      </c>
      <c r="AI72" s="86">
        <v>47311</v>
      </c>
      <c r="AJ72" s="86">
        <v>45268</v>
      </c>
      <c r="AK72" s="32"/>
      <c r="AM72" s="1"/>
      <c r="AN72" s="4"/>
    </row>
    <row r="73" spans="1:40" ht="14.25" customHeight="1">
      <c r="A73" s="4"/>
      <c r="C73" s="766"/>
      <c r="D73" s="89" t="s">
        <v>230</v>
      </c>
      <c r="E73" s="514" t="s">
        <v>107</v>
      </c>
      <c r="F73" s="534" t="s">
        <v>206</v>
      </c>
      <c r="G73" s="92" t="s">
        <v>206</v>
      </c>
      <c r="H73" s="92" t="s">
        <v>206</v>
      </c>
      <c r="I73" s="92" t="s">
        <v>206</v>
      </c>
      <c r="J73" s="92" t="s">
        <v>206</v>
      </c>
      <c r="K73" s="92" t="s">
        <v>206</v>
      </c>
      <c r="L73" s="92" t="s">
        <v>206</v>
      </c>
      <c r="M73" s="92" t="s">
        <v>206</v>
      </c>
      <c r="N73" s="92" t="s">
        <v>206</v>
      </c>
      <c r="O73" s="92" t="s">
        <v>206</v>
      </c>
      <c r="P73" s="559" t="s">
        <v>206</v>
      </c>
      <c r="Q73" s="534" t="s">
        <v>206</v>
      </c>
      <c r="R73" s="93" t="s">
        <v>206</v>
      </c>
      <c r="S73" s="93" t="s">
        <v>206</v>
      </c>
      <c r="T73" s="93" t="s">
        <v>206</v>
      </c>
      <c r="U73" s="93" t="s">
        <v>206</v>
      </c>
      <c r="V73" s="93" t="s">
        <v>206</v>
      </c>
      <c r="W73" s="93" t="s">
        <v>206</v>
      </c>
      <c r="X73" s="93" t="s">
        <v>206</v>
      </c>
      <c r="Y73" s="535" t="s">
        <v>206</v>
      </c>
      <c r="Z73" s="565">
        <v>94073</v>
      </c>
      <c r="AA73" s="519">
        <v>104761</v>
      </c>
      <c r="AB73" s="88">
        <v>83485</v>
      </c>
      <c r="AC73" s="88">
        <v>74545</v>
      </c>
      <c r="AD73" s="88">
        <v>92239</v>
      </c>
      <c r="AE73" s="88">
        <v>151360</v>
      </c>
      <c r="AF73" s="88">
        <v>194835</v>
      </c>
      <c r="AG73" s="88">
        <v>199713</v>
      </c>
      <c r="AH73" s="88">
        <v>191958</v>
      </c>
      <c r="AI73" s="88">
        <v>224587</v>
      </c>
      <c r="AJ73" s="88">
        <v>238823</v>
      </c>
      <c r="AK73" s="32"/>
      <c r="AM73" s="1"/>
      <c r="AN73" s="4"/>
    </row>
    <row r="74" spans="1:40" ht="14.25" customHeight="1">
      <c r="A74" s="4"/>
      <c r="C74" s="766"/>
      <c r="D74" s="87" t="s">
        <v>231</v>
      </c>
      <c r="E74" s="514" t="s">
        <v>107</v>
      </c>
      <c r="F74" s="534" t="s">
        <v>206</v>
      </c>
      <c r="G74" s="92" t="s">
        <v>206</v>
      </c>
      <c r="H74" s="92" t="s">
        <v>206</v>
      </c>
      <c r="I74" s="88">
        <v>12251.344999999999</v>
      </c>
      <c r="J74" s="88">
        <v>16702.175999999999</v>
      </c>
      <c r="K74" s="88">
        <v>14154.644</v>
      </c>
      <c r="L74" s="88">
        <v>13929.795</v>
      </c>
      <c r="M74" s="88">
        <v>17724.722000000002</v>
      </c>
      <c r="N74" s="88">
        <v>19823.254000000001</v>
      </c>
      <c r="O74" s="88">
        <v>21975.125</v>
      </c>
      <c r="P74" s="537">
        <v>24540.09</v>
      </c>
      <c r="Q74" s="534" t="s">
        <v>206</v>
      </c>
      <c r="R74" s="93" t="s">
        <v>206</v>
      </c>
      <c r="S74" s="93" t="s">
        <v>206</v>
      </c>
      <c r="T74" s="93" t="s">
        <v>206</v>
      </c>
      <c r="U74" s="93" t="s">
        <v>206</v>
      </c>
      <c r="V74" s="93" t="s">
        <v>206</v>
      </c>
      <c r="W74" s="93" t="s">
        <v>206</v>
      </c>
      <c r="X74" s="93" t="s">
        <v>206</v>
      </c>
      <c r="Y74" s="535" t="s">
        <v>206</v>
      </c>
      <c r="Z74" s="565">
        <v>97212</v>
      </c>
      <c r="AA74" s="519">
        <v>112777</v>
      </c>
      <c r="AB74" s="88">
        <v>150405</v>
      </c>
      <c r="AC74" s="88">
        <v>169056</v>
      </c>
      <c r="AD74" s="88">
        <v>165576</v>
      </c>
      <c r="AE74" s="88">
        <v>188510</v>
      </c>
      <c r="AF74" s="88">
        <v>201913</v>
      </c>
      <c r="AG74" s="88">
        <v>204499</v>
      </c>
      <c r="AH74" s="88">
        <v>199132</v>
      </c>
      <c r="AI74" s="88">
        <v>176467</v>
      </c>
      <c r="AJ74" s="88">
        <v>143560</v>
      </c>
      <c r="AK74" s="32"/>
      <c r="AM74" s="1"/>
      <c r="AN74" s="4"/>
    </row>
    <row r="75" spans="1:40" ht="14.25" customHeight="1">
      <c r="A75" s="4"/>
      <c r="C75" s="766"/>
      <c r="D75" s="89" t="s">
        <v>232</v>
      </c>
      <c r="E75" s="514" t="s">
        <v>107</v>
      </c>
      <c r="F75" s="534" t="s">
        <v>206</v>
      </c>
      <c r="G75" s="92" t="s">
        <v>206</v>
      </c>
      <c r="H75" s="92" t="s">
        <v>206</v>
      </c>
      <c r="I75" s="88">
        <v>23416.575000000001</v>
      </c>
      <c r="J75" s="88">
        <v>18669.648000000001</v>
      </c>
      <c r="K75" s="88">
        <v>14995.134</v>
      </c>
      <c r="L75" s="88">
        <v>6779.81</v>
      </c>
      <c r="M75" s="88">
        <v>28017.477999999999</v>
      </c>
      <c r="N75" s="88">
        <v>40652.290999999997</v>
      </c>
      <c r="O75" s="88">
        <v>33458.606</v>
      </c>
      <c r="P75" s="537">
        <v>45245.599999999999</v>
      </c>
      <c r="Q75" s="536">
        <v>41031.300000000003</v>
      </c>
      <c r="R75" s="88">
        <v>51662.400000000001</v>
      </c>
      <c r="S75" s="88">
        <v>48337.4</v>
      </c>
      <c r="T75" s="88">
        <v>44729.2</v>
      </c>
      <c r="U75" s="88">
        <v>49588.4</v>
      </c>
      <c r="V75" s="88">
        <v>51737.599999999999</v>
      </c>
      <c r="W75" s="88">
        <v>40006.199999999997</v>
      </c>
      <c r="X75" s="88">
        <v>38625.300000000003</v>
      </c>
      <c r="Y75" s="537">
        <v>47254.5</v>
      </c>
      <c r="Z75" s="565">
        <v>60204</v>
      </c>
      <c r="AA75" s="519">
        <v>53404</v>
      </c>
      <c r="AB75" s="88">
        <v>44933</v>
      </c>
      <c r="AC75" s="88">
        <v>55885</v>
      </c>
      <c r="AD75" s="88">
        <v>31957</v>
      </c>
      <c r="AE75" s="88">
        <v>44955</v>
      </c>
      <c r="AF75" s="88">
        <v>48693</v>
      </c>
      <c r="AG75" s="88">
        <v>14703</v>
      </c>
      <c r="AH75" s="88">
        <v>1783</v>
      </c>
      <c r="AI75" s="88">
        <v>1319</v>
      </c>
      <c r="AJ75" s="88">
        <v>2246</v>
      </c>
      <c r="AK75" s="32"/>
      <c r="AM75" s="1"/>
      <c r="AN75" s="4"/>
    </row>
    <row r="76" spans="1:40" ht="14.25" customHeight="1">
      <c r="A76" s="4"/>
      <c r="C76" s="766"/>
      <c r="D76" s="87" t="s">
        <v>233</v>
      </c>
      <c r="E76" s="514" t="s">
        <v>107</v>
      </c>
      <c r="F76" s="534" t="s">
        <v>206</v>
      </c>
      <c r="G76" s="92" t="s">
        <v>206</v>
      </c>
      <c r="H76" s="92" t="s">
        <v>206</v>
      </c>
      <c r="I76" s="92" t="s">
        <v>206</v>
      </c>
      <c r="J76" s="92" t="s">
        <v>206</v>
      </c>
      <c r="K76" s="92" t="s">
        <v>206</v>
      </c>
      <c r="L76" s="92" t="s">
        <v>206</v>
      </c>
      <c r="M76" s="92" t="s">
        <v>206</v>
      </c>
      <c r="N76" s="92" t="s">
        <v>206</v>
      </c>
      <c r="O76" s="92" t="s">
        <v>206</v>
      </c>
      <c r="P76" s="559" t="s">
        <v>206</v>
      </c>
      <c r="Q76" s="534" t="s">
        <v>206</v>
      </c>
      <c r="R76" s="93" t="s">
        <v>206</v>
      </c>
      <c r="S76" s="93" t="s">
        <v>206</v>
      </c>
      <c r="T76" s="93" t="s">
        <v>206</v>
      </c>
      <c r="U76" s="93" t="s">
        <v>206</v>
      </c>
      <c r="V76" s="93" t="s">
        <v>206</v>
      </c>
      <c r="W76" s="93" t="s">
        <v>206</v>
      </c>
      <c r="X76" s="93" t="s">
        <v>206</v>
      </c>
      <c r="Y76" s="535" t="s">
        <v>206</v>
      </c>
      <c r="Z76" s="565">
        <v>16473</v>
      </c>
      <c r="AA76" s="519">
        <v>6433</v>
      </c>
      <c r="AB76" s="88">
        <v>12499</v>
      </c>
      <c r="AC76" s="88">
        <v>14717</v>
      </c>
      <c r="AD76" s="88">
        <v>14015</v>
      </c>
      <c r="AE76" s="88">
        <v>17815</v>
      </c>
      <c r="AF76" s="88">
        <v>18997</v>
      </c>
      <c r="AG76" s="88">
        <v>22739</v>
      </c>
      <c r="AH76" s="88">
        <v>26289</v>
      </c>
      <c r="AI76" s="88">
        <v>29261</v>
      </c>
      <c r="AJ76" s="88">
        <v>7221</v>
      </c>
      <c r="AK76" s="32"/>
      <c r="AM76" s="1"/>
      <c r="AN76" s="4"/>
    </row>
    <row r="77" spans="1:40" ht="14.25" customHeight="1">
      <c r="A77" s="4"/>
      <c r="C77" s="766"/>
      <c r="D77" s="87" t="s">
        <v>234</v>
      </c>
      <c r="E77" s="514" t="s">
        <v>107</v>
      </c>
      <c r="F77" s="534" t="s">
        <v>206</v>
      </c>
      <c r="G77" s="92" t="s">
        <v>206</v>
      </c>
      <c r="H77" s="92" t="s">
        <v>206</v>
      </c>
      <c r="I77" s="88">
        <v>272.74299999999999</v>
      </c>
      <c r="J77" s="88">
        <v>177.11099999999999</v>
      </c>
      <c r="K77" s="88">
        <v>150.74700000000001</v>
      </c>
      <c r="L77" s="88">
        <v>71</v>
      </c>
      <c r="M77" s="88">
        <v>137</v>
      </c>
      <c r="N77" s="88">
        <v>143</v>
      </c>
      <c r="O77" s="88">
        <v>939.97</v>
      </c>
      <c r="P77" s="537">
        <v>1163.25</v>
      </c>
      <c r="Q77" s="534" t="s">
        <v>206</v>
      </c>
      <c r="R77" s="93" t="s">
        <v>206</v>
      </c>
      <c r="S77" s="93" t="s">
        <v>206</v>
      </c>
      <c r="T77" s="93" t="s">
        <v>206</v>
      </c>
      <c r="U77" s="93" t="s">
        <v>206</v>
      </c>
      <c r="V77" s="93" t="s">
        <v>206</v>
      </c>
      <c r="W77" s="93" t="s">
        <v>206</v>
      </c>
      <c r="X77" s="93" t="s">
        <v>206</v>
      </c>
      <c r="Y77" s="535" t="s">
        <v>206</v>
      </c>
      <c r="Z77" s="565">
        <v>12643</v>
      </c>
      <c r="AA77" s="519">
        <v>13299</v>
      </c>
      <c r="AB77" s="88">
        <v>18255</v>
      </c>
      <c r="AC77" s="88">
        <v>25236</v>
      </c>
      <c r="AD77" s="88">
        <v>30874</v>
      </c>
      <c r="AE77" s="88">
        <v>30878</v>
      </c>
      <c r="AF77" s="88">
        <v>30627</v>
      </c>
      <c r="AG77" s="88">
        <v>28590</v>
      </c>
      <c r="AH77" s="88">
        <v>29116</v>
      </c>
      <c r="AI77" s="88">
        <v>28150</v>
      </c>
      <c r="AJ77" s="88">
        <v>21505</v>
      </c>
      <c r="AK77" s="32"/>
      <c r="AM77" s="1"/>
      <c r="AN77" s="4"/>
    </row>
    <row r="78" spans="1:40" ht="14.25" customHeight="1">
      <c r="A78" s="4"/>
      <c r="C78" s="766"/>
      <c r="D78" s="87" t="s">
        <v>235</v>
      </c>
      <c r="E78" s="514" t="s">
        <v>107</v>
      </c>
      <c r="F78" s="534" t="s">
        <v>206</v>
      </c>
      <c r="G78" s="92" t="s">
        <v>206</v>
      </c>
      <c r="H78" s="92" t="s">
        <v>206</v>
      </c>
      <c r="I78" s="92" t="s">
        <v>206</v>
      </c>
      <c r="J78" s="92" t="s">
        <v>206</v>
      </c>
      <c r="K78" s="92" t="s">
        <v>206</v>
      </c>
      <c r="L78" s="92" t="s">
        <v>206</v>
      </c>
      <c r="M78" s="92" t="s">
        <v>206</v>
      </c>
      <c r="N78" s="92" t="s">
        <v>206</v>
      </c>
      <c r="O78" s="92" t="s">
        <v>206</v>
      </c>
      <c r="P78" s="559" t="s">
        <v>206</v>
      </c>
      <c r="Q78" s="534" t="s">
        <v>206</v>
      </c>
      <c r="R78" s="93" t="s">
        <v>206</v>
      </c>
      <c r="S78" s="93" t="s">
        <v>206</v>
      </c>
      <c r="T78" s="93" t="s">
        <v>206</v>
      </c>
      <c r="U78" s="93" t="s">
        <v>206</v>
      </c>
      <c r="V78" s="93" t="s">
        <v>206</v>
      </c>
      <c r="W78" s="93" t="s">
        <v>206</v>
      </c>
      <c r="X78" s="93" t="s">
        <v>206</v>
      </c>
      <c r="Y78" s="535" t="s">
        <v>206</v>
      </c>
      <c r="Z78" s="565">
        <v>51245</v>
      </c>
      <c r="AA78" s="519">
        <v>50473</v>
      </c>
      <c r="AB78" s="88">
        <v>55407</v>
      </c>
      <c r="AC78" s="88">
        <v>57310</v>
      </c>
      <c r="AD78" s="88">
        <v>53553</v>
      </c>
      <c r="AE78" s="88">
        <v>52784</v>
      </c>
      <c r="AF78" s="88">
        <v>50414</v>
      </c>
      <c r="AG78" s="88">
        <v>52935</v>
      </c>
      <c r="AH78" s="88">
        <v>41392</v>
      </c>
      <c r="AI78" s="88">
        <v>30704</v>
      </c>
      <c r="AJ78" s="88">
        <v>25370</v>
      </c>
      <c r="AK78" s="32"/>
      <c r="AM78" s="1"/>
      <c r="AN78" s="32"/>
    </row>
    <row r="79" spans="1:40" ht="14.25" customHeight="1">
      <c r="A79" s="4"/>
      <c r="C79" s="766"/>
      <c r="D79" s="87" t="s">
        <v>236</v>
      </c>
      <c r="E79" s="514" t="s">
        <v>694</v>
      </c>
      <c r="F79" s="534" t="s">
        <v>206</v>
      </c>
      <c r="G79" s="92" t="s">
        <v>206</v>
      </c>
      <c r="H79" s="92" t="s">
        <v>206</v>
      </c>
      <c r="I79" s="88">
        <v>1099.3030000000001</v>
      </c>
      <c r="J79" s="88">
        <v>1450.34</v>
      </c>
      <c r="K79" s="88">
        <v>1043.192</v>
      </c>
      <c r="L79" s="88">
        <v>749.26199999999994</v>
      </c>
      <c r="M79" s="88">
        <v>1723.335</v>
      </c>
      <c r="N79" s="88">
        <v>3289.1370000000002</v>
      </c>
      <c r="O79" s="88">
        <v>4287.4629999999997</v>
      </c>
      <c r="P79" s="537">
        <v>3053.8110000000001</v>
      </c>
      <c r="Q79" s="534" t="s">
        <v>206</v>
      </c>
      <c r="R79" s="93" t="s">
        <v>206</v>
      </c>
      <c r="S79" s="93" t="s">
        <v>206</v>
      </c>
      <c r="T79" s="93" t="s">
        <v>206</v>
      </c>
      <c r="U79" s="93" t="s">
        <v>206</v>
      </c>
      <c r="V79" s="93" t="s">
        <v>206</v>
      </c>
      <c r="W79" s="93" t="s">
        <v>206</v>
      </c>
      <c r="X79" s="93" t="s">
        <v>206</v>
      </c>
      <c r="Y79" s="535" t="s">
        <v>206</v>
      </c>
      <c r="Z79" s="565">
        <v>171724</v>
      </c>
      <c r="AA79" s="519">
        <v>134986</v>
      </c>
      <c r="AB79" s="88">
        <v>116677</v>
      </c>
      <c r="AC79" s="88">
        <v>127472</v>
      </c>
      <c r="AD79" s="88">
        <v>141631</v>
      </c>
      <c r="AE79" s="88">
        <v>123680</v>
      </c>
      <c r="AF79" s="88">
        <v>102762</v>
      </c>
      <c r="AG79" s="88">
        <v>9547</v>
      </c>
      <c r="AH79" s="88">
        <v>3786</v>
      </c>
      <c r="AI79" s="88">
        <v>4575</v>
      </c>
      <c r="AJ79" s="88">
        <v>6948</v>
      </c>
      <c r="AK79" s="32"/>
      <c r="AM79" s="1"/>
      <c r="AN79" s="32"/>
    </row>
    <row r="80" spans="1:40" ht="14.25" customHeight="1">
      <c r="A80" s="4"/>
      <c r="C80" s="766"/>
      <c r="D80" s="87" t="s">
        <v>237</v>
      </c>
      <c r="E80" s="514" t="s">
        <v>107</v>
      </c>
      <c r="F80" s="534" t="s">
        <v>206</v>
      </c>
      <c r="G80" s="92" t="s">
        <v>206</v>
      </c>
      <c r="H80" s="92" t="s">
        <v>206</v>
      </c>
      <c r="I80" s="88">
        <v>7882.277</v>
      </c>
      <c r="J80" s="88">
        <v>3418.395</v>
      </c>
      <c r="K80" s="88">
        <v>7023.8860000000004</v>
      </c>
      <c r="L80" s="88">
        <v>6503.9589999999998</v>
      </c>
      <c r="M80" s="88">
        <v>5477.5910000000003</v>
      </c>
      <c r="N80" s="88">
        <v>5951.2520000000004</v>
      </c>
      <c r="O80" s="88">
        <v>5779.9830000000002</v>
      </c>
      <c r="P80" s="537">
        <v>6272.0919999999996</v>
      </c>
      <c r="Q80" s="536">
        <v>5198.7</v>
      </c>
      <c r="R80" s="88">
        <v>5262</v>
      </c>
      <c r="S80" s="88">
        <v>3862.8</v>
      </c>
      <c r="T80" s="88">
        <v>4924.2</v>
      </c>
      <c r="U80" s="88">
        <v>7149.8</v>
      </c>
      <c r="V80" s="88">
        <v>5285</v>
      </c>
      <c r="W80" s="88">
        <v>4533.3999999999996</v>
      </c>
      <c r="X80" s="88">
        <v>3429.2</v>
      </c>
      <c r="Y80" s="537">
        <v>3696.4</v>
      </c>
      <c r="Z80" s="566" t="s">
        <v>206</v>
      </c>
      <c r="AA80" s="520" t="s">
        <v>206</v>
      </c>
      <c r="AB80" s="93" t="s">
        <v>206</v>
      </c>
      <c r="AC80" s="93" t="s">
        <v>206</v>
      </c>
      <c r="AD80" s="93" t="s">
        <v>206</v>
      </c>
      <c r="AE80" s="93" t="s">
        <v>206</v>
      </c>
      <c r="AF80" s="93" t="s">
        <v>206</v>
      </c>
      <c r="AG80" s="93" t="s">
        <v>206</v>
      </c>
      <c r="AH80" s="93" t="s">
        <v>206</v>
      </c>
      <c r="AI80" s="93" t="s">
        <v>206</v>
      </c>
      <c r="AJ80" s="93" t="s">
        <v>206</v>
      </c>
      <c r="AK80" s="90"/>
      <c r="AM80" s="1"/>
      <c r="AN80" s="90"/>
    </row>
    <row r="81" spans="1:40" ht="14.25" customHeight="1">
      <c r="A81" s="4"/>
      <c r="C81" s="766"/>
      <c r="D81" s="87" t="s">
        <v>238</v>
      </c>
      <c r="E81" s="514" t="s">
        <v>107</v>
      </c>
      <c r="F81" s="534" t="s">
        <v>206</v>
      </c>
      <c r="G81" s="92" t="s">
        <v>206</v>
      </c>
      <c r="H81" s="92" t="s">
        <v>206</v>
      </c>
      <c r="I81" s="88">
        <v>14952.995999999999</v>
      </c>
      <c r="J81" s="88">
        <v>14441.771000000001</v>
      </c>
      <c r="K81" s="88">
        <v>16263.679</v>
      </c>
      <c r="L81" s="88">
        <v>16615.583999999999</v>
      </c>
      <c r="M81" s="88">
        <v>17041.728999999999</v>
      </c>
      <c r="N81" s="88">
        <v>28792.687999999998</v>
      </c>
      <c r="O81" s="88">
        <v>25361.178</v>
      </c>
      <c r="P81" s="537">
        <v>28059.231</v>
      </c>
      <c r="Q81" s="536">
        <v>23557.599999999999</v>
      </c>
      <c r="R81" s="88">
        <v>23370.9</v>
      </c>
      <c r="S81" s="88">
        <v>33349.5</v>
      </c>
      <c r="T81" s="88">
        <v>42826.3</v>
      </c>
      <c r="U81" s="88">
        <v>39348</v>
      </c>
      <c r="V81" s="88">
        <v>42688.5</v>
      </c>
      <c r="W81" s="88">
        <v>39127.699999999997</v>
      </c>
      <c r="X81" s="88">
        <v>55856.800000000003</v>
      </c>
      <c r="Y81" s="537">
        <v>58285.5</v>
      </c>
      <c r="Z81" s="566" t="s">
        <v>206</v>
      </c>
      <c r="AA81" s="520" t="s">
        <v>206</v>
      </c>
      <c r="AB81" s="93" t="s">
        <v>206</v>
      </c>
      <c r="AC81" s="93" t="s">
        <v>206</v>
      </c>
      <c r="AD81" s="93" t="s">
        <v>206</v>
      </c>
      <c r="AE81" s="93" t="s">
        <v>206</v>
      </c>
      <c r="AF81" s="93" t="s">
        <v>206</v>
      </c>
      <c r="AG81" s="93" t="s">
        <v>206</v>
      </c>
      <c r="AH81" s="93" t="s">
        <v>206</v>
      </c>
      <c r="AI81" s="93" t="s">
        <v>206</v>
      </c>
      <c r="AJ81" s="93" t="s">
        <v>206</v>
      </c>
      <c r="AK81" s="90"/>
      <c r="AM81" s="34"/>
      <c r="AN81" s="90"/>
    </row>
    <row r="82" spans="1:40" ht="14.25" customHeight="1">
      <c r="A82" s="4"/>
      <c r="C82" s="766"/>
      <c r="D82" s="87" t="s">
        <v>239</v>
      </c>
      <c r="E82" s="514" t="s">
        <v>107</v>
      </c>
      <c r="F82" s="534" t="s">
        <v>206</v>
      </c>
      <c r="G82" s="92" t="s">
        <v>206</v>
      </c>
      <c r="H82" s="92" t="s">
        <v>206</v>
      </c>
      <c r="I82" s="88">
        <v>4370.0609999999997</v>
      </c>
      <c r="J82" s="88">
        <v>2689.3380000000002</v>
      </c>
      <c r="K82" s="88">
        <v>1138.742</v>
      </c>
      <c r="L82" s="88">
        <v>786.49699999999996</v>
      </c>
      <c r="M82" s="88">
        <v>2083.326</v>
      </c>
      <c r="N82" s="88">
        <v>1967.5419999999999</v>
      </c>
      <c r="O82" s="88">
        <v>2730.739</v>
      </c>
      <c r="P82" s="537">
        <v>1646.258</v>
      </c>
      <c r="Q82" s="534" t="s">
        <v>206</v>
      </c>
      <c r="R82" s="93" t="s">
        <v>206</v>
      </c>
      <c r="S82" s="93" t="s">
        <v>206</v>
      </c>
      <c r="T82" s="93" t="s">
        <v>206</v>
      </c>
      <c r="U82" s="93" t="s">
        <v>206</v>
      </c>
      <c r="V82" s="93" t="s">
        <v>206</v>
      </c>
      <c r="W82" s="93" t="s">
        <v>206</v>
      </c>
      <c r="X82" s="93" t="s">
        <v>206</v>
      </c>
      <c r="Y82" s="535" t="s">
        <v>206</v>
      </c>
      <c r="Z82" s="566" t="s">
        <v>206</v>
      </c>
      <c r="AA82" s="520" t="s">
        <v>206</v>
      </c>
      <c r="AB82" s="93" t="s">
        <v>206</v>
      </c>
      <c r="AC82" s="93" t="s">
        <v>206</v>
      </c>
      <c r="AD82" s="93" t="s">
        <v>206</v>
      </c>
      <c r="AE82" s="93" t="s">
        <v>206</v>
      </c>
      <c r="AF82" s="93" t="s">
        <v>206</v>
      </c>
      <c r="AG82" s="93" t="s">
        <v>206</v>
      </c>
      <c r="AH82" s="93" t="s">
        <v>206</v>
      </c>
      <c r="AI82" s="93" t="s">
        <v>206</v>
      </c>
      <c r="AJ82" s="93" t="s">
        <v>206</v>
      </c>
      <c r="AK82" s="4"/>
      <c r="AM82" s="1"/>
      <c r="AN82" s="4"/>
    </row>
    <row r="83" spans="1:40" ht="14.25" customHeight="1">
      <c r="A83" s="4"/>
      <c r="C83" s="766"/>
      <c r="D83" s="87" t="s">
        <v>240</v>
      </c>
      <c r="E83" s="514" t="s">
        <v>107</v>
      </c>
      <c r="F83" s="534" t="s">
        <v>206</v>
      </c>
      <c r="G83" s="92" t="s">
        <v>206</v>
      </c>
      <c r="H83" s="92" t="s">
        <v>206</v>
      </c>
      <c r="I83" s="88">
        <v>35775.599000000002</v>
      </c>
      <c r="J83" s="88">
        <v>15529.96</v>
      </c>
      <c r="K83" s="88">
        <v>4250.0119999999997</v>
      </c>
      <c r="L83" s="88">
        <v>177.685</v>
      </c>
      <c r="M83" s="88">
        <v>180.18799999999999</v>
      </c>
      <c r="N83" s="88">
        <v>6406.0789999999997</v>
      </c>
      <c r="O83" s="88">
        <v>5680.0230000000001</v>
      </c>
      <c r="P83" s="537">
        <v>4788.1350000000002</v>
      </c>
      <c r="Q83" s="536">
        <v>4948.6000000000004</v>
      </c>
      <c r="R83" s="88">
        <v>7554.8</v>
      </c>
      <c r="S83" s="88">
        <v>5137.1000000000004</v>
      </c>
      <c r="T83" s="88">
        <v>10574.8</v>
      </c>
      <c r="U83" s="88">
        <v>8593</v>
      </c>
      <c r="V83" s="88">
        <v>15908.5</v>
      </c>
      <c r="W83" s="88">
        <v>15829.2</v>
      </c>
      <c r="X83" s="88">
        <v>18725.099999999999</v>
      </c>
      <c r="Y83" s="537">
        <v>22386.6</v>
      </c>
      <c r="Z83" s="566" t="s">
        <v>206</v>
      </c>
      <c r="AA83" s="520" t="s">
        <v>206</v>
      </c>
      <c r="AB83" s="93" t="s">
        <v>206</v>
      </c>
      <c r="AC83" s="93" t="s">
        <v>206</v>
      </c>
      <c r="AD83" s="93" t="s">
        <v>206</v>
      </c>
      <c r="AE83" s="93" t="s">
        <v>206</v>
      </c>
      <c r="AF83" s="93" t="s">
        <v>206</v>
      </c>
      <c r="AG83" s="93" t="s">
        <v>206</v>
      </c>
      <c r="AH83" s="93" t="s">
        <v>206</v>
      </c>
      <c r="AI83" s="93" t="s">
        <v>206</v>
      </c>
      <c r="AJ83" s="93" t="s">
        <v>206</v>
      </c>
      <c r="AK83" s="90"/>
      <c r="AM83" s="1"/>
      <c r="AN83" s="90"/>
    </row>
    <row r="84" spans="1:40" ht="14.25" customHeight="1">
      <c r="A84" s="4"/>
      <c r="C84" s="766"/>
      <c r="D84" s="99" t="s">
        <v>241</v>
      </c>
      <c r="E84" s="92" t="s">
        <v>205</v>
      </c>
      <c r="F84" s="534" t="s">
        <v>206</v>
      </c>
      <c r="G84" s="92" t="s">
        <v>206</v>
      </c>
      <c r="H84" s="92" t="s">
        <v>206</v>
      </c>
      <c r="I84" s="92" t="s">
        <v>206</v>
      </c>
      <c r="J84" s="92" t="s">
        <v>206</v>
      </c>
      <c r="K84" s="92" t="s">
        <v>206</v>
      </c>
      <c r="L84" s="92" t="s">
        <v>206</v>
      </c>
      <c r="M84" s="92" t="s">
        <v>206</v>
      </c>
      <c r="N84" s="92" t="s">
        <v>206</v>
      </c>
      <c r="O84" s="92" t="s">
        <v>206</v>
      </c>
      <c r="P84" s="559" t="s">
        <v>206</v>
      </c>
      <c r="Q84" s="534" t="s">
        <v>206</v>
      </c>
      <c r="R84" s="93" t="s">
        <v>206</v>
      </c>
      <c r="S84" s="93" t="s">
        <v>206</v>
      </c>
      <c r="T84" s="93" t="s">
        <v>206</v>
      </c>
      <c r="U84" s="93" t="s">
        <v>206</v>
      </c>
      <c r="V84" s="93" t="s">
        <v>206</v>
      </c>
      <c r="W84" s="93" t="s">
        <v>206</v>
      </c>
      <c r="X84" s="93" t="s">
        <v>206</v>
      </c>
      <c r="Y84" s="535" t="s">
        <v>206</v>
      </c>
      <c r="Z84" s="566" t="s">
        <v>206</v>
      </c>
      <c r="AA84" s="520" t="s">
        <v>206</v>
      </c>
      <c r="AB84" s="93" t="s">
        <v>206</v>
      </c>
      <c r="AC84" s="93" t="s">
        <v>206</v>
      </c>
      <c r="AD84" s="93" t="s">
        <v>206</v>
      </c>
      <c r="AE84" s="93" t="s">
        <v>206</v>
      </c>
      <c r="AF84" s="93" t="s">
        <v>206</v>
      </c>
      <c r="AG84" s="93" t="s">
        <v>206</v>
      </c>
      <c r="AH84" s="93" t="s">
        <v>206</v>
      </c>
      <c r="AI84" s="93" t="s">
        <v>206</v>
      </c>
      <c r="AJ84" s="93" t="s">
        <v>206</v>
      </c>
      <c r="AK84" s="90"/>
      <c r="AM84" s="1"/>
      <c r="AN84" s="90"/>
    </row>
    <row r="85" spans="1:40" ht="14.25" customHeight="1">
      <c r="A85" s="4"/>
      <c r="C85" s="766"/>
      <c r="D85" s="99" t="s">
        <v>242</v>
      </c>
      <c r="E85" s="92" t="s">
        <v>205</v>
      </c>
      <c r="F85" s="534" t="s">
        <v>206</v>
      </c>
      <c r="G85" s="92" t="s">
        <v>206</v>
      </c>
      <c r="H85" s="92" t="s">
        <v>206</v>
      </c>
      <c r="I85" s="92" t="s">
        <v>206</v>
      </c>
      <c r="J85" s="92" t="s">
        <v>206</v>
      </c>
      <c r="K85" s="92" t="s">
        <v>206</v>
      </c>
      <c r="L85" s="92" t="s">
        <v>206</v>
      </c>
      <c r="M85" s="92" t="s">
        <v>206</v>
      </c>
      <c r="N85" s="92" t="s">
        <v>206</v>
      </c>
      <c r="O85" s="92" t="s">
        <v>206</v>
      </c>
      <c r="P85" s="559" t="s">
        <v>206</v>
      </c>
      <c r="Q85" s="534" t="s">
        <v>206</v>
      </c>
      <c r="R85" s="93" t="s">
        <v>206</v>
      </c>
      <c r="S85" s="93" t="s">
        <v>206</v>
      </c>
      <c r="T85" s="93" t="s">
        <v>206</v>
      </c>
      <c r="U85" s="93" t="s">
        <v>206</v>
      </c>
      <c r="V85" s="93" t="s">
        <v>206</v>
      </c>
      <c r="W85" s="93" t="s">
        <v>206</v>
      </c>
      <c r="X85" s="93" t="s">
        <v>206</v>
      </c>
      <c r="Y85" s="535" t="s">
        <v>206</v>
      </c>
      <c r="Z85" s="566" t="s">
        <v>206</v>
      </c>
      <c r="AA85" s="520" t="s">
        <v>206</v>
      </c>
      <c r="AB85" s="93" t="s">
        <v>206</v>
      </c>
      <c r="AC85" s="93" t="s">
        <v>206</v>
      </c>
      <c r="AD85" s="93" t="s">
        <v>206</v>
      </c>
      <c r="AE85" s="93" t="s">
        <v>206</v>
      </c>
      <c r="AF85" s="93" t="s">
        <v>206</v>
      </c>
      <c r="AG85" s="93" t="s">
        <v>206</v>
      </c>
      <c r="AH85" s="93" t="s">
        <v>206</v>
      </c>
      <c r="AI85" s="93" t="s">
        <v>206</v>
      </c>
      <c r="AJ85" s="93" t="s">
        <v>206</v>
      </c>
      <c r="AK85" s="90"/>
      <c r="AM85" s="1"/>
      <c r="AN85" s="90"/>
    </row>
    <row r="86" spans="1:40" ht="14.25" customHeight="1">
      <c r="A86" s="4"/>
      <c r="C86" s="766"/>
      <c r="D86" s="87" t="s">
        <v>243</v>
      </c>
      <c r="E86" s="514" t="s">
        <v>83</v>
      </c>
      <c r="F86" s="534" t="s">
        <v>206</v>
      </c>
      <c r="G86" s="92" t="s">
        <v>206</v>
      </c>
      <c r="H86" s="92" t="s">
        <v>206</v>
      </c>
      <c r="I86" s="88">
        <v>243563.72</v>
      </c>
      <c r="J86" s="88">
        <v>199482.736</v>
      </c>
      <c r="K86" s="88">
        <v>221343.28</v>
      </c>
      <c r="L86" s="88">
        <v>276069.00300000003</v>
      </c>
      <c r="M86" s="88">
        <v>261674.55900000001</v>
      </c>
      <c r="N86" s="88">
        <v>232263.864</v>
      </c>
      <c r="O86" s="88">
        <v>238138.10399999999</v>
      </c>
      <c r="P86" s="537">
        <v>197994.584</v>
      </c>
      <c r="Q86" s="534" t="s">
        <v>206</v>
      </c>
      <c r="R86" s="93" t="s">
        <v>206</v>
      </c>
      <c r="S86" s="93" t="s">
        <v>206</v>
      </c>
      <c r="T86" s="93" t="s">
        <v>206</v>
      </c>
      <c r="U86" s="93" t="s">
        <v>206</v>
      </c>
      <c r="V86" s="93" t="s">
        <v>206</v>
      </c>
      <c r="W86" s="93" t="s">
        <v>206</v>
      </c>
      <c r="X86" s="93" t="s">
        <v>206</v>
      </c>
      <c r="Y86" s="535" t="s">
        <v>206</v>
      </c>
      <c r="Z86" s="566" t="s">
        <v>206</v>
      </c>
      <c r="AA86" s="520" t="s">
        <v>206</v>
      </c>
      <c r="AB86" s="93" t="s">
        <v>206</v>
      </c>
      <c r="AC86" s="93" t="s">
        <v>206</v>
      </c>
      <c r="AD86" s="93" t="s">
        <v>206</v>
      </c>
      <c r="AE86" s="93" t="s">
        <v>206</v>
      </c>
      <c r="AF86" s="93" t="s">
        <v>206</v>
      </c>
      <c r="AG86" s="93" t="s">
        <v>206</v>
      </c>
      <c r="AH86" s="93" t="s">
        <v>206</v>
      </c>
      <c r="AI86" s="93" t="s">
        <v>206</v>
      </c>
      <c r="AJ86" s="93" t="s">
        <v>206</v>
      </c>
      <c r="AK86" s="90"/>
      <c r="AM86" s="1"/>
      <c r="AN86" s="90"/>
    </row>
    <row r="87" spans="1:40" ht="14.25" customHeight="1">
      <c r="A87" s="4"/>
      <c r="C87" s="767"/>
      <c r="D87" s="100" t="s">
        <v>244</v>
      </c>
      <c r="E87" s="575" t="s">
        <v>83</v>
      </c>
      <c r="F87" s="534" t="s">
        <v>206</v>
      </c>
      <c r="G87" s="92" t="s">
        <v>206</v>
      </c>
      <c r="H87" s="92" t="s">
        <v>206</v>
      </c>
      <c r="I87" s="101">
        <v>44162.504000000001</v>
      </c>
      <c r="J87" s="101">
        <v>88860.142000000007</v>
      </c>
      <c r="K87" s="101">
        <v>66987.460000000006</v>
      </c>
      <c r="L87" s="101">
        <v>108092.88800000001</v>
      </c>
      <c r="M87" s="101">
        <v>135564.16399999999</v>
      </c>
      <c r="N87" s="101">
        <v>227788.52</v>
      </c>
      <c r="O87" s="101">
        <v>81635.22</v>
      </c>
      <c r="P87" s="542">
        <v>250926.88</v>
      </c>
      <c r="Q87" s="547">
        <v>82595.8</v>
      </c>
      <c r="R87" s="101">
        <v>254097.1</v>
      </c>
      <c r="S87" s="101">
        <v>337920.9</v>
      </c>
      <c r="T87" s="101">
        <v>370157.4</v>
      </c>
      <c r="U87" s="101">
        <v>394445.5</v>
      </c>
      <c r="V87" s="101">
        <v>370157.6</v>
      </c>
      <c r="W87" s="101">
        <v>275128.40000000002</v>
      </c>
      <c r="X87" s="101">
        <v>433213.8</v>
      </c>
      <c r="Y87" s="542">
        <v>482937.59999999998</v>
      </c>
      <c r="Z87" s="567" t="s">
        <v>206</v>
      </c>
      <c r="AA87" s="521" t="s">
        <v>206</v>
      </c>
      <c r="AB87" s="98" t="s">
        <v>206</v>
      </c>
      <c r="AC87" s="98" t="s">
        <v>206</v>
      </c>
      <c r="AD87" s="98" t="s">
        <v>206</v>
      </c>
      <c r="AE87" s="98" t="s">
        <v>206</v>
      </c>
      <c r="AF87" s="98" t="s">
        <v>206</v>
      </c>
      <c r="AG87" s="98" t="s">
        <v>206</v>
      </c>
      <c r="AH87" s="98" t="s">
        <v>206</v>
      </c>
      <c r="AI87" s="98" t="s">
        <v>206</v>
      </c>
      <c r="AJ87" s="98" t="s">
        <v>206</v>
      </c>
      <c r="AK87" s="1"/>
      <c r="AM87" s="1"/>
    </row>
    <row r="88" spans="1:40" ht="14.25" customHeight="1">
      <c r="A88" s="4"/>
      <c r="C88" s="765" t="s">
        <v>245</v>
      </c>
      <c r="D88" s="85" t="s">
        <v>246</v>
      </c>
      <c r="E88" s="513" t="s">
        <v>247</v>
      </c>
      <c r="F88" s="541" t="s">
        <v>206</v>
      </c>
      <c r="G88" s="103" t="s">
        <v>206</v>
      </c>
      <c r="H88" s="103" t="s">
        <v>206</v>
      </c>
      <c r="I88" s="103" t="s">
        <v>206</v>
      </c>
      <c r="J88" s="103" t="s">
        <v>206</v>
      </c>
      <c r="K88" s="103" t="s">
        <v>206</v>
      </c>
      <c r="L88" s="103" t="s">
        <v>206</v>
      </c>
      <c r="M88" s="103" t="s">
        <v>206</v>
      </c>
      <c r="N88" s="103" t="s">
        <v>206</v>
      </c>
      <c r="O88" s="103" t="s">
        <v>206</v>
      </c>
      <c r="P88" s="560" t="s">
        <v>206</v>
      </c>
      <c r="Q88" s="532" t="s">
        <v>206</v>
      </c>
      <c r="R88" s="104" t="s">
        <v>206</v>
      </c>
      <c r="S88" s="104" t="s">
        <v>206</v>
      </c>
      <c r="T88" s="104" t="s">
        <v>206</v>
      </c>
      <c r="U88" s="104" t="s">
        <v>206</v>
      </c>
      <c r="V88" s="104" t="s">
        <v>206</v>
      </c>
      <c r="W88" s="104" t="s">
        <v>206</v>
      </c>
      <c r="X88" s="104" t="s">
        <v>206</v>
      </c>
      <c r="Y88" s="533" t="s">
        <v>206</v>
      </c>
      <c r="Z88" s="564">
        <v>37676284</v>
      </c>
      <c r="AA88" s="518">
        <v>33121894</v>
      </c>
      <c r="AB88" s="86">
        <v>35299126</v>
      </c>
      <c r="AC88" s="86">
        <v>34363200</v>
      </c>
      <c r="AD88" s="86">
        <v>34755426</v>
      </c>
      <c r="AE88" s="86">
        <v>33956078</v>
      </c>
      <c r="AF88" s="86">
        <v>30122308</v>
      </c>
      <c r="AG88" s="86">
        <v>28211142</v>
      </c>
      <c r="AH88" s="86">
        <v>20764646</v>
      </c>
      <c r="AI88" s="86">
        <v>23797291</v>
      </c>
      <c r="AJ88" s="86">
        <v>20651022</v>
      </c>
      <c r="AK88" s="112"/>
      <c r="AM88" s="1"/>
      <c r="AN88" s="112"/>
    </row>
    <row r="89" spans="1:40" ht="14.25" customHeight="1">
      <c r="A89" s="4"/>
      <c r="C89" s="766"/>
      <c r="D89" s="87" t="s">
        <v>248</v>
      </c>
      <c r="E89" s="514" t="s">
        <v>249</v>
      </c>
      <c r="F89" s="534" t="s">
        <v>206</v>
      </c>
      <c r="G89" s="92" t="s">
        <v>206</v>
      </c>
      <c r="H89" s="92" t="s">
        <v>206</v>
      </c>
      <c r="I89" s="92" t="s">
        <v>206</v>
      </c>
      <c r="J89" s="92" t="s">
        <v>206</v>
      </c>
      <c r="K89" s="92" t="s">
        <v>206</v>
      </c>
      <c r="L89" s="92" t="s">
        <v>206</v>
      </c>
      <c r="M89" s="92" t="s">
        <v>206</v>
      </c>
      <c r="N89" s="92" t="s">
        <v>206</v>
      </c>
      <c r="O89" s="92" t="s">
        <v>206</v>
      </c>
      <c r="P89" s="559" t="s">
        <v>206</v>
      </c>
      <c r="Q89" s="534" t="s">
        <v>206</v>
      </c>
      <c r="R89" s="93" t="s">
        <v>206</v>
      </c>
      <c r="S89" s="93" t="s">
        <v>206</v>
      </c>
      <c r="T89" s="93" t="s">
        <v>206</v>
      </c>
      <c r="U89" s="93" t="s">
        <v>206</v>
      </c>
      <c r="V89" s="93" t="s">
        <v>206</v>
      </c>
      <c r="W89" s="93" t="s">
        <v>206</v>
      </c>
      <c r="X89" s="93" t="s">
        <v>206</v>
      </c>
      <c r="Y89" s="535" t="s">
        <v>206</v>
      </c>
      <c r="Z89" s="565">
        <v>64099709</v>
      </c>
      <c r="AA89" s="519">
        <v>178897504</v>
      </c>
      <c r="AB89" s="88">
        <v>186510189</v>
      </c>
      <c r="AC89" s="88">
        <v>238431656</v>
      </c>
      <c r="AD89" s="88">
        <v>342238171</v>
      </c>
      <c r="AE89" s="88">
        <v>556010763</v>
      </c>
      <c r="AF89" s="88">
        <v>397665979</v>
      </c>
      <c r="AG89" s="88">
        <v>336995841</v>
      </c>
      <c r="AH89" s="88">
        <v>129596109</v>
      </c>
      <c r="AI89" s="88">
        <v>277870369</v>
      </c>
      <c r="AJ89" s="88">
        <v>242912281</v>
      </c>
      <c r="AK89" s="32"/>
      <c r="AM89" s="1"/>
      <c r="AN89" s="32"/>
    </row>
    <row r="90" spans="1:40" ht="14.25" customHeight="1">
      <c r="A90" s="4"/>
      <c r="C90" s="767"/>
      <c r="D90" s="87" t="s">
        <v>706</v>
      </c>
      <c r="E90" s="514" t="s">
        <v>702</v>
      </c>
      <c r="F90" s="534" t="s">
        <v>206</v>
      </c>
      <c r="G90" s="92" t="s">
        <v>206</v>
      </c>
      <c r="H90" s="92" t="s">
        <v>206</v>
      </c>
      <c r="I90" s="101">
        <f>12529.953</f>
        <v>12529.953</v>
      </c>
      <c r="J90" s="101">
        <f>13561.395</f>
        <v>13561.395</v>
      </c>
      <c r="K90" s="101">
        <f>13433.383</f>
        <v>13433.383</v>
      </c>
      <c r="L90" s="101">
        <f>14911.638</f>
        <v>14911.638000000001</v>
      </c>
      <c r="M90" s="101">
        <f>13599.361</f>
        <v>13599.361000000001</v>
      </c>
      <c r="N90" s="101">
        <f>12370.119</f>
        <v>12370.119000000001</v>
      </c>
      <c r="O90" s="101">
        <f>13475.856</f>
        <v>13475.856</v>
      </c>
      <c r="P90" s="542">
        <f>13708.843</f>
        <v>13708.843000000001</v>
      </c>
      <c r="Q90" s="547">
        <f>13866.3*1000</f>
        <v>13866300</v>
      </c>
      <c r="R90" s="101">
        <f>14907.8*1000</f>
        <v>14907800</v>
      </c>
      <c r="S90" s="101">
        <f>17652.8*1000</f>
        <v>17652800</v>
      </c>
      <c r="T90" s="101">
        <f>18913.2*1000</f>
        <v>18913200</v>
      </c>
      <c r="U90" s="101">
        <f>20106.6*1000</f>
        <v>20106600</v>
      </c>
      <c r="V90" s="101">
        <f>21313.3*1000</f>
        <v>21313300</v>
      </c>
      <c r="W90" s="101">
        <f>29836.1*1000</f>
        <v>29836100</v>
      </c>
      <c r="X90" s="101">
        <f>36281.9*1000</f>
        <v>36281900</v>
      </c>
      <c r="Y90" s="542">
        <f>35825.8*1000</f>
        <v>35825800</v>
      </c>
      <c r="Z90" s="566" t="s">
        <v>206</v>
      </c>
      <c r="AA90" s="520" t="s">
        <v>206</v>
      </c>
      <c r="AB90" s="93" t="s">
        <v>206</v>
      </c>
      <c r="AC90" s="93" t="s">
        <v>206</v>
      </c>
      <c r="AD90" s="93" t="s">
        <v>206</v>
      </c>
      <c r="AE90" s="93" t="s">
        <v>206</v>
      </c>
      <c r="AF90" s="93" t="s">
        <v>206</v>
      </c>
      <c r="AG90" s="93" t="s">
        <v>206</v>
      </c>
      <c r="AH90" s="93" t="s">
        <v>206</v>
      </c>
      <c r="AI90" s="93" t="s">
        <v>206</v>
      </c>
      <c r="AJ90" s="93" t="s">
        <v>206</v>
      </c>
      <c r="AK90" s="32"/>
      <c r="AM90" s="1"/>
      <c r="AN90" s="32"/>
    </row>
    <row r="91" spans="1:40" ht="17.25" customHeight="1">
      <c r="A91" s="4"/>
      <c r="C91" s="765" t="s">
        <v>251</v>
      </c>
      <c r="D91" s="85" t="s">
        <v>252</v>
      </c>
      <c r="E91" s="270" t="s">
        <v>195</v>
      </c>
      <c r="F91" s="541" t="s">
        <v>206</v>
      </c>
      <c r="G91" s="103" t="s">
        <v>206</v>
      </c>
      <c r="H91" s="103" t="s">
        <v>206</v>
      </c>
      <c r="I91" s="103" t="s">
        <v>206</v>
      </c>
      <c r="J91" s="103" t="s">
        <v>206</v>
      </c>
      <c r="K91" s="103" t="s">
        <v>206</v>
      </c>
      <c r="L91" s="103" t="s">
        <v>206</v>
      </c>
      <c r="M91" s="103" t="s">
        <v>206</v>
      </c>
      <c r="N91" s="103" t="s">
        <v>206</v>
      </c>
      <c r="O91" s="103" t="s">
        <v>206</v>
      </c>
      <c r="P91" s="560" t="s">
        <v>206</v>
      </c>
      <c r="Q91" s="532" t="s">
        <v>206</v>
      </c>
      <c r="R91" s="104" t="s">
        <v>206</v>
      </c>
      <c r="S91" s="104" t="s">
        <v>206</v>
      </c>
      <c r="T91" s="104" t="s">
        <v>206</v>
      </c>
      <c r="U91" s="104" t="s">
        <v>206</v>
      </c>
      <c r="V91" s="104" t="s">
        <v>206</v>
      </c>
      <c r="W91" s="104" t="s">
        <v>206</v>
      </c>
      <c r="X91" s="104" t="s">
        <v>206</v>
      </c>
      <c r="Y91" s="533" t="s">
        <v>206</v>
      </c>
      <c r="Z91" s="564">
        <v>40532515</v>
      </c>
      <c r="AA91" s="518">
        <v>43251425</v>
      </c>
      <c r="AB91" s="86">
        <v>43737099</v>
      </c>
      <c r="AC91" s="86">
        <v>53937438</v>
      </c>
      <c r="AD91" s="86">
        <v>50013028</v>
      </c>
      <c r="AE91" s="86">
        <v>44195912</v>
      </c>
      <c r="AF91" s="86">
        <v>49672939</v>
      </c>
      <c r="AG91" s="86">
        <v>72576374</v>
      </c>
      <c r="AH91" s="86">
        <v>58386658</v>
      </c>
      <c r="AI91" s="86">
        <v>53137087</v>
      </c>
      <c r="AJ91" s="86">
        <v>41984452</v>
      </c>
      <c r="AK91" s="32"/>
      <c r="AM91" s="1"/>
      <c r="AN91" s="32"/>
    </row>
    <row r="92" spans="1:40" ht="19.5" customHeight="1">
      <c r="A92" s="4"/>
      <c r="C92" s="767"/>
      <c r="D92" s="100" t="s">
        <v>253</v>
      </c>
      <c r="E92" s="575" t="s">
        <v>165</v>
      </c>
      <c r="F92" s="534" t="s">
        <v>206</v>
      </c>
      <c r="G92" s="92" t="s">
        <v>206</v>
      </c>
      <c r="H92" s="92" t="s">
        <v>206</v>
      </c>
      <c r="I92" s="101">
        <v>368015.60499999998</v>
      </c>
      <c r="J92" s="101">
        <v>356233.66200000001</v>
      </c>
      <c r="K92" s="101">
        <v>417085.12800000003</v>
      </c>
      <c r="L92" s="101">
        <v>415110.65600000002</v>
      </c>
      <c r="M92" s="101">
        <v>415797.53200000001</v>
      </c>
      <c r="N92" s="101">
        <v>424618.61200000002</v>
      </c>
      <c r="O92" s="101">
        <v>411793.10200000001</v>
      </c>
      <c r="P92" s="542">
        <v>383229.51199999999</v>
      </c>
      <c r="Q92" s="547">
        <v>377414.6</v>
      </c>
      <c r="R92" s="101">
        <v>370885.3</v>
      </c>
      <c r="S92" s="101">
        <v>412876.1</v>
      </c>
      <c r="T92" s="101">
        <v>454977.9</v>
      </c>
      <c r="U92" s="101">
        <v>493531.3</v>
      </c>
      <c r="V92" s="101">
        <v>549376</v>
      </c>
      <c r="W92" s="101">
        <v>463214.7</v>
      </c>
      <c r="X92" s="101">
        <v>480728.1</v>
      </c>
      <c r="Y92" s="542">
        <v>583565.80000000005</v>
      </c>
      <c r="Z92" s="565">
        <v>520472</v>
      </c>
      <c r="AA92" s="519">
        <v>527269</v>
      </c>
      <c r="AB92" s="88">
        <v>495329</v>
      </c>
      <c r="AC92" s="88">
        <v>426249</v>
      </c>
      <c r="AD92" s="88">
        <v>419917</v>
      </c>
      <c r="AE92" s="88">
        <v>449642</v>
      </c>
      <c r="AF92" s="88">
        <v>323708</v>
      </c>
      <c r="AG92" s="88">
        <v>293034</v>
      </c>
      <c r="AH92" s="88">
        <v>287533</v>
      </c>
      <c r="AI92" s="88">
        <v>338929</v>
      </c>
      <c r="AJ92" s="88">
        <v>358976</v>
      </c>
      <c r="AK92" s="32"/>
      <c r="AM92" s="34"/>
      <c r="AN92" s="32"/>
    </row>
    <row r="93" spans="1:40" ht="14.25" customHeight="1">
      <c r="A93" s="4"/>
      <c r="C93" s="765" t="s">
        <v>254</v>
      </c>
      <c r="D93" s="102" t="s">
        <v>255</v>
      </c>
      <c r="E93" s="103" t="s">
        <v>165</v>
      </c>
      <c r="F93" s="541" t="s">
        <v>206</v>
      </c>
      <c r="G93" s="103" t="s">
        <v>206</v>
      </c>
      <c r="H93" s="103" t="s">
        <v>206</v>
      </c>
      <c r="I93" s="557">
        <v>52043.4</v>
      </c>
      <c r="J93" s="557">
        <v>50673.760000000002</v>
      </c>
      <c r="K93" s="557">
        <v>44123.4</v>
      </c>
      <c r="L93" s="557">
        <v>43556.88</v>
      </c>
      <c r="M93" s="557">
        <v>52718.7</v>
      </c>
      <c r="N93" s="557">
        <v>45260.18</v>
      </c>
      <c r="O93" s="557">
        <v>34687.021000000001</v>
      </c>
      <c r="P93" s="533">
        <v>49113.27</v>
      </c>
      <c r="Q93" s="532" t="s">
        <v>206</v>
      </c>
      <c r="R93" s="104" t="s">
        <v>206</v>
      </c>
      <c r="S93" s="104" t="s">
        <v>206</v>
      </c>
      <c r="T93" s="104" t="s">
        <v>206</v>
      </c>
      <c r="U93" s="104" t="s">
        <v>206</v>
      </c>
      <c r="V93" s="104" t="s">
        <v>206</v>
      </c>
      <c r="W93" s="104" t="s">
        <v>206</v>
      </c>
      <c r="X93" s="104" t="s">
        <v>206</v>
      </c>
      <c r="Y93" s="533" t="s">
        <v>206</v>
      </c>
      <c r="Z93" s="570" t="s">
        <v>206</v>
      </c>
      <c r="AA93" s="524" t="s">
        <v>206</v>
      </c>
      <c r="AB93" s="104" t="s">
        <v>206</v>
      </c>
      <c r="AC93" s="104" t="s">
        <v>206</v>
      </c>
      <c r="AD93" s="104" t="s">
        <v>206</v>
      </c>
      <c r="AE93" s="104" t="s">
        <v>206</v>
      </c>
      <c r="AF93" s="104" t="s">
        <v>206</v>
      </c>
      <c r="AG93" s="104" t="s">
        <v>206</v>
      </c>
      <c r="AH93" s="104" t="s">
        <v>206</v>
      </c>
      <c r="AI93" s="104" t="s">
        <v>206</v>
      </c>
      <c r="AJ93" s="104" t="s">
        <v>206</v>
      </c>
      <c r="AK93" s="334" t="s">
        <v>199</v>
      </c>
      <c r="AM93" s="34"/>
      <c r="AN93" s="32"/>
    </row>
    <row r="94" spans="1:40" ht="14.25" customHeight="1">
      <c r="A94" s="4"/>
      <c r="C94" s="766"/>
      <c r="D94" s="91" t="s">
        <v>256</v>
      </c>
      <c r="E94" s="92" t="s">
        <v>165</v>
      </c>
      <c r="F94" s="534" t="s">
        <v>206</v>
      </c>
      <c r="G94" s="92" t="s">
        <v>206</v>
      </c>
      <c r="H94" s="92" t="s">
        <v>206</v>
      </c>
      <c r="I94" s="265">
        <v>8422511.8000000007</v>
      </c>
      <c r="J94" s="265">
        <v>7604550</v>
      </c>
      <c r="K94" s="265">
        <v>8772350</v>
      </c>
      <c r="L94" s="265">
        <v>9481900</v>
      </c>
      <c r="M94" s="265">
        <v>8084625</v>
      </c>
      <c r="N94" s="265">
        <v>10019425</v>
      </c>
      <c r="O94" s="265">
        <v>8894776</v>
      </c>
      <c r="P94" s="535">
        <v>8495100</v>
      </c>
      <c r="Q94" s="534" t="s">
        <v>206</v>
      </c>
      <c r="R94" s="93" t="s">
        <v>206</v>
      </c>
      <c r="S94" s="93" t="s">
        <v>206</v>
      </c>
      <c r="T94" s="93" t="s">
        <v>206</v>
      </c>
      <c r="U94" s="93" t="s">
        <v>206</v>
      </c>
      <c r="V94" s="93" t="s">
        <v>206</v>
      </c>
      <c r="W94" s="93" t="s">
        <v>206</v>
      </c>
      <c r="X94" s="93" t="s">
        <v>206</v>
      </c>
      <c r="Y94" s="535" t="s">
        <v>206</v>
      </c>
      <c r="Z94" s="566" t="s">
        <v>206</v>
      </c>
      <c r="AA94" s="520" t="s">
        <v>206</v>
      </c>
      <c r="AB94" s="93" t="s">
        <v>206</v>
      </c>
      <c r="AC94" s="93" t="s">
        <v>206</v>
      </c>
      <c r="AD94" s="93" t="s">
        <v>206</v>
      </c>
      <c r="AE94" s="93" t="s">
        <v>206</v>
      </c>
      <c r="AF94" s="93" t="s">
        <v>206</v>
      </c>
      <c r="AG94" s="93" t="s">
        <v>206</v>
      </c>
      <c r="AH94" s="93" t="s">
        <v>206</v>
      </c>
      <c r="AI94" s="93" t="s">
        <v>206</v>
      </c>
      <c r="AJ94" s="93" t="s">
        <v>206</v>
      </c>
      <c r="AK94" s="334" t="s">
        <v>199</v>
      </c>
      <c r="AM94" s="34"/>
      <c r="AN94" s="4"/>
    </row>
    <row r="95" spans="1:40" ht="14.25" customHeight="1">
      <c r="A95" s="4"/>
      <c r="C95" s="766"/>
      <c r="D95" s="91" t="s">
        <v>257</v>
      </c>
      <c r="E95" s="92" t="s">
        <v>195</v>
      </c>
      <c r="F95" s="534" t="s">
        <v>206</v>
      </c>
      <c r="G95" s="92" t="s">
        <v>206</v>
      </c>
      <c r="H95" s="92" t="s">
        <v>206</v>
      </c>
      <c r="I95" s="265">
        <v>284778</v>
      </c>
      <c r="J95" s="265">
        <v>155428</v>
      </c>
      <c r="K95" s="265">
        <v>166291</v>
      </c>
      <c r="L95" s="265">
        <v>141200</v>
      </c>
      <c r="M95" s="265">
        <v>91994</v>
      </c>
      <c r="N95" s="265">
        <v>99542</v>
      </c>
      <c r="O95" s="265">
        <v>104472</v>
      </c>
      <c r="P95" s="535">
        <v>148496</v>
      </c>
      <c r="Q95" s="534" t="s">
        <v>206</v>
      </c>
      <c r="R95" s="93" t="s">
        <v>206</v>
      </c>
      <c r="S95" s="93" t="s">
        <v>206</v>
      </c>
      <c r="T95" s="93" t="s">
        <v>206</v>
      </c>
      <c r="U95" s="93" t="s">
        <v>206</v>
      </c>
      <c r="V95" s="93" t="s">
        <v>206</v>
      </c>
      <c r="W95" s="93" t="s">
        <v>206</v>
      </c>
      <c r="X95" s="93" t="s">
        <v>206</v>
      </c>
      <c r="Y95" s="535" t="s">
        <v>206</v>
      </c>
      <c r="Z95" s="566" t="s">
        <v>206</v>
      </c>
      <c r="AA95" s="520" t="s">
        <v>206</v>
      </c>
      <c r="AB95" s="93" t="s">
        <v>206</v>
      </c>
      <c r="AC95" s="93" t="s">
        <v>206</v>
      </c>
      <c r="AD95" s="93" t="s">
        <v>206</v>
      </c>
      <c r="AE95" s="93" t="s">
        <v>206</v>
      </c>
      <c r="AF95" s="93" t="s">
        <v>206</v>
      </c>
      <c r="AG95" s="93" t="s">
        <v>206</v>
      </c>
      <c r="AH95" s="93" t="s">
        <v>206</v>
      </c>
      <c r="AI95" s="93" t="s">
        <v>206</v>
      </c>
      <c r="AJ95" s="93" t="s">
        <v>206</v>
      </c>
      <c r="AK95" s="334" t="s">
        <v>199</v>
      </c>
      <c r="AM95" s="34"/>
      <c r="AN95" s="4"/>
    </row>
    <row r="96" spans="1:40" ht="14.25" customHeight="1">
      <c r="A96" s="4"/>
      <c r="C96" s="766"/>
      <c r="D96" s="91" t="s">
        <v>258</v>
      </c>
      <c r="E96" s="92" t="s">
        <v>165</v>
      </c>
      <c r="F96" s="534" t="s">
        <v>206</v>
      </c>
      <c r="G96" s="92" t="s">
        <v>206</v>
      </c>
      <c r="H96" s="92" t="s">
        <v>206</v>
      </c>
      <c r="I96" s="265">
        <v>947374</v>
      </c>
      <c r="J96" s="265">
        <v>1203421.67</v>
      </c>
      <c r="K96" s="265">
        <v>1360063.01</v>
      </c>
      <c r="L96" s="265">
        <v>2673400.08</v>
      </c>
      <c r="M96" s="265">
        <v>3370370.83</v>
      </c>
      <c r="N96" s="265">
        <v>3876684.38</v>
      </c>
      <c r="O96" s="265">
        <v>4786565.9800000004</v>
      </c>
      <c r="P96" s="535">
        <v>7826818.04</v>
      </c>
      <c r="Q96" s="534">
        <v>9853681.9000000004</v>
      </c>
      <c r="R96" s="520">
        <v>11318888.699999999</v>
      </c>
      <c r="S96" s="520">
        <v>13592163.4</v>
      </c>
      <c r="T96" s="520">
        <v>15376634.4</v>
      </c>
      <c r="U96" s="520">
        <v>16162842.5</v>
      </c>
      <c r="V96" s="520">
        <v>17405280.600000001</v>
      </c>
      <c r="W96" s="520">
        <v>22017554.399999999</v>
      </c>
      <c r="X96" s="520">
        <v>22807607</v>
      </c>
      <c r="Y96" s="552">
        <v>19307925</v>
      </c>
      <c r="Z96" s="566" t="s">
        <v>206</v>
      </c>
      <c r="AA96" s="520" t="s">
        <v>206</v>
      </c>
      <c r="AB96" s="93" t="s">
        <v>206</v>
      </c>
      <c r="AC96" s="93" t="s">
        <v>206</v>
      </c>
      <c r="AD96" s="93" t="s">
        <v>206</v>
      </c>
      <c r="AE96" s="93" t="s">
        <v>206</v>
      </c>
      <c r="AF96" s="93" t="s">
        <v>206</v>
      </c>
      <c r="AG96" s="93" t="s">
        <v>206</v>
      </c>
      <c r="AH96" s="93" t="s">
        <v>206</v>
      </c>
      <c r="AI96" s="93" t="s">
        <v>206</v>
      </c>
      <c r="AJ96" s="93" t="s">
        <v>206</v>
      </c>
      <c r="AK96" s="334" t="s">
        <v>199</v>
      </c>
      <c r="AM96" s="1"/>
      <c r="AN96" s="4"/>
    </row>
    <row r="97" spans="1:43" ht="14.25" customHeight="1">
      <c r="A97" s="4"/>
      <c r="C97" s="766"/>
      <c r="D97" s="91" t="s">
        <v>259</v>
      </c>
      <c r="E97" s="92" t="s">
        <v>249</v>
      </c>
      <c r="F97" s="534" t="s">
        <v>206</v>
      </c>
      <c r="G97" s="92" t="s">
        <v>206</v>
      </c>
      <c r="H97" s="92" t="s">
        <v>206</v>
      </c>
      <c r="I97" s="265">
        <v>3314037.9210000001</v>
      </c>
      <c r="J97" s="265">
        <v>3481967</v>
      </c>
      <c r="K97" s="265">
        <v>3919790</v>
      </c>
      <c r="L97" s="265">
        <v>4000323</v>
      </c>
      <c r="M97" s="265">
        <v>3856245</v>
      </c>
      <c r="N97" s="265">
        <v>3786230</v>
      </c>
      <c r="O97" s="265">
        <v>4323044.38</v>
      </c>
      <c r="P97" s="535">
        <v>5832861.3839999996</v>
      </c>
      <c r="Q97" s="534">
        <v>6088815.9000000004</v>
      </c>
      <c r="R97" s="520">
        <v>6543512.0999999996</v>
      </c>
      <c r="S97" s="520">
        <v>7509040.2999999998</v>
      </c>
      <c r="T97" s="520">
        <v>8513430.0999999996</v>
      </c>
      <c r="U97" s="520">
        <v>10323271.1</v>
      </c>
      <c r="V97" s="520">
        <v>12222118.6</v>
      </c>
      <c r="W97" s="520">
        <v>14450149.300000001</v>
      </c>
      <c r="X97" s="520">
        <v>18157441.800000001</v>
      </c>
      <c r="Y97" s="552">
        <v>14593098.199999999</v>
      </c>
      <c r="Z97" s="566" t="s">
        <v>206</v>
      </c>
      <c r="AA97" s="520" t="s">
        <v>206</v>
      </c>
      <c r="AB97" s="93" t="s">
        <v>206</v>
      </c>
      <c r="AC97" s="93" t="s">
        <v>206</v>
      </c>
      <c r="AD97" s="93" t="s">
        <v>206</v>
      </c>
      <c r="AE97" s="93" t="s">
        <v>206</v>
      </c>
      <c r="AF97" s="93" t="s">
        <v>206</v>
      </c>
      <c r="AG97" s="93" t="s">
        <v>206</v>
      </c>
      <c r="AH97" s="93" t="s">
        <v>206</v>
      </c>
      <c r="AI97" s="93" t="s">
        <v>206</v>
      </c>
      <c r="AJ97" s="93" t="s">
        <v>206</v>
      </c>
      <c r="AK97" s="334" t="s">
        <v>199</v>
      </c>
      <c r="AM97" s="34"/>
      <c r="AN97" s="4"/>
      <c r="AQ97" s="27"/>
    </row>
    <row r="98" spans="1:43" ht="14.25" customHeight="1">
      <c r="A98" s="4"/>
      <c r="C98" s="766"/>
      <c r="D98" s="91" t="s">
        <v>260</v>
      </c>
      <c r="E98" s="92" t="s">
        <v>249</v>
      </c>
      <c r="F98" s="534" t="s">
        <v>206</v>
      </c>
      <c r="G98" s="92" t="s">
        <v>206</v>
      </c>
      <c r="H98" s="92" t="s">
        <v>206</v>
      </c>
      <c r="I98" s="265">
        <v>631769</v>
      </c>
      <c r="J98" s="265">
        <v>645513</v>
      </c>
      <c r="K98" s="265">
        <v>633899</v>
      </c>
      <c r="L98" s="265">
        <v>648662</v>
      </c>
      <c r="M98" s="265">
        <v>643541</v>
      </c>
      <c r="N98" s="265">
        <v>718014</v>
      </c>
      <c r="O98" s="265">
        <v>775670</v>
      </c>
      <c r="P98" s="535">
        <v>759446.103</v>
      </c>
      <c r="Q98" s="534" t="s">
        <v>206</v>
      </c>
      <c r="R98" s="93" t="s">
        <v>206</v>
      </c>
      <c r="S98" s="93" t="s">
        <v>206</v>
      </c>
      <c r="T98" s="93" t="s">
        <v>206</v>
      </c>
      <c r="U98" s="93" t="s">
        <v>206</v>
      </c>
      <c r="V98" s="93" t="s">
        <v>206</v>
      </c>
      <c r="W98" s="93" t="s">
        <v>206</v>
      </c>
      <c r="X98" s="93" t="s">
        <v>206</v>
      </c>
      <c r="Y98" s="535" t="s">
        <v>206</v>
      </c>
      <c r="Z98" s="566" t="s">
        <v>206</v>
      </c>
      <c r="AA98" s="520" t="s">
        <v>206</v>
      </c>
      <c r="AB98" s="93" t="s">
        <v>206</v>
      </c>
      <c r="AC98" s="93" t="s">
        <v>206</v>
      </c>
      <c r="AD98" s="93" t="s">
        <v>206</v>
      </c>
      <c r="AE98" s="93" t="s">
        <v>206</v>
      </c>
      <c r="AF98" s="93" t="s">
        <v>206</v>
      </c>
      <c r="AG98" s="93" t="s">
        <v>206</v>
      </c>
      <c r="AH98" s="93" t="s">
        <v>206</v>
      </c>
      <c r="AI98" s="93" t="s">
        <v>206</v>
      </c>
      <c r="AJ98" s="93" t="s">
        <v>206</v>
      </c>
      <c r="AK98" s="334" t="s">
        <v>199</v>
      </c>
      <c r="AM98" s="34"/>
      <c r="AN98" s="4"/>
      <c r="AQ98" s="27"/>
    </row>
    <row r="99" spans="1:43" ht="14.25" customHeight="1">
      <c r="A99" s="4"/>
      <c r="C99" s="766"/>
      <c r="D99" s="91" t="s">
        <v>261</v>
      </c>
      <c r="E99" s="92" t="s">
        <v>249</v>
      </c>
      <c r="F99" s="534" t="s">
        <v>206</v>
      </c>
      <c r="G99" s="92" t="s">
        <v>206</v>
      </c>
      <c r="H99" s="92" t="s">
        <v>206</v>
      </c>
      <c r="I99" s="265">
        <v>13624</v>
      </c>
      <c r="J99" s="265">
        <v>7525</v>
      </c>
      <c r="K99" s="265">
        <v>5517</v>
      </c>
      <c r="L99" s="265">
        <v>1086</v>
      </c>
      <c r="M99" s="265">
        <v>1284</v>
      </c>
      <c r="N99" s="265">
        <v>2110.1999999999998</v>
      </c>
      <c r="O99" s="265">
        <v>3229</v>
      </c>
      <c r="P99" s="535">
        <v>3424</v>
      </c>
      <c r="Q99" s="534" t="s">
        <v>206</v>
      </c>
      <c r="R99" s="93" t="s">
        <v>206</v>
      </c>
      <c r="S99" s="93" t="s">
        <v>206</v>
      </c>
      <c r="T99" s="93" t="s">
        <v>206</v>
      </c>
      <c r="U99" s="93" t="s">
        <v>206</v>
      </c>
      <c r="V99" s="93" t="s">
        <v>206</v>
      </c>
      <c r="W99" s="93" t="s">
        <v>206</v>
      </c>
      <c r="X99" s="93" t="s">
        <v>206</v>
      </c>
      <c r="Y99" s="535" t="s">
        <v>206</v>
      </c>
      <c r="Z99" s="566" t="s">
        <v>206</v>
      </c>
      <c r="AA99" s="520" t="s">
        <v>206</v>
      </c>
      <c r="AB99" s="93" t="s">
        <v>206</v>
      </c>
      <c r="AC99" s="93" t="s">
        <v>206</v>
      </c>
      <c r="AD99" s="93" t="s">
        <v>206</v>
      </c>
      <c r="AE99" s="93" t="s">
        <v>206</v>
      </c>
      <c r="AF99" s="93" t="s">
        <v>206</v>
      </c>
      <c r="AG99" s="93" t="s">
        <v>206</v>
      </c>
      <c r="AH99" s="93" t="s">
        <v>206</v>
      </c>
      <c r="AI99" s="93" t="s">
        <v>206</v>
      </c>
      <c r="AJ99" s="93" t="s">
        <v>206</v>
      </c>
      <c r="AK99" s="334" t="s">
        <v>199</v>
      </c>
      <c r="AM99" s="34"/>
      <c r="AN99" s="4"/>
    </row>
    <row r="100" spans="1:43" ht="14.25" customHeight="1">
      <c r="A100" s="4"/>
      <c r="C100" s="766"/>
      <c r="D100" s="91" t="s">
        <v>262</v>
      </c>
      <c r="E100" s="92" t="s">
        <v>165</v>
      </c>
      <c r="F100" s="534" t="s">
        <v>206</v>
      </c>
      <c r="G100" s="92" t="s">
        <v>206</v>
      </c>
      <c r="H100" s="92" t="s">
        <v>206</v>
      </c>
      <c r="I100" s="265">
        <v>2358103</v>
      </c>
      <c r="J100" s="265">
        <v>2531480</v>
      </c>
      <c r="K100" s="265">
        <v>2787884</v>
      </c>
      <c r="L100" s="265">
        <v>2818579</v>
      </c>
      <c r="M100" s="265">
        <v>1993925</v>
      </c>
      <c r="N100" s="265">
        <v>1489013</v>
      </c>
      <c r="O100" s="265">
        <v>1546018</v>
      </c>
      <c r="P100" s="535">
        <v>1153883.2409999999</v>
      </c>
      <c r="Q100" s="534">
        <v>1055291.2</v>
      </c>
      <c r="R100" s="520">
        <v>1502707.7</v>
      </c>
      <c r="S100" s="520">
        <v>1640759</v>
      </c>
      <c r="T100" s="520">
        <v>1774166.4</v>
      </c>
      <c r="U100" s="520">
        <v>4680722.5</v>
      </c>
      <c r="V100" s="520">
        <v>4998855.2</v>
      </c>
      <c r="W100" s="520">
        <v>7228458</v>
      </c>
      <c r="X100" s="520">
        <v>5084389.2</v>
      </c>
      <c r="Y100" s="552">
        <v>7691562.7000000002</v>
      </c>
      <c r="Z100" s="566" t="s">
        <v>206</v>
      </c>
      <c r="AA100" s="520" t="s">
        <v>206</v>
      </c>
      <c r="AB100" s="93" t="s">
        <v>206</v>
      </c>
      <c r="AC100" s="93" t="s">
        <v>206</v>
      </c>
      <c r="AD100" s="93" t="s">
        <v>206</v>
      </c>
      <c r="AE100" s="93" t="s">
        <v>206</v>
      </c>
      <c r="AF100" s="93" t="s">
        <v>206</v>
      </c>
      <c r="AG100" s="93" t="s">
        <v>206</v>
      </c>
      <c r="AH100" s="93" t="s">
        <v>206</v>
      </c>
      <c r="AI100" s="93" t="s">
        <v>206</v>
      </c>
      <c r="AJ100" s="93" t="s">
        <v>206</v>
      </c>
      <c r="AK100" s="334" t="s">
        <v>199</v>
      </c>
      <c r="AM100" s="34"/>
      <c r="AN100" s="4"/>
    </row>
    <row r="101" spans="1:43" ht="14.25" customHeight="1">
      <c r="A101" s="4"/>
      <c r="C101" s="766"/>
      <c r="D101" s="91" t="s">
        <v>263</v>
      </c>
      <c r="E101" s="92" t="s">
        <v>249</v>
      </c>
      <c r="F101" s="534" t="s">
        <v>206</v>
      </c>
      <c r="G101" s="92" t="s">
        <v>206</v>
      </c>
      <c r="H101" s="92" t="s">
        <v>206</v>
      </c>
      <c r="I101" s="265">
        <v>1445031.8640000001</v>
      </c>
      <c r="J101" s="265">
        <v>1217304</v>
      </c>
      <c r="K101" s="265">
        <v>1588145</v>
      </c>
      <c r="L101" s="265">
        <v>1571018.69</v>
      </c>
      <c r="M101" s="265">
        <v>1256616.7549999999</v>
      </c>
      <c r="N101" s="265">
        <v>1098498.5600000001</v>
      </c>
      <c r="O101" s="265">
        <v>1591144.41</v>
      </c>
      <c r="P101" s="535">
        <v>1975653.44</v>
      </c>
      <c r="Q101" s="534">
        <v>2076405.4</v>
      </c>
      <c r="R101" s="520">
        <v>2150804.2999999998</v>
      </c>
      <c r="S101" s="520">
        <v>2207607.5</v>
      </c>
      <c r="T101" s="520">
        <v>2300490.9</v>
      </c>
      <c r="U101" s="520">
        <v>2761003.5</v>
      </c>
      <c r="V101" s="520">
        <v>3055538.9</v>
      </c>
      <c r="W101" s="520">
        <v>2395149</v>
      </c>
      <c r="X101" s="520" t="s">
        <v>206</v>
      </c>
      <c r="Y101" s="552" t="s">
        <v>206</v>
      </c>
      <c r="Z101" s="566" t="s">
        <v>206</v>
      </c>
      <c r="AA101" s="520" t="s">
        <v>206</v>
      </c>
      <c r="AB101" s="93" t="s">
        <v>206</v>
      </c>
      <c r="AC101" s="93" t="s">
        <v>206</v>
      </c>
      <c r="AD101" s="93" t="s">
        <v>206</v>
      </c>
      <c r="AE101" s="93" t="s">
        <v>206</v>
      </c>
      <c r="AF101" s="93" t="s">
        <v>206</v>
      </c>
      <c r="AG101" s="93" t="s">
        <v>206</v>
      </c>
      <c r="AH101" s="93" t="s">
        <v>206</v>
      </c>
      <c r="AI101" s="93" t="s">
        <v>206</v>
      </c>
      <c r="AJ101" s="93" t="s">
        <v>206</v>
      </c>
      <c r="AK101" s="334" t="s">
        <v>199</v>
      </c>
      <c r="AM101" s="34"/>
      <c r="AN101" s="4"/>
    </row>
    <row r="102" spans="1:43" ht="14.25" customHeight="1">
      <c r="A102" s="4"/>
      <c r="C102" s="766"/>
      <c r="D102" s="91" t="s">
        <v>264</v>
      </c>
      <c r="E102" s="92" t="s">
        <v>249</v>
      </c>
      <c r="F102" s="534" t="s">
        <v>206</v>
      </c>
      <c r="G102" s="92" t="s">
        <v>206</v>
      </c>
      <c r="H102" s="92" t="s">
        <v>206</v>
      </c>
      <c r="I102" s="265">
        <v>307958.93199999997</v>
      </c>
      <c r="J102" s="265">
        <v>275038</v>
      </c>
      <c r="K102" s="265">
        <v>317287</v>
      </c>
      <c r="L102" s="265">
        <v>277021.005</v>
      </c>
      <c r="M102" s="265">
        <v>254099.019</v>
      </c>
      <c r="N102" s="265">
        <v>251815.51199999999</v>
      </c>
      <c r="O102" s="265">
        <v>263206.64199999999</v>
      </c>
      <c r="P102" s="535">
        <v>280063.88</v>
      </c>
      <c r="Q102" s="534">
        <v>283732.40000000002</v>
      </c>
      <c r="R102" s="520">
        <v>295978.8</v>
      </c>
      <c r="S102" s="520">
        <v>345810.4</v>
      </c>
      <c r="T102" s="520">
        <v>393773</v>
      </c>
      <c r="U102" s="520">
        <v>505478.2</v>
      </c>
      <c r="V102" s="520">
        <v>623015.1</v>
      </c>
      <c r="W102" s="520">
        <v>448363</v>
      </c>
      <c r="X102" s="520">
        <v>634085.4</v>
      </c>
      <c r="Y102" s="552">
        <v>699399.8</v>
      </c>
      <c r="Z102" s="566" t="s">
        <v>206</v>
      </c>
      <c r="AA102" s="520" t="s">
        <v>206</v>
      </c>
      <c r="AB102" s="93" t="s">
        <v>206</v>
      </c>
      <c r="AC102" s="93" t="s">
        <v>206</v>
      </c>
      <c r="AD102" s="93" t="s">
        <v>206</v>
      </c>
      <c r="AE102" s="93" t="s">
        <v>206</v>
      </c>
      <c r="AF102" s="93" t="s">
        <v>206</v>
      </c>
      <c r="AG102" s="93" t="s">
        <v>206</v>
      </c>
      <c r="AH102" s="93" t="s">
        <v>206</v>
      </c>
      <c r="AI102" s="93" t="s">
        <v>206</v>
      </c>
      <c r="AJ102" s="93" t="s">
        <v>206</v>
      </c>
      <c r="AK102" s="334" t="s">
        <v>199</v>
      </c>
      <c r="AM102" s="34"/>
      <c r="AN102" s="32"/>
    </row>
    <row r="103" spans="1:43" ht="14.25" customHeight="1">
      <c r="A103" s="4"/>
      <c r="C103" s="766"/>
      <c r="D103" s="89" t="s">
        <v>265</v>
      </c>
      <c r="E103" s="515" t="s">
        <v>700</v>
      </c>
      <c r="F103" s="534" t="s">
        <v>206</v>
      </c>
      <c r="G103" s="92" t="s">
        <v>206</v>
      </c>
      <c r="H103" s="92" t="s">
        <v>206</v>
      </c>
      <c r="I103" s="88">
        <f>63066.096</f>
        <v>63066.095999999998</v>
      </c>
      <c r="J103" s="88">
        <f>64904.096</f>
        <v>64904.095999999998</v>
      </c>
      <c r="K103" s="88">
        <f>74858.572</f>
        <v>74858.572</v>
      </c>
      <c r="L103" s="88">
        <f>68285.793</f>
        <v>68285.793000000005</v>
      </c>
      <c r="M103" s="88">
        <f>79244.705</f>
        <v>79244.705000000002</v>
      </c>
      <c r="N103" s="88">
        <f>78118.579</f>
        <v>78118.578999999998</v>
      </c>
      <c r="O103" s="88">
        <f>521501.56534</f>
        <v>521501.56533999997</v>
      </c>
      <c r="P103" s="537">
        <f>84824.67727</f>
        <v>84824.67727</v>
      </c>
      <c r="Q103" s="536">
        <f>78028.6*1000</f>
        <v>78028600</v>
      </c>
      <c r="R103" s="88">
        <f>82948.6*1000</f>
        <v>82948600</v>
      </c>
      <c r="S103" s="88">
        <f>77135*1000</f>
        <v>77135000</v>
      </c>
      <c r="T103" s="88">
        <f>103885.8*1000</f>
        <v>103885800</v>
      </c>
      <c r="U103" s="88">
        <f>124540.6*1000</f>
        <v>124540600</v>
      </c>
      <c r="V103" s="88">
        <f>148378.7*1000</f>
        <v>148378700</v>
      </c>
      <c r="W103" s="88">
        <f>147967.4*1000</f>
        <v>147967400</v>
      </c>
      <c r="X103" s="88">
        <f>169944.9*1000</f>
        <v>169944900</v>
      </c>
      <c r="Y103" s="537">
        <f>180373.6*1000</f>
        <v>180373600</v>
      </c>
      <c r="Z103" s="565">
        <v>193710662</v>
      </c>
      <c r="AA103" s="519">
        <v>201241122</v>
      </c>
      <c r="AB103" s="88">
        <v>204657226</v>
      </c>
      <c r="AC103" s="88">
        <v>212220054</v>
      </c>
      <c r="AD103" s="88">
        <v>197308352</v>
      </c>
      <c r="AE103" s="88">
        <v>190541462</v>
      </c>
      <c r="AF103" s="88">
        <v>201118272</v>
      </c>
      <c r="AG103" s="88">
        <v>212074189</v>
      </c>
      <c r="AH103" s="88">
        <v>212491691</v>
      </c>
      <c r="AI103" s="88">
        <v>204497168</v>
      </c>
      <c r="AJ103" s="88">
        <v>224716357</v>
      </c>
      <c r="AK103" s="32"/>
      <c r="AM103" s="34"/>
      <c r="AN103" s="32"/>
    </row>
    <row r="104" spans="1:43" ht="14.25" customHeight="1">
      <c r="A104" s="4"/>
      <c r="C104" s="766"/>
      <c r="D104" s="89" t="s">
        <v>266</v>
      </c>
      <c r="E104" s="515" t="s">
        <v>700</v>
      </c>
      <c r="F104" s="534" t="s">
        <v>206</v>
      </c>
      <c r="G104" s="92" t="s">
        <v>206</v>
      </c>
      <c r="H104" s="92" t="s">
        <v>206</v>
      </c>
      <c r="I104" s="88">
        <f>36765.831</f>
        <v>36765.830999999998</v>
      </c>
      <c r="J104" s="88">
        <f>39601.16</f>
        <v>39601.160000000003</v>
      </c>
      <c r="K104" s="88">
        <f>48539.398</f>
        <v>48539.398000000001</v>
      </c>
      <c r="L104" s="88">
        <f>35578.229</f>
        <v>35578.228999999999</v>
      </c>
      <c r="M104" s="88">
        <f>38577.475</f>
        <v>38577.474999999999</v>
      </c>
      <c r="N104" s="88">
        <f>32644.753</f>
        <v>32644.753000000001</v>
      </c>
      <c r="O104" s="88">
        <f>234839.864</f>
        <v>234839.864</v>
      </c>
      <c r="P104" s="537">
        <f>35836.95</f>
        <v>35836.949999999997</v>
      </c>
      <c r="Q104" s="536">
        <f>31773.5*1000</f>
        <v>31773500</v>
      </c>
      <c r="R104" s="88">
        <f>33505.8*1000</f>
        <v>33505800.000000004</v>
      </c>
      <c r="S104" s="88">
        <f>33291.7*1000</f>
        <v>33291699.999999996</v>
      </c>
      <c r="T104" s="88">
        <f>33570*1000</f>
        <v>33570000</v>
      </c>
      <c r="U104" s="88">
        <f>33285.5*1000</f>
        <v>33285500</v>
      </c>
      <c r="V104" s="88">
        <f>34028.2*1000</f>
        <v>34028200</v>
      </c>
      <c r="W104" s="88">
        <f>35886.2*1000</f>
        <v>35886200</v>
      </c>
      <c r="X104" s="88">
        <f>34024.9*1000</f>
        <v>34024900</v>
      </c>
      <c r="Y104" s="537">
        <f>34547.2*1000</f>
        <v>34547200</v>
      </c>
      <c r="Z104" s="565">
        <v>32351400</v>
      </c>
      <c r="AA104" s="519">
        <v>32111092</v>
      </c>
      <c r="AB104" s="88">
        <v>34645806</v>
      </c>
      <c r="AC104" s="88">
        <v>34675462</v>
      </c>
      <c r="AD104" s="88">
        <v>35303018</v>
      </c>
      <c r="AE104" s="88">
        <v>33775746</v>
      </c>
      <c r="AF104" s="88">
        <v>33186762</v>
      </c>
      <c r="AG104" s="88">
        <v>33363884</v>
      </c>
      <c r="AH104" s="88">
        <v>39643627</v>
      </c>
      <c r="AI104" s="88">
        <v>24528980</v>
      </c>
      <c r="AJ104" s="88">
        <v>25501716</v>
      </c>
      <c r="AK104" s="32"/>
      <c r="AM104" s="1"/>
      <c r="AN104" s="32"/>
    </row>
    <row r="105" spans="1:43" ht="14.25" customHeight="1">
      <c r="A105" s="4"/>
      <c r="C105" s="766"/>
      <c r="D105" s="87" t="s">
        <v>267</v>
      </c>
      <c r="E105" s="515" t="s">
        <v>165</v>
      </c>
      <c r="F105" s="534" t="s">
        <v>206</v>
      </c>
      <c r="G105" s="92" t="s">
        <v>206</v>
      </c>
      <c r="H105" s="92" t="s">
        <v>206</v>
      </c>
      <c r="I105" s="92" t="s">
        <v>206</v>
      </c>
      <c r="J105" s="92" t="s">
        <v>206</v>
      </c>
      <c r="K105" s="92" t="s">
        <v>206</v>
      </c>
      <c r="L105" s="92" t="s">
        <v>206</v>
      </c>
      <c r="M105" s="92" t="s">
        <v>206</v>
      </c>
      <c r="N105" s="92" t="s">
        <v>206</v>
      </c>
      <c r="O105" s="92" t="s">
        <v>206</v>
      </c>
      <c r="P105" s="559" t="s">
        <v>206</v>
      </c>
      <c r="Q105" s="534" t="s">
        <v>206</v>
      </c>
      <c r="R105" s="93" t="s">
        <v>206</v>
      </c>
      <c r="S105" s="93" t="s">
        <v>206</v>
      </c>
      <c r="T105" s="93" t="s">
        <v>206</v>
      </c>
      <c r="U105" s="93" t="s">
        <v>206</v>
      </c>
      <c r="V105" s="93" t="s">
        <v>206</v>
      </c>
      <c r="W105" s="93" t="s">
        <v>206</v>
      </c>
      <c r="X105" s="93" t="s">
        <v>206</v>
      </c>
      <c r="Y105" s="535" t="s">
        <v>206</v>
      </c>
      <c r="Z105" s="565">
        <v>28321530</v>
      </c>
      <c r="AA105" s="519">
        <v>34995862</v>
      </c>
      <c r="AB105" s="88">
        <v>32290309</v>
      </c>
      <c r="AC105" s="88">
        <v>31279958</v>
      </c>
      <c r="AD105" s="88">
        <v>36545375</v>
      </c>
      <c r="AE105" s="88">
        <v>35096304</v>
      </c>
      <c r="AF105" s="88">
        <v>42279519</v>
      </c>
      <c r="AG105" s="88">
        <v>35415188</v>
      </c>
      <c r="AH105" s="88">
        <v>39969865</v>
      </c>
      <c r="AI105" s="88">
        <v>37797831</v>
      </c>
      <c r="AJ105" s="88">
        <v>34981861</v>
      </c>
      <c r="AK105" s="32"/>
      <c r="AM105" s="1"/>
      <c r="AN105" s="32"/>
    </row>
    <row r="106" spans="1:43" ht="14.25" customHeight="1">
      <c r="A106" s="4"/>
      <c r="C106" s="766"/>
      <c r="D106" s="87" t="s">
        <v>268</v>
      </c>
      <c r="E106" s="515" t="s">
        <v>195</v>
      </c>
      <c r="F106" s="534" t="s">
        <v>206</v>
      </c>
      <c r="G106" s="92" t="s">
        <v>206</v>
      </c>
      <c r="H106" s="92" t="s">
        <v>206</v>
      </c>
      <c r="I106" s="92" t="s">
        <v>206</v>
      </c>
      <c r="J106" s="92" t="s">
        <v>206</v>
      </c>
      <c r="K106" s="92" t="s">
        <v>206</v>
      </c>
      <c r="L106" s="92" t="s">
        <v>206</v>
      </c>
      <c r="M106" s="92" t="s">
        <v>206</v>
      </c>
      <c r="N106" s="92" t="s">
        <v>206</v>
      </c>
      <c r="O106" s="92" t="s">
        <v>206</v>
      </c>
      <c r="P106" s="559" t="s">
        <v>206</v>
      </c>
      <c r="Q106" s="534" t="s">
        <v>206</v>
      </c>
      <c r="R106" s="93" t="s">
        <v>206</v>
      </c>
      <c r="S106" s="93" t="s">
        <v>206</v>
      </c>
      <c r="T106" s="93" t="s">
        <v>206</v>
      </c>
      <c r="U106" s="93" t="s">
        <v>206</v>
      </c>
      <c r="V106" s="93" t="s">
        <v>206</v>
      </c>
      <c r="W106" s="93" t="s">
        <v>206</v>
      </c>
      <c r="X106" s="93" t="s">
        <v>206</v>
      </c>
      <c r="Y106" s="535" t="s">
        <v>206</v>
      </c>
      <c r="Z106" s="565">
        <v>198091</v>
      </c>
      <c r="AA106" s="519">
        <v>200438</v>
      </c>
      <c r="AB106" s="88">
        <v>252328</v>
      </c>
      <c r="AC106" s="88">
        <v>312657</v>
      </c>
      <c r="AD106" s="88">
        <v>254086</v>
      </c>
      <c r="AE106" s="88">
        <v>310536</v>
      </c>
      <c r="AF106" s="88">
        <v>286998</v>
      </c>
      <c r="AG106" s="88">
        <v>282964</v>
      </c>
      <c r="AH106" s="88">
        <v>307009</v>
      </c>
      <c r="AI106" s="88">
        <v>394714</v>
      </c>
      <c r="AJ106" s="88">
        <v>454596</v>
      </c>
      <c r="AK106" s="32"/>
      <c r="AM106" s="1"/>
      <c r="AN106" s="32"/>
    </row>
    <row r="107" spans="1:43" ht="14.25" customHeight="1">
      <c r="A107" s="4"/>
      <c r="C107" s="766"/>
      <c r="D107" s="87" t="s">
        <v>269</v>
      </c>
      <c r="E107" s="515" t="s">
        <v>195</v>
      </c>
      <c r="F107" s="534" t="s">
        <v>206</v>
      </c>
      <c r="G107" s="92" t="s">
        <v>206</v>
      </c>
      <c r="H107" s="92" t="s">
        <v>206</v>
      </c>
      <c r="I107" s="92" t="s">
        <v>206</v>
      </c>
      <c r="J107" s="92" t="s">
        <v>206</v>
      </c>
      <c r="K107" s="92" t="s">
        <v>206</v>
      </c>
      <c r="L107" s="92" t="s">
        <v>206</v>
      </c>
      <c r="M107" s="92" t="s">
        <v>206</v>
      </c>
      <c r="N107" s="92" t="s">
        <v>206</v>
      </c>
      <c r="O107" s="92" t="s">
        <v>206</v>
      </c>
      <c r="P107" s="559" t="s">
        <v>206</v>
      </c>
      <c r="Q107" s="534" t="s">
        <v>206</v>
      </c>
      <c r="R107" s="93" t="s">
        <v>206</v>
      </c>
      <c r="S107" s="93" t="s">
        <v>206</v>
      </c>
      <c r="T107" s="93" t="s">
        <v>206</v>
      </c>
      <c r="U107" s="93" t="s">
        <v>206</v>
      </c>
      <c r="V107" s="93" t="s">
        <v>206</v>
      </c>
      <c r="W107" s="93" t="s">
        <v>206</v>
      </c>
      <c r="X107" s="93" t="s">
        <v>206</v>
      </c>
      <c r="Y107" s="535" t="s">
        <v>206</v>
      </c>
      <c r="Z107" s="565">
        <v>16263678</v>
      </c>
      <c r="AA107" s="519">
        <v>23118487</v>
      </c>
      <c r="AB107" s="88">
        <v>20765230</v>
      </c>
      <c r="AC107" s="88">
        <v>21428399</v>
      </c>
      <c r="AD107" s="88">
        <v>22959432</v>
      </c>
      <c r="AE107" s="88">
        <v>25737188</v>
      </c>
      <c r="AF107" s="88">
        <v>26692938</v>
      </c>
      <c r="AG107" s="88">
        <v>30280863</v>
      </c>
      <c r="AH107" s="88">
        <v>30090617</v>
      </c>
      <c r="AI107" s="88">
        <v>37335416</v>
      </c>
      <c r="AJ107" s="88">
        <v>34211373</v>
      </c>
      <c r="AK107" s="32"/>
      <c r="AM107" s="1"/>
      <c r="AN107" s="32"/>
    </row>
    <row r="108" spans="1:43" ht="14.25" customHeight="1">
      <c r="A108" s="4"/>
      <c r="C108" s="766"/>
      <c r="D108" s="87" t="s">
        <v>270</v>
      </c>
      <c r="E108" s="515" t="s">
        <v>683</v>
      </c>
      <c r="F108" s="534" t="s">
        <v>206</v>
      </c>
      <c r="G108" s="92" t="s">
        <v>206</v>
      </c>
      <c r="H108" s="92" t="s">
        <v>206</v>
      </c>
      <c r="I108" s="88">
        <v>5182.0410000000002</v>
      </c>
      <c r="J108" s="88">
        <v>5483.0559999999996</v>
      </c>
      <c r="K108" s="88">
        <v>5871.5370000000003</v>
      </c>
      <c r="L108" s="88">
        <v>4627.7110000000002</v>
      </c>
      <c r="M108" s="88">
        <v>5493.0079999999998</v>
      </c>
      <c r="N108" s="88">
        <v>6355.69</v>
      </c>
      <c r="O108" s="88">
        <v>4486.6457209999999</v>
      </c>
      <c r="P108" s="537">
        <v>3830.1481359999998</v>
      </c>
      <c r="Q108" s="536">
        <f>4457.4*1000</f>
        <v>4457400</v>
      </c>
      <c r="R108" s="88">
        <f>4920*1000</f>
        <v>4920000</v>
      </c>
      <c r="S108" s="88">
        <f>5079.5*1000</f>
        <v>5079500</v>
      </c>
      <c r="T108" s="88">
        <f>6986.2*1000</f>
        <v>6986200</v>
      </c>
      <c r="U108" s="88">
        <f>9447.3*1000</f>
        <v>9447300</v>
      </c>
      <c r="V108" s="88">
        <f>17374*1000</f>
        <v>17374000</v>
      </c>
      <c r="W108" s="88">
        <f>9858.1*1000</f>
        <v>9858100</v>
      </c>
      <c r="X108" s="88">
        <f>7679.2*1000</f>
        <v>7679200</v>
      </c>
      <c r="Y108" s="537">
        <f>6942.9*1000</f>
        <v>6942900</v>
      </c>
      <c r="Z108" s="565">
        <v>1136851</v>
      </c>
      <c r="AA108" s="519">
        <v>2618356</v>
      </c>
      <c r="AB108" s="88">
        <v>1684057</v>
      </c>
      <c r="AC108" s="88">
        <v>1548484</v>
      </c>
      <c r="AD108" s="88">
        <v>1889645</v>
      </c>
      <c r="AE108" s="88">
        <v>1940067</v>
      </c>
      <c r="AF108" s="88">
        <v>1125876</v>
      </c>
      <c r="AG108" s="88">
        <v>1294828</v>
      </c>
      <c r="AH108" s="88">
        <v>743918</v>
      </c>
      <c r="AI108" s="88">
        <v>411267</v>
      </c>
      <c r="AJ108" s="88">
        <v>140913</v>
      </c>
      <c r="AK108" s="32"/>
      <c r="AM108" s="1"/>
      <c r="AN108" s="32"/>
    </row>
    <row r="109" spans="1:43" ht="14.25" customHeight="1">
      <c r="A109" s="4"/>
      <c r="C109" s="767"/>
      <c r="D109" s="100" t="s">
        <v>271</v>
      </c>
      <c r="E109" s="516" t="s">
        <v>683</v>
      </c>
      <c r="F109" s="534" t="s">
        <v>206</v>
      </c>
      <c r="G109" s="92" t="s">
        <v>206</v>
      </c>
      <c r="H109" s="92" t="s">
        <v>206</v>
      </c>
      <c r="I109" s="101">
        <v>4455.9189999999999</v>
      </c>
      <c r="J109" s="101">
        <v>4709.2839999999997</v>
      </c>
      <c r="K109" s="101">
        <v>6248.6689999999999</v>
      </c>
      <c r="L109" s="101">
        <v>5395.8829999999998</v>
      </c>
      <c r="M109" s="101">
        <v>4998.2190000000001</v>
      </c>
      <c r="N109" s="101">
        <v>3576.8879999999999</v>
      </c>
      <c r="O109" s="101">
        <v>24157.044000000002</v>
      </c>
      <c r="P109" s="542">
        <v>3261.88</v>
      </c>
      <c r="Q109" s="547">
        <f>2308*1000</f>
        <v>2308000</v>
      </c>
      <c r="R109" s="101">
        <f>3966*1000</f>
        <v>3966000</v>
      </c>
      <c r="S109" s="101">
        <f>3305.3*1000</f>
        <v>3305300</v>
      </c>
      <c r="T109" s="101">
        <f>3838.1*1000</f>
        <v>3838100</v>
      </c>
      <c r="U109" s="101">
        <f>4718*1000</f>
        <v>4718000</v>
      </c>
      <c r="V109" s="101">
        <f>5522.7*1000</f>
        <v>5522700</v>
      </c>
      <c r="W109" s="101">
        <f>6583*1000</f>
        <v>6583000</v>
      </c>
      <c r="X109" s="101">
        <f>6973*1000</f>
        <v>6973000</v>
      </c>
      <c r="Y109" s="542">
        <f>7366.9*1000</f>
        <v>7366900</v>
      </c>
      <c r="Z109" s="571">
        <v>14133753</v>
      </c>
      <c r="AA109" s="525">
        <v>15279432</v>
      </c>
      <c r="AB109" s="101">
        <v>12675435</v>
      </c>
      <c r="AC109" s="101">
        <v>19307183</v>
      </c>
      <c r="AD109" s="101">
        <v>16983514</v>
      </c>
      <c r="AE109" s="101">
        <v>16505000</v>
      </c>
      <c r="AF109" s="101">
        <v>15620657</v>
      </c>
      <c r="AG109" s="101">
        <v>15462042</v>
      </c>
      <c r="AH109" s="101">
        <v>23784884</v>
      </c>
      <c r="AI109" s="101">
        <v>16021133</v>
      </c>
      <c r="AJ109" s="101">
        <v>22495421</v>
      </c>
      <c r="AK109" s="32"/>
      <c r="AM109" s="1"/>
      <c r="AN109" s="32"/>
    </row>
    <row r="110" spans="1:43" ht="14.25" customHeight="1">
      <c r="A110" s="4"/>
      <c r="C110" s="765" t="s">
        <v>272</v>
      </c>
      <c r="D110" s="91" t="s">
        <v>273</v>
      </c>
      <c r="E110" s="92" t="s">
        <v>695</v>
      </c>
      <c r="F110" s="541" t="s">
        <v>206</v>
      </c>
      <c r="G110" s="103" t="s">
        <v>206</v>
      </c>
      <c r="H110" s="103" t="s">
        <v>206</v>
      </c>
      <c r="I110" s="558">
        <v>622833</v>
      </c>
      <c r="J110" s="558">
        <v>637139</v>
      </c>
      <c r="K110" s="558">
        <v>701451</v>
      </c>
      <c r="L110" s="558">
        <v>864910</v>
      </c>
      <c r="M110" s="558">
        <v>927577</v>
      </c>
      <c r="N110" s="558">
        <v>1056815</v>
      </c>
      <c r="O110" s="558">
        <v>1207527</v>
      </c>
      <c r="P110" s="543">
        <v>1366135</v>
      </c>
      <c r="Q110" s="555" t="s">
        <v>206</v>
      </c>
      <c r="R110" s="115" t="s">
        <v>206</v>
      </c>
      <c r="S110" s="115" t="s">
        <v>206</v>
      </c>
      <c r="T110" s="115" t="s">
        <v>206</v>
      </c>
      <c r="U110" s="115" t="s">
        <v>206</v>
      </c>
      <c r="V110" s="115" t="s">
        <v>206</v>
      </c>
      <c r="W110" s="115" t="s">
        <v>206</v>
      </c>
      <c r="X110" s="115" t="s">
        <v>206</v>
      </c>
      <c r="Y110" s="543" t="s">
        <v>206</v>
      </c>
      <c r="Z110" s="572" t="s">
        <v>206</v>
      </c>
      <c r="AA110" s="526" t="s">
        <v>206</v>
      </c>
      <c r="AB110" s="115" t="s">
        <v>206</v>
      </c>
      <c r="AC110" s="115" t="s">
        <v>206</v>
      </c>
      <c r="AD110" s="115" t="s">
        <v>206</v>
      </c>
      <c r="AE110" s="115" t="s">
        <v>206</v>
      </c>
      <c r="AF110" s="115" t="s">
        <v>206</v>
      </c>
      <c r="AG110" s="115" t="s">
        <v>206</v>
      </c>
      <c r="AH110" s="115" t="s">
        <v>206</v>
      </c>
      <c r="AI110" s="115" t="s">
        <v>206</v>
      </c>
      <c r="AJ110" s="115" t="s">
        <v>206</v>
      </c>
      <c r="AK110" s="24"/>
      <c r="AN110" s="24"/>
    </row>
    <row r="111" spans="1:43" ht="14.25" customHeight="1">
      <c r="A111" s="4"/>
      <c r="C111" s="766"/>
      <c r="D111" s="91" t="s">
        <v>274</v>
      </c>
      <c r="E111" s="92" t="s">
        <v>695</v>
      </c>
      <c r="F111" s="534" t="s">
        <v>206</v>
      </c>
      <c r="G111" s="92" t="s">
        <v>206</v>
      </c>
      <c r="H111" s="92" t="s">
        <v>206</v>
      </c>
      <c r="I111" s="265">
        <v>462</v>
      </c>
      <c r="J111" s="265">
        <v>2548</v>
      </c>
      <c r="K111" s="265">
        <v>6291</v>
      </c>
      <c r="L111" s="265">
        <v>4639</v>
      </c>
      <c r="M111" s="265">
        <v>5818</v>
      </c>
      <c r="N111" s="265">
        <v>6508</v>
      </c>
      <c r="O111" s="265">
        <v>3689</v>
      </c>
      <c r="P111" s="535">
        <v>4229</v>
      </c>
      <c r="Q111" s="534" t="s">
        <v>206</v>
      </c>
      <c r="R111" s="93" t="s">
        <v>206</v>
      </c>
      <c r="S111" s="93" t="s">
        <v>206</v>
      </c>
      <c r="T111" s="93" t="s">
        <v>206</v>
      </c>
      <c r="U111" s="93" t="s">
        <v>206</v>
      </c>
      <c r="V111" s="93" t="s">
        <v>206</v>
      </c>
      <c r="W111" s="93" t="s">
        <v>206</v>
      </c>
      <c r="X111" s="93" t="s">
        <v>206</v>
      </c>
      <c r="Y111" s="535" t="s">
        <v>206</v>
      </c>
      <c r="Z111" s="566" t="s">
        <v>206</v>
      </c>
      <c r="AA111" s="520" t="s">
        <v>206</v>
      </c>
      <c r="AB111" s="93" t="s">
        <v>206</v>
      </c>
      <c r="AC111" s="93" t="s">
        <v>206</v>
      </c>
      <c r="AD111" s="93" t="s">
        <v>206</v>
      </c>
      <c r="AE111" s="93" t="s">
        <v>206</v>
      </c>
      <c r="AF111" s="93" t="s">
        <v>206</v>
      </c>
      <c r="AG111" s="93" t="s">
        <v>206</v>
      </c>
      <c r="AH111" s="93" t="s">
        <v>206</v>
      </c>
      <c r="AI111" s="93" t="s">
        <v>206</v>
      </c>
      <c r="AJ111" s="93" t="s">
        <v>206</v>
      </c>
      <c r="AK111" s="24"/>
      <c r="AN111" s="24"/>
    </row>
    <row r="112" spans="1:43" ht="14.25" customHeight="1">
      <c r="A112" s="4"/>
      <c r="C112" s="766"/>
      <c r="D112" s="91" t="s">
        <v>275</v>
      </c>
      <c r="E112" s="92" t="s">
        <v>695</v>
      </c>
      <c r="F112" s="534" t="s">
        <v>206</v>
      </c>
      <c r="G112" s="92" t="s">
        <v>206</v>
      </c>
      <c r="H112" s="92" t="s">
        <v>206</v>
      </c>
      <c r="I112" s="265">
        <v>190471</v>
      </c>
      <c r="J112" s="265">
        <v>159509</v>
      </c>
      <c r="K112" s="265">
        <v>166775</v>
      </c>
      <c r="L112" s="265">
        <v>167818</v>
      </c>
      <c r="M112" s="265">
        <v>133353</v>
      </c>
      <c r="N112" s="265">
        <v>144541</v>
      </c>
      <c r="O112" s="265">
        <v>140187</v>
      </c>
      <c r="P112" s="535">
        <v>136408</v>
      </c>
      <c r="Q112" s="534" t="s">
        <v>206</v>
      </c>
      <c r="R112" s="93" t="s">
        <v>206</v>
      </c>
      <c r="S112" s="93" t="s">
        <v>206</v>
      </c>
      <c r="T112" s="93" t="s">
        <v>206</v>
      </c>
      <c r="U112" s="93" t="s">
        <v>206</v>
      </c>
      <c r="V112" s="93" t="s">
        <v>206</v>
      </c>
      <c r="W112" s="93" t="s">
        <v>206</v>
      </c>
      <c r="X112" s="93" t="s">
        <v>206</v>
      </c>
      <c r="Y112" s="535" t="s">
        <v>206</v>
      </c>
      <c r="Z112" s="566" t="s">
        <v>206</v>
      </c>
      <c r="AA112" s="520" t="s">
        <v>206</v>
      </c>
      <c r="AB112" s="93" t="s">
        <v>206</v>
      </c>
      <c r="AC112" s="93" t="s">
        <v>206</v>
      </c>
      <c r="AD112" s="93" t="s">
        <v>206</v>
      </c>
      <c r="AE112" s="93" t="s">
        <v>206</v>
      </c>
      <c r="AF112" s="93" t="s">
        <v>206</v>
      </c>
      <c r="AG112" s="93" t="s">
        <v>206</v>
      </c>
      <c r="AH112" s="93" t="s">
        <v>206</v>
      </c>
      <c r="AI112" s="93" t="s">
        <v>206</v>
      </c>
      <c r="AJ112" s="93" t="s">
        <v>206</v>
      </c>
      <c r="AK112" s="24"/>
      <c r="AN112" s="24"/>
    </row>
    <row r="113" spans="1:43" ht="14.25" customHeight="1">
      <c r="A113" s="4"/>
      <c r="C113" s="766"/>
      <c r="D113" s="91" t="s">
        <v>276</v>
      </c>
      <c r="E113" s="92" t="s">
        <v>165</v>
      </c>
      <c r="F113" s="534" t="s">
        <v>206</v>
      </c>
      <c r="G113" s="92" t="s">
        <v>206</v>
      </c>
      <c r="H113" s="92" t="s">
        <v>206</v>
      </c>
      <c r="I113" s="265">
        <v>26762206.5</v>
      </c>
      <c r="J113" s="265">
        <v>31307097.171999998</v>
      </c>
      <c r="K113" s="265">
        <v>30335210.227000002</v>
      </c>
      <c r="L113" s="265">
        <v>30431558.112</v>
      </c>
      <c r="M113" s="265">
        <v>31013305.566</v>
      </c>
      <c r="N113" s="265">
        <v>28092858.114</v>
      </c>
      <c r="O113" s="265">
        <v>27154091.074000001</v>
      </c>
      <c r="P113" s="535">
        <v>27490333.125999998</v>
      </c>
      <c r="Q113" s="534">
        <v>28798600.100000001</v>
      </c>
      <c r="R113" s="520">
        <v>26350236.600000001</v>
      </c>
      <c r="S113" s="520">
        <v>29808368.600000001</v>
      </c>
      <c r="T113" s="520">
        <v>29428297.300000001</v>
      </c>
      <c r="U113" s="520">
        <v>33990117.700000003</v>
      </c>
      <c r="V113" s="520">
        <v>36653816.100000001</v>
      </c>
      <c r="W113" s="520">
        <v>34949014.5</v>
      </c>
      <c r="X113" s="520">
        <v>42688121.700000003</v>
      </c>
      <c r="Y113" s="552">
        <v>46939342.100000001</v>
      </c>
      <c r="Z113" s="566" t="s">
        <v>206</v>
      </c>
      <c r="AA113" s="520" t="s">
        <v>206</v>
      </c>
      <c r="AB113" s="93" t="s">
        <v>206</v>
      </c>
      <c r="AC113" s="93" t="s">
        <v>206</v>
      </c>
      <c r="AD113" s="93" t="s">
        <v>206</v>
      </c>
      <c r="AE113" s="93" t="s">
        <v>206</v>
      </c>
      <c r="AF113" s="93" t="s">
        <v>206</v>
      </c>
      <c r="AG113" s="93" t="s">
        <v>206</v>
      </c>
      <c r="AH113" s="93" t="s">
        <v>206</v>
      </c>
      <c r="AI113" s="93" t="s">
        <v>206</v>
      </c>
      <c r="AJ113" s="93" t="s">
        <v>206</v>
      </c>
      <c r="AK113" s="4"/>
      <c r="AM113" s="1"/>
      <c r="AN113" s="4"/>
    </row>
    <row r="114" spans="1:43" ht="14.25" customHeight="1">
      <c r="A114" s="4"/>
      <c r="C114" s="766"/>
      <c r="D114" s="91" t="s">
        <v>277</v>
      </c>
      <c r="E114" s="92" t="s">
        <v>165</v>
      </c>
      <c r="F114" s="534" t="s">
        <v>206</v>
      </c>
      <c r="G114" s="92" t="s">
        <v>206</v>
      </c>
      <c r="H114" s="92" t="s">
        <v>206</v>
      </c>
      <c r="I114" s="265">
        <v>2679714.35</v>
      </c>
      <c r="J114" s="265">
        <v>2890157.32</v>
      </c>
      <c r="K114" s="265">
        <v>3204637.77</v>
      </c>
      <c r="L114" s="265">
        <v>2480794.17</v>
      </c>
      <c r="M114" s="265">
        <v>1941441.36</v>
      </c>
      <c r="N114" s="265">
        <v>2192458.983</v>
      </c>
      <c r="O114" s="265">
        <v>2219383.67</v>
      </c>
      <c r="P114" s="535">
        <v>2141746.7910000002</v>
      </c>
      <c r="Q114" s="534">
        <v>2090328.4</v>
      </c>
      <c r="R114" s="520">
        <v>1386099</v>
      </c>
      <c r="S114" s="520">
        <v>1014303.7</v>
      </c>
      <c r="T114" s="520">
        <v>742189.1</v>
      </c>
      <c r="U114" s="520">
        <v>1491880</v>
      </c>
      <c r="V114" s="520">
        <v>1827728.5</v>
      </c>
      <c r="W114" s="520">
        <v>904332.9</v>
      </c>
      <c r="X114" s="520">
        <v>1083703.5</v>
      </c>
      <c r="Y114" s="552">
        <v>1310017</v>
      </c>
      <c r="Z114" s="566" t="s">
        <v>206</v>
      </c>
      <c r="AA114" s="520" t="s">
        <v>206</v>
      </c>
      <c r="AB114" s="93" t="s">
        <v>206</v>
      </c>
      <c r="AC114" s="93" t="s">
        <v>206</v>
      </c>
      <c r="AD114" s="93" t="s">
        <v>206</v>
      </c>
      <c r="AE114" s="93" t="s">
        <v>206</v>
      </c>
      <c r="AF114" s="93" t="s">
        <v>206</v>
      </c>
      <c r="AG114" s="93" t="s">
        <v>206</v>
      </c>
      <c r="AH114" s="93" t="s">
        <v>206</v>
      </c>
      <c r="AI114" s="93" t="s">
        <v>206</v>
      </c>
      <c r="AJ114" s="93" t="s">
        <v>206</v>
      </c>
      <c r="AK114" s="4"/>
      <c r="AM114" s="1"/>
      <c r="AN114" s="4"/>
    </row>
    <row r="115" spans="1:43" ht="14.25" customHeight="1">
      <c r="A115" s="4"/>
      <c r="C115" s="766"/>
      <c r="D115" s="91" t="s">
        <v>278</v>
      </c>
      <c r="E115" s="92" t="s">
        <v>165</v>
      </c>
      <c r="F115" s="534" t="s">
        <v>206</v>
      </c>
      <c r="G115" s="92" t="s">
        <v>206</v>
      </c>
      <c r="H115" s="92" t="s">
        <v>206</v>
      </c>
      <c r="I115" s="265">
        <v>15992745.300000001</v>
      </c>
      <c r="J115" s="265">
        <v>14895208.550000001</v>
      </c>
      <c r="K115" s="265">
        <v>18476188.420000002</v>
      </c>
      <c r="L115" s="265">
        <v>20847479.201000001</v>
      </c>
      <c r="M115" s="265">
        <v>23048920.75</v>
      </c>
      <c r="N115" s="265">
        <v>27151608.965</v>
      </c>
      <c r="O115" s="265">
        <v>28998252.960999999</v>
      </c>
      <c r="P115" s="535">
        <v>28483743.302000001</v>
      </c>
      <c r="Q115" s="534">
        <v>29410548.199999999</v>
      </c>
      <c r="R115" s="520">
        <v>34794949.899999999</v>
      </c>
      <c r="S115" s="520">
        <v>36883408.600000001</v>
      </c>
      <c r="T115" s="520">
        <v>40675983.299999997</v>
      </c>
      <c r="U115" s="520">
        <v>43502411.799999997</v>
      </c>
      <c r="V115" s="520">
        <v>46589022.5</v>
      </c>
      <c r="W115" s="520">
        <v>37151824.799999997</v>
      </c>
      <c r="X115" s="520">
        <v>40956920.100000001</v>
      </c>
      <c r="Y115" s="552">
        <v>42196003.100000001</v>
      </c>
      <c r="Z115" s="566" t="s">
        <v>206</v>
      </c>
      <c r="AA115" s="520" t="s">
        <v>206</v>
      </c>
      <c r="AB115" s="93" t="s">
        <v>206</v>
      </c>
      <c r="AC115" s="93" t="s">
        <v>206</v>
      </c>
      <c r="AD115" s="93" t="s">
        <v>206</v>
      </c>
      <c r="AE115" s="93" t="s">
        <v>206</v>
      </c>
      <c r="AF115" s="93" t="s">
        <v>206</v>
      </c>
      <c r="AG115" s="93" t="s">
        <v>206</v>
      </c>
      <c r="AH115" s="93" t="s">
        <v>206</v>
      </c>
      <c r="AI115" s="93" t="s">
        <v>206</v>
      </c>
      <c r="AJ115" s="93" t="s">
        <v>206</v>
      </c>
      <c r="AK115" s="4"/>
      <c r="AM115" s="1"/>
      <c r="AN115" s="4"/>
    </row>
    <row r="116" spans="1:43" ht="14.25" customHeight="1">
      <c r="A116" s="4"/>
      <c r="C116" s="766"/>
      <c r="D116" s="91" t="s">
        <v>279</v>
      </c>
      <c r="E116" s="92" t="s">
        <v>165</v>
      </c>
      <c r="F116" s="534" t="s">
        <v>206</v>
      </c>
      <c r="G116" s="92" t="s">
        <v>206</v>
      </c>
      <c r="H116" s="92" t="s">
        <v>206</v>
      </c>
      <c r="I116" s="265">
        <v>27174980.109999999</v>
      </c>
      <c r="J116" s="265">
        <v>28831933.489999998</v>
      </c>
      <c r="K116" s="265">
        <v>29755013.460000001</v>
      </c>
      <c r="L116" s="265">
        <v>32730854.420000002</v>
      </c>
      <c r="M116" s="265">
        <v>26004815.574000001</v>
      </c>
      <c r="N116" s="265">
        <v>21364251.079999998</v>
      </c>
      <c r="O116" s="265">
        <v>20540433.359000001</v>
      </c>
      <c r="P116" s="535">
        <v>23462929.877999999</v>
      </c>
      <c r="Q116" s="534">
        <v>22548581.600000001</v>
      </c>
      <c r="R116" s="520">
        <v>27457322.100000001</v>
      </c>
      <c r="S116" s="520">
        <v>30489345.100000001</v>
      </c>
      <c r="T116" s="520">
        <v>42600199</v>
      </c>
      <c r="U116" s="520">
        <v>50379509.5</v>
      </c>
      <c r="V116" s="520">
        <v>50714240.100000001</v>
      </c>
      <c r="W116" s="520">
        <v>69437689.599999994</v>
      </c>
      <c r="X116" s="520">
        <v>69919305.400000006</v>
      </c>
      <c r="Y116" s="552">
        <v>77955797.200000003</v>
      </c>
      <c r="Z116" s="566" t="s">
        <v>206</v>
      </c>
      <c r="AA116" s="520" t="s">
        <v>206</v>
      </c>
      <c r="AB116" s="93" t="s">
        <v>206</v>
      </c>
      <c r="AC116" s="93" t="s">
        <v>206</v>
      </c>
      <c r="AD116" s="93" t="s">
        <v>206</v>
      </c>
      <c r="AE116" s="93" t="s">
        <v>206</v>
      </c>
      <c r="AF116" s="93" t="s">
        <v>206</v>
      </c>
      <c r="AG116" s="93" t="s">
        <v>206</v>
      </c>
      <c r="AH116" s="93" t="s">
        <v>206</v>
      </c>
      <c r="AI116" s="93" t="s">
        <v>206</v>
      </c>
      <c r="AJ116" s="93" t="s">
        <v>206</v>
      </c>
      <c r="AK116" s="4"/>
      <c r="AM116" s="1"/>
      <c r="AN116" s="4"/>
    </row>
    <row r="117" spans="1:43" ht="14.25" customHeight="1">
      <c r="A117" s="4"/>
      <c r="C117" s="766"/>
      <c r="D117" s="91" t="s">
        <v>280</v>
      </c>
      <c r="E117" s="92" t="s">
        <v>165</v>
      </c>
      <c r="F117" s="534" t="s">
        <v>206</v>
      </c>
      <c r="G117" s="92" t="s">
        <v>206</v>
      </c>
      <c r="H117" s="92" t="s">
        <v>206</v>
      </c>
      <c r="I117" s="265">
        <v>2112652</v>
      </c>
      <c r="J117" s="265">
        <v>2408731</v>
      </c>
      <c r="K117" s="265">
        <v>1829971.11</v>
      </c>
      <c r="L117" s="265">
        <v>2235938.91</v>
      </c>
      <c r="M117" s="265">
        <v>2028152.61</v>
      </c>
      <c r="N117" s="265">
        <v>1236683</v>
      </c>
      <c r="O117" s="265">
        <v>1791185.5</v>
      </c>
      <c r="P117" s="535">
        <v>1891518</v>
      </c>
      <c r="Q117" s="534">
        <v>1905347</v>
      </c>
      <c r="R117" s="520">
        <v>2120755</v>
      </c>
      <c r="S117" s="520">
        <v>2052589</v>
      </c>
      <c r="T117" s="520">
        <v>2504157</v>
      </c>
      <c r="U117" s="520">
        <v>2455645.1</v>
      </c>
      <c r="V117" s="520">
        <v>2575083.7999999998</v>
      </c>
      <c r="W117" s="520">
        <v>2478429</v>
      </c>
      <c r="X117" s="520">
        <v>3016367</v>
      </c>
      <c r="Y117" s="552">
        <v>3221831.8</v>
      </c>
      <c r="Z117" s="566" t="s">
        <v>206</v>
      </c>
      <c r="AA117" s="520" t="s">
        <v>206</v>
      </c>
      <c r="AB117" s="93" t="s">
        <v>206</v>
      </c>
      <c r="AC117" s="93" t="s">
        <v>206</v>
      </c>
      <c r="AD117" s="93" t="s">
        <v>206</v>
      </c>
      <c r="AE117" s="93" t="s">
        <v>206</v>
      </c>
      <c r="AF117" s="93" t="s">
        <v>206</v>
      </c>
      <c r="AG117" s="93" t="s">
        <v>206</v>
      </c>
      <c r="AH117" s="93" t="s">
        <v>206</v>
      </c>
      <c r="AI117" s="93" t="s">
        <v>206</v>
      </c>
      <c r="AJ117" s="93" t="s">
        <v>206</v>
      </c>
      <c r="AK117" s="4"/>
      <c r="AM117" s="1"/>
      <c r="AN117" s="4"/>
    </row>
    <row r="118" spans="1:43" ht="14.25" customHeight="1">
      <c r="A118" s="4"/>
      <c r="C118" s="766"/>
      <c r="D118" s="91" t="s">
        <v>281</v>
      </c>
      <c r="E118" s="92" t="s">
        <v>165</v>
      </c>
      <c r="F118" s="534" t="s">
        <v>206</v>
      </c>
      <c r="G118" s="92" t="s">
        <v>206</v>
      </c>
      <c r="H118" s="92" t="s">
        <v>206</v>
      </c>
      <c r="I118" s="265">
        <v>1090051.08</v>
      </c>
      <c r="J118" s="265">
        <v>2007714.72</v>
      </c>
      <c r="K118" s="265">
        <v>663943.90599999996</v>
      </c>
      <c r="L118" s="265">
        <v>764663.48400000005</v>
      </c>
      <c r="M118" s="265">
        <v>811402.04099999997</v>
      </c>
      <c r="N118" s="265">
        <v>915039.67200000002</v>
      </c>
      <c r="O118" s="265">
        <v>1022401.513</v>
      </c>
      <c r="P118" s="535">
        <v>1073916.693</v>
      </c>
      <c r="Q118" s="534">
        <v>1128853.8</v>
      </c>
      <c r="R118" s="520">
        <v>1006129.7</v>
      </c>
      <c r="S118" s="520">
        <v>989719.9</v>
      </c>
      <c r="T118" s="520">
        <v>914854.40000000002</v>
      </c>
      <c r="U118" s="520">
        <v>933325.5</v>
      </c>
      <c r="V118" s="520">
        <v>1128175</v>
      </c>
      <c r="W118" s="520">
        <v>1193546</v>
      </c>
      <c r="X118" s="520">
        <v>1465874.8</v>
      </c>
      <c r="Y118" s="552">
        <v>1210183.3999999999</v>
      </c>
      <c r="Z118" s="566" t="s">
        <v>206</v>
      </c>
      <c r="AA118" s="520" t="s">
        <v>206</v>
      </c>
      <c r="AB118" s="93" t="s">
        <v>206</v>
      </c>
      <c r="AC118" s="93" t="s">
        <v>206</v>
      </c>
      <c r="AD118" s="93" t="s">
        <v>206</v>
      </c>
      <c r="AE118" s="93" t="s">
        <v>206</v>
      </c>
      <c r="AF118" s="93" t="s">
        <v>206</v>
      </c>
      <c r="AG118" s="93" t="s">
        <v>206</v>
      </c>
      <c r="AH118" s="93" t="s">
        <v>206</v>
      </c>
      <c r="AI118" s="93" t="s">
        <v>206</v>
      </c>
      <c r="AJ118" s="93" t="s">
        <v>206</v>
      </c>
      <c r="AK118" s="4"/>
      <c r="AM118" s="1"/>
      <c r="AN118" s="4"/>
    </row>
    <row r="119" spans="1:43" ht="14.25" customHeight="1">
      <c r="A119" s="4"/>
      <c r="C119" s="766"/>
      <c r="D119" s="91" t="s">
        <v>282</v>
      </c>
      <c r="E119" s="92" t="s">
        <v>165</v>
      </c>
      <c r="F119" s="534" t="s">
        <v>206</v>
      </c>
      <c r="G119" s="92" t="s">
        <v>206</v>
      </c>
      <c r="H119" s="92" t="s">
        <v>206</v>
      </c>
      <c r="I119" s="265">
        <v>625104</v>
      </c>
      <c r="J119" s="265">
        <v>4129306.628</v>
      </c>
      <c r="K119" s="265">
        <v>5535932.5980000002</v>
      </c>
      <c r="L119" s="265">
        <v>9613339.0120000001</v>
      </c>
      <c r="M119" s="265">
        <v>23427948.011999998</v>
      </c>
      <c r="N119" s="265">
        <v>34675891.811999999</v>
      </c>
      <c r="O119" s="265">
        <v>47401241.722000003</v>
      </c>
      <c r="P119" s="535">
        <v>55223228.667000003</v>
      </c>
      <c r="Q119" s="534">
        <v>59105273.200000003</v>
      </c>
      <c r="R119" s="520">
        <v>64021878.600000001</v>
      </c>
      <c r="S119" s="520">
        <v>67239056.299999997</v>
      </c>
      <c r="T119" s="520">
        <v>70097262</v>
      </c>
      <c r="U119" s="520">
        <v>76296977.200000003</v>
      </c>
      <c r="V119" s="520">
        <v>77880668</v>
      </c>
      <c r="W119" s="520">
        <v>78815112.400000006</v>
      </c>
      <c r="X119" s="520">
        <v>84830154.099999994</v>
      </c>
      <c r="Y119" s="552">
        <v>87963680.700000003</v>
      </c>
      <c r="Z119" s="566" t="s">
        <v>206</v>
      </c>
      <c r="AA119" s="520" t="s">
        <v>206</v>
      </c>
      <c r="AB119" s="93" t="s">
        <v>206</v>
      </c>
      <c r="AC119" s="93" t="s">
        <v>206</v>
      </c>
      <c r="AD119" s="93" t="s">
        <v>206</v>
      </c>
      <c r="AE119" s="93" t="s">
        <v>206</v>
      </c>
      <c r="AF119" s="93" t="s">
        <v>206</v>
      </c>
      <c r="AG119" s="93" t="s">
        <v>206</v>
      </c>
      <c r="AH119" s="93" t="s">
        <v>206</v>
      </c>
      <c r="AI119" s="93" t="s">
        <v>206</v>
      </c>
      <c r="AJ119" s="93" t="s">
        <v>206</v>
      </c>
      <c r="AK119" s="4"/>
      <c r="AM119" s="1"/>
      <c r="AN119" s="4"/>
    </row>
    <row r="120" spans="1:43" ht="14.25" customHeight="1" thickBot="1">
      <c r="A120" s="4"/>
      <c r="C120" s="767"/>
      <c r="D120" s="96" t="s">
        <v>283</v>
      </c>
      <c r="E120" s="97" t="s">
        <v>165</v>
      </c>
      <c r="F120" s="556" t="s">
        <v>206</v>
      </c>
      <c r="G120" s="544" t="s">
        <v>206</v>
      </c>
      <c r="H120" s="544" t="s">
        <v>206</v>
      </c>
      <c r="I120" s="561">
        <v>130529.64</v>
      </c>
      <c r="J120" s="561">
        <v>142822</v>
      </c>
      <c r="K120" s="561">
        <v>104856.23</v>
      </c>
      <c r="L120" s="561">
        <v>74977.539999999994</v>
      </c>
      <c r="M120" s="561">
        <v>59367.040000000001</v>
      </c>
      <c r="N120" s="561">
        <v>20368</v>
      </c>
      <c r="O120" s="561">
        <v>19264.5</v>
      </c>
      <c r="P120" s="546">
        <v>25016.452000000001</v>
      </c>
      <c r="Q120" s="556" t="s">
        <v>206</v>
      </c>
      <c r="R120" s="545" t="s">
        <v>206</v>
      </c>
      <c r="S120" s="545" t="s">
        <v>206</v>
      </c>
      <c r="T120" s="545" t="s">
        <v>206</v>
      </c>
      <c r="U120" s="545" t="s">
        <v>206</v>
      </c>
      <c r="V120" s="545" t="s">
        <v>206</v>
      </c>
      <c r="W120" s="545" t="s">
        <v>206</v>
      </c>
      <c r="X120" s="545" t="s">
        <v>206</v>
      </c>
      <c r="Y120" s="546" t="s">
        <v>206</v>
      </c>
      <c r="Z120" s="573" t="s">
        <v>206</v>
      </c>
      <c r="AA120" s="521" t="s">
        <v>206</v>
      </c>
      <c r="AB120" s="98" t="s">
        <v>206</v>
      </c>
      <c r="AC120" s="98" t="s">
        <v>206</v>
      </c>
      <c r="AD120" s="98" t="s">
        <v>206</v>
      </c>
      <c r="AE120" s="98" t="s">
        <v>206</v>
      </c>
      <c r="AF120" s="98" t="s">
        <v>206</v>
      </c>
      <c r="AG120" s="98" t="s">
        <v>206</v>
      </c>
      <c r="AH120" s="98" t="s">
        <v>206</v>
      </c>
      <c r="AI120" s="98" t="s">
        <v>206</v>
      </c>
      <c r="AJ120" s="98" t="s">
        <v>206</v>
      </c>
      <c r="AK120" s="4"/>
      <c r="AM120" s="1"/>
      <c r="AN120" s="4"/>
    </row>
    <row r="121" spans="1:43" ht="14.25" customHeight="1">
      <c r="C121" s="4"/>
      <c r="D121" s="4"/>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81"/>
      <c r="AM121" s="1"/>
    </row>
    <row r="122" spans="1:43" s="4" customFormat="1" ht="27.75" customHeight="1">
      <c r="A122" s="1"/>
      <c r="B122" s="1"/>
      <c r="C122" s="768" t="s">
        <v>284</v>
      </c>
      <c r="D122" s="768"/>
      <c r="E122" s="768"/>
      <c r="F122" s="768"/>
      <c r="G122" s="768"/>
      <c r="H122" s="768"/>
      <c r="I122" s="768"/>
      <c r="J122" s="768"/>
      <c r="K122" s="768"/>
      <c r="L122" s="768"/>
      <c r="M122" s="768"/>
      <c r="N122" s="768"/>
      <c r="O122" s="768"/>
      <c r="P122" s="768"/>
      <c r="Q122" s="768"/>
      <c r="R122" s="768"/>
      <c r="S122" s="768"/>
      <c r="T122" s="768"/>
      <c r="U122" s="768"/>
      <c r="V122" s="768"/>
      <c r="W122" s="768"/>
      <c r="X122" s="768"/>
      <c r="Y122" s="768"/>
      <c r="Z122" s="768"/>
      <c r="AA122" s="768"/>
      <c r="AB122" s="768"/>
      <c r="AC122" s="768"/>
      <c r="AD122" s="768"/>
      <c r="AE122" s="768"/>
      <c r="AF122" s="768"/>
      <c r="AG122" s="768"/>
      <c r="AH122" s="768"/>
      <c r="AK122" s="33"/>
      <c r="AL122" s="33"/>
      <c r="AM122" s="28"/>
    </row>
    <row r="123" spans="1:43" s="4" customFormat="1" ht="19.5" customHeight="1">
      <c r="A123" s="1"/>
      <c r="B123" s="1"/>
      <c r="C123" s="710" t="s">
        <v>285</v>
      </c>
      <c r="D123" s="710"/>
      <c r="E123" s="710"/>
      <c r="F123" s="710"/>
      <c r="G123" s="710"/>
      <c r="H123" s="710"/>
      <c r="I123" s="710"/>
      <c r="J123" s="710"/>
      <c r="K123" s="710"/>
      <c r="L123" s="710"/>
      <c r="M123" s="710"/>
      <c r="N123" s="710"/>
      <c r="O123" s="710"/>
      <c r="P123" s="710"/>
      <c r="Q123" s="710"/>
      <c r="R123" s="710"/>
      <c r="S123" s="710"/>
      <c r="T123" s="710"/>
      <c r="U123" s="710"/>
      <c r="V123" s="710"/>
      <c r="W123" s="710"/>
      <c r="X123" s="710"/>
      <c r="Y123" s="710"/>
      <c r="Z123" s="710"/>
      <c r="AA123" s="710"/>
      <c r="AB123" s="710"/>
      <c r="AC123" s="710"/>
      <c r="AD123" s="710"/>
      <c r="AE123" s="710"/>
      <c r="AF123" s="710"/>
      <c r="AG123" s="710"/>
      <c r="AH123" s="710"/>
      <c r="AK123" s="33"/>
      <c r="AL123" s="33"/>
      <c r="AM123" s="28"/>
    </row>
    <row r="125" spans="1:43" s="231" customFormat="1" ht="12.75">
      <c r="B125" s="231" t="s">
        <v>286</v>
      </c>
    </row>
    <row r="126" spans="1:43" s="4" customFormat="1" ht="14.25" customHeight="1">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J126" s="28"/>
      <c r="AK126" s="28"/>
      <c r="AL126" s="28"/>
    </row>
    <row r="127" spans="1:43" s="4" customFormat="1" ht="14.25" customHeight="1">
      <c r="B127" s="740" t="s">
        <v>150</v>
      </c>
      <c r="C127" s="741"/>
      <c r="D127" s="741"/>
      <c r="E127" s="741"/>
      <c r="F127" s="741"/>
      <c r="G127" s="741"/>
      <c r="H127" s="741"/>
      <c r="I127" s="741"/>
      <c r="J127" s="741"/>
      <c r="K127" s="741"/>
      <c r="L127" s="741"/>
      <c r="M127" s="741"/>
      <c r="N127" s="741"/>
      <c r="O127" s="741"/>
      <c r="P127" s="741"/>
      <c r="Q127" s="741"/>
      <c r="R127" s="741"/>
      <c r="S127" s="741"/>
      <c r="T127" s="741"/>
      <c r="U127" s="741"/>
      <c r="V127" s="741"/>
      <c r="W127" s="741"/>
      <c r="X127" s="741"/>
      <c r="Y127" s="741"/>
      <c r="Z127" s="741"/>
      <c r="AA127" s="741"/>
      <c r="AB127" s="741"/>
      <c r="AC127" s="741"/>
      <c r="AD127" s="741"/>
      <c r="AE127" s="741"/>
      <c r="AF127" s="741"/>
      <c r="AG127" s="741"/>
      <c r="AH127" s="742"/>
      <c r="AI127" s="232"/>
      <c r="AJ127" s="232"/>
      <c r="AK127" s="232"/>
      <c r="AL127" s="28"/>
      <c r="AN127" s="233"/>
      <c r="AO127" s="32"/>
      <c r="AP127" s="32"/>
      <c r="AQ127" s="168"/>
    </row>
    <row r="128" spans="1:43" s="4" customFormat="1" ht="14.25" customHeight="1">
      <c r="A128" s="32"/>
      <c r="B128" s="224" t="s">
        <v>152</v>
      </c>
      <c r="C128" s="743" t="s">
        <v>628</v>
      </c>
      <c r="D128" s="744"/>
      <c r="E128" s="744"/>
      <c r="F128" s="744"/>
      <c r="G128" s="744"/>
      <c r="H128" s="744"/>
      <c r="I128" s="744"/>
      <c r="J128" s="744"/>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5"/>
      <c r="AI128" s="234"/>
      <c r="AJ128" s="234"/>
      <c r="AK128" s="234"/>
      <c r="AL128" s="28"/>
      <c r="AN128" s="32"/>
      <c r="AO128" s="32"/>
      <c r="AP128" s="32"/>
      <c r="AQ128" s="168"/>
    </row>
    <row r="129" spans="1:41" s="4" customFormat="1" ht="24.75" customHeight="1">
      <c r="A129" s="32"/>
      <c r="B129" s="224" t="s">
        <v>153</v>
      </c>
      <c r="C129" s="746" t="s">
        <v>287</v>
      </c>
      <c r="D129" s="746"/>
      <c r="E129" s="746"/>
      <c r="F129" s="746"/>
      <c r="G129" s="746"/>
      <c r="H129" s="746"/>
      <c r="I129" s="746"/>
      <c r="J129" s="746"/>
      <c r="K129" s="746"/>
      <c r="L129" s="746"/>
      <c r="M129" s="746"/>
      <c r="N129" s="746"/>
      <c r="O129" s="746"/>
      <c r="P129" s="746"/>
      <c r="Q129" s="746"/>
      <c r="R129" s="746"/>
      <c r="S129" s="746"/>
      <c r="T129" s="746"/>
      <c r="U129" s="746"/>
      <c r="V129" s="746"/>
      <c r="W129" s="746"/>
      <c r="X129" s="746"/>
      <c r="Y129" s="746"/>
      <c r="Z129" s="746"/>
      <c r="AA129" s="746"/>
      <c r="AB129" s="746"/>
      <c r="AC129" s="746"/>
      <c r="AD129" s="746"/>
      <c r="AE129" s="746"/>
      <c r="AF129" s="746"/>
      <c r="AG129" s="746"/>
      <c r="AH129" s="746"/>
      <c r="AI129" s="234"/>
      <c r="AJ129" s="313" t="s">
        <v>680</v>
      </c>
      <c r="AK129" s="234"/>
      <c r="AL129" s="28"/>
    </row>
    <row r="130" spans="1:41" s="4" customFormat="1" ht="88.5" customHeight="1">
      <c r="A130" s="32"/>
      <c r="B130" s="224" t="s">
        <v>155</v>
      </c>
      <c r="C130" s="747" t="s">
        <v>698</v>
      </c>
      <c r="D130" s="747"/>
      <c r="E130" s="747"/>
      <c r="F130" s="747"/>
      <c r="G130" s="747"/>
      <c r="H130" s="747"/>
      <c r="I130" s="747"/>
      <c r="J130" s="747"/>
      <c r="K130" s="747"/>
      <c r="L130" s="747"/>
      <c r="M130" s="747"/>
      <c r="N130" s="747"/>
      <c r="O130" s="747"/>
      <c r="P130" s="747"/>
      <c r="Q130" s="747"/>
      <c r="R130" s="747"/>
      <c r="S130" s="747"/>
      <c r="T130" s="747"/>
      <c r="U130" s="747"/>
      <c r="V130" s="747"/>
      <c r="W130" s="747"/>
      <c r="X130" s="747"/>
      <c r="Y130" s="747"/>
      <c r="Z130" s="747"/>
      <c r="AA130" s="747"/>
      <c r="AB130" s="747"/>
      <c r="AC130" s="747"/>
      <c r="AD130" s="747"/>
      <c r="AE130" s="747"/>
      <c r="AF130" s="747"/>
      <c r="AG130" s="747"/>
      <c r="AH130" s="747"/>
      <c r="AI130" s="235"/>
      <c r="AJ130" s="313" t="s">
        <v>681</v>
      </c>
      <c r="AK130" s="235"/>
      <c r="AL130" s="28"/>
    </row>
    <row r="131" spans="1:41" s="4" customFormat="1" ht="43.5" customHeight="1">
      <c r="A131" s="32"/>
      <c r="B131" s="224" t="s">
        <v>156</v>
      </c>
      <c r="C131" s="748" t="s">
        <v>699</v>
      </c>
      <c r="D131" s="749"/>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c r="AA131" s="749"/>
      <c r="AB131" s="749"/>
      <c r="AC131" s="749"/>
      <c r="AD131" s="749"/>
      <c r="AE131" s="749"/>
      <c r="AF131" s="749"/>
      <c r="AG131" s="749"/>
      <c r="AH131" s="750"/>
      <c r="AI131" s="235"/>
      <c r="AJ131" s="313" t="s">
        <v>682</v>
      </c>
      <c r="AK131" s="235"/>
      <c r="AL131" s="28"/>
    </row>
    <row r="132" spans="1:41" s="4" customFormat="1" ht="15" customHeight="1">
      <c r="A132" s="32"/>
      <c r="B132" s="224" t="s">
        <v>157</v>
      </c>
      <c r="C132" s="733"/>
      <c r="D132" s="733"/>
      <c r="E132" s="733"/>
      <c r="F132" s="733"/>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4"/>
      <c r="AJ132" s="735"/>
      <c r="AK132" s="735"/>
      <c r="AL132" s="28"/>
    </row>
    <row r="133" spans="1:41" s="4" customFormat="1" ht="14.25" customHeight="1">
      <c r="A133" s="32"/>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J133" s="28"/>
      <c r="AK133" s="28"/>
      <c r="AL133" s="28"/>
    </row>
    <row r="134" spans="1:41" s="4" customFormat="1" ht="14.25" customHeight="1" thickBot="1">
      <c r="A134" s="32"/>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I134" s="32"/>
      <c r="AJ134" s="28"/>
      <c r="AK134" s="28"/>
      <c r="AL134" s="28"/>
    </row>
    <row r="135" spans="1:41" s="4" customFormat="1" ht="15.75" customHeight="1">
      <c r="B135" s="32"/>
      <c r="F135" s="527" t="s">
        <v>686</v>
      </c>
      <c r="G135" s="528" t="s">
        <v>687</v>
      </c>
      <c r="H135" s="528" t="s">
        <v>688</v>
      </c>
      <c r="I135" s="528" t="s">
        <v>689</v>
      </c>
      <c r="J135" s="528" t="s">
        <v>690</v>
      </c>
      <c r="K135" s="528" t="s">
        <v>691</v>
      </c>
      <c r="L135" s="528" t="s">
        <v>692</v>
      </c>
      <c r="M135" s="528" t="s">
        <v>693</v>
      </c>
      <c r="N135" s="528" t="s">
        <v>303</v>
      </c>
      <c r="O135" s="528" t="s">
        <v>592</v>
      </c>
      <c r="P135" s="528" t="s">
        <v>593</v>
      </c>
      <c r="Q135" s="527" t="s">
        <v>594</v>
      </c>
      <c r="R135" s="528" t="s">
        <v>595</v>
      </c>
      <c r="S135" s="528" t="s">
        <v>301</v>
      </c>
      <c r="T135" s="528" t="s">
        <v>596</v>
      </c>
      <c r="U135" s="528" t="s">
        <v>597</v>
      </c>
      <c r="V135" s="528" t="s">
        <v>598</v>
      </c>
      <c r="W135" s="528" t="s">
        <v>591</v>
      </c>
      <c r="X135" s="528" t="s">
        <v>298</v>
      </c>
      <c r="Y135" s="528" t="s">
        <v>589</v>
      </c>
      <c r="Z135" s="529" t="s">
        <v>297</v>
      </c>
      <c r="AA135" s="527" t="s">
        <v>590</v>
      </c>
      <c r="AB135" s="528" t="s">
        <v>296</v>
      </c>
      <c r="AC135" s="528" t="s">
        <v>588</v>
      </c>
      <c r="AD135" s="528" t="s">
        <v>295</v>
      </c>
      <c r="AE135" s="528" t="s">
        <v>586</v>
      </c>
      <c r="AF135" s="528" t="s">
        <v>587</v>
      </c>
      <c r="AG135" s="528" t="s">
        <v>158</v>
      </c>
      <c r="AH135" s="528" t="s">
        <v>576</v>
      </c>
      <c r="AI135" s="528" t="s">
        <v>578</v>
      </c>
      <c r="AJ135" s="529" t="s">
        <v>579</v>
      </c>
      <c r="AK135" s="28"/>
      <c r="AL135" s="28"/>
    </row>
    <row r="136" spans="1:41" s="4" customFormat="1" ht="27" customHeight="1">
      <c r="B136" s="32"/>
      <c r="C136" s="236" t="s">
        <v>159</v>
      </c>
      <c r="D136" s="82" t="s">
        <v>160</v>
      </c>
      <c r="E136" s="83" t="s">
        <v>161</v>
      </c>
      <c r="F136" s="530" t="s">
        <v>162</v>
      </c>
      <c r="G136" s="84" t="s">
        <v>162</v>
      </c>
      <c r="H136" s="84" t="s">
        <v>162</v>
      </c>
      <c r="I136" s="84" t="s">
        <v>162</v>
      </c>
      <c r="J136" s="84" t="s">
        <v>162</v>
      </c>
      <c r="K136" s="84" t="s">
        <v>162</v>
      </c>
      <c r="L136" s="84" t="s">
        <v>162</v>
      </c>
      <c r="M136" s="84" t="s">
        <v>162</v>
      </c>
      <c r="N136" s="84" t="s">
        <v>162</v>
      </c>
      <c r="O136" s="84" t="s">
        <v>162</v>
      </c>
      <c r="P136" s="84" t="s">
        <v>162</v>
      </c>
      <c r="Q136" s="530" t="s">
        <v>162</v>
      </c>
      <c r="R136" s="84" t="s">
        <v>162</v>
      </c>
      <c r="S136" s="84" t="s">
        <v>162</v>
      </c>
      <c r="T136" s="84" t="s">
        <v>162</v>
      </c>
      <c r="U136" s="84" t="s">
        <v>162</v>
      </c>
      <c r="V136" s="84" t="s">
        <v>162</v>
      </c>
      <c r="W136" s="84" t="s">
        <v>162</v>
      </c>
      <c r="X136" s="84" t="s">
        <v>162</v>
      </c>
      <c r="Y136" s="84" t="s">
        <v>162</v>
      </c>
      <c r="Z136" s="531" t="s">
        <v>162</v>
      </c>
      <c r="AA136" s="530" t="s">
        <v>162</v>
      </c>
      <c r="AB136" s="84" t="s">
        <v>162</v>
      </c>
      <c r="AC136" s="84" t="s">
        <v>162</v>
      </c>
      <c r="AD136" s="84" t="s">
        <v>162</v>
      </c>
      <c r="AE136" s="84" t="s">
        <v>162</v>
      </c>
      <c r="AF136" s="84" t="s">
        <v>162</v>
      </c>
      <c r="AG136" s="84" t="s">
        <v>162</v>
      </c>
      <c r="AH136" s="84" t="s">
        <v>162</v>
      </c>
      <c r="AI136" s="84" t="s">
        <v>162</v>
      </c>
      <c r="AJ136" s="531" t="s">
        <v>162</v>
      </c>
      <c r="AK136" s="28"/>
      <c r="AL136" s="28"/>
    </row>
    <row r="137" spans="1:41" s="4" customFormat="1" ht="27.75" customHeight="1">
      <c r="B137" s="32"/>
      <c r="C137" s="736" t="s">
        <v>288</v>
      </c>
      <c r="D137" s="625" t="s">
        <v>289</v>
      </c>
      <c r="E137" s="652" t="s">
        <v>703</v>
      </c>
      <c r="F137" s="643">
        <v>34.5</v>
      </c>
      <c r="G137" s="646">
        <v>35.700000000000003</v>
      </c>
      <c r="H137" s="646">
        <v>49.7</v>
      </c>
      <c r="I137" s="646">
        <v>57.4</v>
      </c>
      <c r="J137" s="646">
        <v>59.415999999999997</v>
      </c>
      <c r="K137" s="646">
        <v>124.849</v>
      </c>
      <c r="L137" s="646">
        <v>54.527000000000001</v>
      </c>
      <c r="M137" s="646">
        <v>63.622999999999998</v>
      </c>
      <c r="N137" s="646">
        <v>77.228999999999999</v>
      </c>
      <c r="O137" s="646">
        <v>81.55</v>
      </c>
      <c r="P137" s="646">
        <v>35.328000000000003</v>
      </c>
      <c r="Q137" s="643">
        <v>91578</v>
      </c>
      <c r="R137" s="646">
        <v>45360</v>
      </c>
      <c r="S137" s="646">
        <v>55502</v>
      </c>
      <c r="T137" s="646">
        <v>107411</v>
      </c>
      <c r="U137" s="646">
        <v>84140</v>
      </c>
      <c r="V137" s="646">
        <v>105165</v>
      </c>
      <c r="W137" s="646">
        <v>89157</v>
      </c>
      <c r="X137" s="646">
        <v>77799</v>
      </c>
      <c r="Y137" s="646">
        <v>126659</v>
      </c>
      <c r="Z137" s="647">
        <v>70487</v>
      </c>
      <c r="AA137" s="643">
        <v>76406</v>
      </c>
      <c r="AB137" s="646">
        <v>56622</v>
      </c>
      <c r="AC137" s="646">
        <v>57837</v>
      </c>
      <c r="AD137" s="646">
        <v>63788</v>
      </c>
      <c r="AE137" s="646">
        <v>57227</v>
      </c>
      <c r="AF137" s="646">
        <v>64622</v>
      </c>
      <c r="AG137" s="646">
        <v>84990</v>
      </c>
      <c r="AH137" s="646">
        <v>100362</v>
      </c>
      <c r="AI137" s="646">
        <v>98203</v>
      </c>
      <c r="AJ137" s="647">
        <v>97488</v>
      </c>
    </row>
    <row r="138" spans="1:41" s="4" customFormat="1" ht="27" customHeight="1">
      <c r="B138" s="32"/>
      <c r="C138" s="737"/>
      <c r="D138" s="633" t="s">
        <v>290</v>
      </c>
      <c r="E138" s="653" t="s">
        <v>704</v>
      </c>
      <c r="F138" s="644">
        <v>90.5</v>
      </c>
      <c r="G138" s="648">
        <v>134.80000000000001</v>
      </c>
      <c r="H138" s="648">
        <v>171.8</v>
      </c>
      <c r="I138" s="648">
        <v>128.6</v>
      </c>
      <c r="J138" s="648">
        <v>84.132999999999996</v>
      </c>
      <c r="K138" s="648">
        <v>80.600999999999999</v>
      </c>
      <c r="L138" s="648">
        <v>49.061</v>
      </c>
      <c r="M138" s="648">
        <v>48.429000000000002</v>
      </c>
      <c r="N138" s="648">
        <v>62.96</v>
      </c>
      <c r="O138" s="648">
        <v>83.313000000000002</v>
      </c>
      <c r="P138" s="648">
        <v>85.69</v>
      </c>
      <c r="Q138" s="644">
        <v>99383</v>
      </c>
      <c r="R138" s="648">
        <v>143624</v>
      </c>
      <c r="S138" s="648">
        <v>144831</v>
      </c>
      <c r="T138" s="648">
        <v>227656</v>
      </c>
      <c r="U138" s="648">
        <v>269018</v>
      </c>
      <c r="V138" s="648">
        <v>312287</v>
      </c>
      <c r="W138" s="648">
        <v>254917</v>
      </c>
      <c r="X138" s="648">
        <v>222146</v>
      </c>
      <c r="Y138" s="648">
        <v>357668</v>
      </c>
      <c r="Z138" s="649">
        <v>381442</v>
      </c>
      <c r="AA138" s="644">
        <v>342849</v>
      </c>
      <c r="AB138" s="648">
        <v>391582</v>
      </c>
      <c r="AC138" s="648">
        <v>333178</v>
      </c>
      <c r="AD138" s="648">
        <v>275244</v>
      </c>
      <c r="AE138" s="648">
        <v>279717</v>
      </c>
      <c r="AF138" s="648">
        <v>319116</v>
      </c>
      <c r="AG138" s="648">
        <v>479679</v>
      </c>
      <c r="AH138" s="648">
        <v>453492</v>
      </c>
      <c r="AI138" s="648">
        <v>486507</v>
      </c>
      <c r="AJ138" s="649">
        <v>450492</v>
      </c>
    </row>
    <row r="139" spans="1:41" s="4" customFormat="1" ht="27" customHeight="1">
      <c r="B139" s="32"/>
      <c r="C139" s="737"/>
      <c r="D139" s="633" t="s">
        <v>291</v>
      </c>
      <c r="E139" s="653" t="s">
        <v>704</v>
      </c>
      <c r="F139" s="644">
        <v>5.3</v>
      </c>
      <c r="G139" s="648">
        <v>7.7</v>
      </c>
      <c r="H139" s="648">
        <v>8.6999999999999993</v>
      </c>
      <c r="I139" s="648">
        <v>12.6</v>
      </c>
      <c r="J139" s="648">
        <v>14.877000000000001</v>
      </c>
      <c r="K139" s="648">
        <v>11.025</v>
      </c>
      <c r="L139" s="648">
        <v>9.3330000000000002</v>
      </c>
      <c r="M139" s="648">
        <v>14.457000000000001</v>
      </c>
      <c r="N139" s="648">
        <v>15.250999999999999</v>
      </c>
      <c r="O139" s="648">
        <v>20.038</v>
      </c>
      <c r="P139" s="648">
        <v>14.648999999999999</v>
      </c>
      <c r="Q139" s="644">
        <v>15596</v>
      </c>
      <c r="R139" s="648">
        <v>15023</v>
      </c>
      <c r="S139" s="648">
        <v>13692</v>
      </c>
      <c r="T139" s="648">
        <v>15219</v>
      </c>
      <c r="U139" s="648">
        <v>12103</v>
      </c>
      <c r="V139" s="648">
        <v>13017</v>
      </c>
      <c r="W139" s="648">
        <v>10169</v>
      </c>
      <c r="X139" s="648">
        <v>10719</v>
      </c>
      <c r="Y139" s="648">
        <v>8413</v>
      </c>
      <c r="Z139" s="649">
        <v>8458</v>
      </c>
      <c r="AA139" s="644">
        <v>23255</v>
      </c>
      <c r="AB139" s="648">
        <v>24723</v>
      </c>
      <c r="AC139" s="648">
        <v>28221</v>
      </c>
      <c r="AD139" s="648">
        <v>21002</v>
      </c>
      <c r="AE139" s="648">
        <v>20951</v>
      </c>
      <c r="AF139" s="648">
        <v>28169</v>
      </c>
      <c r="AG139" s="648">
        <v>30946</v>
      </c>
      <c r="AH139" s="648">
        <v>25856</v>
      </c>
      <c r="AI139" s="648">
        <v>37124</v>
      </c>
      <c r="AJ139" s="649">
        <v>34374</v>
      </c>
    </row>
    <row r="140" spans="1:41" s="4" customFormat="1" ht="27.75" customHeight="1">
      <c r="B140" s="32"/>
      <c r="C140" s="737"/>
      <c r="D140" s="633" t="s">
        <v>292</v>
      </c>
      <c r="E140" s="653" t="s">
        <v>704</v>
      </c>
      <c r="F140" s="644">
        <v>1441.8</v>
      </c>
      <c r="G140" s="648">
        <v>1768.8</v>
      </c>
      <c r="H140" s="648">
        <v>2417.1999999999998</v>
      </c>
      <c r="I140" s="648">
        <v>1789.2</v>
      </c>
      <c r="J140" s="648">
        <v>1924.953</v>
      </c>
      <c r="K140" s="648">
        <v>1597.134</v>
      </c>
      <c r="L140" s="648">
        <v>832.04300000000001</v>
      </c>
      <c r="M140" s="648">
        <v>1769.5319999999999</v>
      </c>
      <c r="N140" s="648">
        <v>2241.529</v>
      </c>
      <c r="O140" s="648">
        <v>1635.4269999999999</v>
      </c>
      <c r="P140" s="648">
        <v>1839.2090000000001</v>
      </c>
      <c r="Q140" s="644">
        <v>1224484</v>
      </c>
      <c r="R140" s="648">
        <v>1971449</v>
      </c>
      <c r="S140" s="648">
        <v>1930727</v>
      </c>
      <c r="T140" s="648">
        <v>1342391</v>
      </c>
      <c r="U140" s="648">
        <v>1399047</v>
      </c>
      <c r="V140" s="648">
        <v>1414728</v>
      </c>
      <c r="W140" s="648">
        <v>1348460</v>
      </c>
      <c r="X140" s="648">
        <v>787436</v>
      </c>
      <c r="Y140" s="648">
        <v>1637705</v>
      </c>
      <c r="Z140" s="649">
        <v>853602</v>
      </c>
      <c r="AA140" s="644">
        <v>1114185</v>
      </c>
      <c r="AB140" s="648">
        <v>526478</v>
      </c>
      <c r="AC140" s="648">
        <v>852421</v>
      </c>
      <c r="AD140" s="648">
        <v>653036</v>
      </c>
      <c r="AE140" s="648">
        <v>759919</v>
      </c>
      <c r="AF140" s="648">
        <v>1431933</v>
      </c>
      <c r="AG140" s="648">
        <v>810530</v>
      </c>
      <c r="AH140" s="648">
        <v>1048514</v>
      </c>
      <c r="AI140" s="648">
        <v>1252414</v>
      </c>
      <c r="AJ140" s="649">
        <v>976405</v>
      </c>
    </row>
    <row r="141" spans="1:41" s="4" customFormat="1" ht="28.5" customHeight="1" thickBot="1">
      <c r="B141" s="32"/>
      <c r="C141" s="738"/>
      <c r="D141" s="638" t="s">
        <v>293</v>
      </c>
      <c r="E141" s="654" t="s">
        <v>704</v>
      </c>
      <c r="F141" s="645">
        <v>161.4</v>
      </c>
      <c r="G141" s="650">
        <v>250.1</v>
      </c>
      <c r="H141" s="650">
        <v>486.3</v>
      </c>
      <c r="I141" s="650">
        <v>373.9</v>
      </c>
      <c r="J141" s="650">
        <v>422.548</v>
      </c>
      <c r="K141" s="650">
        <v>330.04199999999997</v>
      </c>
      <c r="L141" s="650">
        <v>122.956</v>
      </c>
      <c r="M141" s="650">
        <v>514.81799999999998</v>
      </c>
      <c r="N141" s="650">
        <v>587.31200000000001</v>
      </c>
      <c r="O141" s="650">
        <v>302.875</v>
      </c>
      <c r="P141" s="650">
        <v>188.94900000000001</v>
      </c>
      <c r="Q141" s="645">
        <v>206154</v>
      </c>
      <c r="R141" s="650">
        <v>349821</v>
      </c>
      <c r="S141" s="650">
        <v>290422</v>
      </c>
      <c r="T141" s="650">
        <v>279802</v>
      </c>
      <c r="U141" s="650">
        <v>309824</v>
      </c>
      <c r="V141" s="650">
        <v>293025</v>
      </c>
      <c r="W141" s="650">
        <v>287575</v>
      </c>
      <c r="X141" s="650">
        <v>174088</v>
      </c>
      <c r="Y141" s="650">
        <v>335744</v>
      </c>
      <c r="Z141" s="651">
        <v>196396</v>
      </c>
      <c r="AA141" s="645">
        <v>175196</v>
      </c>
      <c r="AB141" s="650">
        <v>102698</v>
      </c>
      <c r="AC141" s="650">
        <v>94524</v>
      </c>
      <c r="AD141" s="650">
        <v>103018</v>
      </c>
      <c r="AE141" s="650">
        <v>84637</v>
      </c>
      <c r="AF141" s="650">
        <v>268018</v>
      </c>
      <c r="AG141" s="650">
        <v>105008</v>
      </c>
      <c r="AH141" s="650">
        <v>169408</v>
      </c>
      <c r="AI141" s="650">
        <v>155298</v>
      </c>
      <c r="AJ141" s="651">
        <v>81752</v>
      </c>
    </row>
    <row r="142" spans="1:41" s="4" customFormat="1" ht="14.25" customHeight="1">
      <c r="B142" s="32"/>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J142" s="28"/>
      <c r="AK142" s="28"/>
      <c r="AL142" s="28"/>
    </row>
    <row r="143" spans="1:41" s="4" customFormat="1" ht="33" customHeight="1">
      <c r="B143" s="32"/>
      <c r="C143" s="739" t="s">
        <v>284</v>
      </c>
      <c r="D143" s="739"/>
      <c r="E143" s="739"/>
      <c r="F143" s="739"/>
      <c r="G143" s="739"/>
      <c r="H143" s="739"/>
      <c r="I143" s="739"/>
      <c r="J143" s="739"/>
      <c r="K143" s="739"/>
      <c r="L143" s="739"/>
      <c r="M143" s="739"/>
      <c r="N143" s="739"/>
      <c r="O143" s="739"/>
      <c r="P143" s="739"/>
      <c r="Q143" s="739"/>
      <c r="R143" s="739"/>
      <c r="S143" s="739"/>
      <c r="T143" s="739"/>
      <c r="U143" s="739"/>
      <c r="V143" s="739"/>
      <c r="W143" s="739"/>
      <c r="X143" s="739"/>
      <c r="Y143" s="739"/>
      <c r="Z143" s="739"/>
      <c r="AA143" s="739"/>
      <c r="AB143" s="739"/>
      <c r="AC143" s="739"/>
      <c r="AD143" s="739"/>
      <c r="AE143" s="739"/>
      <c r="AF143" s="739"/>
      <c r="AG143" s="739"/>
      <c r="AH143" s="739"/>
      <c r="AJ143" s="28"/>
      <c r="AK143" s="28"/>
      <c r="AL143" s="28"/>
    </row>
    <row r="144" spans="1:41" s="4" customFormat="1" ht="23.25" customHeight="1">
      <c r="B144" s="32"/>
      <c r="C144" s="732" t="s">
        <v>294</v>
      </c>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J144" s="28"/>
      <c r="AK144" s="28"/>
      <c r="AL144" s="28"/>
      <c r="AN144" s="28"/>
      <c r="AO144" s="28"/>
    </row>
    <row r="145" spans="40:41" s="4" customFormat="1" ht="14.25" customHeight="1">
      <c r="AN145" s="28"/>
      <c r="AO145" s="28"/>
    </row>
    <row r="146" spans="40:41" s="4" customFormat="1" ht="14.25" customHeight="1">
      <c r="AN146" s="28"/>
      <c r="AO146" s="28"/>
    </row>
  </sheetData>
  <mergeCells count="27">
    <mergeCell ref="C123:AH123"/>
    <mergeCell ref="C72:C87"/>
    <mergeCell ref="C88:C90"/>
    <mergeCell ref="C91:C92"/>
    <mergeCell ref="C93:C109"/>
    <mergeCell ref="C110:C120"/>
    <mergeCell ref="C122:AH122"/>
    <mergeCell ref="C66:C71"/>
    <mergeCell ref="B2:AH2"/>
    <mergeCell ref="B6:AH6"/>
    <mergeCell ref="C7:AH7"/>
    <mergeCell ref="C8:AH8"/>
    <mergeCell ref="C9:AH9"/>
    <mergeCell ref="C10:AH10"/>
    <mergeCell ref="C11:AH11"/>
    <mergeCell ref="C15:C55"/>
    <mergeCell ref="C56:C65"/>
    <mergeCell ref="B127:AH127"/>
    <mergeCell ref="C128:AH128"/>
    <mergeCell ref="C129:AH129"/>
    <mergeCell ref="C130:AH130"/>
    <mergeCell ref="C131:AH131"/>
    <mergeCell ref="C144:AH144"/>
    <mergeCell ref="C132:AH132"/>
    <mergeCell ref="AI132:AK132"/>
    <mergeCell ref="C137:C141"/>
    <mergeCell ref="C143:AH143"/>
  </mergeCells>
  <hyperlinks>
    <hyperlink ref="C10" r:id="rId1" display="https://ogeiee.produce.gob.pe/index.php/en/oee-documentos-publicaciones/publicaciones-anuales/item/1125-anuario-estadistico-industrial-mipyme-y-comercio-interno-2022" xr:uid="{00000000-0004-0000-0200-000000000000}"/>
    <hyperlink ref="C131" r:id="rId2" display="https://ogeiee.produce.gob.pe/index.php/en/oee-documentos-publicaciones/publicaciones-anuales/item/1116-anuario-estadistico-pesquero-y-acuicola-2022" xr:uid="{00000000-0004-0000-0200-000001000000}"/>
    <hyperlink ref="AJ129" r:id="rId3" xr:uid="{00000000-0004-0000-0200-000002000000}"/>
    <hyperlink ref="AJ130" r:id="rId4" xr:uid="{00000000-0004-0000-0200-000003000000}"/>
    <hyperlink ref="AJ131" r:id="rId5" xr:uid="{00000000-0004-0000-0200-000004000000}"/>
  </hyperlinks>
  <pageMargins left="0.25" right="0.25" top="0.75" bottom="0.75" header="0.3" footer="0.3"/>
  <pageSetup paperSize="9" scale="27" fitToHeight="0" orientation="landscape" r:id="rId6"/>
  <drawing r:id="rId7"/>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D7EE"/>
  </sheetPr>
  <dimension ref="B1:X299"/>
  <sheetViews>
    <sheetView zoomScaleNormal="100" workbookViewId="0">
      <selection activeCell="B76" sqref="B76:H76"/>
    </sheetView>
  </sheetViews>
  <sheetFormatPr baseColWidth="10" defaultColWidth="11" defaultRowHeight="12.75"/>
  <cols>
    <col min="1" max="1" width="4.140625" style="32" customWidth="1"/>
    <col min="2" max="2" width="26.7109375" style="32" customWidth="1"/>
    <col min="3" max="3" width="16" style="32" customWidth="1"/>
    <col min="4" max="4" width="21" style="32" customWidth="1"/>
    <col min="5" max="5" width="20.42578125" style="32" customWidth="1"/>
    <col min="6" max="6" width="23.140625" style="32" customWidth="1"/>
    <col min="7" max="7" width="14.42578125" style="32" customWidth="1"/>
    <col min="8" max="8" width="14.85546875" style="32" customWidth="1"/>
    <col min="9" max="9" width="24.5703125" style="32" customWidth="1"/>
    <col min="10" max="16384" width="11" style="32"/>
  </cols>
  <sheetData>
    <row r="1" spans="2:24" s="62" customFormat="1">
      <c r="B1" s="62" t="s">
        <v>148</v>
      </c>
      <c r="C1" s="55"/>
      <c r="D1" s="63"/>
      <c r="E1" s="55"/>
      <c r="F1" s="64"/>
      <c r="G1" s="65"/>
      <c r="H1" s="65"/>
      <c r="I1" s="64"/>
      <c r="J1" s="55"/>
      <c r="K1" s="55"/>
      <c r="L1" s="64"/>
      <c r="M1" s="64"/>
      <c r="N1" s="55"/>
      <c r="P1" s="55"/>
      <c r="Q1" s="55"/>
      <c r="R1" s="55"/>
      <c r="U1" s="55"/>
      <c r="W1" s="55"/>
      <c r="X1" s="64"/>
    </row>
    <row r="2" spans="2:24" s="67" customFormat="1" ht="30.6" customHeight="1">
      <c r="B2" s="754" t="s">
        <v>304</v>
      </c>
      <c r="C2" s="754"/>
      <c r="D2" s="754"/>
      <c r="E2" s="754"/>
      <c r="F2" s="754"/>
      <c r="G2" s="70"/>
      <c r="H2" s="70"/>
      <c r="I2" s="69"/>
      <c r="J2" s="61"/>
      <c r="K2" s="61"/>
      <c r="L2" s="69"/>
      <c r="M2" s="69"/>
      <c r="N2" s="61"/>
      <c r="P2" s="61"/>
      <c r="Q2" s="61"/>
      <c r="R2" s="61"/>
      <c r="U2" s="61"/>
      <c r="W2" s="61"/>
      <c r="X2" s="69"/>
    </row>
    <row r="3" spans="2:24" s="225" customFormat="1">
      <c r="B3" s="55"/>
      <c r="C3" s="226"/>
      <c r="D3" s="227"/>
      <c r="E3" s="226"/>
      <c r="F3" s="228"/>
      <c r="G3" s="229"/>
      <c r="H3" s="229"/>
      <c r="I3" s="228"/>
      <c r="J3" s="226"/>
      <c r="K3" s="226"/>
      <c r="L3" s="228"/>
      <c r="M3" s="228"/>
      <c r="N3" s="226"/>
      <c r="P3" s="226"/>
      <c r="Q3" s="226"/>
      <c r="R3" s="226"/>
      <c r="U3" s="226"/>
      <c r="W3" s="226"/>
      <c r="X3" s="228"/>
    </row>
    <row r="4" spans="2:24" s="231" customFormat="1">
      <c r="B4" s="231" t="s">
        <v>305</v>
      </c>
    </row>
    <row r="5" spans="2:24" s="4" customFormat="1" ht="14.25" customHeight="1">
      <c r="E5" s="29"/>
      <c r="I5" s="28"/>
      <c r="J5" s="28"/>
    </row>
    <row r="6" spans="2:24" s="4" customFormat="1" ht="14.25" customHeight="1">
      <c r="B6" s="772" t="s">
        <v>150</v>
      </c>
      <c r="C6" s="773"/>
      <c r="D6" s="773"/>
      <c r="E6" s="773"/>
      <c r="F6" s="773"/>
      <c r="G6" s="773"/>
      <c r="H6" s="773"/>
      <c r="I6" s="774"/>
      <c r="J6" s="28"/>
      <c r="L6" s="223"/>
      <c r="O6" s="302"/>
    </row>
    <row r="7" spans="2:24" s="4" customFormat="1" ht="14.25" customHeight="1">
      <c r="B7" s="303" t="s">
        <v>152</v>
      </c>
      <c r="C7" s="771" t="s">
        <v>628</v>
      </c>
      <c r="D7" s="771"/>
      <c r="E7" s="771"/>
      <c r="F7" s="771"/>
      <c r="G7" s="771"/>
      <c r="H7" s="771"/>
      <c r="I7" s="771"/>
      <c r="J7" s="28"/>
      <c r="O7" s="302"/>
    </row>
    <row r="8" spans="2:24" s="4" customFormat="1" ht="14.25" customHeight="1">
      <c r="B8" s="303" t="s">
        <v>153</v>
      </c>
      <c r="C8" s="771" t="s">
        <v>305</v>
      </c>
      <c r="D8" s="771"/>
      <c r="E8" s="771"/>
      <c r="F8" s="771"/>
      <c r="G8" s="771"/>
      <c r="H8" s="771"/>
      <c r="I8" s="771"/>
      <c r="J8" s="28"/>
    </row>
    <row r="9" spans="2:24" s="4" customFormat="1" ht="76.5" customHeight="1">
      <c r="B9" s="303" t="s">
        <v>155</v>
      </c>
      <c r="C9" s="771" t="s">
        <v>306</v>
      </c>
      <c r="D9" s="771"/>
      <c r="E9" s="771"/>
      <c r="F9" s="771"/>
      <c r="G9" s="771"/>
      <c r="H9" s="771"/>
      <c r="I9" s="771"/>
      <c r="J9" s="28"/>
    </row>
    <row r="10" spans="2:24" s="4" customFormat="1">
      <c r="B10" s="303" t="s">
        <v>156</v>
      </c>
      <c r="C10" s="771" t="s">
        <v>307</v>
      </c>
      <c r="D10" s="771"/>
      <c r="E10" s="771"/>
      <c r="F10" s="771"/>
      <c r="G10" s="771"/>
      <c r="H10" s="771"/>
      <c r="I10" s="771"/>
      <c r="J10" s="28"/>
    </row>
    <row r="11" spans="2:24" s="4" customFormat="1" ht="12" customHeight="1">
      <c r="B11" s="304" t="s">
        <v>157</v>
      </c>
      <c r="C11" s="771" t="s">
        <v>679</v>
      </c>
      <c r="D11" s="771"/>
      <c r="E11" s="771"/>
      <c r="F11" s="771"/>
      <c r="G11" s="771"/>
      <c r="H11" s="771"/>
      <c r="I11" s="771"/>
      <c r="J11" s="28"/>
    </row>
    <row r="12" spans="2:24" s="4" customFormat="1"/>
    <row r="13" spans="2:24" s="4" customFormat="1" ht="14.25" customHeight="1">
      <c r="B13" s="305" t="s">
        <v>308</v>
      </c>
      <c r="C13" s="769" t="s">
        <v>309</v>
      </c>
      <c r="D13" s="769"/>
      <c r="E13" s="769"/>
    </row>
    <row r="14" spans="2:24" s="4" customFormat="1">
      <c r="B14" s="17" t="s">
        <v>310</v>
      </c>
      <c r="C14" s="770" t="s">
        <v>311</v>
      </c>
      <c r="D14" s="770"/>
      <c r="E14" s="770"/>
    </row>
    <row r="15" spans="2:24" s="4" customFormat="1">
      <c r="B15" s="17" t="s">
        <v>312</v>
      </c>
      <c r="C15" s="770" t="s">
        <v>313</v>
      </c>
      <c r="D15" s="770"/>
      <c r="E15" s="770"/>
    </row>
    <row r="16" spans="2:24" s="4" customFormat="1">
      <c r="B16" s="17" t="s">
        <v>713</v>
      </c>
      <c r="C16" s="770" t="s">
        <v>313</v>
      </c>
      <c r="D16" s="770"/>
      <c r="E16" s="770"/>
    </row>
    <row r="17" spans="2:15" s="4" customFormat="1">
      <c r="B17" s="17" t="s">
        <v>314</v>
      </c>
      <c r="C17" s="770" t="s">
        <v>311</v>
      </c>
      <c r="D17" s="770"/>
      <c r="E17" s="770"/>
    </row>
    <row r="18" spans="2:15" s="4" customFormat="1">
      <c r="B18" s="17" t="s">
        <v>315</v>
      </c>
      <c r="C18" s="770" t="s">
        <v>313</v>
      </c>
      <c r="D18" s="770"/>
      <c r="E18" s="770"/>
    </row>
    <row r="19" spans="2:15" s="4" customFormat="1">
      <c r="B19" s="17" t="s">
        <v>316</v>
      </c>
      <c r="C19" s="770" t="s">
        <v>313</v>
      </c>
      <c r="D19" s="770"/>
      <c r="E19" s="770"/>
    </row>
    <row r="20" spans="2:15" s="4" customFormat="1">
      <c r="B20" s="17" t="s">
        <v>317</v>
      </c>
      <c r="C20" s="770" t="s">
        <v>311</v>
      </c>
      <c r="D20" s="770"/>
      <c r="E20" s="770"/>
    </row>
    <row r="21" spans="2:15" s="4" customFormat="1">
      <c r="B21" s="17" t="s">
        <v>318</v>
      </c>
      <c r="C21" s="770" t="s">
        <v>311</v>
      </c>
      <c r="D21" s="770"/>
      <c r="E21" s="770"/>
    </row>
    <row r="22" spans="2:15" s="4" customFormat="1">
      <c r="B22" s="17" t="s">
        <v>319</v>
      </c>
      <c r="C22" s="770" t="s">
        <v>320</v>
      </c>
      <c r="D22" s="770"/>
      <c r="E22" s="770"/>
    </row>
    <row r="23" spans="2:15" s="4" customFormat="1">
      <c r="B23" s="17" t="s">
        <v>321</v>
      </c>
      <c r="C23" s="770" t="s">
        <v>311</v>
      </c>
      <c r="D23" s="770"/>
      <c r="E23" s="770"/>
    </row>
    <row r="24" spans="2:15" s="4" customFormat="1">
      <c r="B24" s="17" t="s">
        <v>322</v>
      </c>
      <c r="C24" s="770" t="s">
        <v>311</v>
      </c>
      <c r="D24" s="770"/>
      <c r="E24" s="770"/>
    </row>
    <row r="25" spans="2:15" s="4" customFormat="1">
      <c r="B25" s="17" t="s">
        <v>323</v>
      </c>
      <c r="C25" s="770" t="s">
        <v>311</v>
      </c>
      <c r="D25" s="770"/>
      <c r="E25" s="770"/>
    </row>
    <row r="26" spans="2:15" s="4" customFormat="1">
      <c r="B26" s="17" t="s">
        <v>324</v>
      </c>
      <c r="C26" s="770" t="s">
        <v>320</v>
      </c>
      <c r="D26" s="770"/>
      <c r="E26" s="770"/>
    </row>
    <row r="27" spans="2:15" s="4" customFormat="1"/>
    <row r="28" spans="2:15" s="231" customFormat="1">
      <c r="B28" s="231" t="s">
        <v>325</v>
      </c>
    </row>
    <row r="29" spans="2:15" s="4" customFormat="1" ht="14.25" customHeight="1">
      <c r="E29" s="29"/>
      <c r="I29" s="28"/>
      <c r="J29" s="28"/>
    </row>
    <row r="30" spans="2:15" s="4" customFormat="1" ht="14.25" customHeight="1">
      <c r="B30" s="780" t="s">
        <v>150</v>
      </c>
      <c r="C30" s="780"/>
      <c r="D30" s="780"/>
      <c r="E30" s="780"/>
      <c r="F30" s="780"/>
      <c r="G30" s="780"/>
      <c r="H30" s="780"/>
      <c r="I30" s="780"/>
      <c r="J30" s="28"/>
      <c r="L30" s="223"/>
      <c r="O30" s="302"/>
    </row>
    <row r="31" spans="2:15" s="4" customFormat="1" ht="14.25" customHeight="1">
      <c r="B31" s="303" t="s">
        <v>152</v>
      </c>
      <c r="C31" s="771" t="s">
        <v>628</v>
      </c>
      <c r="D31" s="771"/>
      <c r="E31" s="771"/>
      <c r="F31" s="771"/>
      <c r="G31" s="771"/>
      <c r="H31" s="771"/>
      <c r="I31" s="771"/>
      <c r="J31" s="28"/>
      <c r="O31" s="302"/>
    </row>
    <row r="32" spans="2:15" s="4" customFormat="1" ht="14.25" customHeight="1">
      <c r="B32" s="303" t="s">
        <v>153</v>
      </c>
      <c r="C32" s="771" t="s">
        <v>677</v>
      </c>
      <c r="D32" s="771"/>
      <c r="E32" s="771"/>
      <c r="F32" s="771"/>
      <c r="G32" s="771"/>
      <c r="H32" s="771"/>
      <c r="I32" s="771"/>
      <c r="J32" s="28"/>
    </row>
    <row r="33" spans="2:10" s="4" customFormat="1" ht="12" customHeight="1">
      <c r="B33" s="303" t="s">
        <v>155</v>
      </c>
      <c r="C33" s="778" t="s">
        <v>678</v>
      </c>
      <c r="D33" s="778"/>
      <c r="E33" s="778"/>
      <c r="F33" s="778"/>
      <c r="G33" s="778"/>
      <c r="H33" s="778"/>
      <c r="I33" s="778"/>
      <c r="J33" s="28"/>
    </row>
    <row r="34" spans="2:10" s="4" customFormat="1" ht="12" customHeight="1">
      <c r="B34" s="303" t="s">
        <v>156</v>
      </c>
      <c r="C34" s="771" t="s">
        <v>307</v>
      </c>
      <c r="D34" s="771"/>
      <c r="E34" s="771"/>
      <c r="F34" s="771"/>
      <c r="G34" s="771"/>
      <c r="H34" s="771"/>
      <c r="I34" s="771"/>
      <c r="J34" s="28"/>
    </row>
    <row r="35" spans="2:10" s="4" customFormat="1" ht="15.75" customHeight="1">
      <c r="B35" s="304" t="s">
        <v>157</v>
      </c>
      <c r="C35" s="771" t="s">
        <v>584</v>
      </c>
      <c r="D35" s="771"/>
      <c r="E35" s="771"/>
      <c r="F35" s="771"/>
      <c r="G35" s="771"/>
      <c r="H35" s="771"/>
      <c r="I35" s="771"/>
      <c r="J35" s="28"/>
    </row>
    <row r="36" spans="2:10" s="4" customFormat="1"/>
    <row r="37" spans="2:10" s="4" customFormat="1">
      <c r="C37" s="779" t="s">
        <v>585</v>
      </c>
      <c r="D37" s="779"/>
      <c r="E37" s="779"/>
      <c r="F37" s="779"/>
      <c r="G37" s="779"/>
      <c r="H37" s="779"/>
    </row>
    <row r="38" spans="2:10" s="4" customFormat="1" ht="89.25">
      <c r="B38" s="306" t="s">
        <v>326</v>
      </c>
      <c r="C38" s="307" t="s">
        <v>485</v>
      </c>
      <c r="D38" s="307" t="s">
        <v>583</v>
      </c>
      <c r="E38" s="307" t="s">
        <v>580</v>
      </c>
      <c r="F38" s="307" t="s">
        <v>581</v>
      </c>
      <c r="G38" s="307" t="s">
        <v>582</v>
      </c>
      <c r="H38" s="307" t="s">
        <v>329</v>
      </c>
    </row>
    <row r="39" spans="2:10" s="4" customFormat="1">
      <c r="B39" s="306">
        <v>1990</v>
      </c>
      <c r="C39" s="207">
        <v>0</v>
      </c>
      <c r="D39" s="207">
        <v>1.8791000050062331E-2</v>
      </c>
      <c r="E39" s="207">
        <v>1.7571173842189789E-2</v>
      </c>
      <c r="F39" s="207">
        <v>1.0709279958521202E-2</v>
      </c>
      <c r="G39" s="207">
        <v>2.9936273612663628E-2</v>
      </c>
      <c r="H39" s="209">
        <v>5.6250322995923148E-3</v>
      </c>
    </row>
    <row r="40" spans="2:10" s="4" customFormat="1">
      <c r="B40" s="306">
        <v>1991</v>
      </c>
      <c r="C40" s="207">
        <v>0</v>
      </c>
      <c r="D40" s="207">
        <v>1.9960440645316969E-2</v>
      </c>
      <c r="E40" s="207">
        <v>1.866469967597132E-2</v>
      </c>
      <c r="F40" s="207">
        <v>1.1375762141272307E-2</v>
      </c>
      <c r="G40" s="207">
        <v>3.1799330051385896E-2</v>
      </c>
      <c r="H40" s="209">
        <v>5.9751010081888012E-3</v>
      </c>
    </row>
    <row r="41" spans="2:10" s="4" customFormat="1">
      <c r="B41" s="306">
        <v>1992</v>
      </c>
      <c r="C41" s="207">
        <v>0</v>
      </c>
      <c r="D41" s="207">
        <v>2.1168917965302615E-2</v>
      </c>
      <c r="E41" s="207">
        <v>1.9794728147965332E-2</v>
      </c>
      <c r="F41" s="207">
        <v>1.2064491953883144E-2</v>
      </c>
      <c r="G41" s="207">
        <v>3.3724576584801172E-2</v>
      </c>
      <c r="H41" s="209">
        <v>6.3368552490559041E-3</v>
      </c>
    </row>
    <row r="42" spans="2:10" s="4" customFormat="1">
      <c r="B42" s="306">
        <v>1993</v>
      </c>
      <c r="C42" s="207">
        <v>0</v>
      </c>
      <c r="D42" s="207">
        <v>2.2417058945578348E-2</v>
      </c>
      <c r="E42" s="207">
        <v>2.0961845495927521E-2</v>
      </c>
      <c r="F42" s="207">
        <v>1.2775826696571922E-2</v>
      </c>
      <c r="G42" s="207">
        <v>3.5713011995006413E-2</v>
      </c>
      <c r="H42" s="209">
        <v>6.7104826935661024E-3</v>
      </c>
    </row>
    <row r="43" spans="2:10" s="4" customFormat="1">
      <c r="B43" s="306">
        <v>1994</v>
      </c>
      <c r="C43" s="207">
        <v>0</v>
      </c>
      <c r="D43" s="207">
        <v>2.4358617687495299E-2</v>
      </c>
      <c r="E43" s="207">
        <v>2.2777367080098501E-2</v>
      </c>
      <c r="F43" s="207">
        <v>1.3882350887285972E-2</v>
      </c>
      <c r="G43" s="207">
        <v>3.8806143471683312E-2</v>
      </c>
      <c r="H43" s="209">
        <v>7.2916827683754508E-3</v>
      </c>
    </row>
    <row r="44" spans="2:10" s="4" customFormat="1">
      <c r="B44" s="306">
        <v>1995</v>
      </c>
      <c r="C44" s="207">
        <v>0</v>
      </c>
      <c r="D44" s="207">
        <v>2.6403558631345952E-2</v>
      </c>
      <c r="E44" s="207">
        <v>2.4689559764132483E-2</v>
      </c>
      <c r="F44" s="207">
        <v>1.5047794185034595E-2</v>
      </c>
      <c r="G44" s="207">
        <v>4.2063974957700923E-2</v>
      </c>
      <c r="H44" s="209">
        <v>7.9038300106336144E-3</v>
      </c>
    </row>
    <row r="45" spans="2:10" s="4" customFormat="1">
      <c r="B45" s="306">
        <v>1996</v>
      </c>
      <c r="C45" s="207">
        <v>0</v>
      </c>
      <c r="D45" s="207">
        <v>2.8568024396976026E-2</v>
      </c>
      <c r="E45" s="207">
        <v>2.6713518262457766E-2</v>
      </c>
      <c r="F45" s="207">
        <v>1.6281356517162338E-2</v>
      </c>
      <c r="G45" s="207">
        <v>4.5512223545456656E-2</v>
      </c>
      <c r="H45" s="209">
        <v>8.5517566675754626E-3</v>
      </c>
    </row>
    <row r="46" spans="2:10" s="4" customFormat="1">
      <c r="B46" s="306">
        <v>1997</v>
      </c>
      <c r="C46" s="207">
        <v>0</v>
      </c>
      <c r="D46" s="207">
        <v>3.0856550711836055E-2</v>
      </c>
      <c r="E46" s="207">
        <v>2.8853483863740287E-2</v>
      </c>
      <c r="F46" s="207">
        <v>1.7585622864508633E-2</v>
      </c>
      <c r="G46" s="207">
        <v>4.9158115182352455E-2</v>
      </c>
      <c r="H46" s="209">
        <v>9.2368204962838211E-3</v>
      </c>
    </row>
    <row r="47" spans="2:10" s="4" customFormat="1">
      <c r="B47" s="306">
        <v>1998</v>
      </c>
      <c r="C47" s="207">
        <v>0</v>
      </c>
      <c r="D47" s="207">
        <v>3.325051342535934E-2</v>
      </c>
      <c r="E47" s="207">
        <v>3.1092041412512074E-2</v>
      </c>
      <c r="F47" s="207">
        <v>1.89499790372019E-2</v>
      </c>
      <c r="G47" s="207">
        <v>5.2971979405630448E-2</v>
      </c>
      <c r="H47" s="209">
        <v>9.9534464103763209E-3</v>
      </c>
    </row>
    <row r="48" spans="2:10" s="4" customFormat="1">
      <c r="B48" s="306">
        <v>1999</v>
      </c>
      <c r="C48" s="207">
        <v>0</v>
      </c>
      <c r="D48" s="207">
        <v>3.5726022607756806E-2</v>
      </c>
      <c r="E48" s="207">
        <v>3.3406851804506026E-2</v>
      </c>
      <c r="F48" s="207">
        <v>2.0360809796797181E-2</v>
      </c>
      <c r="G48" s="207">
        <v>5.691575674677659E-2</v>
      </c>
      <c r="H48" s="209">
        <v>1.0694483027470945E-2</v>
      </c>
    </row>
    <row r="49" spans="2:8" s="4" customFormat="1">
      <c r="B49" s="306">
        <v>2000</v>
      </c>
      <c r="C49" s="207">
        <v>0</v>
      </c>
      <c r="D49" s="207">
        <v>3.7664300331538531E-2</v>
      </c>
      <c r="E49" s="207">
        <v>3.5219305359307625E-2</v>
      </c>
      <c r="F49" s="207">
        <v>2.1465464084809642E-2</v>
      </c>
      <c r="G49" s="207">
        <v>6.0003661175592131E-2</v>
      </c>
      <c r="H49" s="209">
        <v>1.1274700938854345E-2</v>
      </c>
    </row>
    <row r="50" spans="2:8" s="4" customFormat="1">
      <c r="B50" s="306">
        <f>B49+1</f>
        <v>2001</v>
      </c>
      <c r="C50" s="207">
        <v>0</v>
      </c>
      <c r="D50" s="207">
        <v>4.0653228308540422E-2</v>
      </c>
      <c r="E50" s="207">
        <v>3.801420573426189E-2</v>
      </c>
      <c r="F50" s="207">
        <v>2.3168900112497986E-2</v>
      </c>
      <c r="G50" s="207">
        <v>6.4765375054028157E-2</v>
      </c>
      <c r="H50" s="209">
        <v>1.2169428008568496E-2</v>
      </c>
    </row>
    <row r="51" spans="2:8" s="4" customFormat="1">
      <c r="B51" s="306">
        <f>B50+1</f>
        <v>2002</v>
      </c>
      <c r="C51" s="207">
        <v>0</v>
      </c>
      <c r="D51" s="207">
        <v>4.205084521014852E-2</v>
      </c>
      <c r="E51" s="207">
        <v>3.9321095706988864E-2</v>
      </c>
      <c r="F51" s="207">
        <v>2.3965423481887918E-2</v>
      </c>
      <c r="G51" s="207">
        <v>6.6991943190942413E-2</v>
      </c>
      <c r="H51" s="209">
        <v>1.2587800644035313E-2</v>
      </c>
    </row>
    <row r="52" spans="2:8" s="4" customFormat="1">
      <c r="B52" s="306">
        <f t="shared" ref="B52:B65" si="0">B51+1</f>
        <v>2003</v>
      </c>
      <c r="C52" s="207">
        <v>0</v>
      </c>
      <c r="D52" s="207">
        <v>4.173800243029261E-2</v>
      </c>
      <c r="E52" s="207">
        <v>3.9028561256694724E-2</v>
      </c>
      <c r="F52" s="207">
        <v>2.3787129569719692E-2</v>
      </c>
      <c r="G52" s="207">
        <v>6.6493547840478784E-2</v>
      </c>
      <c r="H52" s="209">
        <v>1.249415204967123E-2</v>
      </c>
    </row>
    <row r="53" spans="2:8" s="4" customFormat="1">
      <c r="B53" s="306">
        <f t="shared" si="0"/>
        <v>2004</v>
      </c>
      <c r="C53" s="207">
        <v>0</v>
      </c>
      <c r="D53" s="207">
        <v>4.4416952451532009E-2</v>
      </c>
      <c r="E53" s="207">
        <v>4.1533606034105566E-2</v>
      </c>
      <c r="F53" s="207">
        <v>2.5313904392555365E-2</v>
      </c>
      <c r="G53" s="207">
        <v>7.0761430370243766E-2</v>
      </c>
      <c r="H53" s="209">
        <v>1.3296088101947231E-2</v>
      </c>
    </row>
    <row r="54" spans="2:8" s="4" customFormat="1">
      <c r="B54" s="306">
        <f t="shared" si="0"/>
        <v>2005</v>
      </c>
      <c r="C54" s="207">
        <v>0</v>
      </c>
      <c r="D54" s="207">
        <v>4.6463739963956106E-2</v>
      </c>
      <c r="E54" s="207">
        <v>4.3447525415884709E-2</v>
      </c>
      <c r="F54" s="207">
        <v>2.6480400078136627E-2</v>
      </c>
      <c r="G54" s="207">
        <v>7.4022203657225255E-2</v>
      </c>
      <c r="H54" s="209">
        <v>1.3908788109244055E-2</v>
      </c>
    </row>
    <row r="55" spans="2:8" s="4" customFormat="1">
      <c r="B55" s="306">
        <f t="shared" si="0"/>
        <v>2006</v>
      </c>
      <c r="C55" s="207">
        <v>0</v>
      </c>
      <c r="D55" s="207">
        <v>4.9322209076471293E-2</v>
      </c>
      <c r="E55" s="207">
        <v>4.612043572213357E-2</v>
      </c>
      <c r="F55" s="207">
        <v>2.8109485592327198E-2</v>
      </c>
      <c r="G55" s="207">
        <v>7.857608121763314E-2</v>
      </c>
      <c r="H55" s="209">
        <v>1.4764462689758546E-2</v>
      </c>
    </row>
    <row r="56" spans="2:8" s="4" customFormat="1">
      <c r="B56" s="306">
        <f t="shared" si="0"/>
        <v>2007</v>
      </c>
      <c r="C56" s="207">
        <v>0</v>
      </c>
      <c r="D56" s="207">
        <v>5.1619063115844042E-2</v>
      </c>
      <c r="E56" s="207">
        <v>4.8268188449951822E-2</v>
      </c>
      <c r="F56" s="207">
        <v>2.9418498037964515E-2</v>
      </c>
      <c r="G56" s="207">
        <v>8.2235239899333332E-2</v>
      </c>
      <c r="H56" s="209">
        <v>1.5452019399060877E-2</v>
      </c>
    </row>
    <row r="57" spans="2:8" s="4" customFormat="1">
      <c r="B57" s="306">
        <f t="shared" si="0"/>
        <v>2008</v>
      </c>
      <c r="C57" s="207">
        <v>0</v>
      </c>
      <c r="D57" s="207">
        <v>5.4799850180267597E-2</v>
      </c>
      <c r="E57" s="207">
        <v>5.1242493293497886E-2</v>
      </c>
      <c r="F57" s="207">
        <v>3.1231277510616454E-2</v>
      </c>
      <c r="G57" s="207">
        <v>8.7302607873923313E-2</v>
      </c>
      <c r="H57" s="209">
        <v>1.6404178939683545E-2</v>
      </c>
    </row>
    <row r="58" spans="2:8" s="4" customFormat="1">
      <c r="B58" s="306">
        <f t="shared" si="0"/>
        <v>2009</v>
      </c>
      <c r="C58" s="207">
        <v>0</v>
      </c>
      <c r="D58" s="207">
        <v>5.8398441467796568E-2</v>
      </c>
      <c r="E58" s="207">
        <v>5.4607480411357608E-2</v>
      </c>
      <c r="F58" s="207">
        <v>3.3282170036387865E-2</v>
      </c>
      <c r="G58" s="207">
        <v>9.3035587125512284E-2</v>
      </c>
      <c r="H58" s="209">
        <v>1.7481406983505237E-2</v>
      </c>
    </row>
    <row r="59" spans="2:8" s="4" customFormat="1">
      <c r="B59" s="306">
        <f t="shared" si="0"/>
        <v>2010</v>
      </c>
      <c r="C59" s="207">
        <v>0</v>
      </c>
      <c r="D59" s="207">
        <v>6.1867513880689409E-2</v>
      </c>
      <c r="E59" s="207">
        <v>5.7851356430499157E-2</v>
      </c>
      <c r="F59" s="207">
        <v>3.5259247763335597E-2</v>
      </c>
      <c r="G59" s="207">
        <v>9.8562227573483485E-2</v>
      </c>
      <c r="H59" s="209">
        <v>1.8519863921409516E-2</v>
      </c>
    </row>
    <row r="60" spans="2:8" s="4" customFormat="1">
      <c r="B60" s="306">
        <f t="shared" si="0"/>
        <v>2011</v>
      </c>
      <c r="C60" s="207">
        <v>0</v>
      </c>
      <c r="D60" s="207">
        <v>6.2782721632592103E-2</v>
      </c>
      <c r="E60" s="207">
        <v>5.8707153060138829E-2</v>
      </c>
      <c r="F60" s="207">
        <v>3.5780838738229057E-2</v>
      </c>
      <c r="G60" s="207">
        <v>0.10002026118534009</v>
      </c>
      <c r="H60" s="209">
        <v>1.8793828753061622E-2</v>
      </c>
    </row>
    <row r="61" spans="2:8" s="4" customFormat="1">
      <c r="B61" s="306">
        <f t="shared" si="0"/>
        <v>2012</v>
      </c>
      <c r="C61" s="207">
        <v>0</v>
      </c>
      <c r="D61" s="207">
        <v>6.2242000212166984E-2</v>
      </c>
      <c r="E61" s="207">
        <v>5.8201532813575409E-2</v>
      </c>
      <c r="F61" s="207">
        <v>3.5472673283730917E-2</v>
      </c>
      <c r="G61" s="207">
        <v>9.9158828353295536E-2</v>
      </c>
      <c r="H61" s="209">
        <v>1.8631965337231195E-2</v>
      </c>
    </row>
    <row r="62" spans="2:8" s="4" customFormat="1">
      <c r="B62" s="306">
        <f t="shared" si="0"/>
        <v>2013</v>
      </c>
      <c r="C62" s="207">
        <v>4.0415036075999999E-2</v>
      </c>
      <c r="D62" s="207">
        <v>7.8993416908804723E-2</v>
      </c>
      <c r="E62" s="207">
        <v>7.3865523771768499E-2</v>
      </c>
      <c r="F62" s="207">
        <v>4.5019563317694009E-2</v>
      </c>
      <c r="G62" s="207">
        <v>0.1258458057517457</v>
      </c>
      <c r="H62" s="209">
        <v>2.364645417398711E-2</v>
      </c>
    </row>
    <row r="63" spans="2:8" s="4" customFormat="1">
      <c r="B63" s="306">
        <f t="shared" si="0"/>
        <v>2014</v>
      </c>
      <c r="C63" s="207">
        <v>0.10667992550400003</v>
      </c>
      <c r="D63" s="207">
        <v>9.2126190963086371E-2</v>
      </c>
      <c r="E63" s="207">
        <v>8.6145777899979056E-2</v>
      </c>
      <c r="F63" s="207">
        <v>5.2504133250353843E-2</v>
      </c>
      <c r="G63" s="207">
        <v>0.14676785973156892</v>
      </c>
      <c r="H63" s="209">
        <v>2.7577712651011978E-2</v>
      </c>
    </row>
    <row r="64" spans="2:8" s="4" customFormat="1">
      <c r="B64" s="306">
        <f t="shared" si="0"/>
        <v>2015</v>
      </c>
      <c r="C64" s="207">
        <v>0.17882451129599997</v>
      </c>
      <c r="D64" s="207">
        <v>8.9397212663620898E-2</v>
      </c>
      <c r="E64" s="207">
        <v>8.3593952452492432E-2</v>
      </c>
      <c r="F64" s="207">
        <v>5.0948846542257217E-2</v>
      </c>
      <c r="G64" s="207">
        <v>0.14242027626937054</v>
      </c>
      <c r="H64" s="209">
        <v>2.6760800776258989E-2</v>
      </c>
    </row>
    <row r="65" spans="2:8" s="4" customFormat="1">
      <c r="B65" s="306">
        <f t="shared" si="0"/>
        <v>2016</v>
      </c>
      <c r="C65" s="207">
        <v>0.24469855488000006</v>
      </c>
      <c r="D65" s="207">
        <v>7.783517707540917E-2</v>
      </c>
      <c r="E65" s="207">
        <v>7.2782471597359372E-2</v>
      </c>
      <c r="F65" s="207">
        <v>4.4359464621408669E-2</v>
      </c>
      <c r="G65" s="207">
        <v>0.12400059344429853</v>
      </c>
      <c r="H65" s="209">
        <v>2.3299738381524385E-2</v>
      </c>
    </row>
    <row r="66" spans="2:8" s="4" customFormat="1">
      <c r="B66" s="306">
        <v>2017</v>
      </c>
      <c r="C66" s="207">
        <v>0.36489344859000006</v>
      </c>
      <c r="D66" s="207">
        <v>7.6258360852334922E-2</v>
      </c>
      <c r="E66" s="207">
        <v>7.1308015107603206E-2</v>
      </c>
      <c r="F66" s="207">
        <v>4.3460812802396824E-2</v>
      </c>
      <c r="G66" s="207">
        <v>0.12148853970766513</v>
      </c>
      <c r="H66" s="209">
        <v>2.2827722940000055E-2</v>
      </c>
    </row>
    <row r="67" spans="2:8" s="4" customFormat="1">
      <c r="B67" s="306">
        <v>2018</v>
      </c>
      <c r="C67" s="207">
        <v>0.37226550240000006</v>
      </c>
      <c r="D67" s="207">
        <v>7.7799031812140179E-2</v>
      </c>
      <c r="E67" s="207">
        <v>7.2748672720089461E-2</v>
      </c>
      <c r="F67" s="207">
        <v>4.4338864879910574E-2</v>
      </c>
      <c r="G67" s="207">
        <v>0.12394300978785985</v>
      </c>
      <c r="H67" s="209">
        <v>2.328891840000006E-2</v>
      </c>
    </row>
    <row r="68" spans="2:8" s="4" customFormat="1">
      <c r="B68" s="306">
        <v>2019</v>
      </c>
      <c r="C68" s="207">
        <v>0.38400896861966233</v>
      </c>
      <c r="D68" s="207">
        <v>9.0176462034819146E-2</v>
      </c>
      <c r="E68" s="207">
        <v>0.10108439226536964</v>
      </c>
      <c r="F68" s="207">
        <v>5.0083347825506587E-2</v>
      </c>
      <c r="G68" s="207">
        <v>7.9544311649667035E-2</v>
      </c>
      <c r="H68" s="209">
        <v>1.8801760497541274E-4</v>
      </c>
    </row>
    <row r="69" spans="2:8" s="4" customFormat="1">
      <c r="B69" s="306">
        <v>2020</v>
      </c>
      <c r="C69" s="207">
        <v>0.37593334064986483</v>
      </c>
      <c r="D69" s="207">
        <v>8.828006997490602E-2</v>
      </c>
      <c r="E69" s="207">
        <v>9.8958608723327651E-2</v>
      </c>
      <c r="F69" s="207">
        <v>4.9030105538029334E-2</v>
      </c>
      <c r="G69" s="207">
        <v>7.7871511479646618E-2</v>
      </c>
      <c r="H69" s="209">
        <v>1.8406363422568891E-4</v>
      </c>
    </row>
    <row r="70" spans="2:8" s="4" customFormat="1">
      <c r="B70" s="306">
        <v>2021</v>
      </c>
      <c r="C70" s="207">
        <v>0.37708266810941127</v>
      </c>
      <c r="D70" s="207">
        <v>8.8549965452592153E-2</v>
      </c>
      <c r="E70" s="207">
        <v>9.9261151312839968E-2</v>
      </c>
      <c r="F70" s="207">
        <v>4.918000351340418E-2</v>
      </c>
      <c r="G70" s="207">
        <v>7.8109585246408639E-2</v>
      </c>
      <c r="H70" s="209">
        <v>1.8462636534380094E-4</v>
      </c>
    </row>
    <row r="71" spans="2:8" s="4" customFormat="1">
      <c r="B71" s="306">
        <v>2022</v>
      </c>
      <c r="C71" s="207">
        <v>0.39462196175141834</v>
      </c>
      <c r="D71" s="207">
        <v>9.2668701150123489E-2</v>
      </c>
      <c r="E71" s="207">
        <v>0.10387809774755238</v>
      </c>
      <c r="F71" s="207">
        <v>5.146751921191476E-2</v>
      </c>
      <c r="G71" s="207">
        <v>8.1742706224259151E-2</v>
      </c>
      <c r="H71" s="209">
        <v>1.9321391473199454E-4</v>
      </c>
    </row>
    <row r="72" spans="2:8" s="4" customFormat="1">
      <c r="B72" s="362"/>
      <c r="C72" s="363"/>
      <c r="D72" s="363"/>
      <c r="E72" s="363"/>
      <c r="F72" s="363"/>
      <c r="G72" s="363"/>
      <c r="H72" s="363"/>
    </row>
    <row r="73" spans="2:8" s="4" customFormat="1" ht="24" customHeight="1">
      <c r="B73" s="776" t="s">
        <v>676</v>
      </c>
      <c r="C73" s="776"/>
      <c r="D73" s="776"/>
      <c r="E73" s="776"/>
      <c r="F73" s="776"/>
      <c r="G73" s="776"/>
      <c r="H73" s="776"/>
    </row>
    <row r="74" spans="2:8" s="4" customFormat="1" ht="24" customHeight="1">
      <c r="B74" s="777"/>
      <c r="C74" s="777"/>
      <c r="D74" s="777"/>
      <c r="E74" s="777"/>
      <c r="F74" s="777"/>
      <c r="G74" s="777"/>
      <c r="H74" s="777"/>
    </row>
    <row r="75" spans="2:8" s="4" customFormat="1" ht="31.5" customHeight="1">
      <c r="B75" s="777"/>
      <c r="C75" s="777"/>
      <c r="D75" s="777"/>
      <c r="E75" s="777"/>
      <c r="F75" s="777"/>
      <c r="G75" s="777"/>
      <c r="H75" s="777"/>
    </row>
    <row r="76" spans="2:8" s="4" customFormat="1" ht="26.25" customHeight="1">
      <c r="B76" s="775" t="s">
        <v>330</v>
      </c>
      <c r="C76" s="775"/>
      <c r="D76" s="775"/>
      <c r="E76" s="775"/>
      <c r="F76" s="775"/>
      <c r="G76" s="775"/>
      <c r="H76" s="775"/>
    </row>
    <row r="77" spans="2:8" s="4" customFormat="1"/>
    <row r="78" spans="2:8" s="4" customFormat="1"/>
    <row r="79" spans="2:8" s="4" customFormat="1"/>
    <row r="80" spans="2:8"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sheetData>
  <mergeCells count="30">
    <mergeCell ref="B76:H76"/>
    <mergeCell ref="C26:E26"/>
    <mergeCell ref="C19:E19"/>
    <mergeCell ref="C20:E20"/>
    <mergeCell ref="C21:E21"/>
    <mergeCell ref="C22:E22"/>
    <mergeCell ref="C23:E23"/>
    <mergeCell ref="B73:H75"/>
    <mergeCell ref="C32:I32"/>
    <mergeCell ref="C31:I31"/>
    <mergeCell ref="C33:I33"/>
    <mergeCell ref="C34:I34"/>
    <mergeCell ref="C35:I35"/>
    <mergeCell ref="C37:H37"/>
    <mergeCell ref="B30:I30"/>
    <mergeCell ref="C16:E16"/>
    <mergeCell ref="C17:E17"/>
    <mergeCell ref="C18:E18"/>
    <mergeCell ref="C24:E24"/>
    <mergeCell ref="C25:E25"/>
    <mergeCell ref="C13:E13"/>
    <mergeCell ref="C14:E14"/>
    <mergeCell ref="C15:E15"/>
    <mergeCell ref="C11:I11"/>
    <mergeCell ref="B2:F2"/>
    <mergeCell ref="C7:I7"/>
    <mergeCell ref="C10:I10"/>
    <mergeCell ref="C8:I8"/>
    <mergeCell ref="C9:I9"/>
    <mergeCell ref="B6:I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E75B6"/>
  </sheetPr>
  <dimension ref="A1:CF113"/>
  <sheetViews>
    <sheetView zoomScale="70" zoomScaleNormal="70" workbookViewId="0">
      <selection activeCell="BM84" sqref="BM84"/>
    </sheetView>
  </sheetViews>
  <sheetFormatPr baseColWidth="10" defaultColWidth="11.42578125" defaultRowHeight="13.9" customHeight="1"/>
  <cols>
    <col min="1" max="1" width="3.28515625" style="4" customWidth="1"/>
    <col min="2" max="2" width="36.7109375" style="4" customWidth="1"/>
    <col min="3" max="3" width="49" style="28" customWidth="1"/>
    <col min="4" max="4" width="13.42578125" style="28" customWidth="1"/>
    <col min="5" max="5" width="14.7109375" style="28" customWidth="1"/>
    <col min="6" max="6" width="15.42578125" style="28" customWidth="1"/>
    <col min="7" max="7" width="11.7109375" style="28" customWidth="1"/>
    <col min="8" max="8" width="15.140625" style="28" customWidth="1"/>
    <col min="9" max="9" width="14" style="28" customWidth="1"/>
    <col min="10" max="10" width="15.42578125" style="28" customWidth="1"/>
    <col min="11" max="11" width="13.42578125" style="28" customWidth="1"/>
    <col min="12" max="12" width="15.7109375" style="28" customWidth="1"/>
    <col min="13" max="13" width="14.85546875" style="28" customWidth="1"/>
    <col min="14" max="14" width="15.7109375" style="28" customWidth="1"/>
    <col min="15" max="15" width="13.42578125" style="28" customWidth="1"/>
    <col min="16" max="16" width="15.140625" style="28" customWidth="1"/>
    <col min="17" max="17" width="13.42578125" style="28" customWidth="1"/>
    <col min="18" max="18" width="14.85546875" style="28" customWidth="1"/>
    <col min="19" max="19" width="14" style="28" customWidth="1"/>
    <col min="20" max="21" width="15.42578125" style="28" customWidth="1"/>
    <col min="22" max="22" width="14.7109375" style="28" customWidth="1"/>
    <col min="23" max="23" width="14.140625" style="28" customWidth="1"/>
    <col min="24" max="24" width="15" style="28" customWidth="1"/>
    <col min="25" max="25" width="14.85546875" style="28" customWidth="1"/>
    <col min="26" max="27" width="15.140625" style="28" customWidth="1"/>
    <col min="28" max="28" width="14.7109375" style="28" customWidth="1"/>
    <col min="29" max="29" width="15.140625" style="28" customWidth="1"/>
    <col min="30" max="30" width="16.28515625" style="28" customWidth="1"/>
    <col min="31" max="31" width="15.140625" style="28" customWidth="1"/>
    <col min="32" max="32" width="17.28515625" style="28" customWidth="1"/>
    <col min="33" max="33" width="15.28515625" style="28" customWidth="1"/>
    <col min="34" max="34" width="14.7109375" style="28" customWidth="1"/>
    <col min="35" max="35" width="14.85546875" style="28" customWidth="1"/>
    <col min="36" max="36" width="14.7109375" style="28" customWidth="1"/>
    <col min="37" max="37" width="17.28515625" style="28" customWidth="1"/>
    <col min="38" max="38" width="13.42578125" style="28" customWidth="1"/>
    <col min="39" max="39" width="16.7109375" style="28" customWidth="1"/>
    <col min="40" max="40" width="14.85546875" style="28" customWidth="1"/>
    <col min="41" max="41" width="16.7109375" style="28" customWidth="1"/>
    <col min="42" max="42" width="15.42578125" style="28" customWidth="1"/>
    <col min="43" max="43" width="16.85546875" style="28" customWidth="1"/>
    <col min="44" max="44" width="14.7109375" style="28" customWidth="1"/>
    <col min="45" max="45" width="16.140625" style="28" customWidth="1"/>
    <col min="46" max="46" width="15.28515625" style="28" customWidth="1"/>
    <col min="47" max="47" width="16.28515625" style="28" customWidth="1"/>
    <col min="48" max="48" width="15.140625" style="28" customWidth="1"/>
    <col min="49" max="49" width="16.85546875" style="28" customWidth="1"/>
    <col min="50" max="50" width="16" style="28" customWidth="1"/>
    <col min="51" max="51" width="15.7109375" style="28" customWidth="1"/>
    <col min="52" max="52" width="15.28515625" style="28" customWidth="1"/>
    <col min="53" max="53" width="16.28515625" style="28" customWidth="1"/>
    <col min="54" max="54" width="14.28515625" style="28" customWidth="1"/>
    <col min="55" max="55" width="17" style="28" customWidth="1"/>
    <col min="56" max="56" width="16.7109375" style="28" customWidth="1"/>
    <col min="57" max="57" width="16.42578125" style="28" customWidth="1"/>
    <col min="58" max="58" width="14.85546875" style="28" customWidth="1"/>
    <col min="59" max="59" width="16.28515625" style="28" customWidth="1"/>
    <col min="60" max="60" width="15.28515625" style="28" customWidth="1"/>
    <col min="61" max="61" width="15.7109375" style="28" customWidth="1"/>
    <col min="62" max="62" width="14.7109375" style="28" customWidth="1"/>
    <col min="63" max="63" width="16" style="29" customWidth="1"/>
    <col min="64" max="68" width="16.5703125" style="4" customWidth="1"/>
    <col min="69" max="69" width="11.42578125" style="107" customWidth="1"/>
    <col min="70" max="70" width="30.42578125" style="28" customWidth="1"/>
    <col min="71" max="71" width="14.85546875" style="4" customWidth="1"/>
    <col min="72" max="72" width="14.28515625" style="4" customWidth="1"/>
    <col min="73" max="16384" width="11.42578125" style="4"/>
  </cols>
  <sheetData>
    <row r="1" spans="1:84" s="62" customFormat="1" ht="13.9" customHeight="1">
      <c r="B1" s="62" t="s">
        <v>148</v>
      </c>
      <c r="C1" s="55"/>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55"/>
      <c r="BL1" s="64"/>
      <c r="BM1" s="64"/>
      <c r="BN1" s="64"/>
      <c r="BO1" s="64"/>
      <c r="BP1" s="64"/>
      <c r="BQ1" s="105"/>
      <c r="BR1" s="75"/>
      <c r="BS1" s="64"/>
      <c r="BT1" s="65"/>
      <c r="BU1" s="64"/>
      <c r="BV1" s="55"/>
      <c r="BX1" s="55"/>
      <c r="BY1" s="55"/>
      <c r="BZ1" s="55"/>
      <c r="CC1" s="55"/>
      <c r="CE1" s="55"/>
      <c r="CF1" s="64"/>
    </row>
    <row r="2" spans="1:84" s="67" customFormat="1" ht="38.25">
      <c r="B2" s="185" t="s">
        <v>445</v>
      </c>
      <c r="C2" s="61"/>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1"/>
      <c r="BL2" s="69"/>
      <c r="BM2" s="69"/>
      <c r="BN2" s="69"/>
      <c r="BO2" s="69"/>
      <c r="BP2" s="69"/>
      <c r="BQ2" s="106"/>
      <c r="BR2" s="76"/>
      <c r="BS2" s="69"/>
      <c r="BT2" s="70"/>
      <c r="BU2" s="69"/>
      <c r="BV2" s="61"/>
      <c r="BX2" s="61"/>
      <c r="BY2" s="61"/>
      <c r="BZ2" s="61"/>
      <c r="CC2" s="61"/>
      <c r="CE2" s="61"/>
      <c r="CF2" s="69"/>
    </row>
    <row r="3" spans="1:84" s="225" customFormat="1" ht="13.9" customHeight="1">
      <c r="B3" s="55"/>
      <c r="C3" s="226"/>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6"/>
      <c r="BL3" s="228"/>
      <c r="BM3" s="228"/>
      <c r="BN3" s="228"/>
      <c r="BO3" s="228"/>
      <c r="BP3" s="228"/>
      <c r="BQ3" s="105"/>
      <c r="BR3" s="258"/>
      <c r="BS3" s="228"/>
      <c r="BT3" s="229"/>
      <c r="BU3" s="228"/>
      <c r="BV3" s="226"/>
      <c r="BX3" s="226"/>
      <c r="BY3" s="226"/>
      <c r="BZ3" s="226"/>
      <c r="CC3" s="226"/>
      <c r="CE3" s="226"/>
      <c r="CF3" s="228"/>
    </row>
    <row r="4" spans="1:84" s="231" customFormat="1" ht="13.9" customHeight="1">
      <c r="A4" s="231" t="s">
        <v>710</v>
      </c>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Q4" s="259"/>
      <c r="BR4" s="237"/>
    </row>
    <row r="5" spans="1:84" s="108" customFormat="1" ht="13.9" customHeight="1">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Q5" s="107"/>
      <c r="BR5" s="32" t="s">
        <v>151</v>
      </c>
    </row>
    <row r="8" spans="1:84" ht="13.9" customHeight="1">
      <c r="BR8" s="4"/>
    </row>
    <row r="9" spans="1:84" ht="13.9" customHeight="1">
      <c r="B9" s="785" t="s">
        <v>446</v>
      </c>
      <c r="C9" s="785"/>
      <c r="D9" s="785"/>
      <c r="E9" s="785"/>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c r="AT9" s="785"/>
      <c r="AU9" s="785"/>
      <c r="AV9" s="785"/>
      <c r="AW9" s="785"/>
      <c r="AX9" s="785"/>
      <c r="AY9" s="785"/>
      <c r="AZ9" s="785"/>
      <c r="BA9" s="785"/>
      <c r="BB9" s="785"/>
      <c r="BC9" s="785"/>
      <c r="BD9" s="785"/>
      <c r="BE9" s="785"/>
      <c r="BF9" s="785"/>
      <c r="BG9" s="785"/>
      <c r="BH9" s="785"/>
      <c r="BI9" s="785"/>
      <c r="BJ9" s="785"/>
      <c r="BK9" s="785"/>
      <c r="BL9" s="785"/>
      <c r="BM9" s="364"/>
      <c r="BN9" s="364"/>
      <c r="BO9" s="364"/>
      <c r="BP9" s="364"/>
    </row>
    <row r="10" spans="1:84" ht="13.9" customHeight="1" thickBot="1">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row>
    <row r="11" spans="1:84" s="238" customFormat="1" ht="19.5" customHeight="1">
      <c r="E11" s="609" t="s">
        <v>684</v>
      </c>
      <c r="F11" s="609" t="s">
        <v>685</v>
      </c>
      <c r="G11" s="783" t="s">
        <v>686</v>
      </c>
      <c r="H11" s="782"/>
      <c r="I11" s="781" t="s">
        <v>687</v>
      </c>
      <c r="J11" s="782"/>
      <c r="K11" s="781" t="s">
        <v>688</v>
      </c>
      <c r="L11" s="782"/>
      <c r="M11" s="781" t="s">
        <v>689</v>
      </c>
      <c r="N11" s="782"/>
      <c r="O11" s="781" t="s">
        <v>690</v>
      </c>
      <c r="P11" s="782"/>
      <c r="Q11" s="781" t="s">
        <v>691</v>
      </c>
      <c r="R11" s="782"/>
      <c r="S11" s="781" t="s">
        <v>692</v>
      </c>
      <c r="T11" s="782"/>
      <c r="U11" s="781" t="s">
        <v>693</v>
      </c>
      <c r="V11" s="782"/>
      <c r="W11" s="781" t="s">
        <v>303</v>
      </c>
      <c r="X11" s="782"/>
      <c r="Y11" s="781" t="s">
        <v>592</v>
      </c>
      <c r="Z11" s="782"/>
      <c r="AA11" s="781" t="s">
        <v>593</v>
      </c>
      <c r="AB11" s="782"/>
      <c r="AC11" s="781" t="s">
        <v>594</v>
      </c>
      <c r="AD11" s="782"/>
      <c r="AE11" s="781" t="s">
        <v>595</v>
      </c>
      <c r="AF11" s="782"/>
      <c r="AG11" s="781" t="s">
        <v>301</v>
      </c>
      <c r="AH11" s="782"/>
      <c r="AI11" s="781" t="s">
        <v>596</v>
      </c>
      <c r="AJ11" s="782"/>
      <c r="AK11" s="781" t="s">
        <v>597</v>
      </c>
      <c r="AL11" s="782"/>
      <c r="AM11" s="781" t="s">
        <v>598</v>
      </c>
      <c r="AN11" s="782"/>
      <c r="AO11" s="781" t="s">
        <v>591</v>
      </c>
      <c r="AP11" s="782"/>
      <c r="AQ11" s="781" t="s">
        <v>298</v>
      </c>
      <c r="AR11" s="782"/>
      <c r="AS11" s="781" t="s">
        <v>589</v>
      </c>
      <c r="AT11" s="782"/>
      <c r="AU11" s="781" t="s">
        <v>297</v>
      </c>
      <c r="AV11" s="782"/>
      <c r="AW11" s="781" t="s">
        <v>590</v>
      </c>
      <c r="AX11" s="782"/>
      <c r="AY11" s="781" t="s">
        <v>296</v>
      </c>
      <c r="AZ11" s="782"/>
      <c r="BA11" s="781" t="s">
        <v>588</v>
      </c>
      <c r="BB11" s="782"/>
      <c r="BC11" s="781" t="s">
        <v>295</v>
      </c>
      <c r="BD11" s="782"/>
      <c r="BE11" s="781" t="s">
        <v>586</v>
      </c>
      <c r="BF11" s="782"/>
      <c r="BG11" s="781" t="s">
        <v>587</v>
      </c>
      <c r="BH11" s="782"/>
      <c r="BI11" s="781" t="s">
        <v>158</v>
      </c>
      <c r="BJ11" s="782"/>
      <c r="BK11" s="781" t="s">
        <v>576</v>
      </c>
      <c r="BL11" s="782"/>
      <c r="BM11" s="781" t="s">
        <v>578</v>
      </c>
      <c r="BN11" s="782"/>
      <c r="BO11" s="781" t="s">
        <v>579</v>
      </c>
      <c r="BP11" s="782"/>
      <c r="BQ11" s="610"/>
    </row>
    <row r="12" spans="1:84" ht="45.6" customHeight="1">
      <c r="B12" s="236" t="s">
        <v>159</v>
      </c>
      <c r="C12" s="82" t="s">
        <v>160</v>
      </c>
      <c r="D12" s="574" t="s">
        <v>161</v>
      </c>
      <c r="E12" s="563" t="s">
        <v>447</v>
      </c>
      <c r="F12" s="563" t="s">
        <v>447</v>
      </c>
      <c r="G12" s="679" t="s">
        <v>162</v>
      </c>
      <c r="H12" s="531" t="s">
        <v>447</v>
      </c>
      <c r="I12" s="580" t="s">
        <v>162</v>
      </c>
      <c r="J12" s="531" t="s">
        <v>447</v>
      </c>
      <c r="K12" s="580" t="s">
        <v>162</v>
      </c>
      <c r="L12" s="531" t="s">
        <v>447</v>
      </c>
      <c r="M12" s="580" t="s">
        <v>162</v>
      </c>
      <c r="N12" s="531" t="s">
        <v>447</v>
      </c>
      <c r="O12" s="580" t="s">
        <v>162</v>
      </c>
      <c r="P12" s="531" t="s">
        <v>447</v>
      </c>
      <c r="Q12" s="580" t="s">
        <v>162</v>
      </c>
      <c r="R12" s="531" t="s">
        <v>447</v>
      </c>
      <c r="S12" s="580" t="s">
        <v>162</v>
      </c>
      <c r="T12" s="531" t="s">
        <v>447</v>
      </c>
      <c r="U12" s="580" t="s">
        <v>162</v>
      </c>
      <c r="V12" s="531" t="s">
        <v>447</v>
      </c>
      <c r="W12" s="580" t="s">
        <v>162</v>
      </c>
      <c r="X12" s="531" t="s">
        <v>447</v>
      </c>
      <c r="Y12" s="580" t="s">
        <v>162</v>
      </c>
      <c r="Z12" s="531" t="s">
        <v>447</v>
      </c>
      <c r="AA12" s="580" t="s">
        <v>162</v>
      </c>
      <c r="AB12" s="531" t="s">
        <v>447</v>
      </c>
      <c r="AC12" s="580" t="s">
        <v>162</v>
      </c>
      <c r="AD12" s="531" t="s">
        <v>447</v>
      </c>
      <c r="AE12" s="580" t="s">
        <v>162</v>
      </c>
      <c r="AF12" s="531" t="s">
        <v>447</v>
      </c>
      <c r="AG12" s="580" t="s">
        <v>162</v>
      </c>
      <c r="AH12" s="531" t="s">
        <v>447</v>
      </c>
      <c r="AI12" s="580" t="s">
        <v>162</v>
      </c>
      <c r="AJ12" s="531" t="s">
        <v>447</v>
      </c>
      <c r="AK12" s="580" t="s">
        <v>162</v>
      </c>
      <c r="AL12" s="531" t="s">
        <v>447</v>
      </c>
      <c r="AM12" s="580" t="s">
        <v>162</v>
      </c>
      <c r="AN12" s="531" t="s">
        <v>447</v>
      </c>
      <c r="AO12" s="580" t="s">
        <v>162</v>
      </c>
      <c r="AP12" s="531" t="s">
        <v>447</v>
      </c>
      <c r="AQ12" s="580" t="s">
        <v>162</v>
      </c>
      <c r="AR12" s="531" t="s">
        <v>447</v>
      </c>
      <c r="AS12" s="580" t="s">
        <v>162</v>
      </c>
      <c r="AT12" s="531" t="s">
        <v>447</v>
      </c>
      <c r="AU12" s="580" t="s">
        <v>162</v>
      </c>
      <c r="AV12" s="531" t="s">
        <v>447</v>
      </c>
      <c r="AW12" s="580" t="s">
        <v>162</v>
      </c>
      <c r="AX12" s="531" t="s">
        <v>447</v>
      </c>
      <c r="AY12" s="580" t="s">
        <v>162</v>
      </c>
      <c r="AZ12" s="531" t="s">
        <v>447</v>
      </c>
      <c r="BA12" s="580" t="s">
        <v>162</v>
      </c>
      <c r="BB12" s="531" t="s">
        <v>447</v>
      </c>
      <c r="BC12" s="580" t="s">
        <v>162</v>
      </c>
      <c r="BD12" s="531" t="s">
        <v>447</v>
      </c>
      <c r="BE12" s="580" t="s">
        <v>162</v>
      </c>
      <c r="BF12" s="531" t="s">
        <v>447</v>
      </c>
      <c r="BG12" s="580" t="s">
        <v>162</v>
      </c>
      <c r="BH12" s="531" t="s">
        <v>447</v>
      </c>
      <c r="BI12" s="580" t="s">
        <v>162</v>
      </c>
      <c r="BJ12" s="531" t="s">
        <v>447</v>
      </c>
      <c r="BK12" s="580" t="s">
        <v>162</v>
      </c>
      <c r="BL12" s="531" t="s">
        <v>447</v>
      </c>
      <c r="BM12" s="580" t="s">
        <v>162</v>
      </c>
      <c r="BN12" s="531" t="s">
        <v>447</v>
      </c>
      <c r="BO12" s="580" t="s">
        <v>162</v>
      </c>
      <c r="BP12" s="531" t="s">
        <v>447</v>
      </c>
      <c r="BR12" s="118" t="s">
        <v>448</v>
      </c>
      <c r="BS12" s="22" t="s">
        <v>335</v>
      </c>
      <c r="BT12" s="22" t="s">
        <v>449</v>
      </c>
    </row>
    <row r="13" spans="1:84" ht="13.9" customHeight="1">
      <c r="B13" s="751" t="s">
        <v>163</v>
      </c>
      <c r="C13" s="85" t="str">
        <f>'IB 5D2-(MYPE_I)(Pesca_A)_2021'!D15</f>
        <v>Carnes ahumadas</v>
      </c>
      <c r="D13" s="262" t="str">
        <f>'IB 5D2-(MYPE_I)(Pesca_A)_2021'!E15</f>
        <v>KG</v>
      </c>
      <c r="E13" s="588"/>
      <c r="F13" s="588"/>
      <c r="G13" s="524" t="str">
        <f>'IB 5D2-(MYPE_I)(Pesca_A)_2021'!F15</f>
        <v>(no reporta)</v>
      </c>
      <c r="H13" s="588"/>
      <c r="I13" s="104" t="str">
        <f>'IB 5D2-(MYPE_I)(Pesca_A)_2021'!G15</f>
        <v>(no reporta)</v>
      </c>
      <c r="J13" s="588"/>
      <c r="K13" s="104" t="str">
        <f>'IB 5D2-(MYPE_I)(Pesca_A)_2021'!H15</f>
        <v>(no reporta)</v>
      </c>
      <c r="L13" s="588"/>
      <c r="M13" s="587" t="str">
        <f>'IB 5D2-(MYPE_I)(Pesca_A)_2021'!I15</f>
        <v>(no reporta)</v>
      </c>
      <c r="N13" s="588"/>
      <c r="O13" s="587" t="str">
        <f>'IB 5D2-(MYPE_I)(Pesca_A)_2021'!J15</f>
        <v>(no reporta)</v>
      </c>
      <c r="P13" s="588"/>
      <c r="Q13" s="587" t="str">
        <f>'IB 5D2-(MYPE_I)(Pesca_A)_2021'!K15</f>
        <v>(no reporta)</v>
      </c>
      <c r="R13" s="588"/>
      <c r="S13" s="587" t="str">
        <f>'IB 5D2-(MYPE_I)(Pesca_A)_2021'!L15</f>
        <v>(no reporta)</v>
      </c>
      <c r="T13" s="588"/>
      <c r="U13" s="587" t="str">
        <f>'IB 5D2-(MYPE_I)(Pesca_A)_2021'!M15</f>
        <v>(no reporta)</v>
      </c>
      <c r="V13" s="588"/>
      <c r="W13" s="587" t="str">
        <f>'IB 5D2-(MYPE_I)(Pesca_A)_2021'!N15</f>
        <v>(no reporta)</v>
      </c>
      <c r="X13" s="588"/>
      <c r="Y13" s="587" t="str">
        <f>'IB 5D2-(MYPE_I)(Pesca_A)_2021'!O15</f>
        <v>(no reporta)</v>
      </c>
      <c r="Z13" s="588"/>
      <c r="AA13" s="587" t="str">
        <f>'IB 5D2-(MYPE_I)(Pesca_A)_2021'!P15</f>
        <v>(no reporta)</v>
      </c>
      <c r="AB13" s="588"/>
      <c r="AC13" s="587" t="str">
        <f>'IB 5D2-(MYPE_I)(Pesca_A)_2021'!Q15</f>
        <v>(no reporta)</v>
      </c>
      <c r="AD13" s="588"/>
      <c r="AE13" s="587" t="str">
        <f>'IB 5D2-(MYPE_I)(Pesca_A)_2021'!R15</f>
        <v>(no reporta)</v>
      </c>
      <c r="AF13" s="588"/>
      <c r="AG13" s="587" t="str">
        <f>'IB 5D2-(MYPE_I)(Pesca_A)_2021'!S15</f>
        <v>(no reporta)</v>
      </c>
      <c r="AH13" s="588"/>
      <c r="AI13" s="587" t="str">
        <f>'IB 5D2-(MYPE_I)(Pesca_A)_2021'!T15</f>
        <v>(no reporta)</v>
      </c>
      <c r="AJ13" s="588"/>
      <c r="AK13" s="587" t="str">
        <f>'IB 5D2-(MYPE_I)(Pesca_A)_2021'!U15</f>
        <v>(no reporta)</v>
      </c>
      <c r="AL13" s="588"/>
      <c r="AM13" s="587" t="str">
        <f>'IB 5D2-(MYPE_I)(Pesca_A)_2021'!V15</f>
        <v>(no reporta)</v>
      </c>
      <c r="AN13" s="588"/>
      <c r="AO13" s="587" t="str">
        <f>'IB 5D2-(MYPE_I)(Pesca_A)_2021'!W15</f>
        <v>(no reporta)</v>
      </c>
      <c r="AP13" s="588"/>
      <c r="AQ13" s="587" t="str">
        <f>'IB 5D2-(MYPE_I)(Pesca_A)_2021'!X15</f>
        <v>(no reporta)</v>
      </c>
      <c r="AR13" s="588"/>
      <c r="AS13" s="587" t="str">
        <f>'IB 5D2-(MYPE_I)(Pesca_A)_2021'!Y15</f>
        <v>(no reporta)</v>
      </c>
      <c r="AT13" s="588"/>
      <c r="AU13" s="581">
        <f>'IB 5D2-(MYPE_I)(Pesca_A)_2021'!Z15</f>
        <v>1774000</v>
      </c>
      <c r="AV13" s="582">
        <f>AU13/'Fac Conv'!$C$123</f>
        <v>1774</v>
      </c>
      <c r="AW13" s="581">
        <f>'IB 5D2-(MYPE_I)(Pesca_A)_2021'!AA15</f>
        <v>1899000</v>
      </c>
      <c r="AX13" s="582">
        <f>AW13/'Fac Conv'!$C$123</f>
        <v>1899</v>
      </c>
      <c r="AY13" s="581">
        <f>'IB 5D2-(MYPE_I)(Pesca_A)_2021'!AB15</f>
        <v>1849000</v>
      </c>
      <c r="AZ13" s="582">
        <f>AY13/'Fac Conv'!$C$123</f>
        <v>1849</v>
      </c>
      <c r="BA13" s="581">
        <f>'IB 5D2-(MYPE_I)(Pesca_A)_2021'!AC15</f>
        <v>1833671</v>
      </c>
      <c r="BB13" s="582">
        <f>BA13/'Fac Conv'!$C$123</f>
        <v>1833.671</v>
      </c>
      <c r="BC13" s="581">
        <f>'IB 5D2-(MYPE_I)(Pesca_A)_2021'!AD15</f>
        <v>1826000</v>
      </c>
      <c r="BD13" s="582">
        <f>BC13/'Fac Conv'!$C$123</f>
        <v>1826</v>
      </c>
      <c r="BE13" s="581">
        <f>'IB 5D2-(MYPE_I)(Pesca_A)_2021'!AE15</f>
        <v>1713716</v>
      </c>
      <c r="BF13" s="582">
        <f>BE13/'Fac Conv'!$C$123</f>
        <v>1713.7159999999999</v>
      </c>
      <c r="BG13" s="581">
        <f>'IB 5D2-(MYPE_I)(Pesca_A)_2021'!AF15</f>
        <v>1827000</v>
      </c>
      <c r="BH13" s="582">
        <f>BG13/'Fac Conv'!$C$123</f>
        <v>1827</v>
      </c>
      <c r="BI13" s="581">
        <f>'IB 5D2-(MYPE_I)(Pesca_A)_2021'!AG15</f>
        <v>2022370</v>
      </c>
      <c r="BJ13" s="582">
        <f>BI13/'Fac Conv'!$C$123</f>
        <v>2022.37</v>
      </c>
      <c r="BK13" s="581">
        <f>'IB 5D2-(MYPE_I)(Pesca_A)_2021'!AH15</f>
        <v>1691300</v>
      </c>
      <c r="BL13" s="582">
        <f>BK13/'Fac Conv'!$C$123</f>
        <v>1691.3</v>
      </c>
      <c r="BM13" s="581">
        <f>'IB 5D2-(MYPE_I)(Pesca_A)_2021'!AI15</f>
        <v>1983169</v>
      </c>
      <c r="BN13" s="582">
        <f>BM13/'Fac Conv'!$C$123</f>
        <v>1983.1690000000001</v>
      </c>
      <c r="BO13" s="581">
        <f>'IB 5D2-(MYPE_I)(Pesca_A)_2021'!AJ15</f>
        <v>1842483</v>
      </c>
      <c r="BP13" s="582">
        <f>BO13/'Fac Conv'!$C$123</f>
        <v>1842.4829999999999</v>
      </c>
      <c r="BR13" s="263" t="str">
        <f>'Fac Conv'!$G$15</f>
        <v>Carnes y aves</v>
      </c>
      <c r="BS13" s="263">
        <f>VLOOKUP(BR13,'Fac Conv'!$G$10:$K$25,2,FALSE)</f>
        <v>13</v>
      </c>
      <c r="BT13" s="263">
        <f>VLOOKUP(BR13,'Fac Conv'!$G$10:$K$25,4,FALSE)</f>
        <v>18</v>
      </c>
    </row>
    <row r="14" spans="1:84" ht="13.9" customHeight="1">
      <c r="B14" s="752"/>
      <c r="C14" s="87" t="str">
        <f>'IB 5D2-(MYPE_I)(Pesca_A)_2021'!D16</f>
        <v>Chorizos</v>
      </c>
      <c r="D14" s="510" t="str">
        <f>'IB 5D2-(MYPE_I)(Pesca_A)_2021'!E16</f>
        <v>KG</v>
      </c>
      <c r="E14" s="588"/>
      <c r="F14" s="588"/>
      <c r="G14" s="674" t="str">
        <f>'IB 5D2-(MYPE_I)(Pesca_A)_2021'!F16</f>
        <v>(no reporta)</v>
      </c>
      <c r="H14" s="588"/>
      <c r="I14" s="587" t="str">
        <f>'IB 5D2-(MYPE_I)(Pesca_A)_2021'!G16</f>
        <v>(no reporta)</v>
      </c>
      <c r="J14" s="588"/>
      <c r="K14" s="587" t="str">
        <f>'IB 5D2-(MYPE_I)(Pesca_A)_2021'!H16</f>
        <v>(no reporta)</v>
      </c>
      <c r="L14" s="588"/>
      <c r="M14" s="587" t="str">
        <f>'IB 5D2-(MYPE_I)(Pesca_A)_2021'!I16</f>
        <v>(no reporta)</v>
      </c>
      <c r="N14" s="588"/>
      <c r="O14" s="587" t="str">
        <f>'IB 5D2-(MYPE_I)(Pesca_A)_2021'!J16</f>
        <v>(no reporta)</v>
      </c>
      <c r="P14" s="588"/>
      <c r="Q14" s="587" t="str">
        <f>'IB 5D2-(MYPE_I)(Pesca_A)_2021'!K16</f>
        <v>(no reporta)</v>
      </c>
      <c r="R14" s="588"/>
      <c r="S14" s="587" t="str">
        <f>'IB 5D2-(MYPE_I)(Pesca_A)_2021'!L16</f>
        <v>(no reporta)</v>
      </c>
      <c r="T14" s="588"/>
      <c r="U14" s="587" t="str">
        <f>'IB 5D2-(MYPE_I)(Pesca_A)_2021'!M16</f>
        <v>(no reporta)</v>
      </c>
      <c r="V14" s="588"/>
      <c r="W14" s="587" t="str">
        <f>'IB 5D2-(MYPE_I)(Pesca_A)_2021'!N16</f>
        <v>(no reporta)</v>
      </c>
      <c r="X14" s="588"/>
      <c r="Y14" s="587" t="str">
        <f>'IB 5D2-(MYPE_I)(Pesca_A)_2021'!O16</f>
        <v>(no reporta)</v>
      </c>
      <c r="Z14" s="588"/>
      <c r="AA14" s="587" t="str">
        <f>'IB 5D2-(MYPE_I)(Pesca_A)_2021'!P16</f>
        <v>(no reporta)</v>
      </c>
      <c r="AB14" s="588"/>
      <c r="AC14" s="587" t="str">
        <f>'IB 5D2-(MYPE_I)(Pesca_A)_2021'!Q16</f>
        <v>(no reporta)</v>
      </c>
      <c r="AD14" s="588"/>
      <c r="AE14" s="587" t="str">
        <f>'IB 5D2-(MYPE_I)(Pesca_A)_2021'!R16</f>
        <v>(no reporta)</v>
      </c>
      <c r="AF14" s="588"/>
      <c r="AG14" s="587" t="str">
        <f>'IB 5D2-(MYPE_I)(Pesca_A)_2021'!S16</f>
        <v>(no reporta)</v>
      </c>
      <c r="AH14" s="588"/>
      <c r="AI14" s="587" t="str">
        <f>'IB 5D2-(MYPE_I)(Pesca_A)_2021'!T16</f>
        <v>(no reporta)</v>
      </c>
      <c r="AJ14" s="588"/>
      <c r="AK14" s="587" t="str">
        <f>'IB 5D2-(MYPE_I)(Pesca_A)_2021'!U16</f>
        <v>(no reporta)</v>
      </c>
      <c r="AL14" s="588"/>
      <c r="AM14" s="587" t="str">
        <f>'IB 5D2-(MYPE_I)(Pesca_A)_2021'!V16</f>
        <v>(no reporta)</v>
      </c>
      <c r="AN14" s="588"/>
      <c r="AO14" s="587" t="str">
        <f>'IB 5D2-(MYPE_I)(Pesca_A)_2021'!W16</f>
        <v>(no reporta)</v>
      </c>
      <c r="AP14" s="588"/>
      <c r="AQ14" s="587" t="str">
        <f>'IB 5D2-(MYPE_I)(Pesca_A)_2021'!X16</f>
        <v>(no reporta)</v>
      </c>
      <c r="AR14" s="588"/>
      <c r="AS14" s="587" t="str">
        <f>'IB 5D2-(MYPE_I)(Pesca_A)_2021'!Y16</f>
        <v>(no reporta)</v>
      </c>
      <c r="AT14" s="588"/>
      <c r="AU14" s="583">
        <f>'IB 5D2-(MYPE_I)(Pesca_A)_2021'!Z16</f>
        <v>5448000</v>
      </c>
      <c r="AV14" s="584">
        <f>AU14/'Fac Conv'!$C$123</f>
        <v>5448</v>
      </c>
      <c r="AW14" s="583">
        <f>'IB 5D2-(MYPE_I)(Pesca_A)_2021'!AA16</f>
        <v>6027000</v>
      </c>
      <c r="AX14" s="584">
        <f>AW14/'Fac Conv'!$C$123</f>
        <v>6027</v>
      </c>
      <c r="AY14" s="583">
        <f>'IB 5D2-(MYPE_I)(Pesca_A)_2021'!AB16</f>
        <v>6354000</v>
      </c>
      <c r="AZ14" s="584">
        <f>AY14/'Fac Conv'!$C$123</f>
        <v>6354</v>
      </c>
      <c r="BA14" s="583">
        <f>'IB 5D2-(MYPE_I)(Pesca_A)_2021'!AC16</f>
        <v>6749065</v>
      </c>
      <c r="BB14" s="584">
        <f>BA14/'Fac Conv'!$C$123</f>
        <v>6749.0649999999996</v>
      </c>
      <c r="BC14" s="583">
        <f>'IB 5D2-(MYPE_I)(Pesca_A)_2021'!AD16</f>
        <v>6357000</v>
      </c>
      <c r="BD14" s="584">
        <f>BC14/'Fac Conv'!$C$123</f>
        <v>6357</v>
      </c>
      <c r="BE14" s="583">
        <f>'IB 5D2-(MYPE_I)(Pesca_A)_2021'!AE16</f>
        <v>6968000</v>
      </c>
      <c r="BF14" s="584">
        <f>BE14/'Fac Conv'!$C$123</f>
        <v>6968</v>
      </c>
      <c r="BG14" s="583">
        <f>'IB 5D2-(MYPE_I)(Pesca_A)_2021'!AF16</f>
        <v>7999000</v>
      </c>
      <c r="BH14" s="584">
        <f>BG14/'Fac Conv'!$C$123</f>
        <v>7999</v>
      </c>
      <c r="BI14" s="583">
        <f>'IB 5D2-(MYPE_I)(Pesca_A)_2021'!AG16</f>
        <v>7365040</v>
      </c>
      <c r="BJ14" s="584">
        <f>BI14/'Fac Conv'!$C$123</f>
        <v>7365.04</v>
      </c>
      <c r="BK14" s="583">
        <f>'IB 5D2-(MYPE_I)(Pesca_A)_2021'!AH16</f>
        <v>6085700</v>
      </c>
      <c r="BL14" s="584">
        <f>BK14/'Fac Conv'!$C$123</f>
        <v>6085.7</v>
      </c>
      <c r="BM14" s="583">
        <f>'IB 5D2-(MYPE_I)(Pesca_A)_2021'!AI16</f>
        <v>6747514</v>
      </c>
      <c r="BN14" s="584">
        <f>BM14/'Fac Conv'!$C$123</f>
        <v>6747.5140000000001</v>
      </c>
      <c r="BO14" s="583">
        <f>'IB 5D2-(MYPE_I)(Pesca_A)_2021'!AJ16</f>
        <v>7682840</v>
      </c>
      <c r="BP14" s="584">
        <f>BO14/'Fac Conv'!$C$123</f>
        <v>7682.84</v>
      </c>
      <c r="BR14" s="263" t="str">
        <f>'Fac Conv'!$G$15</f>
        <v>Carnes y aves</v>
      </c>
      <c r="BS14" s="263">
        <f>VLOOKUP(BR14,'Fac Conv'!$G$10:$K$25,2,FALSE)</f>
        <v>13</v>
      </c>
      <c r="BT14" s="263">
        <f>VLOOKUP(BR14,'Fac Conv'!$G$10:$K$25,4,FALSE)</f>
        <v>18</v>
      </c>
    </row>
    <row r="15" spans="1:84" ht="13.9" customHeight="1">
      <c r="B15" s="752"/>
      <c r="C15" s="87" t="str">
        <f>'IB 5D2-(MYPE_I)(Pesca_A)_2021'!D17</f>
        <v>Hot dog - salchichas</v>
      </c>
      <c r="D15" s="510" t="str">
        <f>'IB 5D2-(MYPE_I)(Pesca_A)_2021'!E17</f>
        <v>TM/KG</v>
      </c>
      <c r="E15" s="588"/>
      <c r="F15" s="588"/>
      <c r="G15" s="674" t="str">
        <f>'IB 5D2-(MYPE_I)(Pesca_A)_2021'!F17</f>
        <v>(no reporta)</v>
      </c>
      <c r="H15" s="588"/>
      <c r="I15" s="587" t="str">
        <f>'IB 5D2-(MYPE_I)(Pesca_A)_2021'!G17</f>
        <v>(no reporta)</v>
      </c>
      <c r="J15" s="588"/>
      <c r="K15" s="587" t="str">
        <f>'IB 5D2-(MYPE_I)(Pesca_A)_2021'!H17</f>
        <v>(no reporta)</v>
      </c>
      <c r="L15" s="588"/>
      <c r="M15" s="587" t="str">
        <f>'IB 5D2-(MYPE_I)(Pesca_A)_2021'!I17</f>
        <v>(no reporta)</v>
      </c>
      <c r="N15" s="588"/>
      <c r="O15" s="587" t="str">
        <f>'IB 5D2-(MYPE_I)(Pesca_A)_2021'!J17</f>
        <v>(no reporta)</v>
      </c>
      <c r="P15" s="588"/>
      <c r="Q15" s="587" t="str">
        <f>'IB 5D2-(MYPE_I)(Pesca_A)_2021'!K17</f>
        <v>(no reporta)</v>
      </c>
      <c r="R15" s="588"/>
      <c r="S15" s="583">
        <f>'IB 5D2-(MYPE_I)(Pesca_A)_2021'!L17</f>
        <v>8533</v>
      </c>
      <c r="T15" s="585">
        <f>S15</f>
        <v>8533</v>
      </c>
      <c r="U15" s="583">
        <f>'IB 5D2-(MYPE_I)(Pesca_A)_2021'!M17</f>
        <v>9592</v>
      </c>
      <c r="V15" s="585">
        <f>U15</f>
        <v>9592</v>
      </c>
      <c r="W15" s="583">
        <f>'IB 5D2-(MYPE_I)(Pesca_A)_2021'!N17</f>
        <v>10159</v>
      </c>
      <c r="X15" s="585">
        <f>W15</f>
        <v>10159</v>
      </c>
      <c r="Y15" s="583">
        <f>'IB 5D2-(MYPE_I)(Pesca_A)_2021'!O17</f>
        <v>10337</v>
      </c>
      <c r="Z15" s="585">
        <f>Y15</f>
        <v>10337</v>
      </c>
      <c r="AA15" s="583">
        <f>'IB 5D2-(MYPE_I)(Pesca_A)_2021'!P17</f>
        <v>12145</v>
      </c>
      <c r="AB15" s="585">
        <f>AA15</f>
        <v>12145</v>
      </c>
      <c r="AC15" s="583">
        <f>'IB 5D2-(MYPE_I)(Pesca_A)_2021'!Q17</f>
        <v>12520000</v>
      </c>
      <c r="AD15" s="584">
        <f>AC15/'Fac Conv'!$C$123</f>
        <v>12520</v>
      </c>
      <c r="AE15" s="583">
        <f>'IB 5D2-(MYPE_I)(Pesca_A)_2021'!R17</f>
        <v>12738400</v>
      </c>
      <c r="AF15" s="584">
        <f>AE15/'Fac Conv'!$C$123</f>
        <v>12738.4</v>
      </c>
      <c r="AG15" s="583">
        <f>'IB 5D2-(MYPE_I)(Pesca_A)_2021'!S17</f>
        <v>13010000</v>
      </c>
      <c r="AH15" s="584">
        <f>AG15/'Fac Conv'!$C$123</f>
        <v>13010</v>
      </c>
      <c r="AI15" s="583">
        <f>'IB 5D2-(MYPE_I)(Pesca_A)_2021'!T17</f>
        <v>15708000</v>
      </c>
      <c r="AJ15" s="584">
        <f>AI15/'Fac Conv'!$C$123</f>
        <v>15708</v>
      </c>
      <c r="AK15" s="583">
        <f>'IB 5D2-(MYPE_I)(Pesca_A)_2021'!U17</f>
        <v>17542000</v>
      </c>
      <c r="AL15" s="584">
        <f>AK15/'Fac Conv'!$C$123</f>
        <v>17542</v>
      </c>
      <c r="AM15" s="583">
        <f>'IB 5D2-(MYPE_I)(Pesca_A)_2021'!V17</f>
        <v>20879000</v>
      </c>
      <c r="AN15" s="584">
        <f>AM15/'Fac Conv'!$C$123</f>
        <v>20879</v>
      </c>
      <c r="AO15" s="583">
        <f>'IB 5D2-(MYPE_I)(Pesca_A)_2021'!W17</f>
        <v>21175000</v>
      </c>
      <c r="AP15" s="584">
        <f>AO15/'Fac Conv'!$C$123</f>
        <v>21175</v>
      </c>
      <c r="AQ15" s="583">
        <f>'IB 5D2-(MYPE_I)(Pesca_A)_2021'!X17</f>
        <v>22240000</v>
      </c>
      <c r="AR15" s="584">
        <f>AQ15/'Fac Conv'!$C$123</f>
        <v>22240</v>
      </c>
      <c r="AS15" s="583">
        <f>'IB 5D2-(MYPE_I)(Pesca_A)_2021'!Y17</f>
        <v>23307000</v>
      </c>
      <c r="AT15" s="584">
        <f>AS15/'Fac Conv'!$C$123</f>
        <v>23307</v>
      </c>
      <c r="AU15" s="583">
        <f>'IB 5D2-(MYPE_I)(Pesca_A)_2021'!Z17</f>
        <v>23352000</v>
      </c>
      <c r="AV15" s="584">
        <f>AU15/'Fac Conv'!$C$123</f>
        <v>23352</v>
      </c>
      <c r="AW15" s="583">
        <f>'IB 5D2-(MYPE_I)(Pesca_A)_2021'!AA17</f>
        <v>24446000</v>
      </c>
      <c r="AX15" s="584">
        <f>AW15/'Fac Conv'!$C$123</f>
        <v>24446</v>
      </c>
      <c r="AY15" s="583">
        <f>'IB 5D2-(MYPE_I)(Pesca_A)_2021'!AB17</f>
        <v>25534000</v>
      </c>
      <c r="AZ15" s="584">
        <f>AY15/'Fac Conv'!$C$123</f>
        <v>25534</v>
      </c>
      <c r="BA15" s="583">
        <f>'IB 5D2-(MYPE_I)(Pesca_A)_2021'!AC17</f>
        <v>24981493</v>
      </c>
      <c r="BB15" s="584">
        <f>BA15/'Fac Conv'!$C$123</f>
        <v>24981.492999999999</v>
      </c>
      <c r="BC15" s="583">
        <f>'IB 5D2-(MYPE_I)(Pesca_A)_2021'!AD17</f>
        <v>27297300</v>
      </c>
      <c r="BD15" s="584">
        <f>BC15/'Fac Conv'!$C$123</f>
        <v>27297.3</v>
      </c>
      <c r="BE15" s="583">
        <f>'IB 5D2-(MYPE_I)(Pesca_A)_2021'!AE17</f>
        <v>31159000</v>
      </c>
      <c r="BF15" s="584">
        <f>BE15/'Fac Conv'!$C$123</f>
        <v>31159</v>
      </c>
      <c r="BG15" s="583">
        <f>'IB 5D2-(MYPE_I)(Pesca_A)_2021'!AF17</f>
        <v>41746000</v>
      </c>
      <c r="BH15" s="584">
        <f>BG15/'Fac Conv'!$C$123</f>
        <v>41746</v>
      </c>
      <c r="BI15" s="583">
        <f>'IB 5D2-(MYPE_I)(Pesca_A)_2021'!AG17</f>
        <v>32274220</v>
      </c>
      <c r="BJ15" s="584">
        <f>BI15/'Fac Conv'!$C$123</f>
        <v>32274.22</v>
      </c>
      <c r="BK15" s="583">
        <f>'IB 5D2-(MYPE_I)(Pesca_A)_2021'!AH17</f>
        <v>29276000</v>
      </c>
      <c r="BL15" s="584">
        <f>BK15/'Fac Conv'!$C$123</f>
        <v>29276</v>
      </c>
      <c r="BM15" s="583">
        <f>'IB 5D2-(MYPE_I)(Pesca_A)_2021'!AI17</f>
        <v>28847632</v>
      </c>
      <c r="BN15" s="584">
        <f>BM15/'Fac Conv'!$C$123</f>
        <v>28847.632000000001</v>
      </c>
      <c r="BO15" s="583">
        <f>'IB 5D2-(MYPE_I)(Pesca_A)_2021'!AJ17</f>
        <v>30529258</v>
      </c>
      <c r="BP15" s="584">
        <f>BO15/'Fac Conv'!$C$123</f>
        <v>30529.258000000002</v>
      </c>
      <c r="BR15" s="263" t="str">
        <f>'Fac Conv'!$G$15</f>
        <v>Carnes y aves</v>
      </c>
      <c r="BS15" s="263">
        <f>VLOOKUP(BR15,'Fac Conv'!$G$10:$K$25,2,FALSE)</f>
        <v>13</v>
      </c>
      <c r="BT15" s="263">
        <f>VLOOKUP(BR15,'Fac Conv'!$G$10:$K$25,4,FALSE)</f>
        <v>18</v>
      </c>
    </row>
    <row r="16" spans="1:84" ht="13.9" customHeight="1">
      <c r="B16" s="752"/>
      <c r="C16" s="87" t="str">
        <f>'IB 5D2-(MYPE_I)(Pesca_A)_2021'!D18</f>
        <v>Jamón</v>
      </c>
      <c r="D16" s="510" t="str">
        <f>'IB 5D2-(MYPE_I)(Pesca_A)_2021'!E18</f>
        <v>TM/KG</v>
      </c>
      <c r="E16" s="588"/>
      <c r="F16" s="588"/>
      <c r="G16" s="674" t="str">
        <f>'IB 5D2-(MYPE_I)(Pesca_A)_2021'!F18</f>
        <v>(no reporta)</v>
      </c>
      <c r="H16" s="588"/>
      <c r="I16" s="587" t="str">
        <f>'IB 5D2-(MYPE_I)(Pesca_A)_2021'!G18</f>
        <v>(no reporta)</v>
      </c>
      <c r="J16" s="588"/>
      <c r="K16" s="587" t="str">
        <f>'IB 5D2-(MYPE_I)(Pesca_A)_2021'!H18</f>
        <v>(no reporta)</v>
      </c>
      <c r="L16" s="588"/>
      <c r="M16" s="587" t="str">
        <f>'IB 5D2-(MYPE_I)(Pesca_A)_2021'!I18</f>
        <v>(no reporta)</v>
      </c>
      <c r="N16" s="588"/>
      <c r="O16" s="587" t="str">
        <f>'IB 5D2-(MYPE_I)(Pesca_A)_2021'!J18</f>
        <v>(no reporta)</v>
      </c>
      <c r="P16" s="588"/>
      <c r="Q16" s="587" t="str">
        <f>'IB 5D2-(MYPE_I)(Pesca_A)_2021'!K18</f>
        <v>(no reporta)</v>
      </c>
      <c r="R16" s="588"/>
      <c r="S16" s="583">
        <f>'IB 5D2-(MYPE_I)(Pesca_A)_2021'!L18</f>
        <v>2805</v>
      </c>
      <c r="T16" s="585">
        <f t="shared" ref="T16" si="0">S16</f>
        <v>2805</v>
      </c>
      <c r="U16" s="583">
        <f>'IB 5D2-(MYPE_I)(Pesca_A)_2021'!M18</f>
        <v>2741.3</v>
      </c>
      <c r="V16" s="585">
        <f t="shared" ref="V16:X16" si="1">U16</f>
        <v>2741.3</v>
      </c>
      <c r="W16" s="583">
        <f>'IB 5D2-(MYPE_I)(Pesca_A)_2021'!N18</f>
        <v>2903</v>
      </c>
      <c r="X16" s="585">
        <f t="shared" si="1"/>
        <v>2903</v>
      </c>
      <c r="Y16" s="583">
        <f>'IB 5D2-(MYPE_I)(Pesca_A)_2021'!O18</f>
        <v>2950</v>
      </c>
      <c r="Z16" s="585">
        <f t="shared" ref="Z16:AB19" si="2">Y16</f>
        <v>2950</v>
      </c>
      <c r="AA16" s="583">
        <f>'IB 5D2-(MYPE_I)(Pesca_A)_2021'!P18</f>
        <v>3035</v>
      </c>
      <c r="AB16" s="585">
        <f t="shared" si="2"/>
        <v>3035</v>
      </c>
      <c r="AC16" s="583">
        <f>'IB 5D2-(MYPE_I)(Pesca_A)_2021'!Q18</f>
        <v>3212000</v>
      </c>
      <c r="AD16" s="584">
        <f>AC16/'Fac Conv'!$C$123</f>
        <v>3212</v>
      </c>
      <c r="AE16" s="583">
        <f>'IB 5D2-(MYPE_I)(Pesca_A)_2021'!R18</f>
        <v>3425800</v>
      </c>
      <c r="AF16" s="584">
        <f>AE16/'Fac Conv'!$C$123</f>
        <v>3425.8</v>
      </c>
      <c r="AG16" s="583">
        <f>'IB 5D2-(MYPE_I)(Pesca_A)_2021'!S18</f>
        <v>3705000</v>
      </c>
      <c r="AH16" s="584">
        <f>AG16/'Fac Conv'!$C$123</f>
        <v>3705</v>
      </c>
      <c r="AI16" s="583">
        <f>'IB 5D2-(MYPE_I)(Pesca_A)_2021'!T18</f>
        <v>4011000</v>
      </c>
      <c r="AJ16" s="584">
        <f>AI16/'Fac Conv'!$C$123</f>
        <v>4011</v>
      </c>
      <c r="AK16" s="583">
        <f>'IB 5D2-(MYPE_I)(Pesca_A)_2021'!U18</f>
        <v>4376000</v>
      </c>
      <c r="AL16" s="584">
        <f>AK16/'Fac Conv'!$C$123</f>
        <v>4376</v>
      </c>
      <c r="AM16" s="583">
        <f>'IB 5D2-(MYPE_I)(Pesca_A)_2021'!V18</f>
        <v>4807000</v>
      </c>
      <c r="AN16" s="584">
        <f>AM16/'Fac Conv'!$C$123</f>
        <v>4807</v>
      </c>
      <c r="AO16" s="583">
        <f>'IB 5D2-(MYPE_I)(Pesca_A)_2021'!W18</f>
        <v>4861000</v>
      </c>
      <c r="AP16" s="584">
        <f>AO16/'Fac Conv'!$C$123</f>
        <v>4861</v>
      </c>
      <c r="AQ16" s="583">
        <f>'IB 5D2-(MYPE_I)(Pesca_A)_2021'!X18</f>
        <v>5496000</v>
      </c>
      <c r="AR16" s="584">
        <f>AQ16/'Fac Conv'!$C$123</f>
        <v>5496</v>
      </c>
      <c r="AS16" s="583">
        <f>'IB 5D2-(MYPE_I)(Pesca_A)_2021'!Y18</f>
        <v>6072000</v>
      </c>
      <c r="AT16" s="584">
        <f>AS16/'Fac Conv'!$C$123</f>
        <v>6072</v>
      </c>
      <c r="AU16" s="583">
        <f>'IB 5D2-(MYPE_I)(Pesca_A)_2021'!Z18</f>
        <v>6477000</v>
      </c>
      <c r="AV16" s="584">
        <f>AU16/'Fac Conv'!$C$123</f>
        <v>6477</v>
      </c>
      <c r="AW16" s="583">
        <f>'IB 5D2-(MYPE_I)(Pesca_A)_2021'!AA18</f>
        <v>7138000</v>
      </c>
      <c r="AX16" s="584">
        <f>AW16/'Fac Conv'!$C$123</f>
        <v>7138</v>
      </c>
      <c r="AY16" s="583">
        <f>'IB 5D2-(MYPE_I)(Pesca_A)_2021'!AB18</f>
        <v>7536601</v>
      </c>
      <c r="AZ16" s="584">
        <f>AY16/'Fac Conv'!$C$123</f>
        <v>7536.6009999999997</v>
      </c>
      <c r="BA16" s="583">
        <f>'IB 5D2-(MYPE_I)(Pesca_A)_2021'!AC18</f>
        <v>7486960</v>
      </c>
      <c r="BB16" s="584">
        <f>BA16/'Fac Conv'!$C$123</f>
        <v>7486.96</v>
      </c>
      <c r="BC16" s="583">
        <f>'IB 5D2-(MYPE_I)(Pesca_A)_2021'!AD18</f>
        <v>7045400</v>
      </c>
      <c r="BD16" s="584">
        <f>BC16/'Fac Conv'!$C$123</f>
        <v>7045.4</v>
      </c>
      <c r="BE16" s="583">
        <f>'IB 5D2-(MYPE_I)(Pesca_A)_2021'!AE18</f>
        <v>7192157</v>
      </c>
      <c r="BF16" s="584">
        <f>BE16/'Fac Conv'!$C$123</f>
        <v>7192.1570000000002</v>
      </c>
      <c r="BG16" s="583">
        <f>'IB 5D2-(MYPE_I)(Pesca_A)_2021'!AF18</f>
        <v>9216000</v>
      </c>
      <c r="BH16" s="584">
        <f>BG16/'Fac Conv'!$C$123</f>
        <v>9216</v>
      </c>
      <c r="BI16" s="583">
        <f>'IB 5D2-(MYPE_I)(Pesca_A)_2021'!AG18</f>
        <v>8939330</v>
      </c>
      <c r="BJ16" s="584">
        <f>BI16/'Fac Conv'!$C$123</f>
        <v>8939.33</v>
      </c>
      <c r="BK16" s="583">
        <f>'IB 5D2-(MYPE_I)(Pesca_A)_2021'!AH18</f>
        <v>8047100</v>
      </c>
      <c r="BL16" s="584">
        <f>BK16/'Fac Conv'!$C$123</f>
        <v>8047.1</v>
      </c>
      <c r="BM16" s="583">
        <f>'IB 5D2-(MYPE_I)(Pesca_A)_2021'!AI18</f>
        <v>9220800</v>
      </c>
      <c r="BN16" s="584">
        <f>BM16/'Fac Conv'!$C$123</f>
        <v>9220.7999999999993</v>
      </c>
      <c r="BO16" s="583">
        <f>'IB 5D2-(MYPE_I)(Pesca_A)_2021'!AJ18</f>
        <v>10129062</v>
      </c>
      <c r="BP16" s="584">
        <f>BO16/'Fac Conv'!$C$123</f>
        <v>10129.062</v>
      </c>
      <c r="BR16" s="263" t="str">
        <f>'Fac Conv'!$G$15</f>
        <v>Carnes y aves</v>
      </c>
      <c r="BS16" s="263">
        <f>VLOOKUP(BR16,'Fac Conv'!$G$10:$K$25,2,FALSE)</f>
        <v>13</v>
      </c>
      <c r="BT16" s="263">
        <f>VLOOKUP(BR16,'Fac Conv'!$G$10:$K$25,4,FALSE)</f>
        <v>18</v>
      </c>
    </row>
    <row r="17" spans="2:72" ht="13.9" customHeight="1">
      <c r="B17" s="752"/>
      <c r="C17" s="87" t="str">
        <f>'IB 5D2-(MYPE_I)(Pesca_A)_2021'!D19</f>
        <v>Jamonada</v>
      </c>
      <c r="D17" s="510" t="str">
        <f>'IB 5D2-(MYPE_I)(Pesca_A)_2021'!E19</f>
        <v>TM/KG</v>
      </c>
      <c r="E17" s="588"/>
      <c r="F17" s="588"/>
      <c r="G17" s="674" t="str">
        <f>'IB 5D2-(MYPE_I)(Pesca_A)_2021'!F19</f>
        <v>(no reporta)</v>
      </c>
      <c r="H17" s="588"/>
      <c r="I17" s="587" t="str">
        <f>'IB 5D2-(MYPE_I)(Pesca_A)_2021'!G19</f>
        <v>(no reporta)</v>
      </c>
      <c r="J17" s="588"/>
      <c r="K17" s="587" t="str">
        <f>'IB 5D2-(MYPE_I)(Pesca_A)_2021'!H19</f>
        <v>(no reporta)</v>
      </c>
      <c r="L17" s="588"/>
      <c r="M17" s="587" t="str">
        <f>'IB 5D2-(MYPE_I)(Pesca_A)_2021'!I19</f>
        <v>(no reporta)</v>
      </c>
      <c r="N17" s="588"/>
      <c r="O17" s="587" t="str">
        <f>'IB 5D2-(MYPE_I)(Pesca_A)_2021'!J19</f>
        <v>(no reporta)</v>
      </c>
      <c r="P17" s="588"/>
      <c r="Q17" s="587" t="str">
        <f>'IB 5D2-(MYPE_I)(Pesca_A)_2021'!K19</f>
        <v>(no reporta)</v>
      </c>
      <c r="R17" s="588"/>
      <c r="S17" s="583">
        <f>'IB 5D2-(MYPE_I)(Pesca_A)_2021'!L19</f>
        <v>6078</v>
      </c>
      <c r="T17" s="585">
        <f t="shared" ref="T17" si="3">S17</f>
        <v>6078</v>
      </c>
      <c r="U17" s="583">
        <f>'IB 5D2-(MYPE_I)(Pesca_A)_2021'!M19</f>
        <v>6149</v>
      </c>
      <c r="V17" s="585">
        <f t="shared" ref="V17:X17" si="4">U17</f>
        <v>6149</v>
      </c>
      <c r="W17" s="583">
        <f>'IB 5D2-(MYPE_I)(Pesca_A)_2021'!N19</f>
        <v>6692</v>
      </c>
      <c r="X17" s="585">
        <f t="shared" si="4"/>
        <v>6692</v>
      </c>
      <c r="Y17" s="583">
        <f>'IB 5D2-(MYPE_I)(Pesca_A)_2021'!O19</f>
        <v>6987</v>
      </c>
      <c r="Z17" s="585">
        <f t="shared" si="2"/>
        <v>6987</v>
      </c>
      <c r="AA17" s="583">
        <f>'IB 5D2-(MYPE_I)(Pesca_A)_2021'!P19</f>
        <v>8315</v>
      </c>
      <c r="AB17" s="585">
        <f t="shared" si="2"/>
        <v>8315</v>
      </c>
      <c r="AC17" s="583">
        <f>'IB 5D2-(MYPE_I)(Pesca_A)_2021'!Q19</f>
        <v>8170000</v>
      </c>
      <c r="AD17" s="584">
        <f>AC17/'Fac Conv'!$C$123</f>
        <v>8170</v>
      </c>
      <c r="AE17" s="583">
        <f>'IB 5D2-(MYPE_I)(Pesca_A)_2021'!R19</f>
        <v>8498500</v>
      </c>
      <c r="AF17" s="584">
        <f>AE17/'Fac Conv'!$C$123</f>
        <v>8498.5</v>
      </c>
      <c r="AG17" s="583">
        <f>'IB 5D2-(MYPE_I)(Pesca_A)_2021'!S19</f>
        <v>8642000</v>
      </c>
      <c r="AH17" s="584">
        <f>AG17/'Fac Conv'!$C$123</f>
        <v>8642</v>
      </c>
      <c r="AI17" s="583">
        <f>'IB 5D2-(MYPE_I)(Pesca_A)_2021'!T19</f>
        <v>9289000</v>
      </c>
      <c r="AJ17" s="584">
        <f>AI17/'Fac Conv'!$C$123</f>
        <v>9289</v>
      </c>
      <c r="AK17" s="583">
        <f>'IB 5D2-(MYPE_I)(Pesca_A)_2021'!U19</f>
        <v>9867000</v>
      </c>
      <c r="AL17" s="584">
        <f>AK17/'Fac Conv'!$C$123</f>
        <v>9867</v>
      </c>
      <c r="AM17" s="583">
        <f>'IB 5D2-(MYPE_I)(Pesca_A)_2021'!V19</f>
        <v>10758000</v>
      </c>
      <c r="AN17" s="584">
        <f>AM17/'Fac Conv'!$C$123</f>
        <v>10758</v>
      </c>
      <c r="AO17" s="583">
        <f>'IB 5D2-(MYPE_I)(Pesca_A)_2021'!W19</f>
        <v>10889000</v>
      </c>
      <c r="AP17" s="584">
        <f>AO17/'Fac Conv'!$C$123</f>
        <v>10889</v>
      </c>
      <c r="AQ17" s="583">
        <f>'IB 5D2-(MYPE_I)(Pesca_A)_2021'!X19</f>
        <v>11012000</v>
      </c>
      <c r="AR17" s="584">
        <f>AQ17/'Fac Conv'!$C$123</f>
        <v>11012</v>
      </c>
      <c r="AS17" s="583">
        <f>'IB 5D2-(MYPE_I)(Pesca_A)_2021'!Y19</f>
        <v>11250000</v>
      </c>
      <c r="AT17" s="584">
        <f>AS17/'Fac Conv'!$C$123</f>
        <v>11250</v>
      </c>
      <c r="AU17" s="583">
        <f>'IB 5D2-(MYPE_I)(Pesca_A)_2021'!Z19</f>
        <v>11668250</v>
      </c>
      <c r="AV17" s="584">
        <f>AU17/'Fac Conv'!$C$123</f>
        <v>11668.25</v>
      </c>
      <c r="AW17" s="583">
        <f>'IB 5D2-(MYPE_I)(Pesca_A)_2021'!AA19</f>
        <v>12146000</v>
      </c>
      <c r="AX17" s="584">
        <f>AW17/'Fac Conv'!$C$123</f>
        <v>12146</v>
      </c>
      <c r="AY17" s="583">
        <f>'IB 5D2-(MYPE_I)(Pesca_A)_2021'!AB19</f>
        <v>11911000</v>
      </c>
      <c r="AZ17" s="584">
        <f>AY17/'Fac Conv'!$C$123</f>
        <v>11911</v>
      </c>
      <c r="BA17" s="583">
        <f>'IB 5D2-(MYPE_I)(Pesca_A)_2021'!AC19</f>
        <v>11575419</v>
      </c>
      <c r="BB17" s="584">
        <f>BA17/'Fac Conv'!$C$123</f>
        <v>11575.419</v>
      </c>
      <c r="BC17" s="583">
        <f>'IB 5D2-(MYPE_I)(Pesca_A)_2021'!AD19</f>
        <v>11690000</v>
      </c>
      <c r="BD17" s="584">
        <f>BC17/'Fac Conv'!$C$123</f>
        <v>11690</v>
      </c>
      <c r="BE17" s="583">
        <f>'IB 5D2-(MYPE_I)(Pesca_A)_2021'!AE19</f>
        <v>12679654</v>
      </c>
      <c r="BF17" s="584">
        <f>BE17/'Fac Conv'!$C$123</f>
        <v>12679.654</v>
      </c>
      <c r="BG17" s="583">
        <f>'IB 5D2-(MYPE_I)(Pesca_A)_2021'!AF19</f>
        <v>15361000</v>
      </c>
      <c r="BH17" s="584">
        <f>BG17/'Fac Conv'!$C$123</f>
        <v>15361</v>
      </c>
      <c r="BI17" s="583">
        <f>'IB 5D2-(MYPE_I)(Pesca_A)_2021'!AG19</f>
        <v>11938880</v>
      </c>
      <c r="BJ17" s="584">
        <f>BI17/'Fac Conv'!$C$123</f>
        <v>11938.88</v>
      </c>
      <c r="BK17" s="583">
        <f>'IB 5D2-(MYPE_I)(Pesca_A)_2021'!AH19</f>
        <v>10173000</v>
      </c>
      <c r="BL17" s="584">
        <f>BK17/'Fac Conv'!$C$123</f>
        <v>10173</v>
      </c>
      <c r="BM17" s="583">
        <f>'IB 5D2-(MYPE_I)(Pesca_A)_2021'!AI19</f>
        <v>10471839</v>
      </c>
      <c r="BN17" s="584">
        <f>BM17/'Fac Conv'!$C$123</f>
        <v>10471.839</v>
      </c>
      <c r="BO17" s="583">
        <f>'IB 5D2-(MYPE_I)(Pesca_A)_2021'!AJ19</f>
        <v>11232998</v>
      </c>
      <c r="BP17" s="584">
        <f>BO17/'Fac Conv'!$C$123</f>
        <v>11232.998</v>
      </c>
      <c r="BR17" s="263" t="str">
        <f>'Fac Conv'!$G$15</f>
        <v>Carnes y aves</v>
      </c>
      <c r="BS17" s="263">
        <f>VLOOKUP(BR17,'Fac Conv'!$G$10:$K$25,2,FALSE)</f>
        <v>13</v>
      </c>
      <c r="BT17" s="263">
        <f>VLOOKUP(BR17,'Fac Conv'!$G$10:$K$25,4,FALSE)</f>
        <v>18</v>
      </c>
    </row>
    <row r="18" spans="2:72" ht="13.9" customHeight="1">
      <c r="B18" s="752"/>
      <c r="C18" s="87" t="str">
        <f>'IB 5D2-(MYPE_I)(Pesca_A)_2021'!D20</f>
        <v>Paté</v>
      </c>
      <c r="D18" s="510" t="str">
        <f>'IB 5D2-(MYPE_I)(Pesca_A)_2021'!E20</f>
        <v>KG</v>
      </c>
      <c r="E18" s="588"/>
      <c r="F18" s="588"/>
      <c r="G18" s="674" t="str">
        <f>'IB 5D2-(MYPE_I)(Pesca_A)_2021'!F20</f>
        <v>(no reporta)</v>
      </c>
      <c r="H18" s="588"/>
      <c r="I18" s="587" t="str">
        <f>'IB 5D2-(MYPE_I)(Pesca_A)_2021'!G20</f>
        <v>(no reporta)</v>
      </c>
      <c r="J18" s="588"/>
      <c r="K18" s="587" t="str">
        <f>'IB 5D2-(MYPE_I)(Pesca_A)_2021'!H20</f>
        <v>(no reporta)</v>
      </c>
      <c r="L18" s="588"/>
      <c r="M18" s="587" t="str">
        <f>'IB 5D2-(MYPE_I)(Pesca_A)_2021'!I20</f>
        <v>(no reporta)</v>
      </c>
      <c r="N18" s="588"/>
      <c r="O18" s="587" t="str">
        <f>'IB 5D2-(MYPE_I)(Pesca_A)_2021'!J20</f>
        <v>(no reporta)</v>
      </c>
      <c r="P18" s="588"/>
      <c r="Q18" s="587" t="str">
        <f>'IB 5D2-(MYPE_I)(Pesca_A)_2021'!K20</f>
        <v>(no reporta)</v>
      </c>
      <c r="R18" s="588"/>
      <c r="S18" s="587" t="str">
        <f>'IB 5D2-(MYPE_I)(Pesca_A)_2021'!L20</f>
        <v>(no reporta)</v>
      </c>
      <c r="T18" s="588"/>
      <c r="U18" s="587" t="str">
        <f>'IB 5D2-(MYPE_I)(Pesca_A)_2021'!M20</f>
        <v>(no reporta)</v>
      </c>
      <c r="V18" s="588"/>
      <c r="W18" s="587" t="str">
        <f>'IB 5D2-(MYPE_I)(Pesca_A)_2021'!N20</f>
        <v>(no reporta)</v>
      </c>
      <c r="X18" s="588"/>
      <c r="Y18" s="587" t="str">
        <f>'IB 5D2-(MYPE_I)(Pesca_A)_2021'!O20</f>
        <v>(no reporta)</v>
      </c>
      <c r="Z18" s="588"/>
      <c r="AA18" s="587" t="str">
        <f>'IB 5D2-(MYPE_I)(Pesca_A)_2021'!P20</f>
        <v>(no reporta)</v>
      </c>
      <c r="AB18" s="588"/>
      <c r="AC18" s="587" t="str">
        <f>'IB 5D2-(MYPE_I)(Pesca_A)_2021'!Q20</f>
        <v>(no reporta)</v>
      </c>
      <c r="AD18" s="588"/>
      <c r="AE18" s="587" t="str">
        <f>'IB 5D2-(MYPE_I)(Pesca_A)_2021'!R20</f>
        <v>(no reporta)</v>
      </c>
      <c r="AF18" s="588"/>
      <c r="AG18" s="587" t="str">
        <f>'IB 5D2-(MYPE_I)(Pesca_A)_2021'!S20</f>
        <v>(no reporta)</v>
      </c>
      <c r="AH18" s="588"/>
      <c r="AI18" s="587" t="str">
        <f>'IB 5D2-(MYPE_I)(Pesca_A)_2021'!T20</f>
        <v>(no reporta)</v>
      </c>
      <c r="AJ18" s="588"/>
      <c r="AK18" s="587" t="str">
        <f>'IB 5D2-(MYPE_I)(Pesca_A)_2021'!U20</f>
        <v>(no reporta)</v>
      </c>
      <c r="AL18" s="588"/>
      <c r="AM18" s="587" t="str">
        <f>'IB 5D2-(MYPE_I)(Pesca_A)_2021'!V20</f>
        <v>(no reporta)</v>
      </c>
      <c r="AN18" s="588"/>
      <c r="AO18" s="587" t="str">
        <f>'IB 5D2-(MYPE_I)(Pesca_A)_2021'!W20</f>
        <v>(no reporta)</v>
      </c>
      <c r="AP18" s="588"/>
      <c r="AQ18" s="587" t="str">
        <f>'IB 5D2-(MYPE_I)(Pesca_A)_2021'!X20</f>
        <v>(no reporta)</v>
      </c>
      <c r="AR18" s="588"/>
      <c r="AS18" s="587" t="str">
        <f>'IB 5D2-(MYPE_I)(Pesca_A)_2021'!Y20</f>
        <v>(no reporta)</v>
      </c>
      <c r="AT18" s="588"/>
      <c r="AU18" s="583">
        <f>'IB 5D2-(MYPE_I)(Pesca_A)_2021'!Z20</f>
        <v>514000</v>
      </c>
      <c r="AV18" s="584">
        <f>AU18/'Fac Conv'!$C$123</f>
        <v>514</v>
      </c>
      <c r="AW18" s="583">
        <f>'IB 5D2-(MYPE_I)(Pesca_A)_2021'!AA20</f>
        <v>571000</v>
      </c>
      <c r="AX18" s="584">
        <f>AW18/'Fac Conv'!$C$123</f>
        <v>571</v>
      </c>
      <c r="AY18" s="583">
        <f>'IB 5D2-(MYPE_I)(Pesca_A)_2021'!AB20</f>
        <v>636000</v>
      </c>
      <c r="AZ18" s="584">
        <f>AY18/'Fac Conv'!$C$123</f>
        <v>636</v>
      </c>
      <c r="BA18" s="583">
        <f>'IB 5D2-(MYPE_I)(Pesca_A)_2021'!AC20</f>
        <v>571615</v>
      </c>
      <c r="BB18" s="584">
        <f>BA18/'Fac Conv'!$C$123</f>
        <v>571.61500000000001</v>
      </c>
      <c r="BC18" s="583">
        <f>'IB 5D2-(MYPE_I)(Pesca_A)_2021'!AD20</f>
        <v>891400</v>
      </c>
      <c r="BD18" s="584">
        <f>BC18/'Fac Conv'!$C$123</f>
        <v>891.4</v>
      </c>
      <c r="BE18" s="583">
        <f>'IB 5D2-(MYPE_I)(Pesca_A)_2021'!AE20</f>
        <v>563754</v>
      </c>
      <c r="BF18" s="584">
        <f>BE18/'Fac Conv'!$C$123</f>
        <v>563.75400000000002</v>
      </c>
      <c r="BG18" s="583">
        <f>'IB 5D2-(MYPE_I)(Pesca_A)_2021'!AF20</f>
        <v>377000</v>
      </c>
      <c r="BH18" s="584">
        <f>BG18/'Fac Conv'!$C$123</f>
        <v>377</v>
      </c>
      <c r="BI18" s="583">
        <f>'IB 5D2-(MYPE_I)(Pesca_A)_2021'!AG20</f>
        <v>574720</v>
      </c>
      <c r="BJ18" s="584">
        <f>BI18/'Fac Conv'!$C$123</f>
        <v>574.72</v>
      </c>
      <c r="BK18" s="583">
        <f>'IB 5D2-(MYPE_I)(Pesca_A)_2021'!AH20</f>
        <v>571000</v>
      </c>
      <c r="BL18" s="584">
        <f>BK18/'Fac Conv'!$C$123</f>
        <v>571</v>
      </c>
      <c r="BM18" s="583">
        <f>'IB 5D2-(MYPE_I)(Pesca_A)_2021'!AI20</f>
        <v>588058</v>
      </c>
      <c r="BN18" s="584">
        <f>BM18/'Fac Conv'!$C$123</f>
        <v>588.05799999999999</v>
      </c>
      <c r="BO18" s="583">
        <f>'IB 5D2-(MYPE_I)(Pesca_A)_2021'!AJ20</f>
        <v>556631</v>
      </c>
      <c r="BP18" s="584">
        <f>BO18/'Fac Conv'!$C$123</f>
        <v>556.63099999999997</v>
      </c>
      <c r="BR18" s="263" t="str">
        <f>'Fac Conv'!$G$15</f>
        <v>Carnes y aves</v>
      </c>
      <c r="BS18" s="263">
        <f>VLOOKUP(BR18,'Fac Conv'!$G$10:$K$25,2,FALSE)</f>
        <v>13</v>
      </c>
      <c r="BT18" s="263">
        <f>VLOOKUP(BR18,'Fac Conv'!$G$10:$K$25,4,FALSE)</f>
        <v>18</v>
      </c>
    </row>
    <row r="19" spans="2:72" ht="13.9" customHeight="1">
      <c r="B19" s="752"/>
      <c r="C19" s="87" t="str">
        <f>'IB 5D2-(MYPE_I)(Pesca_A)_2021'!D21</f>
        <v>Carne de Ave Beneficiada</v>
      </c>
      <c r="D19" s="510" t="str">
        <f>'IB 5D2-(MYPE_I)(Pesca_A)_2021'!E21</f>
        <v>TM</v>
      </c>
      <c r="E19" s="588"/>
      <c r="F19" s="588"/>
      <c r="G19" s="674" t="str">
        <f>'IB 5D2-(MYPE_I)(Pesca_A)_2021'!F21</f>
        <v>(no reporta)</v>
      </c>
      <c r="H19" s="588"/>
      <c r="I19" s="587" t="str">
        <f>'IB 5D2-(MYPE_I)(Pesca_A)_2021'!G21</f>
        <v>(no reporta)</v>
      </c>
      <c r="J19" s="588"/>
      <c r="K19" s="587" t="str">
        <f>'IB 5D2-(MYPE_I)(Pesca_A)_2021'!H21</f>
        <v>(no reporta)</v>
      </c>
      <c r="L19" s="588"/>
      <c r="M19" s="583">
        <f>'IB 5D2-(MYPE_I)(Pesca_A)_2021'!I21</f>
        <v>410800</v>
      </c>
      <c r="N19" s="585">
        <f t="shared" ref="N19:P19" si="5">M19</f>
        <v>410800</v>
      </c>
      <c r="O19" s="583">
        <f>'IB 5D2-(MYPE_I)(Pesca_A)_2021'!J21</f>
        <v>410500</v>
      </c>
      <c r="P19" s="585">
        <f t="shared" si="5"/>
        <v>410500</v>
      </c>
      <c r="Q19" s="583">
        <f>'IB 5D2-(MYPE_I)(Pesca_A)_2021'!K21</f>
        <v>443900</v>
      </c>
      <c r="R19" s="585">
        <f t="shared" ref="R19:T19" si="6">Q19</f>
        <v>443900</v>
      </c>
      <c r="S19" s="583">
        <f>'IB 5D2-(MYPE_I)(Pesca_A)_2021'!L21</f>
        <v>490300</v>
      </c>
      <c r="T19" s="585">
        <f t="shared" si="6"/>
        <v>490300</v>
      </c>
      <c r="U19" s="583">
        <f>'IB 5D2-(MYPE_I)(Pesca_A)_2021'!M21</f>
        <v>553600</v>
      </c>
      <c r="V19" s="585">
        <f t="shared" ref="V19:X19" si="7">U19</f>
        <v>553600</v>
      </c>
      <c r="W19" s="583">
        <f>'IB 5D2-(MYPE_I)(Pesca_A)_2021'!N21</f>
        <v>609798</v>
      </c>
      <c r="X19" s="585">
        <f t="shared" si="7"/>
        <v>609798</v>
      </c>
      <c r="Y19" s="583">
        <f>'IB 5D2-(MYPE_I)(Pesca_A)_2021'!O21</f>
        <v>622128</v>
      </c>
      <c r="Z19" s="585">
        <f t="shared" si="2"/>
        <v>622128</v>
      </c>
      <c r="AA19" s="583">
        <f>'IB 5D2-(MYPE_I)(Pesca_A)_2021'!P21</f>
        <v>661275</v>
      </c>
      <c r="AB19" s="585">
        <f t="shared" si="2"/>
        <v>661275</v>
      </c>
      <c r="AC19" s="583">
        <f>'IB 5D2-(MYPE_I)(Pesca_A)_2021'!Q21</f>
        <v>443361</v>
      </c>
      <c r="AD19" s="585">
        <f>AC19</f>
        <v>443361</v>
      </c>
      <c r="AE19" s="583">
        <f>'IB 5D2-(MYPE_I)(Pesca_A)_2021'!R21</f>
        <v>443899</v>
      </c>
      <c r="AF19" s="585">
        <f>AE19</f>
        <v>443899</v>
      </c>
      <c r="AG19" s="583">
        <f>'IB 5D2-(MYPE_I)(Pesca_A)_2021'!S21</f>
        <v>498822</v>
      </c>
      <c r="AH19" s="585">
        <f>AG19</f>
        <v>498822</v>
      </c>
      <c r="AI19" s="583">
        <f>'IB 5D2-(MYPE_I)(Pesca_A)_2021'!T21</f>
        <v>544949</v>
      </c>
      <c r="AJ19" s="585">
        <f>AI19</f>
        <v>544949</v>
      </c>
      <c r="AK19" s="583">
        <f>'IB 5D2-(MYPE_I)(Pesca_A)_2021'!U21</f>
        <v>583552</v>
      </c>
      <c r="AL19" s="585">
        <f>AK19</f>
        <v>583552</v>
      </c>
      <c r="AM19" s="583">
        <f>'IB 5D2-(MYPE_I)(Pesca_A)_2021'!V21</f>
        <v>672855</v>
      </c>
      <c r="AN19" s="585">
        <f>AM19</f>
        <v>672855</v>
      </c>
      <c r="AO19" s="583">
        <f>'IB 5D2-(MYPE_I)(Pesca_A)_2021'!W21</f>
        <v>739772</v>
      </c>
      <c r="AP19" s="585">
        <f>AO19</f>
        <v>739772</v>
      </c>
      <c r="AQ19" s="583">
        <f>'IB 5D2-(MYPE_I)(Pesca_A)_2021'!X21</f>
        <v>782365</v>
      </c>
      <c r="AR19" s="585">
        <f>AQ19</f>
        <v>782365</v>
      </c>
      <c r="AS19" s="583">
        <f>'IB 5D2-(MYPE_I)(Pesca_A)_2021'!Y21</f>
        <v>827131</v>
      </c>
      <c r="AT19" s="585">
        <f>AS19</f>
        <v>827131</v>
      </c>
      <c r="AU19" s="583">
        <f>'IB 5D2-(MYPE_I)(Pesca_A)_2021'!Z21</f>
        <v>1171467</v>
      </c>
      <c r="AV19" s="585">
        <f>AU19</f>
        <v>1171467</v>
      </c>
      <c r="AW19" s="583">
        <f>'IB 5D2-(MYPE_I)(Pesca_A)_2021'!AA21</f>
        <v>1202612</v>
      </c>
      <c r="AX19" s="585">
        <f>AW19</f>
        <v>1202612</v>
      </c>
      <c r="AY19" s="583">
        <f>'IB 5D2-(MYPE_I)(Pesca_A)_2021'!AB21</f>
        <v>1317440</v>
      </c>
      <c r="AZ19" s="585">
        <f>AY19</f>
        <v>1317440</v>
      </c>
      <c r="BA19" s="583">
        <f>'IB 5D2-(MYPE_I)(Pesca_A)_2021'!AC21</f>
        <v>1423590</v>
      </c>
      <c r="BB19" s="585">
        <f>BA19</f>
        <v>1423590</v>
      </c>
      <c r="BC19" s="583">
        <f>'IB 5D2-(MYPE_I)(Pesca_A)_2021'!AD21</f>
        <v>1513960</v>
      </c>
      <c r="BD19" s="585">
        <f>BC19</f>
        <v>1513960</v>
      </c>
      <c r="BE19" s="583">
        <f>'IB 5D2-(MYPE_I)(Pesca_A)_2021'!AE21</f>
        <v>1569280</v>
      </c>
      <c r="BF19" s="585">
        <f>BE19</f>
        <v>1569280</v>
      </c>
      <c r="BG19" s="583">
        <f>'IB 5D2-(MYPE_I)(Pesca_A)_2021'!AF21</f>
        <v>1687610</v>
      </c>
      <c r="BH19" s="585">
        <f>BG19</f>
        <v>1687610</v>
      </c>
      <c r="BI19" s="583">
        <f>'IB 5D2-(MYPE_I)(Pesca_A)_2021'!AG21</f>
        <v>1762850</v>
      </c>
      <c r="BJ19" s="585">
        <f>BI19</f>
        <v>1762850</v>
      </c>
      <c r="BK19" s="583">
        <f>'IB 5D2-(MYPE_I)(Pesca_A)_2021'!AH21</f>
        <v>1728460</v>
      </c>
      <c r="BL19" s="585">
        <f>BK19</f>
        <v>1728460</v>
      </c>
      <c r="BM19" s="583">
        <f>'IB 5D2-(MYPE_I)(Pesca_A)_2021'!AI21</f>
        <v>1751608</v>
      </c>
      <c r="BN19" s="585">
        <f>BM19</f>
        <v>1751608</v>
      </c>
      <c r="BO19" s="583">
        <f>'IB 5D2-(MYPE_I)(Pesca_A)_2021'!AJ21</f>
        <v>1789903</v>
      </c>
      <c r="BP19" s="585">
        <f>BO19</f>
        <v>1789903</v>
      </c>
      <c r="BR19" s="263" t="str">
        <f>'Fac Conv'!$G$15</f>
        <v>Carnes y aves</v>
      </c>
      <c r="BS19" s="263">
        <f>VLOOKUP(BR19,'Fac Conv'!$G$10:$K$25,2,FALSE)</f>
        <v>13</v>
      </c>
      <c r="BT19" s="263">
        <f>VLOOKUP(BR19,'Fac Conv'!$G$10:$K$25,4,FALSE)</f>
        <v>18</v>
      </c>
    </row>
    <row r="20" spans="2:72" ht="13.9" customHeight="1">
      <c r="B20" s="752"/>
      <c r="C20" s="87" t="str">
        <f>'IB 5D2-(MYPE_I)(Pesca_A)_2021'!D22</f>
        <v>Carne de caprino beneficiada</v>
      </c>
      <c r="D20" s="510" t="str">
        <f>'IB 5D2-(MYPE_I)(Pesca_A)_2021'!E22</f>
        <v>TM</v>
      </c>
      <c r="E20" s="588"/>
      <c r="F20" s="588"/>
      <c r="G20" s="674" t="str">
        <f>'IB 5D2-(MYPE_I)(Pesca_A)_2021'!F22</f>
        <v>(no reporta)</v>
      </c>
      <c r="H20" s="588"/>
      <c r="I20" s="587" t="str">
        <f>'IB 5D2-(MYPE_I)(Pesca_A)_2021'!G22</f>
        <v>(no reporta)</v>
      </c>
      <c r="J20" s="588"/>
      <c r="K20" s="587" t="str">
        <f>'IB 5D2-(MYPE_I)(Pesca_A)_2021'!H22</f>
        <v>(no reporta)</v>
      </c>
      <c r="L20" s="588"/>
      <c r="M20" s="587" t="str">
        <f>'IB 5D2-(MYPE_I)(Pesca_A)_2021'!I22</f>
        <v>(no reporta)</v>
      </c>
      <c r="N20" s="588"/>
      <c r="O20" s="587" t="str">
        <f>'IB 5D2-(MYPE_I)(Pesca_A)_2021'!J22</f>
        <v>(no reporta)</v>
      </c>
      <c r="P20" s="588"/>
      <c r="Q20" s="587" t="str">
        <f>'IB 5D2-(MYPE_I)(Pesca_A)_2021'!K22</f>
        <v>(no reporta)</v>
      </c>
      <c r="R20" s="588"/>
      <c r="S20" s="587" t="str">
        <f>'IB 5D2-(MYPE_I)(Pesca_A)_2021'!L22</f>
        <v>(no reporta)</v>
      </c>
      <c r="T20" s="588"/>
      <c r="U20" s="587" t="str">
        <f>'IB 5D2-(MYPE_I)(Pesca_A)_2021'!M22</f>
        <v>(no reporta)</v>
      </c>
      <c r="V20" s="588"/>
      <c r="W20" s="587" t="str">
        <f>'IB 5D2-(MYPE_I)(Pesca_A)_2021'!N22</f>
        <v>(no reporta)</v>
      </c>
      <c r="X20" s="588"/>
      <c r="Y20" s="587" t="str">
        <f>'IB 5D2-(MYPE_I)(Pesca_A)_2021'!O22</f>
        <v>(no reporta)</v>
      </c>
      <c r="Z20" s="588"/>
      <c r="AA20" s="587" t="str">
        <f>'IB 5D2-(MYPE_I)(Pesca_A)_2021'!P22</f>
        <v>(no reporta)</v>
      </c>
      <c r="AB20" s="588"/>
      <c r="AC20" s="587" t="str">
        <f>'IB 5D2-(MYPE_I)(Pesca_A)_2021'!Q22</f>
        <v>(no reporta)</v>
      </c>
      <c r="AD20" s="588"/>
      <c r="AE20" s="587" t="str">
        <f>'IB 5D2-(MYPE_I)(Pesca_A)_2021'!R22</f>
        <v>(no reporta)</v>
      </c>
      <c r="AF20" s="588"/>
      <c r="AG20" s="587" t="str">
        <f>'IB 5D2-(MYPE_I)(Pesca_A)_2021'!S22</f>
        <v>(no reporta)</v>
      </c>
      <c r="AH20" s="588"/>
      <c r="AI20" s="587" t="str">
        <f>'IB 5D2-(MYPE_I)(Pesca_A)_2021'!T22</f>
        <v>(no reporta)</v>
      </c>
      <c r="AJ20" s="588"/>
      <c r="AK20" s="587" t="str">
        <f>'IB 5D2-(MYPE_I)(Pesca_A)_2021'!U22</f>
        <v>(no reporta)</v>
      </c>
      <c r="AL20" s="588"/>
      <c r="AM20" s="587" t="str">
        <f>'IB 5D2-(MYPE_I)(Pesca_A)_2021'!V22</f>
        <v>(no reporta)</v>
      </c>
      <c r="AN20" s="588"/>
      <c r="AO20" s="587" t="str">
        <f>'IB 5D2-(MYPE_I)(Pesca_A)_2021'!W22</f>
        <v>(no reporta)</v>
      </c>
      <c r="AP20" s="588"/>
      <c r="AQ20" s="587" t="str">
        <f>'IB 5D2-(MYPE_I)(Pesca_A)_2021'!X22</f>
        <v>(no reporta)</v>
      </c>
      <c r="AR20" s="588"/>
      <c r="AS20" s="587" t="str">
        <f>'IB 5D2-(MYPE_I)(Pesca_A)_2021'!Y22</f>
        <v>(no reporta)</v>
      </c>
      <c r="AT20" s="588"/>
      <c r="AU20" s="583">
        <f>'IB 5D2-(MYPE_I)(Pesca_A)_2021'!Z22</f>
        <v>6376</v>
      </c>
      <c r="AV20" s="585">
        <f t="shared" ref="AD20:BP25" si="8">AU20</f>
        <v>6376</v>
      </c>
      <c r="AW20" s="583">
        <f>'IB 5D2-(MYPE_I)(Pesca_A)_2021'!AA22</f>
        <v>6439</v>
      </c>
      <c r="AX20" s="585">
        <f t="shared" si="8"/>
        <v>6439</v>
      </c>
      <c r="AY20" s="583">
        <f>'IB 5D2-(MYPE_I)(Pesca_A)_2021'!AB22</f>
        <v>6170</v>
      </c>
      <c r="AZ20" s="585">
        <f t="shared" si="8"/>
        <v>6170</v>
      </c>
      <c r="BA20" s="583">
        <f>'IB 5D2-(MYPE_I)(Pesca_A)_2021'!AC22</f>
        <v>5900</v>
      </c>
      <c r="BB20" s="585">
        <f t="shared" si="8"/>
        <v>5900</v>
      </c>
      <c r="BC20" s="583">
        <f>'IB 5D2-(MYPE_I)(Pesca_A)_2021'!AD22</f>
        <v>5820</v>
      </c>
      <c r="BD20" s="585">
        <f t="shared" si="8"/>
        <v>5820</v>
      </c>
      <c r="BE20" s="583">
        <f>'IB 5D2-(MYPE_I)(Pesca_A)_2021'!AE22</f>
        <v>5530</v>
      </c>
      <c r="BF20" s="585">
        <f t="shared" si="8"/>
        <v>5530</v>
      </c>
      <c r="BG20" s="583">
        <f>'IB 5D2-(MYPE_I)(Pesca_A)_2021'!AF22</f>
        <v>4920</v>
      </c>
      <c r="BH20" s="585">
        <f t="shared" si="8"/>
        <v>4920</v>
      </c>
      <c r="BI20" s="583">
        <f>'IB 5D2-(MYPE_I)(Pesca_A)_2021'!AG22</f>
        <v>5100</v>
      </c>
      <c r="BJ20" s="585">
        <f t="shared" si="8"/>
        <v>5100</v>
      </c>
      <c r="BK20" s="583">
        <f>'IB 5D2-(MYPE_I)(Pesca_A)_2021'!AH22</f>
        <v>4970</v>
      </c>
      <c r="BL20" s="585">
        <f t="shared" si="8"/>
        <v>4970</v>
      </c>
      <c r="BM20" s="583">
        <f>'IB 5D2-(MYPE_I)(Pesca_A)_2021'!AI22</f>
        <v>4940</v>
      </c>
      <c r="BN20" s="585">
        <f t="shared" si="8"/>
        <v>4940</v>
      </c>
      <c r="BO20" s="583">
        <f>'IB 5D2-(MYPE_I)(Pesca_A)_2021'!AJ22</f>
        <v>4921</v>
      </c>
      <c r="BP20" s="585">
        <f t="shared" si="8"/>
        <v>4921</v>
      </c>
      <c r="BR20" s="263" t="str">
        <f>'Fac Conv'!$G$15</f>
        <v>Carnes y aves</v>
      </c>
      <c r="BS20" s="263">
        <f>VLOOKUP(BR20,'Fac Conv'!$G$10:$K$25,2,FALSE)</f>
        <v>13</v>
      </c>
      <c r="BT20" s="263">
        <f>VLOOKUP(BR20,'Fac Conv'!$G$10:$K$25,4,FALSE)</f>
        <v>18</v>
      </c>
    </row>
    <row r="21" spans="2:72" ht="13.9" customHeight="1">
      <c r="B21" s="752"/>
      <c r="C21" s="87" t="str">
        <f>'IB 5D2-(MYPE_I)(Pesca_A)_2021'!D23</f>
        <v>Carne de porcino beneficiada</v>
      </c>
      <c r="D21" s="510" t="str">
        <f>'IB 5D2-(MYPE_I)(Pesca_A)_2021'!E23</f>
        <v>TM</v>
      </c>
      <c r="E21" s="588"/>
      <c r="F21" s="588"/>
      <c r="G21" s="674" t="str">
        <f>'IB 5D2-(MYPE_I)(Pesca_A)_2021'!F23</f>
        <v>(no reporta)</v>
      </c>
      <c r="H21" s="588"/>
      <c r="I21" s="587" t="str">
        <f>'IB 5D2-(MYPE_I)(Pesca_A)_2021'!G23</f>
        <v>(no reporta)</v>
      </c>
      <c r="J21" s="588"/>
      <c r="K21" s="587" t="str">
        <f>'IB 5D2-(MYPE_I)(Pesca_A)_2021'!H23</f>
        <v>(no reporta)</v>
      </c>
      <c r="L21" s="588"/>
      <c r="M21" s="587" t="str">
        <f>'IB 5D2-(MYPE_I)(Pesca_A)_2021'!I23</f>
        <v>(no reporta)</v>
      </c>
      <c r="N21" s="588"/>
      <c r="O21" s="587" t="str">
        <f>'IB 5D2-(MYPE_I)(Pesca_A)_2021'!J23</f>
        <v>(no reporta)</v>
      </c>
      <c r="P21" s="588"/>
      <c r="Q21" s="587" t="str">
        <f>'IB 5D2-(MYPE_I)(Pesca_A)_2021'!K23</f>
        <v>(no reporta)</v>
      </c>
      <c r="R21" s="588"/>
      <c r="S21" s="587" t="str">
        <f>'IB 5D2-(MYPE_I)(Pesca_A)_2021'!L23</f>
        <v>(no reporta)</v>
      </c>
      <c r="T21" s="588"/>
      <c r="U21" s="587" t="str">
        <f>'IB 5D2-(MYPE_I)(Pesca_A)_2021'!M23</f>
        <v>(no reporta)</v>
      </c>
      <c r="V21" s="588"/>
      <c r="W21" s="587" t="str">
        <f>'IB 5D2-(MYPE_I)(Pesca_A)_2021'!N23</f>
        <v>(no reporta)</v>
      </c>
      <c r="X21" s="588"/>
      <c r="Y21" s="587" t="str">
        <f>'IB 5D2-(MYPE_I)(Pesca_A)_2021'!O23</f>
        <v>(no reporta)</v>
      </c>
      <c r="Z21" s="588"/>
      <c r="AA21" s="587" t="str">
        <f>'IB 5D2-(MYPE_I)(Pesca_A)_2021'!P23</f>
        <v>(no reporta)</v>
      </c>
      <c r="AB21" s="588"/>
      <c r="AC21" s="587" t="str">
        <f>'IB 5D2-(MYPE_I)(Pesca_A)_2021'!Q23</f>
        <v>(no reporta)</v>
      </c>
      <c r="AD21" s="588"/>
      <c r="AE21" s="587" t="str">
        <f>'IB 5D2-(MYPE_I)(Pesca_A)_2021'!R23</f>
        <v>(no reporta)</v>
      </c>
      <c r="AF21" s="588"/>
      <c r="AG21" s="587" t="str">
        <f>'IB 5D2-(MYPE_I)(Pesca_A)_2021'!S23</f>
        <v>(no reporta)</v>
      </c>
      <c r="AH21" s="588"/>
      <c r="AI21" s="587" t="str">
        <f>'IB 5D2-(MYPE_I)(Pesca_A)_2021'!T23</f>
        <v>(no reporta)</v>
      </c>
      <c r="AJ21" s="588"/>
      <c r="AK21" s="587" t="str">
        <f>'IB 5D2-(MYPE_I)(Pesca_A)_2021'!U23</f>
        <v>(no reporta)</v>
      </c>
      <c r="AL21" s="588"/>
      <c r="AM21" s="587" t="str">
        <f>'IB 5D2-(MYPE_I)(Pesca_A)_2021'!V23</f>
        <v>(no reporta)</v>
      </c>
      <c r="AN21" s="588"/>
      <c r="AO21" s="587" t="str">
        <f>'IB 5D2-(MYPE_I)(Pesca_A)_2021'!W23</f>
        <v>(no reporta)</v>
      </c>
      <c r="AP21" s="588"/>
      <c r="AQ21" s="587" t="str">
        <f>'IB 5D2-(MYPE_I)(Pesca_A)_2021'!X23</f>
        <v>(no reporta)</v>
      </c>
      <c r="AR21" s="588"/>
      <c r="AS21" s="587" t="str">
        <f>'IB 5D2-(MYPE_I)(Pesca_A)_2021'!Y23</f>
        <v>(no reporta)</v>
      </c>
      <c r="AT21" s="588"/>
      <c r="AU21" s="583">
        <f>'IB 5D2-(MYPE_I)(Pesca_A)_2021'!Z23</f>
        <v>126226</v>
      </c>
      <c r="AV21" s="585">
        <f t="shared" si="8"/>
        <v>126226</v>
      </c>
      <c r="AW21" s="583">
        <f>'IB 5D2-(MYPE_I)(Pesca_A)_2021'!AA23</f>
        <v>127684</v>
      </c>
      <c r="AX21" s="585">
        <f t="shared" si="8"/>
        <v>127684</v>
      </c>
      <c r="AY21" s="583">
        <f>'IB 5D2-(MYPE_I)(Pesca_A)_2021'!AB23</f>
        <v>135390</v>
      </c>
      <c r="AZ21" s="585">
        <f t="shared" si="8"/>
        <v>135390</v>
      </c>
      <c r="BA21" s="583">
        <f>'IB 5D2-(MYPE_I)(Pesca_A)_2021'!AC23</f>
        <v>142620</v>
      </c>
      <c r="BB21" s="585">
        <f t="shared" si="8"/>
        <v>142620</v>
      </c>
      <c r="BC21" s="583">
        <f>'IB 5D2-(MYPE_I)(Pesca_A)_2021'!AD23</f>
        <v>153090</v>
      </c>
      <c r="BD21" s="585">
        <f t="shared" si="8"/>
        <v>153090</v>
      </c>
      <c r="BE21" s="583">
        <f>'IB 5D2-(MYPE_I)(Pesca_A)_2021'!AE23</f>
        <v>157750</v>
      </c>
      <c r="BF21" s="585">
        <f t="shared" si="8"/>
        <v>157750</v>
      </c>
      <c r="BG21" s="583">
        <f>'IB 5D2-(MYPE_I)(Pesca_A)_2021'!AF23</f>
        <v>162300</v>
      </c>
      <c r="BH21" s="585">
        <f t="shared" si="8"/>
        <v>162300</v>
      </c>
      <c r="BI21" s="583">
        <f>'IB 5D2-(MYPE_I)(Pesca_A)_2021'!AG23</f>
        <v>172720</v>
      </c>
      <c r="BJ21" s="585">
        <f t="shared" si="8"/>
        <v>172720</v>
      </c>
      <c r="BK21" s="583">
        <f>'IB 5D2-(MYPE_I)(Pesca_A)_2021'!AH23</f>
        <v>169780</v>
      </c>
      <c r="BL21" s="585">
        <f t="shared" si="8"/>
        <v>169780</v>
      </c>
      <c r="BM21" s="583">
        <f>'IB 5D2-(MYPE_I)(Pesca_A)_2021'!AI23</f>
        <v>177862</v>
      </c>
      <c r="BN21" s="585">
        <f t="shared" si="8"/>
        <v>177862</v>
      </c>
      <c r="BO21" s="583">
        <f>'IB 5D2-(MYPE_I)(Pesca_A)_2021'!AJ23</f>
        <v>181512</v>
      </c>
      <c r="BP21" s="585">
        <f t="shared" si="8"/>
        <v>181512</v>
      </c>
      <c r="BR21" s="263" t="str">
        <f>'Fac Conv'!$G$15</f>
        <v>Carnes y aves</v>
      </c>
      <c r="BS21" s="263">
        <f>VLOOKUP(BR21,'Fac Conv'!$G$10:$K$25,2,FALSE)</f>
        <v>13</v>
      </c>
      <c r="BT21" s="263">
        <f>VLOOKUP(BR21,'Fac Conv'!$G$10:$K$25,4,FALSE)</f>
        <v>18</v>
      </c>
    </row>
    <row r="22" spans="2:72" ht="13.9" customHeight="1">
      <c r="B22" s="752"/>
      <c r="C22" s="87" t="str">
        <f>'IB 5D2-(MYPE_I)(Pesca_A)_2021'!D24</f>
        <v>Carne de Vacuno Beneficiada</v>
      </c>
      <c r="D22" s="510" t="str">
        <f>'IB 5D2-(MYPE_I)(Pesca_A)_2021'!E24</f>
        <v>TM</v>
      </c>
      <c r="E22" s="588"/>
      <c r="F22" s="588"/>
      <c r="G22" s="674" t="str">
        <f>'IB 5D2-(MYPE_I)(Pesca_A)_2021'!F24</f>
        <v>(no reporta)</v>
      </c>
      <c r="H22" s="588"/>
      <c r="I22" s="587" t="str">
        <f>'IB 5D2-(MYPE_I)(Pesca_A)_2021'!G24</f>
        <v>(no reporta)</v>
      </c>
      <c r="J22" s="588"/>
      <c r="K22" s="587" t="str">
        <f>'IB 5D2-(MYPE_I)(Pesca_A)_2021'!H24</f>
        <v>(no reporta)</v>
      </c>
      <c r="L22" s="588"/>
      <c r="M22" s="583">
        <f>'IB 5D2-(MYPE_I)(Pesca_A)_2021'!I24</f>
        <v>107100</v>
      </c>
      <c r="N22" s="585">
        <f t="shared" ref="N22:P22" si="9">M22</f>
        <v>107100</v>
      </c>
      <c r="O22" s="583">
        <f>'IB 5D2-(MYPE_I)(Pesca_A)_2021'!J24</f>
        <v>110100</v>
      </c>
      <c r="P22" s="585">
        <f t="shared" si="9"/>
        <v>110100</v>
      </c>
      <c r="Q22" s="583">
        <f>'IB 5D2-(MYPE_I)(Pesca_A)_2021'!K24</f>
        <v>118200</v>
      </c>
      <c r="R22" s="585">
        <f t="shared" ref="R22:T22" si="10">Q22</f>
        <v>118200</v>
      </c>
      <c r="S22" s="583">
        <f>'IB 5D2-(MYPE_I)(Pesca_A)_2021'!L24</f>
        <v>123900</v>
      </c>
      <c r="T22" s="585">
        <f t="shared" si="10"/>
        <v>123900</v>
      </c>
      <c r="U22" s="583">
        <f>'IB 5D2-(MYPE_I)(Pesca_A)_2021'!M24</f>
        <v>133500</v>
      </c>
      <c r="V22" s="585">
        <f t="shared" ref="V22:X22" si="11">U22</f>
        <v>133500</v>
      </c>
      <c r="W22" s="583">
        <f>'IB 5D2-(MYPE_I)(Pesca_A)_2021'!N24</f>
        <v>136233</v>
      </c>
      <c r="X22" s="585">
        <f t="shared" si="11"/>
        <v>136233</v>
      </c>
      <c r="Y22" s="583">
        <f>'IB 5D2-(MYPE_I)(Pesca_A)_2021'!O24</f>
        <v>137791</v>
      </c>
      <c r="Z22" s="585">
        <f t="shared" ref="Z22:AB22" si="12">Y22</f>
        <v>137791</v>
      </c>
      <c r="AA22" s="583">
        <f>'IB 5D2-(MYPE_I)(Pesca_A)_2021'!P24</f>
        <v>141470</v>
      </c>
      <c r="AB22" s="585">
        <f t="shared" si="12"/>
        <v>141470</v>
      </c>
      <c r="AC22" s="583">
        <f>'IB 5D2-(MYPE_I)(Pesca_A)_2021'!Q24</f>
        <v>138270</v>
      </c>
      <c r="AD22" s="585">
        <f t="shared" si="8"/>
        <v>138270</v>
      </c>
      <c r="AE22" s="583">
        <f>'IB 5D2-(MYPE_I)(Pesca_A)_2021'!R24</f>
        <v>146361</v>
      </c>
      <c r="AF22" s="585">
        <f t="shared" si="8"/>
        <v>146361</v>
      </c>
      <c r="AG22" s="583">
        <f>'IB 5D2-(MYPE_I)(Pesca_A)_2021'!S24</f>
        <v>153109</v>
      </c>
      <c r="AH22" s="585">
        <f t="shared" si="8"/>
        <v>153109</v>
      </c>
      <c r="AI22" s="583">
        <f>'IB 5D2-(MYPE_I)(Pesca_A)_2021'!T24</f>
        <v>162577</v>
      </c>
      <c r="AJ22" s="585">
        <f t="shared" si="8"/>
        <v>162577</v>
      </c>
      <c r="AK22" s="583">
        <f>'IB 5D2-(MYPE_I)(Pesca_A)_2021'!U24</f>
        <v>163233</v>
      </c>
      <c r="AL22" s="585">
        <f t="shared" si="8"/>
        <v>163233</v>
      </c>
      <c r="AM22" s="583">
        <f>'IB 5D2-(MYPE_I)(Pesca_A)_2021'!V24</f>
        <v>163320</v>
      </c>
      <c r="AN22" s="585">
        <f t="shared" si="8"/>
        <v>163320</v>
      </c>
      <c r="AO22" s="583">
        <f>'IB 5D2-(MYPE_I)(Pesca_A)_2021'!W24</f>
        <v>164704</v>
      </c>
      <c r="AP22" s="585">
        <f t="shared" si="8"/>
        <v>164704</v>
      </c>
      <c r="AQ22" s="583">
        <f>'IB 5D2-(MYPE_I)(Pesca_A)_2021'!X24</f>
        <v>171872</v>
      </c>
      <c r="AR22" s="585">
        <f t="shared" si="8"/>
        <v>171872</v>
      </c>
      <c r="AS22" s="583">
        <f>'IB 5D2-(MYPE_I)(Pesca_A)_2021'!Y24</f>
        <v>178582</v>
      </c>
      <c r="AT22" s="585">
        <f t="shared" si="8"/>
        <v>178582</v>
      </c>
      <c r="AU22" s="583">
        <f>'IB 5D2-(MYPE_I)(Pesca_A)_2021'!Z24</f>
        <v>186997</v>
      </c>
      <c r="AV22" s="585">
        <f t="shared" si="8"/>
        <v>186997</v>
      </c>
      <c r="AW22" s="583">
        <f>'IB 5D2-(MYPE_I)(Pesca_A)_2021'!AA24</f>
        <v>190567</v>
      </c>
      <c r="AX22" s="585">
        <f t="shared" si="8"/>
        <v>190567</v>
      </c>
      <c r="AY22" s="583">
        <f>'IB 5D2-(MYPE_I)(Pesca_A)_2021'!AB24</f>
        <v>196230</v>
      </c>
      <c r="AZ22" s="585">
        <f t="shared" si="8"/>
        <v>196230</v>
      </c>
      <c r="BA22" s="583">
        <f>'IB 5D2-(MYPE_I)(Pesca_A)_2021'!AC24</f>
        <v>197350</v>
      </c>
      <c r="BB22" s="585">
        <f t="shared" si="8"/>
        <v>197350</v>
      </c>
      <c r="BC22" s="583">
        <f>'IB 5D2-(MYPE_I)(Pesca_A)_2021'!AD24</f>
        <v>190970</v>
      </c>
      <c r="BD22" s="585">
        <f t="shared" si="8"/>
        <v>190970</v>
      </c>
      <c r="BE22" s="583">
        <f>'IB 5D2-(MYPE_I)(Pesca_A)_2021'!AE24</f>
        <v>188740</v>
      </c>
      <c r="BF22" s="585">
        <f t="shared" si="8"/>
        <v>188740</v>
      </c>
      <c r="BG22" s="583">
        <f>'IB 5D2-(MYPE_I)(Pesca_A)_2021'!AF24</f>
        <v>189830</v>
      </c>
      <c r="BH22" s="585">
        <f t="shared" si="8"/>
        <v>189830</v>
      </c>
      <c r="BI22" s="583">
        <f>'IB 5D2-(MYPE_I)(Pesca_A)_2021'!AG24</f>
        <v>193010</v>
      </c>
      <c r="BJ22" s="585">
        <f t="shared" si="8"/>
        <v>193010</v>
      </c>
      <c r="BK22" s="583">
        <f>'IB 5D2-(MYPE_I)(Pesca_A)_2021'!AH24</f>
        <v>184070</v>
      </c>
      <c r="BL22" s="585">
        <f t="shared" si="8"/>
        <v>184070</v>
      </c>
      <c r="BM22" s="583">
        <f>'IB 5D2-(MYPE_I)(Pesca_A)_2021'!AI24</f>
        <v>187936</v>
      </c>
      <c r="BN22" s="585">
        <f t="shared" si="8"/>
        <v>187936</v>
      </c>
      <c r="BO22" s="583">
        <f>'IB 5D2-(MYPE_I)(Pesca_A)_2021'!AJ24</f>
        <v>191578</v>
      </c>
      <c r="BP22" s="585">
        <f t="shared" si="8"/>
        <v>191578</v>
      </c>
      <c r="BR22" s="263" t="str">
        <f>'Fac Conv'!$G$15</f>
        <v>Carnes y aves</v>
      </c>
      <c r="BS22" s="263">
        <f>VLOOKUP(BR22,'Fac Conv'!$G$10:$K$25,2,FALSE)</f>
        <v>13</v>
      </c>
      <c r="BT22" s="263">
        <f>VLOOKUP(BR22,'Fac Conv'!$G$10:$K$25,4,FALSE)</f>
        <v>18</v>
      </c>
    </row>
    <row r="23" spans="2:72" ht="13.9" customHeight="1">
      <c r="B23" s="752"/>
      <c r="C23" s="87" t="str">
        <f>'IB 5D2-(MYPE_I)(Pesca_A)_2021'!D25</f>
        <v>Carne de llama beneficiada</v>
      </c>
      <c r="D23" s="510" t="str">
        <f>'IB 5D2-(MYPE_I)(Pesca_A)_2021'!E25</f>
        <v>TM</v>
      </c>
      <c r="E23" s="588"/>
      <c r="F23" s="588"/>
      <c r="G23" s="674" t="str">
        <f>'IB 5D2-(MYPE_I)(Pesca_A)_2021'!F25</f>
        <v>(no reporta)</v>
      </c>
      <c r="H23" s="588"/>
      <c r="I23" s="587" t="str">
        <f>'IB 5D2-(MYPE_I)(Pesca_A)_2021'!G25</f>
        <v>(no reporta)</v>
      </c>
      <c r="J23" s="588"/>
      <c r="K23" s="587" t="str">
        <f>'IB 5D2-(MYPE_I)(Pesca_A)_2021'!H25</f>
        <v>(no reporta)</v>
      </c>
      <c r="L23" s="588"/>
      <c r="M23" s="587" t="str">
        <f>'IB 5D2-(MYPE_I)(Pesca_A)_2021'!I25</f>
        <v>(no reporta)</v>
      </c>
      <c r="N23" s="588"/>
      <c r="O23" s="587" t="str">
        <f>'IB 5D2-(MYPE_I)(Pesca_A)_2021'!J25</f>
        <v>(no reporta)</v>
      </c>
      <c r="P23" s="588"/>
      <c r="Q23" s="587" t="str">
        <f>'IB 5D2-(MYPE_I)(Pesca_A)_2021'!K25</f>
        <v>(no reporta)</v>
      </c>
      <c r="R23" s="588"/>
      <c r="S23" s="587" t="str">
        <f>'IB 5D2-(MYPE_I)(Pesca_A)_2021'!L25</f>
        <v>(no reporta)</v>
      </c>
      <c r="T23" s="588"/>
      <c r="U23" s="587" t="str">
        <f>'IB 5D2-(MYPE_I)(Pesca_A)_2021'!M25</f>
        <v>(no reporta)</v>
      </c>
      <c r="V23" s="588"/>
      <c r="W23" s="587" t="str">
        <f>'IB 5D2-(MYPE_I)(Pesca_A)_2021'!N25</f>
        <v>(no reporta)</v>
      </c>
      <c r="X23" s="588"/>
      <c r="Y23" s="587" t="str">
        <f>'IB 5D2-(MYPE_I)(Pesca_A)_2021'!O25</f>
        <v>(no reporta)</v>
      </c>
      <c r="Z23" s="588"/>
      <c r="AA23" s="587" t="str">
        <f>'IB 5D2-(MYPE_I)(Pesca_A)_2021'!P25</f>
        <v>(no reporta)</v>
      </c>
      <c r="AB23" s="588"/>
      <c r="AC23" s="587" t="str">
        <f>'IB 5D2-(MYPE_I)(Pesca_A)_2021'!Q25</f>
        <v>(no reporta)</v>
      </c>
      <c r="AD23" s="588"/>
      <c r="AE23" s="587" t="str">
        <f>'IB 5D2-(MYPE_I)(Pesca_A)_2021'!R25</f>
        <v>(no reporta)</v>
      </c>
      <c r="AF23" s="588"/>
      <c r="AG23" s="587" t="str">
        <f>'IB 5D2-(MYPE_I)(Pesca_A)_2021'!S25</f>
        <v>(no reporta)</v>
      </c>
      <c r="AH23" s="588"/>
      <c r="AI23" s="587" t="str">
        <f>'IB 5D2-(MYPE_I)(Pesca_A)_2021'!T25</f>
        <v>(no reporta)</v>
      </c>
      <c r="AJ23" s="588"/>
      <c r="AK23" s="587" t="str">
        <f>'IB 5D2-(MYPE_I)(Pesca_A)_2021'!U25</f>
        <v>(no reporta)</v>
      </c>
      <c r="AL23" s="588"/>
      <c r="AM23" s="587" t="str">
        <f>'IB 5D2-(MYPE_I)(Pesca_A)_2021'!V25</f>
        <v>(no reporta)</v>
      </c>
      <c r="AN23" s="588"/>
      <c r="AO23" s="587" t="str">
        <f>'IB 5D2-(MYPE_I)(Pesca_A)_2021'!W25</f>
        <v>(no reporta)</v>
      </c>
      <c r="AP23" s="588"/>
      <c r="AQ23" s="587" t="str">
        <f>'IB 5D2-(MYPE_I)(Pesca_A)_2021'!X25</f>
        <v>(no reporta)</v>
      </c>
      <c r="AR23" s="588"/>
      <c r="AS23" s="587" t="str">
        <f>'IB 5D2-(MYPE_I)(Pesca_A)_2021'!Y25</f>
        <v>(no reporta)</v>
      </c>
      <c r="AT23" s="588"/>
      <c r="AU23" s="583">
        <f>'IB 5D2-(MYPE_I)(Pesca_A)_2021'!Z25</f>
        <v>4373</v>
      </c>
      <c r="AV23" s="585">
        <f t="shared" si="8"/>
        <v>4373</v>
      </c>
      <c r="AW23" s="583">
        <f>'IB 5D2-(MYPE_I)(Pesca_A)_2021'!AA25</f>
        <v>4177</v>
      </c>
      <c r="AX23" s="585">
        <f t="shared" si="8"/>
        <v>4177</v>
      </c>
      <c r="AY23" s="583">
        <f>'IB 5D2-(MYPE_I)(Pesca_A)_2021'!AB25</f>
        <v>4160</v>
      </c>
      <c r="AZ23" s="585">
        <f t="shared" si="8"/>
        <v>4160</v>
      </c>
      <c r="BA23" s="583">
        <f>'IB 5D2-(MYPE_I)(Pesca_A)_2021'!AC25</f>
        <v>4250</v>
      </c>
      <c r="BB23" s="585">
        <f t="shared" si="8"/>
        <v>4250</v>
      </c>
      <c r="BC23" s="583">
        <f>'IB 5D2-(MYPE_I)(Pesca_A)_2021'!AD25</f>
        <v>3970</v>
      </c>
      <c r="BD23" s="585">
        <f t="shared" si="8"/>
        <v>3970</v>
      </c>
      <c r="BE23" s="583">
        <f>'IB 5D2-(MYPE_I)(Pesca_A)_2021'!AE25</f>
        <v>4010</v>
      </c>
      <c r="BF23" s="585">
        <f t="shared" si="8"/>
        <v>4010</v>
      </c>
      <c r="BG23" s="583">
        <f>'IB 5D2-(MYPE_I)(Pesca_A)_2021'!AF25</f>
        <v>3980</v>
      </c>
      <c r="BH23" s="585">
        <f t="shared" si="8"/>
        <v>3980</v>
      </c>
      <c r="BI23" s="583">
        <f>'IB 5D2-(MYPE_I)(Pesca_A)_2021'!AG25</f>
        <v>3840</v>
      </c>
      <c r="BJ23" s="585">
        <f t="shared" si="8"/>
        <v>3840</v>
      </c>
      <c r="BK23" s="583">
        <f>'IB 5D2-(MYPE_I)(Pesca_A)_2021'!AH25</f>
        <v>3840</v>
      </c>
      <c r="BL23" s="585">
        <f t="shared" si="8"/>
        <v>3840</v>
      </c>
      <c r="BM23" s="583">
        <f>'IB 5D2-(MYPE_I)(Pesca_A)_2021'!AI25</f>
        <v>3940</v>
      </c>
      <c r="BN23" s="585">
        <f t="shared" si="8"/>
        <v>3940</v>
      </c>
      <c r="BO23" s="583">
        <f>'IB 5D2-(MYPE_I)(Pesca_A)_2021'!AJ25</f>
        <v>4003</v>
      </c>
      <c r="BP23" s="585">
        <f t="shared" si="8"/>
        <v>4003</v>
      </c>
      <c r="BR23" s="263" t="str">
        <f>'Fac Conv'!$G$15</f>
        <v>Carnes y aves</v>
      </c>
      <c r="BS23" s="263">
        <f>VLOOKUP(BR23,'Fac Conv'!$G$10:$K$25,2,FALSE)</f>
        <v>13</v>
      </c>
      <c r="BT23" s="263">
        <f>VLOOKUP(BR23,'Fac Conv'!$G$10:$K$25,4,FALSE)</f>
        <v>18</v>
      </c>
    </row>
    <row r="24" spans="2:72" ht="13.9" customHeight="1">
      <c r="B24" s="752"/>
      <c r="C24" s="87" t="str">
        <f>'IB 5D2-(MYPE_I)(Pesca_A)_2021'!D26</f>
        <v>Carne de ovino beneficiada</v>
      </c>
      <c r="D24" s="510" t="str">
        <f>'IB 5D2-(MYPE_I)(Pesca_A)_2021'!E26</f>
        <v>TM</v>
      </c>
      <c r="E24" s="588"/>
      <c r="F24" s="588"/>
      <c r="G24" s="674" t="str">
        <f>'IB 5D2-(MYPE_I)(Pesca_A)_2021'!F26</f>
        <v>(no reporta)</v>
      </c>
      <c r="H24" s="588"/>
      <c r="I24" s="587" t="str">
        <f>'IB 5D2-(MYPE_I)(Pesca_A)_2021'!G26</f>
        <v>(no reporta)</v>
      </c>
      <c r="J24" s="588"/>
      <c r="K24" s="587" t="str">
        <f>'IB 5D2-(MYPE_I)(Pesca_A)_2021'!H26</f>
        <v>(no reporta)</v>
      </c>
      <c r="L24" s="588"/>
      <c r="M24" s="587" t="str">
        <f>'IB 5D2-(MYPE_I)(Pesca_A)_2021'!I26</f>
        <v>(no reporta)</v>
      </c>
      <c r="N24" s="588"/>
      <c r="O24" s="587" t="str">
        <f>'IB 5D2-(MYPE_I)(Pesca_A)_2021'!J26</f>
        <v>(no reporta)</v>
      </c>
      <c r="P24" s="588"/>
      <c r="Q24" s="587" t="str">
        <f>'IB 5D2-(MYPE_I)(Pesca_A)_2021'!K26</f>
        <v>(no reporta)</v>
      </c>
      <c r="R24" s="588"/>
      <c r="S24" s="587" t="str">
        <f>'IB 5D2-(MYPE_I)(Pesca_A)_2021'!L26</f>
        <v>(no reporta)</v>
      </c>
      <c r="T24" s="588"/>
      <c r="U24" s="587" t="str">
        <f>'IB 5D2-(MYPE_I)(Pesca_A)_2021'!M26</f>
        <v>(no reporta)</v>
      </c>
      <c r="V24" s="588"/>
      <c r="W24" s="587" t="str">
        <f>'IB 5D2-(MYPE_I)(Pesca_A)_2021'!N26</f>
        <v>(no reporta)</v>
      </c>
      <c r="X24" s="588"/>
      <c r="Y24" s="587" t="str">
        <f>'IB 5D2-(MYPE_I)(Pesca_A)_2021'!O26</f>
        <v>(no reporta)</v>
      </c>
      <c r="Z24" s="588"/>
      <c r="AA24" s="587" t="str">
        <f>'IB 5D2-(MYPE_I)(Pesca_A)_2021'!P26</f>
        <v>(no reporta)</v>
      </c>
      <c r="AB24" s="588"/>
      <c r="AC24" s="587" t="str">
        <f>'IB 5D2-(MYPE_I)(Pesca_A)_2021'!Q26</f>
        <v>(no reporta)</v>
      </c>
      <c r="AD24" s="588"/>
      <c r="AE24" s="587" t="str">
        <f>'IB 5D2-(MYPE_I)(Pesca_A)_2021'!R26</f>
        <v>(no reporta)</v>
      </c>
      <c r="AF24" s="588"/>
      <c r="AG24" s="587" t="str">
        <f>'IB 5D2-(MYPE_I)(Pesca_A)_2021'!S26</f>
        <v>(no reporta)</v>
      </c>
      <c r="AH24" s="588"/>
      <c r="AI24" s="587" t="str">
        <f>'IB 5D2-(MYPE_I)(Pesca_A)_2021'!T26</f>
        <v>(no reporta)</v>
      </c>
      <c r="AJ24" s="588"/>
      <c r="AK24" s="587" t="str">
        <f>'IB 5D2-(MYPE_I)(Pesca_A)_2021'!U26</f>
        <v>(no reporta)</v>
      </c>
      <c r="AL24" s="588"/>
      <c r="AM24" s="587" t="str">
        <f>'IB 5D2-(MYPE_I)(Pesca_A)_2021'!V26</f>
        <v>(no reporta)</v>
      </c>
      <c r="AN24" s="588"/>
      <c r="AO24" s="587" t="str">
        <f>'IB 5D2-(MYPE_I)(Pesca_A)_2021'!W26</f>
        <v>(no reporta)</v>
      </c>
      <c r="AP24" s="588"/>
      <c r="AQ24" s="587" t="str">
        <f>'IB 5D2-(MYPE_I)(Pesca_A)_2021'!X26</f>
        <v>(no reporta)</v>
      </c>
      <c r="AR24" s="588"/>
      <c r="AS24" s="587" t="str">
        <f>'IB 5D2-(MYPE_I)(Pesca_A)_2021'!Y26</f>
        <v>(no reporta)</v>
      </c>
      <c r="AT24" s="588"/>
      <c r="AU24" s="583">
        <f>'IB 5D2-(MYPE_I)(Pesca_A)_2021'!Z26</f>
        <v>37228</v>
      </c>
      <c r="AV24" s="585">
        <f t="shared" si="8"/>
        <v>37228</v>
      </c>
      <c r="AW24" s="583">
        <f>'IB 5D2-(MYPE_I)(Pesca_A)_2021'!AA26</f>
        <v>34905</v>
      </c>
      <c r="AX24" s="585">
        <f t="shared" si="8"/>
        <v>34905</v>
      </c>
      <c r="AY24" s="583">
        <f>'IB 5D2-(MYPE_I)(Pesca_A)_2021'!AB26</f>
        <v>34420</v>
      </c>
      <c r="AZ24" s="585">
        <f t="shared" si="8"/>
        <v>34420</v>
      </c>
      <c r="BA24" s="583">
        <f>'IB 5D2-(MYPE_I)(Pesca_A)_2021'!AC26</f>
        <v>34630</v>
      </c>
      <c r="BB24" s="585">
        <f t="shared" si="8"/>
        <v>34630</v>
      </c>
      <c r="BC24" s="583">
        <f>'IB 5D2-(MYPE_I)(Pesca_A)_2021'!AD26</f>
        <v>33950</v>
      </c>
      <c r="BD24" s="585">
        <f t="shared" si="8"/>
        <v>33950</v>
      </c>
      <c r="BE24" s="583">
        <f>'IB 5D2-(MYPE_I)(Pesca_A)_2021'!AE26</f>
        <v>33440</v>
      </c>
      <c r="BF24" s="585">
        <f t="shared" si="8"/>
        <v>33440</v>
      </c>
      <c r="BG24" s="583">
        <f>'IB 5D2-(MYPE_I)(Pesca_A)_2021'!AF26</f>
        <v>33620</v>
      </c>
      <c r="BH24" s="585">
        <f t="shared" si="8"/>
        <v>33620</v>
      </c>
      <c r="BI24" s="583">
        <f>'IB 5D2-(MYPE_I)(Pesca_A)_2021'!AG26</f>
        <v>33780</v>
      </c>
      <c r="BJ24" s="585">
        <f t="shared" si="8"/>
        <v>33780</v>
      </c>
      <c r="BK24" s="583">
        <f>'IB 5D2-(MYPE_I)(Pesca_A)_2021'!AH26</f>
        <v>32350</v>
      </c>
      <c r="BL24" s="585">
        <f t="shared" si="8"/>
        <v>32350</v>
      </c>
      <c r="BM24" s="583">
        <f>'IB 5D2-(MYPE_I)(Pesca_A)_2021'!AI26</f>
        <v>33158</v>
      </c>
      <c r="BN24" s="585">
        <f t="shared" si="8"/>
        <v>33158</v>
      </c>
      <c r="BO24" s="583">
        <f>'IB 5D2-(MYPE_I)(Pesca_A)_2021'!AJ26</f>
        <v>33399</v>
      </c>
      <c r="BP24" s="585">
        <f t="shared" si="8"/>
        <v>33399</v>
      </c>
      <c r="BR24" s="263" t="str">
        <f>'Fac Conv'!$G$15</f>
        <v>Carnes y aves</v>
      </c>
      <c r="BS24" s="263">
        <f>VLOOKUP(BR24,'Fac Conv'!$G$10:$K$25,2,FALSE)</f>
        <v>13</v>
      </c>
      <c r="BT24" s="263">
        <f>VLOOKUP(BR24,'Fac Conv'!$G$10:$K$25,4,FALSE)</f>
        <v>18</v>
      </c>
    </row>
    <row r="25" spans="2:72" ht="13.9" customHeight="1">
      <c r="B25" s="752"/>
      <c r="C25" s="87" t="str">
        <f>'IB 5D2-(MYPE_I)(Pesca_A)_2021'!D27</f>
        <v>Carne de alpaca beneficiada</v>
      </c>
      <c r="D25" s="510" t="str">
        <f>'IB 5D2-(MYPE_I)(Pesca_A)_2021'!E27</f>
        <v>TM</v>
      </c>
      <c r="E25" s="588"/>
      <c r="F25" s="588"/>
      <c r="G25" s="674" t="str">
        <f>'IB 5D2-(MYPE_I)(Pesca_A)_2021'!F27</f>
        <v>(no reporta)</v>
      </c>
      <c r="H25" s="588"/>
      <c r="I25" s="587" t="str">
        <f>'IB 5D2-(MYPE_I)(Pesca_A)_2021'!G27</f>
        <v>(no reporta)</v>
      </c>
      <c r="J25" s="588"/>
      <c r="K25" s="587" t="str">
        <f>'IB 5D2-(MYPE_I)(Pesca_A)_2021'!H27</f>
        <v>(no reporta)</v>
      </c>
      <c r="L25" s="588"/>
      <c r="M25" s="587" t="str">
        <f>'IB 5D2-(MYPE_I)(Pesca_A)_2021'!I27</f>
        <v>(no reporta)</v>
      </c>
      <c r="N25" s="588"/>
      <c r="O25" s="587" t="str">
        <f>'IB 5D2-(MYPE_I)(Pesca_A)_2021'!J27</f>
        <v>(no reporta)</v>
      </c>
      <c r="P25" s="588"/>
      <c r="Q25" s="587" t="str">
        <f>'IB 5D2-(MYPE_I)(Pesca_A)_2021'!K27</f>
        <v>(no reporta)</v>
      </c>
      <c r="R25" s="588"/>
      <c r="S25" s="587" t="str">
        <f>'IB 5D2-(MYPE_I)(Pesca_A)_2021'!L27</f>
        <v>(no reporta)</v>
      </c>
      <c r="T25" s="588"/>
      <c r="U25" s="587" t="str">
        <f>'IB 5D2-(MYPE_I)(Pesca_A)_2021'!M27</f>
        <v>(no reporta)</v>
      </c>
      <c r="V25" s="588"/>
      <c r="W25" s="587" t="str">
        <f>'IB 5D2-(MYPE_I)(Pesca_A)_2021'!N27</f>
        <v>(no reporta)</v>
      </c>
      <c r="X25" s="588"/>
      <c r="Y25" s="587" t="str">
        <f>'IB 5D2-(MYPE_I)(Pesca_A)_2021'!O27</f>
        <v>(no reporta)</v>
      </c>
      <c r="Z25" s="588"/>
      <c r="AA25" s="587" t="str">
        <f>'IB 5D2-(MYPE_I)(Pesca_A)_2021'!P27</f>
        <v>(no reporta)</v>
      </c>
      <c r="AB25" s="588"/>
      <c r="AC25" s="587" t="str">
        <f>'IB 5D2-(MYPE_I)(Pesca_A)_2021'!Q27</f>
        <v>(no reporta)</v>
      </c>
      <c r="AD25" s="588"/>
      <c r="AE25" s="587" t="str">
        <f>'IB 5D2-(MYPE_I)(Pesca_A)_2021'!R27</f>
        <v>(no reporta)</v>
      </c>
      <c r="AF25" s="588"/>
      <c r="AG25" s="587" t="str">
        <f>'IB 5D2-(MYPE_I)(Pesca_A)_2021'!S27</f>
        <v>(no reporta)</v>
      </c>
      <c r="AH25" s="588"/>
      <c r="AI25" s="587" t="str">
        <f>'IB 5D2-(MYPE_I)(Pesca_A)_2021'!T27</f>
        <v>(no reporta)</v>
      </c>
      <c r="AJ25" s="588"/>
      <c r="AK25" s="587" t="str">
        <f>'IB 5D2-(MYPE_I)(Pesca_A)_2021'!U27</f>
        <v>(no reporta)</v>
      </c>
      <c r="AL25" s="588"/>
      <c r="AM25" s="587" t="str">
        <f>'IB 5D2-(MYPE_I)(Pesca_A)_2021'!V27</f>
        <v>(no reporta)</v>
      </c>
      <c r="AN25" s="588"/>
      <c r="AO25" s="587" t="str">
        <f>'IB 5D2-(MYPE_I)(Pesca_A)_2021'!W27</f>
        <v>(no reporta)</v>
      </c>
      <c r="AP25" s="588"/>
      <c r="AQ25" s="587" t="str">
        <f>'IB 5D2-(MYPE_I)(Pesca_A)_2021'!X27</f>
        <v>(no reporta)</v>
      </c>
      <c r="AR25" s="588"/>
      <c r="AS25" s="587" t="str">
        <f>'IB 5D2-(MYPE_I)(Pesca_A)_2021'!Y27</f>
        <v>(no reporta)</v>
      </c>
      <c r="AT25" s="588"/>
      <c r="AU25" s="583">
        <f>'IB 5D2-(MYPE_I)(Pesca_A)_2021'!Z27</f>
        <v>11998</v>
      </c>
      <c r="AV25" s="585">
        <f t="shared" si="8"/>
        <v>11998</v>
      </c>
      <c r="AW25" s="583">
        <f>'IB 5D2-(MYPE_I)(Pesca_A)_2021'!AA27</f>
        <v>12171</v>
      </c>
      <c r="AX25" s="585">
        <f t="shared" si="8"/>
        <v>12171</v>
      </c>
      <c r="AY25" s="583">
        <f>'IB 5D2-(MYPE_I)(Pesca_A)_2021'!AB27</f>
        <v>12600</v>
      </c>
      <c r="AZ25" s="585">
        <f t="shared" si="8"/>
        <v>12600</v>
      </c>
      <c r="BA25" s="583">
        <f>'IB 5D2-(MYPE_I)(Pesca_A)_2021'!AC27</f>
        <v>12420</v>
      </c>
      <c r="BB25" s="585">
        <f t="shared" si="8"/>
        <v>12420</v>
      </c>
      <c r="BC25" s="583">
        <f>'IB 5D2-(MYPE_I)(Pesca_A)_2021'!AD27</f>
        <v>12430</v>
      </c>
      <c r="BD25" s="585">
        <f t="shared" si="8"/>
        <v>12430</v>
      </c>
      <c r="BE25" s="583">
        <f>'IB 5D2-(MYPE_I)(Pesca_A)_2021'!AE27</f>
        <v>12730</v>
      </c>
      <c r="BF25" s="585">
        <f t="shared" si="8"/>
        <v>12730</v>
      </c>
      <c r="BG25" s="583">
        <f>'IB 5D2-(MYPE_I)(Pesca_A)_2021'!AF27</f>
        <v>12730</v>
      </c>
      <c r="BH25" s="585">
        <f t="shared" si="8"/>
        <v>12730</v>
      </c>
      <c r="BI25" s="583">
        <f>'IB 5D2-(MYPE_I)(Pesca_A)_2021'!AG27</f>
        <v>12590</v>
      </c>
      <c r="BJ25" s="585">
        <f t="shared" si="8"/>
        <v>12590</v>
      </c>
      <c r="BK25" s="583">
        <f>'IB 5D2-(MYPE_I)(Pesca_A)_2021'!AH27</f>
        <v>12450</v>
      </c>
      <c r="BL25" s="585">
        <f t="shared" si="8"/>
        <v>12450</v>
      </c>
      <c r="BM25" s="583">
        <f>'IB 5D2-(MYPE_I)(Pesca_A)_2021'!AI27</f>
        <v>12581</v>
      </c>
      <c r="BN25" s="585">
        <f t="shared" si="8"/>
        <v>12581</v>
      </c>
      <c r="BO25" s="583">
        <f>'IB 5D2-(MYPE_I)(Pesca_A)_2021'!AJ27</f>
        <v>12708</v>
      </c>
      <c r="BP25" s="585">
        <f t="shared" si="8"/>
        <v>12708</v>
      </c>
      <c r="BR25" s="263" t="str">
        <f>'Fac Conv'!$G$15</f>
        <v>Carnes y aves</v>
      </c>
      <c r="BS25" s="263">
        <f>VLOOKUP(BR25,'Fac Conv'!$G$10:$K$25,2,FALSE)</f>
        <v>13</v>
      </c>
      <c r="BT25" s="263">
        <f>VLOOKUP(BR25,'Fac Conv'!$G$10:$K$25,4,FALSE)</f>
        <v>18</v>
      </c>
    </row>
    <row r="26" spans="2:72" ht="13.9" customHeight="1">
      <c r="B26" s="752"/>
      <c r="C26" s="87" t="str">
        <f>'IB 5D2-(MYPE_I)(Pesca_A)_2021'!D28</f>
        <v>Esparragos Congelados</v>
      </c>
      <c r="D26" s="510" t="str">
        <f>'IB 5D2-(MYPE_I)(Pesca_A)_2021'!E28</f>
        <v>TM/KG</v>
      </c>
      <c r="E26" s="588"/>
      <c r="F26" s="588"/>
      <c r="G26" s="674" t="str">
        <f>'IB 5D2-(MYPE_I)(Pesca_A)_2021'!F28</f>
        <v>(no reporta)</v>
      </c>
      <c r="H26" s="588"/>
      <c r="I26" s="587" t="str">
        <f>'IB 5D2-(MYPE_I)(Pesca_A)_2021'!G28</f>
        <v>(no reporta)</v>
      </c>
      <c r="J26" s="588"/>
      <c r="K26" s="587" t="str">
        <f>'IB 5D2-(MYPE_I)(Pesca_A)_2021'!H28</f>
        <v>(no reporta)</v>
      </c>
      <c r="L26" s="588"/>
      <c r="M26" s="583">
        <f>'IB 5D2-(MYPE_I)(Pesca_A)_2021'!I28</f>
        <v>2773</v>
      </c>
      <c r="N26" s="585">
        <f t="shared" ref="N26:P26" si="13">M26</f>
        <v>2773</v>
      </c>
      <c r="O26" s="583">
        <f>'IB 5D2-(MYPE_I)(Pesca_A)_2021'!J28</f>
        <v>3727</v>
      </c>
      <c r="P26" s="585">
        <f t="shared" si="13"/>
        <v>3727</v>
      </c>
      <c r="Q26" s="583">
        <f>'IB 5D2-(MYPE_I)(Pesca_A)_2021'!K28</f>
        <v>4681</v>
      </c>
      <c r="R26" s="585">
        <f t="shared" ref="R26:T26" si="14">Q26</f>
        <v>4681</v>
      </c>
      <c r="S26" s="583">
        <f>'IB 5D2-(MYPE_I)(Pesca_A)_2021'!L28</f>
        <v>5321</v>
      </c>
      <c r="T26" s="585">
        <f t="shared" si="14"/>
        <v>5321</v>
      </c>
      <c r="U26" s="583">
        <f>'IB 5D2-(MYPE_I)(Pesca_A)_2021'!M28</f>
        <v>5667</v>
      </c>
      <c r="V26" s="585">
        <f t="shared" ref="V26:X26" si="15">U26</f>
        <v>5667</v>
      </c>
      <c r="W26" s="583">
        <f>'IB 5D2-(MYPE_I)(Pesca_A)_2021'!N28</f>
        <v>5229</v>
      </c>
      <c r="X26" s="585">
        <f t="shared" si="15"/>
        <v>5229</v>
      </c>
      <c r="Y26" s="583">
        <f>'IB 5D2-(MYPE_I)(Pesca_A)_2021'!O28</f>
        <v>5962</v>
      </c>
      <c r="Z26" s="585">
        <f t="shared" ref="Z26:AB27" si="16">Y26</f>
        <v>5962</v>
      </c>
      <c r="AA26" s="583">
        <f>'IB 5D2-(MYPE_I)(Pesca_A)_2021'!P28</f>
        <v>6307</v>
      </c>
      <c r="AB26" s="585">
        <f t="shared" si="16"/>
        <v>6307</v>
      </c>
      <c r="AC26" s="583">
        <f>'IB 5D2-(MYPE_I)(Pesca_A)_2021'!Q28</f>
        <v>7652000</v>
      </c>
      <c r="AD26" s="584">
        <f>AC26/'Fac Conv'!$C$123</f>
        <v>7652</v>
      </c>
      <c r="AE26" s="583">
        <f>'IB 5D2-(MYPE_I)(Pesca_A)_2021'!R28</f>
        <v>6776000</v>
      </c>
      <c r="AF26" s="584">
        <f>AE26/'Fac Conv'!$C$123</f>
        <v>6776</v>
      </c>
      <c r="AG26" s="583">
        <f>'IB 5D2-(MYPE_I)(Pesca_A)_2021'!S28</f>
        <v>6596000</v>
      </c>
      <c r="AH26" s="584">
        <f>AG26/'Fac Conv'!$C$123</f>
        <v>6596</v>
      </c>
      <c r="AI26" s="583">
        <f>'IB 5D2-(MYPE_I)(Pesca_A)_2021'!T28</f>
        <v>8535000</v>
      </c>
      <c r="AJ26" s="584">
        <f>AI26/'Fac Conv'!$C$123</f>
        <v>8535</v>
      </c>
      <c r="AK26" s="583">
        <f>'IB 5D2-(MYPE_I)(Pesca_A)_2021'!U28</f>
        <v>9401000</v>
      </c>
      <c r="AL26" s="584">
        <f>AK26/'Fac Conv'!$C$123</f>
        <v>9401</v>
      </c>
      <c r="AM26" s="583">
        <f>'IB 5D2-(MYPE_I)(Pesca_A)_2021'!V28</f>
        <v>11938619</v>
      </c>
      <c r="AN26" s="584">
        <f>AM26/'Fac Conv'!$C$123</f>
        <v>11938.619000000001</v>
      </c>
      <c r="AO26" s="583">
        <f>'IB 5D2-(MYPE_I)(Pesca_A)_2021'!W28</f>
        <v>8678000</v>
      </c>
      <c r="AP26" s="584">
        <f>AO26/'Fac Conv'!$C$123</f>
        <v>8678</v>
      </c>
      <c r="AQ26" s="583">
        <f>'IB 5D2-(MYPE_I)(Pesca_A)_2021'!X28</f>
        <v>10603000</v>
      </c>
      <c r="AR26" s="584">
        <f>AQ26/'Fac Conv'!$C$123</f>
        <v>10603</v>
      </c>
      <c r="AS26" s="583">
        <f>'IB 5D2-(MYPE_I)(Pesca_A)_2021'!Y28</f>
        <v>12646000</v>
      </c>
      <c r="AT26" s="584">
        <f>AS26/'Fac Conv'!$C$123</f>
        <v>12646</v>
      </c>
      <c r="AU26" s="583">
        <f>'IB 5D2-(MYPE_I)(Pesca_A)_2021'!Z28</f>
        <v>13964000</v>
      </c>
      <c r="AV26" s="584">
        <f>AU26/'Fac Conv'!$C$123</f>
        <v>13964</v>
      </c>
      <c r="AW26" s="583">
        <f>'IB 5D2-(MYPE_I)(Pesca_A)_2021'!AA28</f>
        <v>14456000</v>
      </c>
      <c r="AX26" s="584">
        <f>AW26/'Fac Conv'!$C$123</f>
        <v>14456</v>
      </c>
      <c r="AY26" s="583">
        <f>'IB 5D2-(MYPE_I)(Pesca_A)_2021'!AB28</f>
        <v>9664400</v>
      </c>
      <c r="AZ26" s="584">
        <f>AY26/'Fac Conv'!$C$123</f>
        <v>9664.4</v>
      </c>
      <c r="BA26" s="583">
        <f>'IB 5D2-(MYPE_I)(Pesca_A)_2021'!AC28</f>
        <v>6802195</v>
      </c>
      <c r="BB26" s="584">
        <f>BA26/'Fac Conv'!$C$123</f>
        <v>6802.1949999999997</v>
      </c>
      <c r="BC26" s="583">
        <f>'IB 5D2-(MYPE_I)(Pesca_A)_2021'!AD28</f>
        <v>9177000</v>
      </c>
      <c r="BD26" s="584">
        <f>BC26/'Fac Conv'!$C$123</f>
        <v>9177</v>
      </c>
      <c r="BE26" s="583">
        <f>'IB 5D2-(MYPE_I)(Pesca_A)_2021'!AE28</f>
        <v>10196009</v>
      </c>
      <c r="BF26" s="584">
        <f>BE26/'Fac Conv'!$C$123</f>
        <v>10196.009</v>
      </c>
      <c r="BG26" s="583">
        <f>'IB 5D2-(MYPE_I)(Pesca_A)_2021'!AF28</f>
        <v>9097000</v>
      </c>
      <c r="BH26" s="584">
        <f>BG26/'Fac Conv'!$C$123</f>
        <v>9097</v>
      </c>
      <c r="BI26" s="583">
        <f>'IB 5D2-(MYPE_I)(Pesca_A)_2021'!AG28</f>
        <v>11534000</v>
      </c>
      <c r="BJ26" s="584">
        <f>BI26/'Fac Conv'!$C$123</f>
        <v>11534</v>
      </c>
      <c r="BK26" s="583">
        <f>'IB 5D2-(MYPE_I)(Pesca_A)_2021'!AH28</f>
        <v>7925000</v>
      </c>
      <c r="BL26" s="584">
        <f>BK26/'Fac Conv'!$C$123</f>
        <v>7925</v>
      </c>
      <c r="BM26" s="583">
        <f>'IB 5D2-(MYPE_I)(Pesca_A)_2021'!AI28</f>
        <v>8529430</v>
      </c>
      <c r="BN26" s="584">
        <f>BM26/'Fac Conv'!$C$123</f>
        <v>8529.43</v>
      </c>
      <c r="BO26" s="583">
        <f>'IB 5D2-(MYPE_I)(Pesca_A)_2021'!AJ28</f>
        <v>4917307</v>
      </c>
      <c r="BP26" s="584">
        <f>BO26/'Fac Conv'!$C$123</f>
        <v>4917.3069999999998</v>
      </c>
      <c r="BR26" s="263" t="str">
        <f>'Fac Conv'!$C$22</f>
        <v>Verduras, frutas y jugos</v>
      </c>
      <c r="BS26" s="263">
        <f>VLOOKUP(BR26,'Fac Conv'!$G$10:$K$25,2,FALSE)</f>
        <v>20</v>
      </c>
      <c r="BT26" s="263">
        <f>VLOOKUP(BR26,'Fac Conv'!$G$10:$K$25,4,FALSE)</f>
        <v>35</v>
      </c>
    </row>
    <row r="27" spans="2:72" ht="13.9" customHeight="1">
      <c r="B27" s="752"/>
      <c r="C27" s="87" t="str">
        <f>'IB 5D2-(MYPE_I)(Pesca_A)_2021'!D29</f>
        <v>Esparragos en conserva (también como conservas de espárragos)</v>
      </c>
      <c r="D27" s="510" t="str">
        <f>'IB 5D2-(MYPE_I)(Pesca_A)_2021'!E29</f>
        <v>TM/KG</v>
      </c>
      <c r="E27" s="588"/>
      <c r="F27" s="588"/>
      <c r="G27" s="674" t="str">
        <f>'IB 5D2-(MYPE_I)(Pesca_A)_2021'!F29</f>
        <v>(no reporta)</v>
      </c>
      <c r="H27" s="588"/>
      <c r="I27" s="587" t="str">
        <f>'IB 5D2-(MYPE_I)(Pesca_A)_2021'!G29</f>
        <v>(no reporta)</v>
      </c>
      <c r="J27" s="588"/>
      <c r="K27" s="587" t="str">
        <f>'IB 5D2-(MYPE_I)(Pesca_A)_2021'!H29</f>
        <v>(no reporta)</v>
      </c>
      <c r="L27" s="588"/>
      <c r="M27" s="583">
        <f>'IB 5D2-(MYPE_I)(Pesca_A)_2021'!I29</f>
        <v>14967</v>
      </c>
      <c r="N27" s="585">
        <f t="shared" ref="N27:P27" si="17">M27</f>
        <v>14967</v>
      </c>
      <c r="O27" s="583">
        <f>'IB 5D2-(MYPE_I)(Pesca_A)_2021'!J29</f>
        <v>20218</v>
      </c>
      <c r="P27" s="585">
        <f t="shared" si="17"/>
        <v>20218</v>
      </c>
      <c r="Q27" s="583">
        <f>'IB 5D2-(MYPE_I)(Pesca_A)_2021'!K29</f>
        <v>14754</v>
      </c>
      <c r="R27" s="585">
        <f t="shared" ref="R27:T27" si="18">Q27</f>
        <v>14754</v>
      </c>
      <c r="S27" s="583">
        <f>'IB 5D2-(MYPE_I)(Pesca_A)_2021'!L29</f>
        <v>32612</v>
      </c>
      <c r="T27" s="585">
        <f t="shared" si="18"/>
        <v>32612</v>
      </c>
      <c r="U27" s="583">
        <f>'IB 5D2-(MYPE_I)(Pesca_A)_2021'!M29</f>
        <v>31081</v>
      </c>
      <c r="V27" s="585">
        <f t="shared" ref="V27:X27" si="19">U27</f>
        <v>31081</v>
      </c>
      <c r="W27" s="583">
        <f>'IB 5D2-(MYPE_I)(Pesca_A)_2021'!N29</f>
        <v>29314</v>
      </c>
      <c r="X27" s="585">
        <f t="shared" si="19"/>
        <v>29314</v>
      </c>
      <c r="Y27" s="583">
        <f>'IB 5D2-(MYPE_I)(Pesca_A)_2021'!O29</f>
        <v>28720</v>
      </c>
      <c r="Z27" s="585">
        <f t="shared" si="16"/>
        <v>28720</v>
      </c>
      <c r="AA27" s="583">
        <f>'IB 5D2-(MYPE_I)(Pesca_A)_2021'!P29</f>
        <v>25618</v>
      </c>
      <c r="AB27" s="585">
        <f t="shared" si="16"/>
        <v>25618</v>
      </c>
      <c r="AC27" s="583">
        <f>'IB 5D2-(MYPE_I)(Pesca_A)_2021'!Q29</f>
        <v>28077000</v>
      </c>
      <c r="AD27" s="584">
        <f>AC27/'Fac Conv'!$C$123</f>
        <v>28077</v>
      </c>
      <c r="AE27" s="583">
        <f>'IB 5D2-(MYPE_I)(Pesca_A)_2021'!R29</f>
        <v>25318000</v>
      </c>
      <c r="AF27" s="584">
        <f>AE27/'Fac Conv'!$C$123</f>
        <v>25318</v>
      </c>
      <c r="AG27" s="583">
        <f>'IB 5D2-(MYPE_I)(Pesca_A)_2021'!S29</f>
        <v>25783000</v>
      </c>
      <c r="AH27" s="584">
        <f>AG27/'Fac Conv'!$C$123</f>
        <v>25783</v>
      </c>
      <c r="AI27" s="583">
        <f>'IB 5D2-(MYPE_I)(Pesca_A)_2021'!T29</f>
        <v>30333000</v>
      </c>
      <c r="AJ27" s="584">
        <f>AI27/'Fac Conv'!$C$123</f>
        <v>30333</v>
      </c>
      <c r="AK27" s="583">
        <f>'IB 5D2-(MYPE_I)(Pesca_A)_2021'!U29</f>
        <v>36400000</v>
      </c>
      <c r="AL27" s="584">
        <f>AK27/'Fac Conv'!$C$123</f>
        <v>36400</v>
      </c>
      <c r="AM27" s="583">
        <f>'IB 5D2-(MYPE_I)(Pesca_A)_2021'!V29</f>
        <v>43909398</v>
      </c>
      <c r="AN27" s="584">
        <f>AM27/'Fac Conv'!$C$123</f>
        <v>43909.398000000001</v>
      </c>
      <c r="AO27" s="583">
        <f>'IB 5D2-(MYPE_I)(Pesca_A)_2021'!W29</f>
        <v>31956000</v>
      </c>
      <c r="AP27" s="584">
        <f>AO27/'Fac Conv'!$C$123</f>
        <v>31956</v>
      </c>
      <c r="AQ27" s="583">
        <f>'IB 5D2-(MYPE_I)(Pesca_A)_2021'!X29</f>
        <v>31735000</v>
      </c>
      <c r="AR27" s="584">
        <f>AQ27/'Fac Conv'!$C$123</f>
        <v>31735</v>
      </c>
      <c r="AS27" s="583">
        <f>'IB 5D2-(MYPE_I)(Pesca_A)_2021'!Y29</f>
        <v>38018000</v>
      </c>
      <c r="AT27" s="584">
        <f>AS27/'Fac Conv'!$C$123</f>
        <v>38018</v>
      </c>
      <c r="AU27" s="583">
        <f>'IB 5D2-(MYPE_I)(Pesca_A)_2021'!Z29</f>
        <v>37513000</v>
      </c>
      <c r="AV27" s="584">
        <f>AU27/'Fac Conv'!$C$123</f>
        <v>37513</v>
      </c>
      <c r="AW27" s="583">
        <f>'IB 5D2-(MYPE_I)(Pesca_A)_2021'!AA29</f>
        <v>35374000</v>
      </c>
      <c r="AX27" s="584">
        <f>AW27/'Fac Conv'!$C$123</f>
        <v>35374</v>
      </c>
      <c r="AY27" s="583">
        <f>'IB 5D2-(MYPE_I)(Pesca_A)_2021'!AB29</f>
        <v>25695000</v>
      </c>
      <c r="AZ27" s="584">
        <f>AY27/'Fac Conv'!$C$123</f>
        <v>25695</v>
      </c>
      <c r="BA27" s="583">
        <f>'IB 5D2-(MYPE_I)(Pesca_A)_2021'!AC29</f>
        <v>22032251</v>
      </c>
      <c r="BB27" s="584">
        <f>BA27/'Fac Conv'!$C$123</f>
        <v>22032.251</v>
      </c>
      <c r="BC27" s="583">
        <f>'IB 5D2-(MYPE_I)(Pesca_A)_2021'!AD29</f>
        <v>17888000</v>
      </c>
      <c r="BD27" s="584">
        <f>BC27/'Fac Conv'!$C$123</f>
        <v>17888</v>
      </c>
      <c r="BE27" s="583">
        <f>'IB 5D2-(MYPE_I)(Pesca_A)_2021'!AE29</f>
        <v>13533622</v>
      </c>
      <c r="BF27" s="584">
        <f>BE27/'Fac Conv'!$C$123</f>
        <v>13533.621999999999</v>
      </c>
      <c r="BG27" s="583">
        <f>'IB 5D2-(MYPE_I)(Pesca_A)_2021'!AF29</f>
        <v>10201000</v>
      </c>
      <c r="BH27" s="584">
        <f>BG27/'Fac Conv'!$C$123</f>
        <v>10201</v>
      </c>
      <c r="BI27" s="583">
        <f>'IB 5D2-(MYPE_I)(Pesca_A)_2021'!AG29</f>
        <v>24584000</v>
      </c>
      <c r="BJ27" s="584">
        <f>BI27/'Fac Conv'!$C$123</f>
        <v>24584</v>
      </c>
      <c r="BK27" s="583">
        <f>'IB 5D2-(MYPE_I)(Pesca_A)_2021'!AH29</f>
        <v>21521000</v>
      </c>
      <c r="BL27" s="584">
        <f>BK27/'Fac Conv'!$C$123</f>
        <v>21521</v>
      </c>
      <c r="BM27" s="583">
        <f>'IB 5D2-(MYPE_I)(Pesca_A)_2021'!AI29</f>
        <v>26021100</v>
      </c>
      <c r="BN27" s="584">
        <f>BM27/'Fac Conv'!$C$123</f>
        <v>26021.1</v>
      </c>
      <c r="BO27" s="583">
        <f>'IB 5D2-(MYPE_I)(Pesca_A)_2021'!AJ29</f>
        <v>15049304</v>
      </c>
      <c r="BP27" s="584">
        <f>BO27/'Fac Conv'!$C$123</f>
        <v>15049.304</v>
      </c>
      <c r="BR27" s="263" t="str">
        <f>'Fac Conv'!$C$22</f>
        <v>Verduras, frutas y jugos</v>
      </c>
      <c r="BS27" s="263">
        <f>VLOOKUP(BR27,'Fac Conv'!$G$10:$K$25,2,FALSE)</f>
        <v>20</v>
      </c>
      <c r="BT27" s="263">
        <f>VLOOKUP(BR27,'Fac Conv'!$G$10:$K$25,4,FALSE)</f>
        <v>35</v>
      </c>
    </row>
    <row r="28" spans="2:72" ht="13.9" customHeight="1">
      <c r="B28" s="752"/>
      <c r="C28" s="87" t="str">
        <f>'IB 5D2-(MYPE_I)(Pesca_A)_2021'!D30</f>
        <v>Alcachofa</v>
      </c>
      <c r="D28" s="510" t="str">
        <f>'IB 5D2-(MYPE_I)(Pesca_A)_2021'!E30</f>
        <v>KG</v>
      </c>
      <c r="E28" s="588"/>
      <c r="F28" s="588"/>
      <c r="G28" s="674" t="str">
        <f>'IB 5D2-(MYPE_I)(Pesca_A)_2021'!F30</f>
        <v>(no reporta)</v>
      </c>
      <c r="H28" s="588"/>
      <c r="I28" s="587" t="str">
        <f>'IB 5D2-(MYPE_I)(Pesca_A)_2021'!G30</f>
        <v>(no reporta)</v>
      </c>
      <c r="J28" s="588"/>
      <c r="K28" s="587" t="str">
        <f>'IB 5D2-(MYPE_I)(Pesca_A)_2021'!H30</f>
        <v>(no reporta)</v>
      </c>
      <c r="L28" s="588"/>
      <c r="M28" s="587" t="str">
        <f>'IB 5D2-(MYPE_I)(Pesca_A)_2021'!I30</f>
        <v>(no reporta)</v>
      </c>
      <c r="N28" s="588"/>
      <c r="O28" s="587" t="str">
        <f>'IB 5D2-(MYPE_I)(Pesca_A)_2021'!J30</f>
        <v>(no reporta)</v>
      </c>
      <c r="P28" s="588"/>
      <c r="Q28" s="587" t="str">
        <f>'IB 5D2-(MYPE_I)(Pesca_A)_2021'!K30</f>
        <v>(no reporta)</v>
      </c>
      <c r="R28" s="588"/>
      <c r="S28" s="587" t="str">
        <f>'IB 5D2-(MYPE_I)(Pesca_A)_2021'!L30</f>
        <v>(no reporta)</v>
      </c>
      <c r="T28" s="588"/>
      <c r="U28" s="587" t="str">
        <f>'IB 5D2-(MYPE_I)(Pesca_A)_2021'!M30</f>
        <v>(no reporta)</v>
      </c>
      <c r="V28" s="588"/>
      <c r="W28" s="587" t="str">
        <f>'IB 5D2-(MYPE_I)(Pesca_A)_2021'!N30</f>
        <v>(no reporta)</v>
      </c>
      <c r="X28" s="588"/>
      <c r="Y28" s="587" t="str">
        <f>'IB 5D2-(MYPE_I)(Pesca_A)_2021'!O30</f>
        <v>(no reporta)</v>
      </c>
      <c r="Z28" s="588"/>
      <c r="AA28" s="587" t="str">
        <f>'IB 5D2-(MYPE_I)(Pesca_A)_2021'!P30</f>
        <v>(no reporta)</v>
      </c>
      <c r="AB28" s="588"/>
      <c r="AC28" s="587" t="str">
        <f>'IB 5D2-(MYPE_I)(Pesca_A)_2021'!Q30</f>
        <v>(no reporta)</v>
      </c>
      <c r="AD28" s="588"/>
      <c r="AE28" s="587" t="str">
        <f>'IB 5D2-(MYPE_I)(Pesca_A)_2021'!R30</f>
        <v>(no reporta)</v>
      </c>
      <c r="AF28" s="588"/>
      <c r="AG28" s="587" t="str">
        <f>'IB 5D2-(MYPE_I)(Pesca_A)_2021'!S30</f>
        <v>(no reporta)</v>
      </c>
      <c r="AH28" s="588"/>
      <c r="AI28" s="587" t="str">
        <f>'IB 5D2-(MYPE_I)(Pesca_A)_2021'!T30</f>
        <v>(no reporta)</v>
      </c>
      <c r="AJ28" s="588"/>
      <c r="AK28" s="587" t="str">
        <f>'IB 5D2-(MYPE_I)(Pesca_A)_2021'!U30</f>
        <v>(no reporta)</v>
      </c>
      <c r="AL28" s="588"/>
      <c r="AM28" s="587" t="str">
        <f>'IB 5D2-(MYPE_I)(Pesca_A)_2021'!V30</f>
        <v>(no reporta)</v>
      </c>
      <c r="AN28" s="588"/>
      <c r="AO28" s="587" t="str">
        <f>'IB 5D2-(MYPE_I)(Pesca_A)_2021'!W30</f>
        <v>(no reporta)</v>
      </c>
      <c r="AP28" s="588"/>
      <c r="AQ28" s="587" t="str">
        <f>'IB 5D2-(MYPE_I)(Pesca_A)_2021'!X30</f>
        <v>(no reporta)</v>
      </c>
      <c r="AR28" s="588"/>
      <c r="AS28" s="587" t="str">
        <f>'IB 5D2-(MYPE_I)(Pesca_A)_2021'!Y30</f>
        <v>(no reporta)</v>
      </c>
      <c r="AT28" s="588"/>
      <c r="AU28" s="583">
        <f>'IB 5D2-(MYPE_I)(Pesca_A)_2021'!Z30</f>
        <v>19640629</v>
      </c>
      <c r="AV28" s="584">
        <f>AU28/'Fac Conv'!$C$123</f>
        <v>19640.629000000001</v>
      </c>
      <c r="AW28" s="583">
        <f>'IB 5D2-(MYPE_I)(Pesca_A)_2021'!AA30</f>
        <v>13002600</v>
      </c>
      <c r="AX28" s="584">
        <f>AW28/'Fac Conv'!$C$123</f>
        <v>13002.6</v>
      </c>
      <c r="AY28" s="583">
        <f>'IB 5D2-(MYPE_I)(Pesca_A)_2021'!AB30</f>
        <v>22237837</v>
      </c>
      <c r="AZ28" s="584">
        <f>AY28/'Fac Conv'!$C$123</f>
        <v>22237.837</v>
      </c>
      <c r="BA28" s="583">
        <f>'IB 5D2-(MYPE_I)(Pesca_A)_2021'!AC30</f>
        <v>19504405</v>
      </c>
      <c r="BB28" s="584">
        <f>BA28/'Fac Conv'!$C$123</f>
        <v>19504.404999999999</v>
      </c>
      <c r="BC28" s="583">
        <f>'IB 5D2-(MYPE_I)(Pesca_A)_2021'!AD30</f>
        <v>25133156</v>
      </c>
      <c r="BD28" s="584">
        <f>BC28/'Fac Conv'!$C$123</f>
        <v>25133.155999999999</v>
      </c>
      <c r="BE28" s="583">
        <f>'IB 5D2-(MYPE_I)(Pesca_A)_2021'!AE30</f>
        <v>31732104</v>
      </c>
      <c r="BF28" s="584">
        <f>BE28/'Fac Conv'!$C$123</f>
        <v>31732.103999999999</v>
      </c>
      <c r="BG28" s="583">
        <f>'IB 5D2-(MYPE_I)(Pesca_A)_2021'!AF30</f>
        <v>28887513</v>
      </c>
      <c r="BH28" s="584">
        <f>BG28/'Fac Conv'!$C$123</f>
        <v>28887.512999999999</v>
      </c>
      <c r="BI28" s="583">
        <f>'IB 5D2-(MYPE_I)(Pesca_A)_2021'!AG30</f>
        <v>27337594</v>
      </c>
      <c r="BJ28" s="584">
        <f>BI28/'Fac Conv'!$C$123</f>
        <v>27337.594000000001</v>
      </c>
      <c r="BK28" s="583">
        <f>'IB 5D2-(MYPE_I)(Pesca_A)_2021'!AH30</f>
        <v>36443931</v>
      </c>
      <c r="BL28" s="584">
        <f>BK28/'Fac Conv'!$C$123</f>
        <v>36443.930999999997</v>
      </c>
      <c r="BM28" s="583">
        <f>'IB 5D2-(MYPE_I)(Pesca_A)_2021'!AI30</f>
        <v>33603254</v>
      </c>
      <c r="BN28" s="584">
        <f>BM28/'Fac Conv'!$C$123</f>
        <v>33603.254000000001</v>
      </c>
      <c r="BO28" s="583">
        <f>'IB 5D2-(MYPE_I)(Pesca_A)_2021'!AJ30</f>
        <v>51533908</v>
      </c>
      <c r="BP28" s="584">
        <f>BO28/'Fac Conv'!$C$123</f>
        <v>51533.908000000003</v>
      </c>
      <c r="BR28" s="263" t="str">
        <f>'Fac Conv'!$C$22</f>
        <v>Verduras, frutas y jugos</v>
      </c>
      <c r="BS28" s="263">
        <f>VLOOKUP(BR28,'Fac Conv'!$G$10:$K$25,2,FALSE)</f>
        <v>20</v>
      </c>
      <c r="BT28" s="263">
        <f>VLOOKUP(BR28,'Fac Conv'!$G$10:$K$25,4,FALSE)</f>
        <v>35</v>
      </c>
    </row>
    <row r="29" spans="2:72" ht="13.9" customHeight="1">
      <c r="B29" s="752"/>
      <c r="C29" s="87" t="str">
        <f>'IB 5D2-(MYPE_I)(Pesca_A)_2021'!D31</f>
        <v>Jugos y néctares (también como jugos y refrescos diversos)</v>
      </c>
      <c r="D29" s="510" t="str">
        <f>'IB 5D2-(MYPE_I)(Pesca_A)_2021'!E31</f>
        <v>TM/KG</v>
      </c>
      <c r="E29" s="588"/>
      <c r="F29" s="588"/>
      <c r="G29" s="674" t="str">
        <f>'IB 5D2-(MYPE_I)(Pesca_A)_2021'!F31</f>
        <v>(no reporta)</v>
      </c>
      <c r="H29" s="588"/>
      <c r="I29" s="587" t="str">
        <f>'IB 5D2-(MYPE_I)(Pesca_A)_2021'!G31</f>
        <v>(no reporta)</v>
      </c>
      <c r="J29" s="588"/>
      <c r="K29" s="587" t="str">
        <f>'IB 5D2-(MYPE_I)(Pesca_A)_2021'!H31</f>
        <v>(no reporta)</v>
      </c>
      <c r="L29" s="588"/>
      <c r="M29" s="583">
        <f>'IB 5D2-(MYPE_I)(Pesca_A)_2021'!I31</f>
        <v>15415.872925</v>
      </c>
      <c r="N29" s="585">
        <f t="shared" ref="N29:P29" si="20">M29</f>
        <v>15415.872925</v>
      </c>
      <c r="O29" s="583">
        <f>'IB 5D2-(MYPE_I)(Pesca_A)_2021'!J31</f>
        <v>18249.327721000001</v>
      </c>
      <c r="P29" s="585">
        <f t="shared" si="20"/>
        <v>18249.327721000001</v>
      </c>
      <c r="Q29" s="583">
        <f>'IB 5D2-(MYPE_I)(Pesca_A)_2021'!K31</f>
        <v>30071.934694</v>
      </c>
      <c r="R29" s="585">
        <f t="shared" ref="R29:T29" si="21">Q29</f>
        <v>30071.934694</v>
      </c>
      <c r="S29" s="583">
        <f>'IB 5D2-(MYPE_I)(Pesca_A)_2021'!L31</f>
        <v>30148.623958</v>
      </c>
      <c r="T29" s="585">
        <f t="shared" si="21"/>
        <v>30148.623958</v>
      </c>
      <c r="U29" s="583">
        <f>'IB 5D2-(MYPE_I)(Pesca_A)_2021'!M31</f>
        <v>32796.877331999996</v>
      </c>
      <c r="V29" s="585">
        <f t="shared" ref="V29:X29" si="22">U29</f>
        <v>32796.877331999996</v>
      </c>
      <c r="W29" s="583">
        <f>'IB 5D2-(MYPE_I)(Pesca_A)_2021'!N31</f>
        <v>29900.345213000001</v>
      </c>
      <c r="X29" s="585">
        <f t="shared" si="22"/>
        <v>29900.345213000001</v>
      </c>
      <c r="Y29" s="583">
        <f>'IB 5D2-(MYPE_I)(Pesca_A)_2021'!O31</f>
        <v>29782.787033000001</v>
      </c>
      <c r="Z29" s="585">
        <f t="shared" ref="Z29:AB29" si="23">Y29</f>
        <v>29782.787033000001</v>
      </c>
      <c r="AA29" s="583">
        <f>'IB 5D2-(MYPE_I)(Pesca_A)_2021'!P31</f>
        <v>32112.187000000002</v>
      </c>
      <c r="AB29" s="585">
        <f t="shared" si="23"/>
        <v>32112.187000000002</v>
      </c>
      <c r="AC29" s="583">
        <f>'IB 5D2-(MYPE_I)(Pesca_A)_2021'!Q31</f>
        <v>33649115.100000001</v>
      </c>
      <c r="AD29" s="584">
        <f>AC29/'Fac Conv'!$C$123</f>
        <v>33649.115100000003</v>
      </c>
      <c r="AE29" s="583">
        <f>'IB 5D2-(MYPE_I)(Pesca_A)_2021'!R31</f>
        <v>40618550.5</v>
      </c>
      <c r="AF29" s="584">
        <f>AE29/'Fac Conv'!$C$123</f>
        <v>40618.550499999998</v>
      </c>
      <c r="AG29" s="583">
        <f>'IB 5D2-(MYPE_I)(Pesca_A)_2021'!S31</f>
        <v>63327316.5</v>
      </c>
      <c r="AH29" s="584">
        <f>AG29/'Fac Conv'!$C$123</f>
        <v>63327.316500000001</v>
      </c>
      <c r="AI29" s="583">
        <f>'IB 5D2-(MYPE_I)(Pesca_A)_2021'!T31</f>
        <v>107293196</v>
      </c>
      <c r="AJ29" s="584">
        <f>AI29/'Fac Conv'!$C$123</f>
        <v>107293.196</v>
      </c>
      <c r="AK29" s="583">
        <f>'IB 5D2-(MYPE_I)(Pesca_A)_2021'!U31</f>
        <v>217180036.19999999</v>
      </c>
      <c r="AL29" s="584">
        <f>AK29/'Fac Conv'!$C$123</f>
        <v>217180.0362</v>
      </c>
      <c r="AM29" s="583">
        <f>'IB 5D2-(MYPE_I)(Pesca_A)_2021'!V31</f>
        <v>300508562.19999999</v>
      </c>
      <c r="AN29" s="584">
        <f>AM29/'Fac Conv'!$C$123</f>
        <v>300508.56219999999</v>
      </c>
      <c r="AO29" s="583">
        <f>'IB 5D2-(MYPE_I)(Pesca_A)_2021'!W31</f>
        <v>287298158.60000002</v>
      </c>
      <c r="AP29" s="584">
        <f>AO29/'Fac Conv'!$C$123</f>
        <v>287298.15860000002</v>
      </c>
      <c r="AQ29" s="583">
        <f>'IB 5D2-(MYPE_I)(Pesca_A)_2021'!X31</f>
        <v>310346156.69999999</v>
      </c>
      <c r="AR29" s="584">
        <f>AQ29/'Fac Conv'!$C$123</f>
        <v>310346.15669999999</v>
      </c>
      <c r="AS29" s="583">
        <f>'IB 5D2-(MYPE_I)(Pesca_A)_2021'!Y31</f>
        <v>337953719</v>
      </c>
      <c r="AT29" s="584">
        <f>AS29/'Fac Conv'!$C$123</f>
        <v>337953.71899999998</v>
      </c>
      <c r="AU29" s="583">
        <f>'IB 5D2-(MYPE_I)(Pesca_A)_2021'!Z31</f>
        <v>255853396</v>
      </c>
      <c r="AV29" s="584">
        <f>AU29/'Fac Conv'!$C$123</f>
        <v>255853.39600000001</v>
      </c>
      <c r="AW29" s="583">
        <f>'IB 5D2-(MYPE_I)(Pesca_A)_2021'!AA31</f>
        <v>230522869</v>
      </c>
      <c r="AX29" s="584">
        <f>AW29/'Fac Conv'!$C$123</f>
        <v>230522.86900000001</v>
      </c>
      <c r="AY29" s="583">
        <f>'IB 5D2-(MYPE_I)(Pesca_A)_2021'!AB31</f>
        <v>250795522</v>
      </c>
      <c r="AZ29" s="584">
        <f>AY29/'Fac Conv'!$C$123</f>
        <v>250795.522</v>
      </c>
      <c r="BA29" s="583">
        <f>'IB 5D2-(MYPE_I)(Pesca_A)_2021'!AC31</f>
        <v>269436308</v>
      </c>
      <c r="BB29" s="584">
        <f>BA29/'Fac Conv'!$C$123</f>
        <v>269436.30800000002</v>
      </c>
      <c r="BC29" s="583">
        <f>'IB 5D2-(MYPE_I)(Pesca_A)_2021'!AD31</f>
        <v>274576077</v>
      </c>
      <c r="BD29" s="584">
        <f>BC29/'Fac Conv'!$C$123</f>
        <v>274576.07699999999</v>
      </c>
      <c r="BE29" s="583">
        <f>'IB 5D2-(MYPE_I)(Pesca_A)_2021'!AE31</f>
        <v>258944387</v>
      </c>
      <c r="BF29" s="584">
        <f>BE29/'Fac Conv'!$C$123</f>
        <v>258944.38699999999</v>
      </c>
      <c r="BG29" s="583">
        <f>'IB 5D2-(MYPE_I)(Pesca_A)_2021'!AF31</f>
        <v>217600889</v>
      </c>
      <c r="BH29" s="584">
        <f>BG29/'Fac Conv'!$C$123</f>
        <v>217600.889</v>
      </c>
      <c r="BI29" s="583">
        <f>'IB 5D2-(MYPE_I)(Pesca_A)_2021'!AG31</f>
        <v>212629939</v>
      </c>
      <c r="BJ29" s="584">
        <f>BI29/'Fac Conv'!$C$123</f>
        <v>212629.93900000001</v>
      </c>
      <c r="BK29" s="583">
        <f>'IB 5D2-(MYPE_I)(Pesca_A)_2021'!AH31</f>
        <v>191256795</v>
      </c>
      <c r="BL29" s="584">
        <f>BK29/'Fac Conv'!$C$123</f>
        <v>191256.79500000001</v>
      </c>
      <c r="BM29" s="583">
        <f>'IB 5D2-(MYPE_I)(Pesca_A)_2021'!AI31</f>
        <v>209512010</v>
      </c>
      <c r="BN29" s="584">
        <f>BM29/'Fac Conv'!$C$123</f>
        <v>209512.01</v>
      </c>
      <c r="BO29" s="583">
        <f>'IB 5D2-(MYPE_I)(Pesca_A)_2021'!AJ31</f>
        <v>202913330</v>
      </c>
      <c r="BP29" s="584">
        <f>BO29/'Fac Conv'!$C$123</f>
        <v>202913.33</v>
      </c>
      <c r="BR29" s="263" t="str">
        <f>'Fac Conv'!$C$22</f>
        <v>Verduras, frutas y jugos</v>
      </c>
      <c r="BS29" s="263">
        <f>VLOOKUP(BR29,'Fac Conv'!$G$10:$K$25,2,FALSE)</f>
        <v>20</v>
      </c>
      <c r="BT29" s="263">
        <f>VLOOKUP(BR29,'Fac Conv'!$G$10:$K$25,4,FALSE)</f>
        <v>35</v>
      </c>
    </row>
    <row r="30" spans="2:72" ht="13.9" customHeight="1">
      <c r="B30" s="752"/>
      <c r="C30" s="87" t="str">
        <f>'IB 5D2-(MYPE_I)(Pesca_A)_2021'!D32</f>
        <v>Pimiento (conserva, deshidratado)</v>
      </c>
      <c r="D30" s="510" t="str">
        <f>'IB 5D2-(MYPE_I)(Pesca_A)_2021'!E32</f>
        <v>KG</v>
      </c>
      <c r="E30" s="588"/>
      <c r="F30" s="588"/>
      <c r="G30" s="674" t="str">
        <f>'IB 5D2-(MYPE_I)(Pesca_A)_2021'!F32</f>
        <v>(no reporta)</v>
      </c>
      <c r="H30" s="588"/>
      <c r="I30" s="587" t="str">
        <f>'IB 5D2-(MYPE_I)(Pesca_A)_2021'!G32</f>
        <v>(no reporta)</v>
      </c>
      <c r="J30" s="588"/>
      <c r="K30" s="587" t="str">
        <f>'IB 5D2-(MYPE_I)(Pesca_A)_2021'!H32</f>
        <v>(no reporta)</v>
      </c>
      <c r="L30" s="588"/>
      <c r="M30" s="587" t="str">
        <f>'IB 5D2-(MYPE_I)(Pesca_A)_2021'!I32</f>
        <v>(no reporta)</v>
      </c>
      <c r="N30" s="588"/>
      <c r="O30" s="587" t="str">
        <f>'IB 5D2-(MYPE_I)(Pesca_A)_2021'!J32</f>
        <v>(no reporta)</v>
      </c>
      <c r="P30" s="588"/>
      <c r="Q30" s="587" t="str">
        <f>'IB 5D2-(MYPE_I)(Pesca_A)_2021'!K32</f>
        <v>(no reporta)</v>
      </c>
      <c r="R30" s="588"/>
      <c r="S30" s="587" t="str">
        <f>'IB 5D2-(MYPE_I)(Pesca_A)_2021'!L32</f>
        <v>(no reporta)</v>
      </c>
      <c r="T30" s="588"/>
      <c r="U30" s="587" t="str">
        <f>'IB 5D2-(MYPE_I)(Pesca_A)_2021'!M32</f>
        <v>(no reporta)</v>
      </c>
      <c r="V30" s="588"/>
      <c r="W30" s="587" t="str">
        <f>'IB 5D2-(MYPE_I)(Pesca_A)_2021'!N32</f>
        <v>(no reporta)</v>
      </c>
      <c r="X30" s="588"/>
      <c r="Y30" s="587" t="str">
        <f>'IB 5D2-(MYPE_I)(Pesca_A)_2021'!O32</f>
        <v>(no reporta)</v>
      </c>
      <c r="Z30" s="588"/>
      <c r="AA30" s="587" t="str">
        <f>'IB 5D2-(MYPE_I)(Pesca_A)_2021'!P32</f>
        <v>(no reporta)</v>
      </c>
      <c r="AB30" s="588"/>
      <c r="AC30" s="587" t="str">
        <f>'IB 5D2-(MYPE_I)(Pesca_A)_2021'!Q32</f>
        <v>(no reporta)</v>
      </c>
      <c r="AD30" s="588"/>
      <c r="AE30" s="587" t="str">
        <f>'IB 5D2-(MYPE_I)(Pesca_A)_2021'!R32</f>
        <v>(no reporta)</v>
      </c>
      <c r="AF30" s="588"/>
      <c r="AG30" s="587" t="str">
        <f>'IB 5D2-(MYPE_I)(Pesca_A)_2021'!S32</f>
        <v>(no reporta)</v>
      </c>
      <c r="AH30" s="588"/>
      <c r="AI30" s="587" t="str">
        <f>'IB 5D2-(MYPE_I)(Pesca_A)_2021'!T32</f>
        <v>(no reporta)</v>
      </c>
      <c r="AJ30" s="588"/>
      <c r="AK30" s="587" t="str">
        <f>'IB 5D2-(MYPE_I)(Pesca_A)_2021'!U32</f>
        <v>(no reporta)</v>
      </c>
      <c r="AL30" s="588"/>
      <c r="AM30" s="587" t="str">
        <f>'IB 5D2-(MYPE_I)(Pesca_A)_2021'!V32</f>
        <v>(no reporta)</v>
      </c>
      <c r="AN30" s="588"/>
      <c r="AO30" s="587" t="str">
        <f>'IB 5D2-(MYPE_I)(Pesca_A)_2021'!W32</f>
        <v>(no reporta)</v>
      </c>
      <c r="AP30" s="588"/>
      <c r="AQ30" s="587" t="str">
        <f>'IB 5D2-(MYPE_I)(Pesca_A)_2021'!X32</f>
        <v>(no reporta)</v>
      </c>
      <c r="AR30" s="588"/>
      <c r="AS30" s="587" t="str">
        <f>'IB 5D2-(MYPE_I)(Pesca_A)_2021'!Y32</f>
        <v>(no reporta)</v>
      </c>
      <c r="AT30" s="588"/>
      <c r="AU30" s="583">
        <f>'IB 5D2-(MYPE_I)(Pesca_A)_2021'!Z32</f>
        <v>30034891</v>
      </c>
      <c r="AV30" s="584">
        <f>AU30/'Fac Conv'!$C$123</f>
        <v>30034.891</v>
      </c>
      <c r="AW30" s="583">
        <f>'IB 5D2-(MYPE_I)(Pesca_A)_2021'!AA32</f>
        <v>31098085</v>
      </c>
      <c r="AX30" s="584">
        <f>AW30/'Fac Conv'!$C$123</f>
        <v>31098.084999999999</v>
      </c>
      <c r="AY30" s="583">
        <f>'IB 5D2-(MYPE_I)(Pesca_A)_2021'!AB32</f>
        <v>37857347</v>
      </c>
      <c r="AZ30" s="584">
        <f>AY30/'Fac Conv'!$C$123</f>
        <v>37857.347000000002</v>
      </c>
      <c r="BA30" s="583">
        <f>'IB 5D2-(MYPE_I)(Pesca_A)_2021'!AC32</f>
        <v>32445687</v>
      </c>
      <c r="BB30" s="584">
        <f>BA30/'Fac Conv'!$C$123</f>
        <v>32445.687000000002</v>
      </c>
      <c r="BC30" s="583">
        <f>'IB 5D2-(MYPE_I)(Pesca_A)_2021'!AD32</f>
        <v>40663872</v>
      </c>
      <c r="BD30" s="584">
        <f>BC30/'Fac Conv'!$C$123</f>
        <v>40663.872000000003</v>
      </c>
      <c r="BE30" s="583">
        <f>'IB 5D2-(MYPE_I)(Pesca_A)_2021'!AE32</f>
        <v>39736368</v>
      </c>
      <c r="BF30" s="584">
        <f>BE30/'Fac Conv'!$C$123</f>
        <v>39736.368000000002</v>
      </c>
      <c r="BG30" s="583">
        <f>'IB 5D2-(MYPE_I)(Pesca_A)_2021'!AF32</f>
        <v>38085299</v>
      </c>
      <c r="BH30" s="584">
        <f>BG30/'Fac Conv'!$C$123</f>
        <v>38085.298999999999</v>
      </c>
      <c r="BI30" s="583">
        <f>'IB 5D2-(MYPE_I)(Pesca_A)_2021'!AG32</f>
        <v>34185336</v>
      </c>
      <c r="BJ30" s="584">
        <f>BI30/'Fac Conv'!$C$123</f>
        <v>34185.336000000003</v>
      </c>
      <c r="BK30" s="583">
        <f>'IB 5D2-(MYPE_I)(Pesca_A)_2021'!AH32</f>
        <v>41451402</v>
      </c>
      <c r="BL30" s="584">
        <f>BK30/'Fac Conv'!$C$123</f>
        <v>41451.402000000002</v>
      </c>
      <c r="BM30" s="583">
        <f>'IB 5D2-(MYPE_I)(Pesca_A)_2021'!AI32</f>
        <v>37560504</v>
      </c>
      <c r="BN30" s="584">
        <f>BM30/'Fac Conv'!$C$123</f>
        <v>37560.504000000001</v>
      </c>
      <c r="BO30" s="583">
        <f>'IB 5D2-(MYPE_I)(Pesca_A)_2021'!AJ32</f>
        <v>39784429</v>
      </c>
      <c r="BP30" s="584">
        <f>BO30/'Fac Conv'!$C$123</f>
        <v>39784.428999999996</v>
      </c>
      <c r="BR30" s="263" t="str">
        <f>'Fac Conv'!$C$22</f>
        <v>Verduras, frutas y jugos</v>
      </c>
      <c r="BS30" s="263">
        <f>VLOOKUP(BR30,'Fac Conv'!$G$10:$K$25,2,FALSE)</f>
        <v>20</v>
      </c>
      <c r="BT30" s="263">
        <f>VLOOKUP(BR30,'Fac Conv'!$G$10:$K$25,4,FALSE)</f>
        <v>35</v>
      </c>
    </row>
    <row r="31" spans="2:72" ht="13.9" customHeight="1">
      <c r="B31" s="752"/>
      <c r="C31" s="87" t="str">
        <f>'IB 5D2-(MYPE_I)(Pesca_A)_2021'!D33</f>
        <v>Mango (congelado, conserva)</v>
      </c>
      <c r="D31" s="510" t="str">
        <f>'IB 5D2-(MYPE_I)(Pesca_A)_2021'!E33</f>
        <v>KG</v>
      </c>
      <c r="E31" s="588"/>
      <c r="F31" s="588"/>
      <c r="G31" s="674" t="str">
        <f>'IB 5D2-(MYPE_I)(Pesca_A)_2021'!F33</f>
        <v>(no reporta)</v>
      </c>
      <c r="H31" s="588"/>
      <c r="I31" s="587" t="str">
        <f>'IB 5D2-(MYPE_I)(Pesca_A)_2021'!G33</f>
        <v>(no reporta)</v>
      </c>
      <c r="J31" s="588"/>
      <c r="K31" s="587" t="str">
        <f>'IB 5D2-(MYPE_I)(Pesca_A)_2021'!H33</f>
        <v>(no reporta)</v>
      </c>
      <c r="L31" s="588"/>
      <c r="M31" s="587" t="str">
        <f>'IB 5D2-(MYPE_I)(Pesca_A)_2021'!I33</f>
        <v>(no reporta)</v>
      </c>
      <c r="N31" s="588"/>
      <c r="O31" s="587" t="str">
        <f>'IB 5D2-(MYPE_I)(Pesca_A)_2021'!J33</f>
        <v>(no reporta)</v>
      </c>
      <c r="P31" s="588"/>
      <c r="Q31" s="587" t="str">
        <f>'IB 5D2-(MYPE_I)(Pesca_A)_2021'!K33</f>
        <v>(no reporta)</v>
      </c>
      <c r="R31" s="588"/>
      <c r="S31" s="587" t="str">
        <f>'IB 5D2-(MYPE_I)(Pesca_A)_2021'!L33</f>
        <v>(no reporta)</v>
      </c>
      <c r="T31" s="588"/>
      <c r="U31" s="587" t="str">
        <f>'IB 5D2-(MYPE_I)(Pesca_A)_2021'!M33</f>
        <v>(no reporta)</v>
      </c>
      <c r="V31" s="588"/>
      <c r="W31" s="587" t="str">
        <f>'IB 5D2-(MYPE_I)(Pesca_A)_2021'!N33</f>
        <v>(no reporta)</v>
      </c>
      <c r="X31" s="588"/>
      <c r="Y31" s="587" t="str">
        <f>'IB 5D2-(MYPE_I)(Pesca_A)_2021'!O33</f>
        <v>(no reporta)</v>
      </c>
      <c r="Z31" s="588"/>
      <c r="AA31" s="587" t="str">
        <f>'IB 5D2-(MYPE_I)(Pesca_A)_2021'!P33</f>
        <v>(no reporta)</v>
      </c>
      <c r="AB31" s="588"/>
      <c r="AC31" s="587" t="str">
        <f>'IB 5D2-(MYPE_I)(Pesca_A)_2021'!Q33</f>
        <v>(no reporta)</v>
      </c>
      <c r="AD31" s="588"/>
      <c r="AE31" s="587" t="str">
        <f>'IB 5D2-(MYPE_I)(Pesca_A)_2021'!R33</f>
        <v>(no reporta)</v>
      </c>
      <c r="AF31" s="588"/>
      <c r="AG31" s="587" t="str">
        <f>'IB 5D2-(MYPE_I)(Pesca_A)_2021'!S33</f>
        <v>(no reporta)</v>
      </c>
      <c r="AH31" s="588"/>
      <c r="AI31" s="587" t="str">
        <f>'IB 5D2-(MYPE_I)(Pesca_A)_2021'!T33</f>
        <v>(no reporta)</v>
      </c>
      <c r="AJ31" s="588"/>
      <c r="AK31" s="587" t="str">
        <f>'IB 5D2-(MYPE_I)(Pesca_A)_2021'!U33</f>
        <v>(no reporta)</v>
      </c>
      <c r="AL31" s="588"/>
      <c r="AM31" s="587" t="str">
        <f>'IB 5D2-(MYPE_I)(Pesca_A)_2021'!V33</f>
        <v>(no reporta)</v>
      </c>
      <c r="AN31" s="588"/>
      <c r="AO31" s="587" t="str">
        <f>'IB 5D2-(MYPE_I)(Pesca_A)_2021'!W33</f>
        <v>(no reporta)</v>
      </c>
      <c r="AP31" s="588"/>
      <c r="AQ31" s="587" t="str">
        <f>'IB 5D2-(MYPE_I)(Pesca_A)_2021'!X33</f>
        <v>(no reporta)</v>
      </c>
      <c r="AR31" s="588"/>
      <c r="AS31" s="587" t="str">
        <f>'IB 5D2-(MYPE_I)(Pesca_A)_2021'!Y33</f>
        <v>(no reporta)</v>
      </c>
      <c r="AT31" s="588"/>
      <c r="AU31" s="583">
        <f>'IB 5D2-(MYPE_I)(Pesca_A)_2021'!Z33</f>
        <v>8261755</v>
      </c>
      <c r="AV31" s="584">
        <f>AU31/'Fac Conv'!$C$123</f>
        <v>8261.7549999999992</v>
      </c>
      <c r="AW31" s="583">
        <f>'IB 5D2-(MYPE_I)(Pesca_A)_2021'!AA33</f>
        <v>12204704</v>
      </c>
      <c r="AX31" s="584">
        <f>AW31/'Fac Conv'!$C$123</f>
        <v>12204.704</v>
      </c>
      <c r="AY31" s="583">
        <f>'IB 5D2-(MYPE_I)(Pesca_A)_2021'!AB33</f>
        <v>15826922</v>
      </c>
      <c r="AZ31" s="584">
        <f>AY31/'Fac Conv'!$C$123</f>
        <v>15826.922</v>
      </c>
      <c r="BA31" s="583">
        <f>'IB 5D2-(MYPE_I)(Pesca_A)_2021'!AC33</f>
        <v>18858563</v>
      </c>
      <c r="BB31" s="584">
        <f>BA31/'Fac Conv'!$C$123</f>
        <v>18858.562999999998</v>
      </c>
      <c r="BC31" s="583">
        <f>'IB 5D2-(MYPE_I)(Pesca_A)_2021'!AD33</f>
        <v>17557527</v>
      </c>
      <c r="BD31" s="584">
        <f>BC31/'Fac Conv'!$C$123</f>
        <v>17557.526999999998</v>
      </c>
      <c r="BE31" s="583">
        <f>'IB 5D2-(MYPE_I)(Pesca_A)_2021'!AE33</f>
        <v>17810756</v>
      </c>
      <c r="BF31" s="584">
        <f>BE31/'Fac Conv'!$C$123</f>
        <v>17810.756000000001</v>
      </c>
      <c r="BG31" s="583">
        <f>'IB 5D2-(MYPE_I)(Pesca_A)_2021'!AF33</f>
        <v>35457191</v>
      </c>
      <c r="BH31" s="584">
        <f>BG31/'Fac Conv'!$C$123</f>
        <v>35457.190999999999</v>
      </c>
      <c r="BI31" s="583">
        <f>'IB 5D2-(MYPE_I)(Pesca_A)_2021'!AG33</f>
        <v>38344996</v>
      </c>
      <c r="BJ31" s="584">
        <f>BI31/'Fac Conv'!$C$123</f>
        <v>38344.995999999999</v>
      </c>
      <c r="BK31" s="583">
        <f>'IB 5D2-(MYPE_I)(Pesca_A)_2021'!AH33</f>
        <v>54839456</v>
      </c>
      <c r="BL31" s="584">
        <f>BK31/'Fac Conv'!$C$123</f>
        <v>54839.455999999998</v>
      </c>
      <c r="BM31" s="583">
        <f>'IB 5D2-(MYPE_I)(Pesca_A)_2021'!AI33</f>
        <v>42724847</v>
      </c>
      <c r="BN31" s="584">
        <f>BM31/'Fac Conv'!$C$123</f>
        <v>42724.847000000002</v>
      </c>
      <c r="BO31" s="583">
        <f>'IB 5D2-(MYPE_I)(Pesca_A)_2021'!AJ33</f>
        <v>47678661</v>
      </c>
      <c r="BP31" s="584">
        <f>BO31/'Fac Conv'!$C$123</f>
        <v>47678.661</v>
      </c>
      <c r="BR31" s="263" t="str">
        <f>'Fac Conv'!$C$22</f>
        <v>Verduras, frutas y jugos</v>
      </c>
      <c r="BS31" s="263">
        <f>VLOOKUP(BR31,'Fac Conv'!$G$10:$K$25,2,FALSE)</f>
        <v>20</v>
      </c>
      <c r="BT31" s="263">
        <f>VLOOKUP(BR31,'Fac Conv'!$G$10:$K$25,4,FALSE)</f>
        <v>35</v>
      </c>
    </row>
    <row r="32" spans="2:72" ht="13.9" customHeight="1">
      <c r="B32" s="752"/>
      <c r="C32" s="87" t="str">
        <f>'IB 5D2-(MYPE_I)(Pesca_A)_2021'!D34</f>
        <v>Manteca diversas</v>
      </c>
      <c r="D32" s="510" t="str">
        <f>'IB 5D2-(MYPE_I)(Pesca_A)_2021'!E34</f>
        <v>TM</v>
      </c>
      <c r="E32" s="588"/>
      <c r="F32" s="588"/>
      <c r="G32" s="674" t="str">
        <f>'IB 5D2-(MYPE_I)(Pesca_A)_2021'!F34</f>
        <v>(no reporta)</v>
      </c>
      <c r="H32" s="588"/>
      <c r="I32" s="587" t="str">
        <f>'IB 5D2-(MYPE_I)(Pesca_A)_2021'!G34</f>
        <v>(no reporta)</v>
      </c>
      <c r="J32" s="588"/>
      <c r="K32" s="587" t="str">
        <f>'IB 5D2-(MYPE_I)(Pesca_A)_2021'!H34</f>
        <v>(no reporta)</v>
      </c>
      <c r="L32" s="588"/>
      <c r="M32" s="587" t="str">
        <f>'IB 5D2-(MYPE_I)(Pesca_A)_2021'!I34</f>
        <v>(no reporta)</v>
      </c>
      <c r="N32" s="588"/>
      <c r="O32" s="587" t="str">
        <f>'IB 5D2-(MYPE_I)(Pesca_A)_2021'!J34</f>
        <v>(no reporta)</v>
      </c>
      <c r="P32" s="588"/>
      <c r="Q32" s="587" t="str">
        <f>'IB 5D2-(MYPE_I)(Pesca_A)_2021'!K34</f>
        <v>(no reporta)</v>
      </c>
      <c r="R32" s="588"/>
      <c r="S32" s="587" t="str">
        <f>'IB 5D2-(MYPE_I)(Pesca_A)_2021'!L34</f>
        <v>(no reporta)</v>
      </c>
      <c r="T32" s="588"/>
      <c r="U32" s="587" t="str">
        <f>'IB 5D2-(MYPE_I)(Pesca_A)_2021'!M34</f>
        <v>(no reporta)</v>
      </c>
      <c r="V32" s="588"/>
      <c r="W32" s="587" t="str">
        <f>'IB 5D2-(MYPE_I)(Pesca_A)_2021'!N34</f>
        <v>(no reporta)</v>
      </c>
      <c r="X32" s="588"/>
      <c r="Y32" s="587" t="str">
        <f>'IB 5D2-(MYPE_I)(Pesca_A)_2021'!O34</f>
        <v>(no reporta)</v>
      </c>
      <c r="Z32" s="588"/>
      <c r="AA32" s="587" t="str">
        <f>'IB 5D2-(MYPE_I)(Pesca_A)_2021'!P34</f>
        <v>(no reporta)</v>
      </c>
      <c r="AB32" s="588"/>
      <c r="AC32" s="587" t="str">
        <f>'IB 5D2-(MYPE_I)(Pesca_A)_2021'!Q34</f>
        <v>(no reporta)</v>
      </c>
      <c r="AD32" s="588"/>
      <c r="AE32" s="587" t="str">
        <f>'IB 5D2-(MYPE_I)(Pesca_A)_2021'!R34</f>
        <v>(no reporta)</v>
      </c>
      <c r="AF32" s="588"/>
      <c r="AG32" s="587" t="str">
        <f>'IB 5D2-(MYPE_I)(Pesca_A)_2021'!S34</f>
        <v>(no reporta)</v>
      </c>
      <c r="AH32" s="588"/>
      <c r="AI32" s="587" t="str">
        <f>'IB 5D2-(MYPE_I)(Pesca_A)_2021'!T34</f>
        <v>(no reporta)</v>
      </c>
      <c r="AJ32" s="588"/>
      <c r="AK32" s="587" t="str">
        <f>'IB 5D2-(MYPE_I)(Pesca_A)_2021'!U34</f>
        <v>(no reporta)</v>
      </c>
      <c r="AL32" s="588"/>
      <c r="AM32" s="587" t="str">
        <f>'IB 5D2-(MYPE_I)(Pesca_A)_2021'!V34</f>
        <v>(no reporta)</v>
      </c>
      <c r="AN32" s="588"/>
      <c r="AO32" s="587" t="str">
        <f>'IB 5D2-(MYPE_I)(Pesca_A)_2021'!W34</f>
        <v>(no reporta)</v>
      </c>
      <c r="AP32" s="588"/>
      <c r="AQ32" s="587" t="str">
        <f>'IB 5D2-(MYPE_I)(Pesca_A)_2021'!X34</f>
        <v>(no reporta)</v>
      </c>
      <c r="AR32" s="588"/>
      <c r="AS32" s="587" t="str">
        <f>'IB 5D2-(MYPE_I)(Pesca_A)_2021'!Y34</f>
        <v>(no reporta)</v>
      </c>
      <c r="AT32" s="588"/>
      <c r="AU32" s="586">
        <f>'IB 5D2-(MYPE_I)(Pesca_A)_2021'!Z34</f>
        <v>76556</v>
      </c>
      <c r="AV32" s="585">
        <f>AU32</f>
        <v>76556</v>
      </c>
      <c r="AW32" s="586">
        <f>'IB 5D2-(MYPE_I)(Pesca_A)_2021'!AA34</f>
        <v>76787</v>
      </c>
      <c r="AX32" s="585">
        <f>AW32</f>
        <v>76787</v>
      </c>
      <c r="AY32" s="586">
        <f>'IB 5D2-(MYPE_I)(Pesca_A)_2021'!AB34</f>
        <v>80972</v>
      </c>
      <c r="AZ32" s="585">
        <f>AY32</f>
        <v>80972</v>
      </c>
      <c r="BA32" s="586">
        <f>'IB 5D2-(MYPE_I)(Pesca_A)_2021'!AC34</f>
        <v>80026</v>
      </c>
      <c r="BB32" s="585">
        <f>BA32</f>
        <v>80026</v>
      </c>
      <c r="BC32" s="586">
        <f>'IB 5D2-(MYPE_I)(Pesca_A)_2021'!AD34</f>
        <v>80234</v>
      </c>
      <c r="BD32" s="585">
        <f>BC32</f>
        <v>80234</v>
      </c>
      <c r="BE32" s="586">
        <f>'IB 5D2-(MYPE_I)(Pesca_A)_2021'!AE34</f>
        <v>84145</v>
      </c>
      <c r="BF32" s="585">
        <f>BE32</f>
        <v>84145</v>
      </c>
      <c r="BG32" s="586">
        <f>'IB 5D2-(MYPE_I)(Pesca_A)_2021'!AF34</f>
        <v>84549</v>
      </c>
      <c r="BH32" s="585">
        <f>BG32</f>
        <v>84549</v>
      </c>
      <c r="BI32" s="586">
        <f>'IB 5D2-(MYPE_I)(Pesca_A)_2021'!AG34</f>
        <v>89970</v>
      </c>
      <c r="BJ32" s="585">
        <f>BI32</f>
        <v>89970</v>
      </c>
      <c r="BK32" s="586">
        <f>'IB 5D2-(MYPE_I)(Pesca_A)_2021'!AH34</f>
        <v>81053</v>
      </c>
      <c r="BL32" s="585">
        <f>BK32</f>
        <v>81053</v>
      </c>
      <c r="BM32" s="586">
        <f>'IB 5D2-(MYPE_I)(Pesca_A)_2021'!AI34</f>
        <v>92275</v>
      </c>
      <c r="BN32" s="585">
        <f>BM32</f>
        <v>92275</v>
      </c>
      <c r="BO32" s="586">
        <f>'IB 5D2-(MYPE_I)(Pesca_A)_2021'!AJ34</f>
        <v>86170</v>
      </c>
      <c r="BP32" s="585">
        <f>BO32</f>
        <v>86170</v>
      </c>
      <c r="BQ32" s="264" t="s">
        <v>450</v>
      </c>
      <c r="BR32" s="263" t="str">
        <f>'Fac Conv'!$G$23</f>
        <v>Aceites vegetales</v>
      </c>
      <c r="BS32" s="263">
        <f>VLOOKUP(BR32,'Fac Conv'!$G$10:$K$25,2,FALSE)</f>
        <v>3.1</v>
      </c>
      <c r="BT32" s="263">
        <f>(0.5+1.2)/2</f>
        <v>0.85</v>
      </c>
    </row>
    <row r="33" spans="2:72" ht="13.9" customHeight="1">
      <c r="B33" s="752"/>
      <c r="C33" s="87" t="str">
        <f>'IB 5D2-(MYPE_I)(Pesca_A)_2021'!D35</f>
        <v>Margarina</v>
      </c>
      <c r="D33" s="510" t="str">
        <f>'IB 5D2-(MYPE_I)(Pesca_A)_2021'!E35</f>
        <v>TM</v>
      </c>
      <c r="E33" s="668">
        <f>$H$33</f>
        <v>15903</v>
      </c>
      <c r="F33" s="668">
        <f>$H$33</f>
        <v>15903</v>
      </c>
      <c r="G33" s="675">
        <f>'IB 5D2-(MYPE_I)(Pesca_A)_2021'!F35</f>
        <v>15903</v>
      </c>
      <c r="H33" s="585">
        <f t="shared" ref="H33" si="24">G33</f>
        <v>15903</v>
      </c>
      <c r="I33" s="583">
        <f>'IB 5D2-(MYPE_I)(Pesca_A)_2021'!G35</f>
        <v>18679</v>
      </c>
      <c r="J33" s="585">
        <f t="shared" ref="J33:L33" si="25">I33</f>
        <v>18679</v>
      </c>
      <c r="K33" s="583">
        <f>'IB 5D2-(MYPE_I)(Pesca_A)_2021'!H35</f>
        <v>18719</v>
      </c>
      <c r="L33" s="585">
        <f t="shared" si="25"/>
        <v>18719</v>
      </c>
      <c r="M33" s="583">
        <f>'IB 5D2-(MYPE_I)(Pesca_A)_2021'!I35</f>
        <v>18102</v>
      </c>
      <c r="N33" s="585">
        <f t="shared" ref="N33:P33" si="26">M33</f>
        <v>18102</v>
      </c>
      <c r="O33" s="583">
        <f>'IB 5D2-(MYPE_I)(Pesca_A)_2021'!J35</f>
        <v>18178</v>
      </c>
      <c r="P33" s="585">
        <f t="shared" si="26"/>
        <v>18178</v>
      </c>
      <c r="Q33" s="583">
        <f>'IB 5D2-(MYPE_I)(Pesca_A)_2021'!K35</f>
        <v>17884</v>
      </c>
      <c r="R33" s="585">
        <f t="shared" ref="R33:T33" si="27">Q33</f>
        <v>17884</v>
      </c>
      <c r="S33" s="583">
        <f>'IB 5D2-(MYPE_I)(Pesca_A)_2021'!L35</f>
        <v>16681</v>
      </c>
      <c r="T33" s="585">
        <f t="shared" si="27"/>
        <v>16681</v>
      </c>
      <c r="U33" s="583">
        <f>'IB 5D2-(MYPE_I)(Pesca_A)_2021'!M35</f>
        <v>17268</v>
      </c>
      <c r="V33" s="585">
        <f t="shared" ref="V33:X33" si="28">U33</f>
        <v>17268</v>
      </c>
      <c r="W33" s="583">
        <f>'IB 5D2-(MYPE_I)(Pesca_A)_2021'!N35</f>
        <v>15449</v>
      </c>
      <c r="X33" s="585">
        <f t="shared" si="28"/>
        <v>15449</v>
      </c>
      <c r="Y33" s="583">
        <f>'IB 5D2-(MYPE_I)(Pesca_A)_2021'!O35</f>
        <v>14297</v>
      </c>
      <c r="Z33" s="585">
        <f t="shared" ref="Z33:AB35" si="29">Y33</f>
        <v>14297</v>
      </c>
      <c r="AA33" s="583">
        <f>'IB 5D2-(MYPE_I)(Pesca_A)_2021'!P35</f>
        <v>13162</v>
      </c>
      <c r="AB33" s="585">
        <f t="shared" si="29"/>
        <v>13162</v>
      </c>
      <c r="AC33" s="583">
        <f>'IB 5D2-(MYPE_I)(Pesca_A)_2021'!Q35</f>
        <v>12558</v>
      </c>
      <c r="AD33" s="585">
        <f>AC33</f>
        <v>12558</v>
      </c>
      <c r="AE33" s="583">
        <f>'IB 5D2-(MYPE_I)(Pesca_A)_2021'!R35</f>
        <v>11431</v>
      </c>
      <c r="AF33" s="585">
        <f>AE33</f>
        <v>11431</v>
      </c>
      <c r="AG33" s="583">
        <f>'IB 5D2-(MYPE_I)(Pesca_A)_2021'!S35</f>
        <v>16194</v>
      </c>
      <c r="AH33" s="585">
        <f>AG33</f>
        <v>16194</v>
      </c>
      <c r="AI33" s="583">
        <f>'IB 5D2-(MYPE_I)(Pesca_A)_2021'!T35</f>
        <v>16449</v>
      </c>
      <c r="AJ33" s="585">
        <f>AI33</f>
        <v>16449</v>
      </c>
      <c r="AK33" s="583">
        <f>'IB 5D2-(MYPE_I)(Pesca_A)_2021'!U35</f>
        <v>16428</v>
      </c>
      <c r="AL33" s="585">
        <f>AK33</f>
        <v>16428</v>
      </c>
      <c r="AM33" s="583">
        <f>'IB 5D2-(MYPE_I)(Pesca_A)_2021'!V35</f>
        <v>16736</v>
      </c>
      <c r="AN33" s="585">
        <f>AM33</f>
        <v>16736</v>
      </c>
      <c r="AO33" s="583">
        <f>'IB 5D2-(MYPE_I)(Pesca_A)_2021'!W35</f>
        <v>18118</v>
      </c>
      <c r="AP33" s="585">
        <f>AO33</f>
        <v>18118</v>
      </c>
      <c r="AQ33" s="583">
        <f>'IB 5D2-(MYPE_I)(Pesca_A)_2021'!X35</f>
        <v>21920</v>
      </c>
      <c r="AR33" s="585">
        <f>AQ33</f>
        <v>21920</v>
      </c>
      <c r="AS33" s="583">
        <f>'IB 5D2-(MYPE_I)(Pesca_A)_2021'!Y35</f>
        <v>19802</v>
      </c>
      <c r="AT33" s="585">
        <f>AS33</f>
        <v>19802</v>
      </c>
      <c r="AU33" s="583">
        <f>'IB 5D2-(MYPE_I)(Pesca_A)_2021'!Z35</f>
        <v>19525</v>
      </c>
      <c r="AV33" s="585">
        <f>AU33</f>
        <v>19525</v>
      </c>
      <c r="AW33" s="583">
        <f>'IB 5D2-(MYPE_I)(Pesca_A)_2021'!AA35</f>
        <v>19289</v>
      </c>
      <c r="AX33" s="585">
        <f>AW33</f>
        <v>19289</v>
      </c>
      <c r="AY33" s="583">
        <f>'IB 5D2-(MYPE_I)(Pesca_A)_2021'!AB35</f>
        <v>18173</v>
      </c>
      <c r="AZ33" s="585">
        <f>AY33</f>
        <v>18173</v>
      </c>
      <c r="BA33" s="583">
        <f>'IB 5D2-(MYPE_I)(Pesca_A)_2021'!AC35</f>
        <v>19056</v>
      </c>
      <c r="BB33" s="585">
        <f>BA33</f>
        <v>19056</v>
      </c>
      <c r="BC33" s="583">
        <f>'IB 5D2-(MYPE_I)(Pesca_A)_2021'!AD35</f>
        <v>18923</v>
      </c>
      <c r="BD33" s="585">
        <f>BC33</f>
        <v>18923</v>
      </c>
      <c r="BE33" s="583">
        <f>'IB 5D2-(MYPE_I)(Pesca_A)_2021'!AE35</f>
        <v>19938</v>
      </c>
      <c r="BF33" s="585">
        <f>BE33</f>
        <v>19938</v>
      </c>
      <c r="BG33" s="583">
        <f>'IB 5D2-(MYPE_I)(Pesca_A)_2021'!AF35</f>
        <v>21700</v>
      </c>
      <c r="BH33" s="585">
        <f>BG33</f>
        <v>21700</v>
      </c>
      <c r="BI33" s="583">
        <f>'IB 5D2-(MYPE_I)(Pesca_A)_2021'!AG35</f>
        <v>23340</v>
      </c>
      <c r="BJ33" s="585">
        <f>BI33</f>
        <v>23340</v>
      </c>
      <c r="BK33" s="583">
        <f>'IB 5D2-(MYPE_I)(Pesca_A)_2021'!AH35</f>
        <v>21510</v>
      </c>
      <c r="BL33" s="585">
        <f>BK33</f>
        <v>21510</v>
      </c>
      <c r="BM33" s="583">
        <f>'IB 5D2-(MYPE_I)(Pesca_A)_2021'!AI35</f>
        <v>15806</v>
      </c>
      <c r="BN33" s="585">
        <f>BM33</f>
        <v>15806</v>
      </c>
      <c r="BO33" s="583">
        <f>'IB 5D2-(MYPE_I)(Pesca_A)_2021'!AJ35</f>
        <v>18455</v>
      </c>
      <c r="BP33" s="585">
        <f>BO33</f>
        <v>18455</v>
      </c>
      <c r="BR33" s="263" t="str">
        <f>'Fac Conv'!$G$23</f>
        <v>Aceites vegetales</v>
      </c>
      <c r="BS33" s="263">
        <f>VLOOKUP(BR33,'Fac Conv'!$G$10:$K$25,2,FALSE)</f>
        <v>3.1</v>
      </c>
      <c r="BT33" s="263">
        <f>(0.5+1.2)/2</f>
        <v>0.85</v>
      </c>
    </row>
    <row r="34" spans="2:72" ht="13.9" customHeight="1">
      <c r="B34" s="752"/>
      <c r="C34" s="87" t="str">
        <f>'IB 5D2-(MYPE_I)(Pesca_A)_2021'!D36</f>
        <v>Aceite vegetal (también como aceites vegetal y compuesto)</v>
      </c>
      <c r="D34" s="510" t="str">
        <f>'IB 5D2-(MYPE_I)(Pesca_A)_2021'!E36</f>
        <v>TM</v>
      </c>
      <c r="E34" s="588"/>
      <c r="F34" s="588"/>
      <c r="G34" s="674" t="str">
        <f>'IB 5D2-(MYPE_I)(Pesca_A)_2021'!F36</f>
        <v>(no reporta)</v>
      </c>
      <c r="H34" s="588"/>
      <c r="I34" s="587" t="str">
        <f>'IB 5D2-(MYPE_I)(Pesca_A)_2021'!G36</f>
        <v>(no reporta)</v>
      </c>
      <c r="J34" s="588"/>
      <c r="K34" s="587" t="str">
        <f>'IB 5D2-(MYPE_I)(Pesca_A)_2021'!H36</f>
        <v>(no reporta)</v>
      </c>
      <c r="L34" s="588"/>
      <c r="M34" s="583">
        <f>'IB 5D2-(MYPE_I)(Pesca_A)_2021'!I36</f>
        <v>145575</v>
      </c>
      <c r="N34" s="585">
        <f t="shared" ref="N34:P34" si="30">M34</f>
        <v>145575</v>
      </c>
      <c r="O34" s="583">
        <f>'IB 5D2-(MYPE_I)(Pesca_A)_2021'!J36</f>
        <v>152977</v>
      </c>
      <c r="P34" s="585">
        <f t="shared" si="30"/>
        <v>152977</v>
      </c>
      <c r="Q34" s="583">
        <f>'IB 5D2-(MYPE_I)(Pesca_A)_2021'!K36</f>
        <v>157142</v>
      </c>
      <c r="R34" s="585">
        <f t="shared" ref="R34:T34" si="31">Q34</f>
        <v>157142</v>
      </c>
      <c r="S34" s="583">
        <f>'IB 5D2-(MYPE_I)(Pesca_A)_2021'!L36</f>
        <v>152511</v>
      </c>
      <c r="T34" s="585">
        <f t="shared" si="31"/>
        <v>152511</v>
      </c>
      <c r="U34" s="583">
        <f>'IB 5D2-(MYPE_I)(Pesca_A)_2021'!M36</f>
        <v>168300</v>
      </c>
      <c r="V34" s="585">
        <f t="shared" ref="V34:X34" si="32">U34</f>
        <v>168300</v>
      </c>
      <c r="W34" s="583">
        <f>'IB 5D2-(MYPE_I)(Pesca_A)_2021'!N36</f>
        <v>164880</v>
      </c>
      <c r="X34" s="585">
        <f t="shared" si="32"/>
        <v>164880</v>
      </c>
      <c r="Y34" s="583">
        <f>'IB 5D2-(MYPE_I)(Pesca_A)_2021'!O36</f>
        <v>162385</v>
      </c>
      <c r="Z34" s="585">
        <f t="shared" si="29"/>
        <v>162385</v>
      </c>
      <c r="AA34" s="583">
        <f>'IB 5D2-(MYPE_I)(Pesca_A)_2021'!P36</f>
        <v>173867</v>
      </c>
      <c r="AB34" s="585">
        <f t="shared" si="29"/>
        <v>173867</v>
      </c>
      <c r="AC34" s="583">
        <f>'IB 5D2-(MYPE_I)(Pesca_A)_2021'!Q36</f>
        <v>188014</v>
      </c>
      <c r="AD34" s="585">
        <f>AC34</f>
        <v>188014</v>
      </c>
      <c r="AE34" s="583">
        <f>'IB 5D2-(MYPE_I)(Pesca_A)_2021'!R36</f>
        <v>184766</v>
      </c>
      <c r="AF34" s="585">
        <f>AE34</f>
        <v>184766</v>
      </c>
      <c r="AG34" s="583">
        <f>'IB 5D2-(MYPE_I)(Pesca_A)_2021'!S36</f>
        <v>186297</v>
      </c>
      <c r="AH34" s="585">
        <f>AG34</f>
        <v>186297</v>
      </c>
      <c r="AI34" s="583">
        <f>'IB 5D2-(MYPE_I)(Pesca_A)_2021'!T36</f>
        <v>202003</v>
      </c>
      <c r="AJ34" s="585">
        <f>AI34</f>
        <v>202003</v>
      </c>
      <c r="AK34" s="583">
        <f>'IB 5D2-(MYPE_I)(Pesca_A)_2021'!U36</f>
        <v>204476</v>
      </c>
      <c r="AL34" s="585">
        <f>AK34</f>
        <v>204476</v>
      </c>
      <c r="AM34" s="583">
        <f>'IB 5D2-(MYPE_I)(Pesca_A)_2021'!V36</f>
        <v>188146</v>
      </c>
      <c r="AN34" s="585">
        <f>AM34</f>
        <v>188146</v>
      </c>
      <c r="AO34" s="583">
        <f>'IB 5D2-(MYPE_I)(Pesca_A)_2021'!W36</f>
        <v>190165</v>
      </c>
      <c r="AP34" s="585">
        <f>AO34</f>
        <v>190165</v>
      </c>
      <c r="AQ34" s="583">
        <f>'IB 5D2-(MYPE_I)(Pesca_A)_2021'!X36</f>
        <v>233965</v>
      </c>
      <c r="AR34" s="585">
        <f>AQ34</f>
        <v>233965</v>
      </c>
      <c r="AS34" s="583">
        <f>'IB 5D2-(MYPE_I)(Pesca_A)_2021'!Y36</f>
        <v>224062</v>
      </c>
      <c r="AT34" s="585">
        <f>AS34</f>
        <v>224062</v>
      </c>
      <c r="AU34" s="583">
        <f>'IB 5D2-(MYPE_I)(Pesca_A)_2021'!Z36</f>
        <v>248871</v>
      </c>
      <c r="AV34" s="585">
        <f>AU34</f>
        <v>248871</v>
      </c>
      <c r="AW34" s="583">
        <f>'IB 5D2-(MYPE_I)(Pesca_A)_2021'!AA36</f>
        <v>257491</v>
      </c>
      <c r="AX34" s="585">
        <f>AW34</f>
        <v>257491</v>
      </c>
      <c r="AY34" s="583">
        <f>'IB 5D2-(MYPE_I)(Pesca_A)_2021'!AB36</f>
        <v>270742</v>
      </c>
      <c r="AZ34" s="585">
        <f>AY34</f>
        <v>270742</v>
      </c>
      <c r="BA34" s="583">
        <f>'IB 5D2-(MYPE_I)(Pesca_A)_2021'!AC36</f>
        <v>286429</v>
      </c>
      <c r="BB34" s="585">
        <f>BA34</f>
        <v>286429</v>
      </c>
      <c r="BC34" s="583">
        <f>'IB 5D2-(MYPE_I)(Pesca_A)_2021'!AD36</f>
        <v>294752</v>
      </c>
      <c r="BD34" s="585">
        <f>BC34</f>
        <v>294752</v>
      </c>
      <c r="BE34" s="583">
        <f>'IB 5D2-(MYPE_I)(Pesca_A)_2021'!AE36</f>
        <v>314930</v>
      </c>
      <c r="BF34" s="585">
        <f>BE34</f>
        <v>314930</v>
      </c>
      <c r="BG34" s="583">
        <f>'IB 5D2-(MYPE_I)(Pesca_A)_2021'!AF36</f>
        <v>322140</v>
      </c>
      <c r="BH34" s="585">
        <f>BG34</f>
        <v>322140</v>
      </c>
      <c r="BI34" s="583">
        <f>'IB 5D2-(MYPE_I)(Pesca_A)_2021'!AG36</f>
        <v>329430</v>
      </c>
      <c r="BJ34" s="585">
        <f>BI34</f>
        <v>329430</v>
      </c>
      <c r="BK34" s="583">
        <f>'IB 5D2-(MYPE_I)(Pesca_A)_2021'!AH36</f>
        <v>304604</v>
      </c>
      <c r="BL34" s="585">
        <f>BK34</f>
        <v>304604</v>
      </c>
      <c r="BM34" s="583">
        <f>'IB 5D2-(MYPE_I)(Pesca_A)_2021'!AI36</f>
        <v>322571</v>
      </c>
      <c r="BN34" s="585">
        <f>BM34</f>
        <v>322571</v>
      </c>
      <c r="BO34" s="583">
        <f>'IB 5D2-(MYPE_I)(Pesca_A)_2021'!AJ36</f>
        <v>306050</v>
      </c>
      <c r="BP34" s="585">
        <f>BO34</f>
        <v>306050</v>
      </c>
      <c r="BR34" s="263" t="str">
        <f>'Fac Conv'!$G$23</f>
        <v>Aceites vegetales</v>
      </c>
      <c r="BS34" s="263">
        <f>VLOOKUP(BR34,'Fac Conv'!$G$10:$K$25,2,FALSE)</f>
        <v>3.1</v>
      </c>
      <c r="BT34" s="263">
        <f>(0.5+1.2)/2</f>
        <v>0.85</v>
      </c>
    </row>
    <row r="35" spans="2:72" ht="13.9" customHeight="1">
      <c r="B35" s="752"/>
      <c r="C35" s="87" t="str">
        <f>'IB 5D2-(MYPE_I)(Pesca_A)_2021'!D37</f>
        <v>Leche Evaporada</v>
      </c>
      <c r="D35" s="510" t="str">
        <f>'IB 5D2-(MYPE_I)(Pesca_A)_2021'!E37</f>
        <v>TM</v>
      </c>
      <c r="E35" s="588"/>
      <c r="F35" s="588"/>
      <c r="G35" s="674" t="str">
        <f>'IB 5D2-(MYPE_I)(Pesca_A)_2021'!F37</f>
        <v>(no reporta)</v>
      </c>
      <c r="H35" s="588"/>
      <c r="I35" s="587" t="str">
        <f>'IB 5D2-(MYPE_I)(Pesca_A)_2021'!G37</f>
        <v>(no reporta)</v>
      </c>
      <c r="J35" s="588"/>
      <c r="K35" s="587" t="str">
        <f>'IB 5D2-(MYPE_I)(Pesca_A)_2021'!H37</f>
        <v>(no reporta)</v>
      </c>
      <c r="L35" s="588"/>
      <c r="M35" s="583">
        <f>'IB 5D2-(MYPE_I)(Pesca_A)_2021'!I37</f>
        <v>154458</v>
      </c>
      <c r="N35" s="585">
        <f t="shared" ref="N35:P35" si="33">M35</f>
        <v>154458</v>
      </c>
      <c r="O35" s="583">
        <f>'IB 5D2-(MYPE_I)(Pesca_A)_2021'!J37</f>
        <v>153666</v>
      </c>
      <c r="P35" s="585">
        <f t="shared" si="33"/>
        <v>153666</v>
      </c>
      <c r="Q35" s="583">
        <f>'IB 5D2-(MYPE_I)(Pesca_A)_2021'!K37</f>
        <v>148798.712</v>
      </c>
      <c r="R35" s="585">
        <f t="shared" ref="R35:T35" si="34">Q35</f>
        <v>148798.712</v>
      </c>
      <c r="S35" s="583">
        <f>'IB 5D2-(MYPE_I)(Pesca_A)_2021'!L37</f>
        <v>163326</v>
      </c>
      <c r="T35" s="585">
        <f t="shared" si="34"/>
        <v>163326</v>
      </c>
      <c r="U35" s="583">
        <f>'IB 5D2-(MYPE_I)(Pesca_A)_2021'!M37</f>
        <v>178862</v>
      </c>
      <c r="V35" s="585">
        <f t="shared" ref="V35:X35" si="35">U35</f>
        <v>178862</v>
      </c>
      <c r="W35" s="583">
        <f>'IB 5D2-(MYPE_I)(Pesca_A)_2021'!N37</f>
        <v>221862</v>
      </c>
      <c r="X35" s="585">
        <f t="shared" si="35"/>
        <v>221862</v>
      </c>
      <c r="Y35" s="583">
        <f>'IB 5D2-(MYPE_I)(Pesca_A)_2021'!O37</f>
        <v>211558</v>
      </c>
      <c r="Z35" s="585">
        <f t="shared" si="29"/>
        <v>211558</v>
      </c>
      <c r="AA35" s="583">
        <f>'IB 5D2-(MYPE_I)(Pesca_A)_2021'!P37</f>
        <v>245262</v>
      </c>
      <c r="AB35" s="585">
        <f t="shared" si="29"/>
        <v>245262</v>
      </c>
      <c r="AC35" s="583">
        <f>'IB 5D2-(MYPE_I)(Pesca_A)_2021'!Q37</f>
        <v>270048.90000000002</v>
      </c>
      <c r="AD35" s="585">
        <f>AC35</f>
        <v>270048.90000000002</v>
      </c>
      <c r="AE35" s="583">
        <f>'IB 5D2-(MYPE_I)(Pesca_A)_2021'!R37</f>
        <v>311928.8</v>
      </c>
      <c r="AF35" s="585">
        <f>AE35</f>
        <v>311928.8</v>
      </c>
      <c r="AG35" s="583">
        <f>'IB 5D2-(MYPE_I)(Pesca_A)_2021'!S37</f>
        <v>327423</v>
      </c>
      <c r="AH35" s="585">
        <f>AG35</f>
        <v>327423</v>
      </c>
      <c r="AI35" s="583">
        <f>'IB 5D2-(MYPE_I)(Pesca_A)_2021'!T37</f>
        <v>364243.6</v>
      </c>
      <c r="AJ35" s="585">
        <f>AI35</f>
        <v>364243.6</v>
      </c>
      <c r="AK35" s="583">
        <f>'IB 5D2-(MYPE_I)(Pesca_A)_2021'!U37</f>
        <v>384012.2</v>
      </c>
      <c r="AL35" s="585">
        <f>AK35</f>
        <v>384012.2</v>
      </c>
      <c r="AM35" s="583">
        <f>'IB 5D2-(MYPE_I)(Pesca_A)_2021'!V37</f>
        <v>397824.8</v>
      </c>
      <c r="AN35" s="585">
        <f>AM35</f>
        <v>397824.8</v>
      </c>
      <c r="AO35" s="583">
        <f>'IB 5D2-(MYPE_I)(Pesca_A)_2021'!W37</f>
        <v>363595.9</v>
      </c>
      <c r="AP35" s="585">
        <f>AO35</f>
        <v>363595.9</v>
      </c>
      <c r="AQ35" s="583">
        <f>'IB 5D2-(MYPE_I)(Pesca_A)_2021'!X37</f>
        <v>409468.9</v>
      </c>
      <c r="AR35" s="585">
        <f>AQ35</f>
        <v>409468.9</v>
      </c>
      <c r="AS35" s="583">
        <f>'IB 5D2-(MYPE_I)(Pesca_A)_2021'!Y37</f>
        <v>418932.8</v>
      </c>
      <c r="AT35" s="585">
        <f>AS35</f>
        <v>418932.8</v>
      </c>
      <c r="AU35" s="583">
        <f>'IB 5D2-(MYPE_I)(Pesca_A)_2021'!Z37</f>
        <v>449162</v>
      </c>
      <c r="AV35" s="585">
        <f>AU35</f>
        <v>449162</v>
      </c>
      <c r="AW35" s="583">
        <f>'IB 5D2-(MYPE_I)(Pesca_A)_2021'!AA37</f>
        <v>478117</v>
      </c>
      <c r="AX35" s="585">
        <f>AW35</f>
        <v>478117</v>
      </c>
      <c r="AY35" s="583">
        <f>'IB 5D2-(MYPE_I)(Pesca_A)_2021'!AB37</f>
        <v>487466</v>
      </c>
      <c r="AZ35" s="585">
        <f>AY35</f>
        <v>487466</v>
      </c>
      <c r="BA35" s="583">
        <f>'IB 5D2-(MYPE_I)(Pesca_A)_2021'!AC37</f>
        <v>513792</v>
      </c>
      <c r="BB35" s="585">
        <f>BA35</f>
        <v>513792</v>
      </c>
      <c r="BC35" s="583">
        <f>'IB 5D2-(MYPE_I)(Pesca_A)_2021'!AD37</f>
        <v>481933</v>
      </c>
      <c r="BD35" s="585">
        <f>BC35</f>
        <v>481933</v>
      </c>
      <c r="BE35" s="583">
        <f>'IB 5D2-(MYPE_I)(Pesca_A)_2021'!AE37</f>
        <v>466063</v>
      </c>
      <c r="BF35" s="585">
        <f>BE35</f>
        <v>466063</v>
      </c>
      <c r="BG35" s="583">
        <f>'IB 5D2-(MYPE_I)(Pesca_A)_2021'!AF37</f>
        <v>469798</v>
      </c>
      <c r="BH35" s="585">
        <f>BG35</f>
        <v>469798</v>
      </c>
      <c r="BI35" s="583">
        <f>'IB 5D2-(MYPE_I)(Pesca_A)_2021'!AG37</f>
        <v>468067</v>
      </c>
      <c r="BJ35" s="585">
        <f>BI35</f>
        <v>468067</v>
      </c>
      <c r="BK35" s="583">
        <f>'IB 5D2-(MYPE_I)(Pesca_A)_2021'!AH37</f>
        <v>487286</v>
      </c>
      <c r="BL35" s="585">
        <f>BK35</f>
        <v>487286</v>
      </c>
      <c r="BM35" s="583">
        <f>'IB 5D2-(MYPE_I)(Pesca_A)_2021'!AI37</f>
        <v>537824</v>
      </c>
      <c r="BN35" s="585">
        <f>BM35</f>
        <v>537824</v>
      </c>
      <c r="BO35" s="583">
        <f>'IB 5D2-(MYPE_I)(Pesca_A)_2021'!AJ37</f>
        <v>499164</v>
      </c>
      <c r="BP35" s="585">
        <f>BO35</f>
        <v>499164</v>
      </c>
      <c r="BR35" s="263" t="str">
        <f>'Fac Conv'!$G$13</f>
        <v>Productos lácteos</v>
      </c>
      <c r="BS35" s="263">
        <f>VLOOKUP(BR35,'Fac Conv'!$G$10:$K$25,2,FALSE)</f>
        <v>7</v>
      </c>
      <c r="BT35" s="263">
        <f>VLOOKUP(BR35,'Fac Conv'!$G$10:$K$25,4,FALSE)</f>
        <v>10</v>
      </c>
    </row>
    <row r="36" spans="2:72" ht="13.9" customHeight="1">
      <c r="B36" s="752"/>
      <c r="C36" s="87" t="str">
        <f>'IB 5D2-(MYPE_I)(Pesca_A)_2021'!D38</f>
        <v>Yogurt</v>
      </c>
      <c r="D36" s="510" t="str">
        <f>'IB 5D2-(MYPE_I)(Pesca_A)_2021'!E38</f>
        <v>KG</v>
      </c>
      <c r="E36" s="588"/>
      <c r="F36" s="588"/>
      <c r="G36" s="674" t="str">
        <f>'IB 5D2-(MYPE_I)(Pesca_A)_2021'!F38</f>
        <v>(no reporta)</v>
      </c>
      <c r="H36" s="588"/>
      <c r="I36" s="587" t="str">
        <f>'IB 5D2-(MYPE_I)(Pesca_A)_2021'!G38</f>
        <v>(no reporta)</v>
      </c>
      <c r="J36" s="588"/>
      <c r="K36" s="587" t="str">
        <f>'IB 5D2-(MYPE_I)(Pesca_A)_2021'!H38</f>
        <v>(no reporta)</v>
      </c>
      <c r="L36" s="588"/>
      <c r="M36" s="587" t="str">
        <f>'IB 5D2-(MYPE_I)(Pesca_A)_2021'!I38</f>
        <v>(no reporta)</v>
      </c>
      <c r="N36" s="588"/>
      <c r="O36" s="587" t="str">
        <f>'IB 5D2-(MYPE_I)(Pesca_A)_2021'!J38</f>
        <v>(no reporta)</v>
      </c>
      <c r="P36" s="588"/>
      <c r="Q36" s="587" t="str">
        <f>'IB 5D2-(MYPE_I)(Pesca_A)_2021'!K38</f>
        <v>(no reporta)</v>
      </c>
      <c r="R36" s="588"/>
      <c r="S36" s="587" t="str">
        <f>'IB 5D2-(MYPE_I)(Pesca_A)_2021'!L38</f>
        <v>(no reporta)</v>
      </c>
      <c r="T36" s="588"/>
      <c r="U36" s="587" t="str">
        <f>'IB 5D2-(MYPE_I)(Pesca_A)_2021'!M38</f>
        <v>(no reporta)</v>
      </c>
      <c r="V36" s="588"/>
      <c r="W36" s="587" t="str">
        <f>'IB 5D2-(MYPE_I)(Pesca_A)_2021'!N38</f>
        <v>(no reporta)</v>
      </c>
      <c r="X36" s="588"/>
      <c r="Y36" s="587" t="str">
        <f>'IB 5D2-(MYPE_I)(Pesca_A)_2021'!O38</f>
        <v>(no reporta)</v>
      </c>
      <c r="Z36" s="588"/>
      <c r="AA36" s="587" t="str">
        <f>'IB 5D2-(MYPE_I)(Pesca_A)_2021'!P38</f>
        <v>(no reporta)</v>
      </c>
      <c r="AB36" s="588"/>
      <c r="AC36" s="583">
        <f>'IB 5D2-(MYPE_I)(Pesca_A)_2021'!Q38</f>
        <v>32970639.899999999</v>
      </c>
      <c r="AD36" s="584">
        <f>AC36/'Fac Conv'!$C$123</f>
        <v>32970.639900000002</v>
      </c>
      <c r="AE36" s="583">
        <f>'IB 5D2-(MYPE_I)(Pesca_A)_2021'!R38</f>
        <v>44379970.600000001</v>
      </c>
      <c r="AF36" s="584">
        <f>AE36/'Fac Conv'!$C$123</f>
        <v>44379.970600000001</v>
      </c>
      <c r="AG36" s="583">
        <f>'IB 5D2-(MYPE_I)(Pesca_A)_2021'!S38</f>
        <v>51151457.399999999</v>
      </c>
      <c r="AH36" s="584">
        <f>AG36/'Fac Conv'!$C$123</f>
        <v>51151.457399999999</v>
      </c>
      <c r="AI36" s="583">
        <f>'IB 5D2-(MYPE_I)(Pesca_A)_2021'!T38</f>
        <v>58803336</v>
      </c>
      <c r="AJ36" s="584">
        <f>AI36/'Fac Conv'!$C$123</f>
        <v>58803.336000000003</v>
      </c>
      <c r="AK36" s="583">
        <f>'IB 5D2-(MYPE_I)(Pesca_A)_2021'!U38</f>
        <v>73137242.400000006</v>
      </c>
      <c r="AL36" s="584">
        <f>AK36/'Fac Conv'!$C$123</f>
        <v>73137.242400000003</v>
      </c>
      <c r="AM36" s="583">
        <f>'IB 5D2-(MYPE_I)(Pesca_A)_2021'!V38</f>
        <v>100443970</v>
      </c>
      <c r="AN36" s="584">
        <f>AM36/'Fac Conv'!$C$123</f>
        <v>100443.97</v>
      </c>
      <c r="AO36" s="583">
        <f>'IB 5D2-(MYPE_I)(Pesca_A)_2021'!W38</f>
        <v>116025253.8</v>
      </c>
      <c r="AP36" s="584">
        <f>AO36/'Fac Conv'!$C$123</f>
        <v>116025.25379999999</v>
      </c>
      <c r="AQ36" s="583">
        <f>'IB 5D2-(MYPE_I)(Pesca_A)_2021'!X38</f>
        <v>135351577</v>
      </c>
      <c r="AR36" s="584">
        <f>AQ36/'Fac Conv'!$C$123</f>
        <v>135351.57699999999</v>
      </c>
      <c r="AS36" s="583">
        <f>'IB 5D2-(MYPE_I)(Pesca_A)_2021'!Y38</f>
        <v>143967525</v>
      </c>
      <c r="AT36" s="584">
        <f>AS36/'Fac Conv'!$C$123</f>
        <v>143967.52499999999</v>
      </c>
      <c r="AU36" s="583">
        <f>'IB 5D2-(MYPE_I)(Pesca_A)_2021'!Z38</f>
        <v>161406141</v>
      </c>
      <c r="AV36" s="584">
        <f>AU36/'Fac Conv'!$C$123</f>
        <v>161406.141</v>
      </c>
      <c r="AW36" s="583">
        <f>'IB 5D2-(MYPE_I)(Pesca_A)_2021'!AA38</f>
        <v>175000787</v>
      </c>
      <c r="AX36" s="584">
        <f>AW36/'Fac Conv'!$C$123</f>
        <v>175000.78700000001</v>
      </c>
      <c r="AY36" s="583">
        <f>'IB 5D2-(MYPE_I)(Pesca_A)_2021'!AB38</f>
        <v>187923609</v>
      </c>
      <c r="AZ36" s="584">
        <f>AY36/'Fac Conv'!$C$123</f>
        <v>187923.609</v>
      </c>
      <c r="BA36" s="583">
        <f>'IB 5D2-(MYPE_I)(Pesca_A)_2021'!AC38</f>
        <v>204511011</v>
      </c>
      <c r="BB36" s="584">
        <f>BA36/'Fac Conv'!$C$123</f>
        <v>204511.011</v>
      </c>
      <c r="BC36" s="583">
        <f>'IB 5D2-(MYPE_I)(Pesca_A)_2021'!AD38</f>
        <v>197073667</v>
      </c>
      <c r="BD36" s="584">
        <f>BC36/'Fac Conv'!$C$123</f>
        <v>197073.66699999999</v>
      </c>
      <c r="BE36" s="583">
        <f>'IB 5D2-(MYPE_I)(Pesca_A)_2021'!AE38</f>
        <v>161750657</v>
      </c>
      <c r="BF36" s="584">
        <f>BE36/'Fac Conv'!$C$123</f>
        <v>161750.65700000001</v>
      </c>
      <c r="BG36" s="583">
        <f>'IB 5D2-(MYPE_I)(Pesca_A)_2021'!AF38</f>
        <v>156638315</v>
      </c>
      <c r="BH36" s="584">
        <f>BG36/'Fac Conv'!$C$123</f>
        <v>156638.315</v>
      </c>
      <c r="BI36" s="583">
        <f>'IB 5D2-(MYPE_I)(Pesca_A)_2021'!AG38</f>
        <v>168269532</v>
      </c>
      <c r="BJ36" s="584">
        <f>BI36/'Fac Conv'!$C$123</f>
        <v>168269.53200000001</v>
      </c>
      <c r="BK36" s="583">
        <f>'IB 5D2-(MYPE_I)(Pesca_A)_2021'!AH38</f>
        <v>172523204</v>
      </c>
      <c r="BL36" s="584">
        <f>BK36/'Fac Conv'!$C$123</f>
        <v>172523.204</v>
      </c>
      <c r="BM36" s="583">
        <f>'IB 5D2-(MYPE_I)(Pesca_A)_2021'!AI38</f>
        <v>172405708</v>
      </c>
      <c r="BN36" s="584">
        <f>BM36/'Fac Conv'!$C$123</f>
        <v>172405.70800000001</v>
      </c>
      <c r="BO36" s="583">
        <f>'IB 5D2-(MYPE_I)(Pesca_A)_2021'!AJ38</f>
        <v>144616469</v>
      </c>
      <c r="BP36" s="584">
        <f>BO36/'Fac Conv'!$C$123</f>
        <v>144616.46900000001</v>
      </c>
      <c r="BR36" s="263" t="str">
        <f>'Fac Conv'!$G$13</f>
        <v>Productos lácteos</v>
      </c>
      <c r="BS36" s="263">
        <f>VLOOKUP(BR36,'Fac Conv'!$G$10:$K$25,2,FALSE)</f>
        <v>7</v>
      </c>
      <c r="BT36" s="263">
        <f>VLOOKUP(BR36,'Fac Conv'!$G$10:$K$25,4,FALSE)</f>
        <v>10</v>
      </c>
    </row>
    <row r="37" spans="2:72" ht="13.9" customHeight="1">
      <c r="B37" s="752"/>
      <c r="C37" s="87" t="str">
        <f>'IB 5D2-(MYPE_I)(Pesca_A)_2021'!D39</f>
        <v>Leche fresca (pasteurizada)</v>
      </c>
      <c r="D37" s="510" t="str">
        <f>'IB 5D2-(MYPE_I)(Pesca_A)_2021'!E39</f>
        <v>KG</v>
      </c>
      <c r="E37" s="588"/>
      <c r="F37" s="588"/>
      <c r="G37" s="674" t="str">
        <f>'IB 5D2-(MYPE_I)(Pesca_A)_2021'!F39</f>
        <v>(no reporta)</v>
      </c>
      <c r="H37" s="588"/>
      <c r="I37" s="587" t="str">
        <f>'IB 5D2-(MYPE_I)(Pesca_A)_2021'!G39</f>
        <v>(no reporta)</v>
      </c>
      <c r="J37" s="588"/>
      <c r="K37" s="587" t="str">
        <f>'IB 5D2-(MYPE_I)(Pesca_A)_2021'!H39</f>
        <v>(no reporta)</v>
      </c>
      <c r="L37" s="588"/>
      <c r="M37" s="587" t="str">
        <f>'IB 5D2-(MYPE_I)(Pesca_A)_2021'!I39</f>
        <v>(no reporta)</v>
      </c>
      <c r="N37" s="588"/>
      <c r="O37" s="587" t="str">
        <f>'IB 5D2-(MYPE_I)(Pesca_A)_2021'!J39</f>
        <v>(no reporta)</v>
      </c>
      <c r="P37" s="588"/>
      <c r="Q37" s="587" t="str">
        <f>'IB 5D2-(MYPE_I)(Pesca_A)_2021'!K39</f>
        <v>(no reporta)</v>
      </c>
      <c r="R37" s="588"/>
      <c r="S37" s="587" t="str">
        <f>'IB 5D2-(MYPE_I)(Pesca_A)_2021'!L39</f>
        <v>(no reporta)</v>
      </c>
      <c r="T37" s="588"/>
      <c r="U37" s="587" t="str">
        <f>'IB 5D2-(MYPE_I)(Pesca_A)_2021'!M39</f>
        <v>(no reporta)</v>
      </c>
      <c r="V37" s="588"/>
      <c r="W37" s="587" t="str">
        <f>'IB 5D2-(MYPE_I)(Pesca_A)_2021'!N39</f>
        <v>(no reporta)</v>
      </c>
      <c r="X37" s="588"/>
      <c r="Y37" s="587" t="str">
        <f>'IB 5D2-(MYPE_I)(Pesca_A)_2021'!O39</f>
        <v>(no reporta)</v>
      </c>
      <c r="Z37" s="588"/>
      <c r="AA37" s="587" t="str">
        <f>'IB 5D2-(MYPE_I)(Pesca_A)_2021'!P39</f>
        <v>(no reporta)</v>
      </c>
      <c r="AB37" s="588"/>
      <c r="AC37" s="587" t="str">
        <f>'IB 5D2-(MYPE_I)(Pesca_A)_2021'!Q39</f>
        <v>(no reporta)</v>
      </c>
      <c r="AD37" s="588"/>
      <c r="AE37" s="587" t="str">
        <f>'IB 5D2-(MYPE_I)(Pesca_A)_2021'!R39</f>
        <v>(no reporta)</v>
      </c>
      <c r="AF37" s="588"/>
      <c r="AG37" s="587" t="str">
        <f>'IB 5D2-(MYPE_I)(Pesca_A)_2021'!S39</f>
        <v>(no reporta)</v>
      </c>
      <c r="AH37" s="588"/>
      <c r="AI37" s="587" t="str">
        <f>'IB 5D2-(MYPE_I)(Pesca_A)_2021'!T39</f>
        <v>(no reporta)</v>
      </c>
      <c r="AJ37" s="588"/>
      <c r="AK37" s="587" t="str">
        <f>'IB 5D2-(MYPE_I)(Pesca_A)_2021'!U39</f>
        <v>(no reporta)</v>
      </c>
      <c r="AL37" s="588"/>
      <c r="AM37" s="587" t="str">
        <f>'IB 5D2-(MYPE_I)(Pesca_A)_2021'!V39</f>
        <v>(no reporta)</v>
      </c>
      <c r="AN37" s="588"/>
      <c r="AO37" s="587" t="str">
        <f>'IB 5D2-(MYPE_I)(Pesca_A)_2021'!W39</f>
        <v>(no reporta)</v>
      </c>
      <c r="AP37" s="588"/>
      <c r="AQ37" s="587" t="str">
        <f>'IB 5D2-(MYPE_I)(Pesca_A)_2021'!X39</f>
        <v>(no reporta)</v>
      </c>
      <c r="AR37" s="588"/>
      <c r="AS37" s="587" t="str">
        <f>'IB 5D2-(MYPE_I)(Pesca_A)_2021'!Y39</f>
        <v>(no reporta)</v>
      </c>
      <c r="AT37" s="588"/>
      <c r="AU37" s="583">
        <f>'IB 5D2-(MYPE_I)(Pesca_A)_2021'!Z39</f>
        <v>116326803</v>
      </c>
      <c r="AV37" s="584">
        <f>AU37/'Fac Conv'!$C$123</f>
        <v>116326.803</v>
      </c>
      <c r="AW37" s="583">
        <f>'IB 5D2-(MYPE_I)(Pesca_A)_2021'!AA39</f>
        <v>117399896</v>
      </c>
      <c r="AX37" s="584">
        <f>AW37/'Fac Conv'!$C$123</f>
        <v>117399.89599999999</v>
      </c>
      <c r="AY37" s="583">
        <f>'IB 5D2-(MYPE_I)(Pesca_A)_2021'!AB39</f>
        <v>117255611</v>
      </c>
      <c r="AZ37" s="584">
        <f>AY37/'Fac Conv'!$C$123</f>
        <v>117255.611</v>
      </c>
      <c r="BA37" s="583">
        <f>'IB 5D2-(MYPE_I)(Pesca_A)_2021'!AC39</f>
        <v>124430979</v>
      </c>
      <c r="BB37" s="584">
        <f>BA37/'Fac Conv'!$C$123</f>
        <v>124430.97900000001</v>
      </c>
      <c r="BC37" s="583">
        <f>'IB 5D2-(MYPE_I)(Pesca_A)_2021'!AD39</f>
        <v>131222548</v>
      </c>
      <c r="BD37" s="584">
        <f>BC37/'Fac Conv'!$C$123</f>
        <v>131222.54800000001</v>
      </c>
      <c r="BE37" s="583">
        <f>'IB 5D2-(MYPE_I)(Pesca_A)_2021'!AE39</f>
        <v>139147209</v>
      </c>
      <c r="BF37" s="584">
        <f>BE37/'Fac Conv'!$C$123</f>
        <v>139147.209</v>
      </c>
      <c r="BG37" s="583">
        <f>'IB 5D2-(MYPE_I)(Pesca_A)_2021'!AF39</f>
        <v>135840015</v>
      </c>
      <c r="BH37" s="584">
        <f>BG37/'Fac Conv'!$C$123</f>
        <v>135840.01500000001</v>
      </c>
      <c r="BI37" s="583">
        <f>'IB 5D2-(MYPE_I)(Pesca_A)_2021'!AG39</f>
        <v>137681412</v>
      </c>
      <c r="BJ37" s="584">
        <f>BI37/'Fac Conv'!$C$123</f>
        <v>137681.41200000001</v>
      </c>
      <c r="BK37" s="583">
        <f>'IB 5D2-(MYPE_I)(Pesca_A)_2021'!AH39</f>
        <v>121125940</v>
      </c>
      <c r="BL37" s="584">
        <f>BK37/'Fac Conv'!$C$123</f>
        <v>121125.94</v>
      </c>
      <c r="BM37" s="583">
        <f>'IB 5D2-(MYPE_I)(Pesca_A)_2021'!AI39</f>
        <v>60966659</v>
      </c>
      <c r="BN37" s="584">
        <f>BM37/'Fac Conv'!$C$123</f>
        <v>60966.659</v>
      </c>
      <c r="BO37" s="583">
        <f>'IB 5D2-(MYPE_I)(Pesca_A)_2021'!AJ39</f>
        <v>37512054</v>
      </c>
      <c r="BP37" s="584">
        <f>BO37/'Fac Conv'!$C$123</f>
        <v>37512.053999999996</v>
      </c>
      <c r="BR37" s="263" t="str">
        <f>'Fac Conv'!$G$13</f>
        <v>Productos lácteos</v>
      </c>
      <c r="BS37" s="263">
        <f>VLOOKUP(BR37,'Fac Conv'!$G$10:$K$25,2,FALSE)</f>
        <v>7</v>
      </c>
      <c r="BT37" s="263">
        <f>VLOOKUP(BR37,'Fac Conv'!$G$10:$K$25,4,FALSE)</f>
        <v>10</v>
      </c>
    </row>
    <row r="38" spans="2:72" ht="13.9" customHeight="1">
      <c r="B38" s="752"/>
      <c r="C38" s="87" t="str">
        <f>'IB 5D2-(MYPE_I)(Pesca_A)_2021'!D40</f>
        <v>Helados</v>
      </c>
      <c r="D38" s="510" t="str">
        <f>'IB 5D2-(MYPE_I)(Pesca_A)_2021'!E40</f>
        <v>KG</v>
      </c>
      <c r="E38" s="588"/>
      <c r="F38" s="588"/>
      <c r="G38" s="674" t="str">
        <f>'IB 5D2-(MYPE_I)(Pesca_A)_2021'!F40</f>
        <v>(no reporta)</v>
      </c>
      <c r="H38" s="588"/>
      <c r="I38" s="587" t="str">
        <f>'IB 5D2-(MYPE_I)(Pesca_A)_2021'!G40</f>
        <v>(no reporta)</v>
      </c>
      <c r="J38" s="588"/>
      <c r="K38" s="587" t="str">
        <f>'IB 5D2-(MYPE_I)(Pesca_A)_2021'!H40</f>
        <v>(no reporta)</v>
      </c>
      <c r="L38" s="588"/>
      <c r="M38" s="587" t="str">
        <f>'IB 5D2-(MYPE_I)(Pesca_A)_2021'!I40</f>
        <v>(no reporta)</v>
      </c>
      <c r="N38" s="588"/>
      <c r="O38" s="587" t="str">
        <f>'IB 5D2-(MYPE_I)(Pesca_A)_2021'!J40</f>
        <v>(no reporta)</v>
      </c>
      <c r="P38" s="588"/>
      <c r="Q38" s="587" t="str">
        <f>'IB 5D2-(MYPE_I)(Pesca_A)_2021'!K40</f>
        <v>(no reporta)</v>
      </c>
      <c r="R38" s="588"/>
      <c r="S38" s="587" t="str">
        <f>'IB 5D2-(MYPE_I)(Pesca_A)_2021'!L40</f>
        <v>(no reporta)</v>
      </c>
      <c r="T38" s="588"/>
      <c r="U38" s="587" t="str">
        <f>'IB 5D2-(MYPE_I)(Pesca_A)_2021'!M40</f>
        <v>(no reporta)</v>
      </c>
      <c r="V38" s="588"/>
      <c r="W38" s="587" t="str">
        <f>'IB 5D2-(MYPE_I)(Pesca_A)_2021'!N40</f>
        <v>(no reporta)</v>
      </c>
      <c r="X38" s="588"/>
      <c r="Y38" s="587" t="str">
        <f>'IB 5D2-(MYPE_I)(Pesca_A)_2021'!O40</f>
        <v>(no reporta)</v>
      </c>
      <c r="Z38" s="588"/>
      <c r="AA38" s="587" t="str">
        <f>'IB 5D2-(MYPE_I)(Pesca_A)_2021'!P40</f>
        <v>(no reporta)</v>
      </c>
      <c r="AB38" s="588"/>
      <c r="AC38" s="587" t="str">
        <f>'IB 5D2-(MYPE_I)(Pesca_A)_2021'!Q40</f>
        <v>(no reporta)</v>
      </c>
      <c r="AD38" s="588"/>
      <c r="AE38" s="587" t="str">
        <f>'IB 5D2-(MYPE_I)(Pesca_A)_2021'!R40</f>
        <v>(no reporta)</v>
      </c>
      <c r="AF38" s="588"/>
      <c r="AG38" s="587" t="str">
        <f>'IB 5D2-(MYPE_I)(Pesca_A)_2021'!S40</f>
        <v>(no reporta)</v>
      </c>
      <c r="AH38" s="588"/>
      <c r="AI38" s="587" t="str">
        <f>'IB 5D2-(MYPE_I)(Pesca_A)_2021'!T40</f>
        <v>(no reporta)</v>
      </c>
      <c r="AJ38" s="588"/>
      <c r="AK38" s="587" t="str">
        <f>'IB 5D2-(MYPE_I)(Pesca_A)_2021'!U40</f>
        <v>(no reporta)</v>
      </c>
      <c r="AL38" s="588"/>
      <c r="AM38" s="587" t="str">
        <f>'IB 5D2-(MYPE_I)(Pesca_A)_2021'!V40</f>
        <v>(no reporta)</v>
      </c>
      <c r="AN38" s="588"/>
      <c r="AO38" s="587" t="str">
        <f>'IB 5D2-(MYPE_I)(Pesca_A)_2021'!W40</f>
        <v>(no reporta)</v>
      </c>
      <c r="AP38" s="588"/>
      <c r="AQ38" s="587" t="str">
        <f>'IB 5D2-(MYPE_I)(Pesca_A)_2021'!X40</f>
        <v>(no reporta)</v>
      </c>
      <c r="AR38" s="588"/>
      <c r="AS38" s="587" t="str">
        <f>'IB 5D2-(MYPE_I)(Pesca_A)_2021'!Y40</f>
        <v>(no reporta)</v>
      </c>
      <c r="AT38" s="588"/>
      <c r="AU38" s="583">
        <f>'IB 5D2-(MYPE_I)(Pesca_A)_2021'!Z40</f>
        <v>983578</v>
      </c>
      <c r="AV38" s="584">
        <f>AU38/'Fac Conv'!$C$123</f>
        <v>983.57799999999997</v>
      </c>
      <c r="AW38" s="583">
        <f>'IB 5D2-(MYPE_I)(Pesca_A)_2021'!AA40</f>
        <v>1131882</v>
      </c>
      <c r="AX38" s="584">
        <f>AW38/'Fac Conv'!$C$123</f>
        <v>1131.8820000000001</v>
      </c>
      <c r="AY38" s="583">
        <f>'IB 5D2-(MYPE_I)(Pesca_A)_2021'!AB40</f>
        <v>1299612</v>
      </c>
      <c r="AZ38" s="584">
        <f>AY38/'Fac Conv'!$C$123</f>
        <v>1299.6120000000001</v>
      </c>
      <c r="BA38" s="583">
        <f>'IB 5D2-(MYPE_I)(Pesca_A)_2021'!AC40</f>
        <v>1454550</v>
      </c>
      <c r="BB38" s="584">
        <f>BA38/'Fac Conv'!$C$123</f>
        <v>1454.55</v>
      </c>
      <c r="BC38" s="583">
        <f>'IB 5D2-(MYPE_I)(Pesca_A)_2021'!AD40</f>
        <v>1477611</v>
      </c>
      <c r="BD38" s="584">
        <f>BC38/'Fac Conv'!$C$123</f>
        <v>1477.6110000000001</v>
      </c>
      <c r="BE38" s="583">
        <f>'IB 5D2-(MYPE_I)(Pesca_A)_2021'!AE40</f>
        <v>1558229</v>
      </c>
      <c r="BF38" s="584">
        <f>BE38/'Fac Conv'!$C$123</f>
        <v>1558.229</v>
      </c>
      <c r="BG38" s="583">
        <f>'IB 5D2-(MYPE_I)(Pesca_A)_2021'!AF40</f>
        <v>1856603</v>
      </c>
      <c r="BH38" s="584">
        <f>BG38/'Fac Conv'!$C$123</f>
        <v>1856.6030000000001</v>
      </c>
      <c r="BI38" s="583">
        <f>'IB 5D2-(MYPE_I)(Pesca_A)_2021'!AG40</f>
        <v>2059489</v>
      </c>
      <c r="BJ38" s="584">
        <f>BI38/'Fac Conv'!$C$123</f>
        <v>2059.489</v>
      </c>
      <c r="BK38" s="583">
        <f>'IB 5D2-(MYPE_I)(Pesca_A)_2021'!AH40</f>
        <v>968604</v>
      </c>
      <c r="BL38" s="584">
        <f>BK38/'Fac Conv'!$C$123</f>
        <v>968.60400000000004</v>
      </c>
      <c r="BM38" s="583">
        <f>'IB 5D2-(MYPE_I)(Pesca_A)_2021'!AI40</f>
        <v>1224758</v>
      </c>
      <c r="BN38" s="584">
        <f>BM38/'Fac Conv'!$C$123</f>
        <v>1224.758</v>
      </c>
      <c r="BO38" s="583">
        <f>'IB 5D2-(MYPE_I)(Pesca_A)_2021'!AJ40</f>
        <v>1910544</v>
      </c>
      <c r="BP38" s="584">
        <f>BO38/'Fac Conv'!$C$123</f>
        <v>1910.5440000000001</v>
      </c>
      <c r="BR38" s="263" t="str">
        <f>'Fac Conv'!$G$13</f>
        <v>Productos lácteos</v>
      </c>
      <c r="BS38" s="263">
        <f>VLOOKUP(BR38,'Fac Conv'!$G$10:$K$25,2,FALSE)</f>
        <v>7</v>
      </c>
      <c r="BT38" s="263">
        <f>VLOOKUP(BR38,'Fac Conv'!$G$10:$K$25,4,FALSE)</f>
        <v>10</v>
      </c>
    </row>
    <row r="39" spans="2:72" ht="13.9" customHeight="1">
      <c r="B39" s="752"/>
      <c r="C39" s="87" t="str">
        <f>'IB 5D2-(MYPE_I)(Pesca_A)_2021'!D41</f>
        <v>Quesos maduros</v>
      </c>
      <c r="D39" s="510" t="str">
        <f>'IB 5D2-(MYPE_I)(Pesca_A)_2021'!E41</f>
        <v>KG</v>
      </c>
      <c r="E39" s="588"/>
      <c r="F39" s="588"/>
      <c r="G39" s="674" t="str">
        <f>'IB 5D2-(MYPE_I)(Pesca_A)_2021'!F41</f>
        <v>(no reporta)</v>
      </c>
      <c r="H39" s="588"/>
      <c r="I39" s="587" t="str">
        <f>'IB 5D2-(MYPE_I)(Pesca_A)_2021'!G41</f>
        <v>(no reporta)</v>
      </c>
      <c r="J39" s="588"/>
      <c r="K39" s="587" t="str">
        <f>'IB 5D2-(MYPE_I)(Pesca_A)_2021'!H41</f>
        <v>(no reporta)</v>
      </c>
      <c r="L39" s="588"/>
      <c r="M39" s="587" t="str">
        <f>'IB 5D2-(MYPE_I)(Pesca_A)_2021'!I41</f>
        <v>(no reporta)</v>
      </c>
      <c r="N39" s="588"/>
      <c r="O39" s="587" t="str">
        <f>'IB 5D2-(MYPE_I)(Pesca_A)_2021'!J41</f>
        <v>(no reporta)</v>
      </c>
      <c r="P39" s="588"/>
      <c r="Q39" s="587" t="str">
        <f>'IB 5D2-(MYPE_I)(Pesca_A)_2021'!K41</f>
        <v>(no reporta)</v>
      </c>
      <c r="R39" s="588"/>
      <c r="S39" s="587" t="str">
        <f>'IB 5D2-(MYPE_I)(Pesca_A)_2021'!L41</f>
        <v>(no reporta)</v>
      </c>
      <c r="T39" s="588"/>
      <c r="U39" s="587" t="str">
        <f>'IB 5D2-(MYPE_I)(Pesca_A)_2021'!M41</f>
        <v>(no reporta)</v>
      </c>
      <c r="V39" s="588"/>
      <c r="W39" s="587" t="str">
        <f>'IB 5D2-(MYPE_I)(Pesca_A)_2021'!N41</f>
        <v>(no reporta)</v>
      </c>
      <c r="X39" s="588"/>
      <c r="Y39" s="587" t="str">
        <f>'IB 5D2-(MYPE_I)(Pesca_A)_2021'!O41</f>
        <v>(no reporta)</v>
      </c>
      <c r="Z39" s="588"/>
      <c r="AA39" s="587" t="str">
        <f>'IB 5D2-(MYPE_I)(Pesca_A)_2021'!P41</f>
        <v>(no reporta)</v>
      </c>
      <c r="AB39" s="588"/>
      <c r="AC39" s="587" t="str">
        <f>'IB 5D2-(MYPE_I)(Pesca_A)_2021'!Q41</f>
        <v>(no reporta)</v>
      </c>
      <c r="AD39" s="588"/>
      <c r="AE39" s="587" t="str">
        <f>'IB 5D2-(MYPE_I)(Pesca_A)_2021'!R41</f>
        <v>(no reporta)</v>
      </c>
      <c r="AF39" s="588"/>
      <c r="AG39" s="587" t="str">
        <f>'IB 5D2-(MYPE_I)(Pesca_A)_2021'!S41</f>
        <v>(no reporta)</v>
      </c>
      <c r="AH39" s="588"/>
      <c r="AI39" s="587" t="str">
        <f>'IB 5D2-(MYPE_I)(Pesca_A)_2021'!T41</f>
        <v>(no reporta)</v>
      </c>
      <c r="AJ39" s="588"/>
      <c r="AK39" s="587" t="str">
        <f>'IB 5D2-(MYPE_I)(Pesca_A)_2021'!U41</f>
        <v>(no reporta)</v>
      </c>
      <c r="AL39" s="588"/>
      <c r="AM39" s="587" t="str">
        <f>'IB 5D2-(MYPE_I)(Pesca_A)_2021'!V41</f>
        <v>(no reporta)</v>
      </c>
      <c r="AN39" s="588"/>
      <c r="AO39" s="587" t="str">
        <f>'IB 5D2-(MYPE_I)(Pesca_A)_2021'!W41</f>
        <v>(no reporta)</v>
      </c>
      <c r="AP39" s="588"/>
      <c r="AQ39" s="587" t="str">
        <f>'IB 5D2-(MYPE_I)(Pesca_A)_2021'!X41</f>
        <v>(no reporta)</v>
      </c>
      <c r="AR39" s="588"/>
      <c r="AS39" s="587" t="str">
        <f>'IB 5D2-(MYPE_I)(Pesca_A)_2021'!Y41</f>
        <v>(no reporta)</v>
      </c>
      <c r="AT39" s="588"/>
      <c r="AU39" s="583">
        <f>'IB 5D2-(MYPE_I)(Pesca_A)_2021'!Z41</f>
        <v>5254274</v>
      </c>
      <c r="AV39" s="584">
        <f>AU39/'Fac Conv'!$C$123</f>
        <v>5254.2740000000003</v>
      </c>
      <c r="AW39" s="583">
        <f>'IB 5D2-(MYPE_I)(Pesca_A)_2021'!AA41</f>
        <v>5434933</v>
      </c>
      <c r="AX39" s="584">
        <f>AW39/'Fac Conv'!$C$123</f>
        <v>5434.933</v>
      </c>
      <c r="AY39" s="583">
        <f>'IB 5D2-(MYPE_I)(Pesca_A)_2021'!AB41</f>
        <v>4868686</v>
      </c>
      <c r="AZ39" s="584">
        <f>AY39/'Fac Conv'!$C$123</f>
        <v>4868.6859999999997</v>
      </c>
      <c r="BA39" s="583">
        <f>'IB 5D2-(MYPE_I)(Pesca_A)_2021'!AC41</f>
        <v>5890859</v>
      </c>
      <c r="BB39" s="584">
        <f>BA39/'Fac Conv'!$C$123</f>
        <v>5890.8590000000004</v>
      </c>
      <c r="BC39" s="583">
        <f>'IB 5D2-(MYPE_I)(Pesca_A)_2021'!AD41</f>
        <v>5604813</v>
      </c>
      <c r="BD39" s="584">
        <f>BC39/'Fac Conv'!$C$123</f>
        <v>5604.8130000000001</v>
      </c>
      <c r="BE39" s="583">
        <f>'IB 5D2-(MYPE_I)(Pesca_A)_2021'!AE41</f>
        <v>4695539</v>
      </c>
      <c r="BF39" s="584">
        <f>BE39/'Fac Conv'!$C$123</f>
        <v>4695.5389999999998</v>
      </c>
      <c r="BG39" s="583">
        <f>'IB 5D2-(MYPE_I)(Pesca_A)_2021'!AF41</f>
        <v>5107208</v>
      </c>
      <c r="BH39" s="584">
        <f>BG39/'Fac Conv'!$C$123</f>
        <v>5107.2079999999996</v>
      </c>
      <c r="BI39" s="583">
        <f>'IB 5D2-(MYPE_I)(Pesca_A)_2021'!AG41</f>
        <v>5652585</v>
      </c>
      <c r="BJ39" s="584">
        <f>BI39/'Fac Conv'!$C$123</f>
        <v>5652.585</v>
      </c>
      <c r="BK39" s="583">
        <f>'IB 5D2-(MYPE_I)(Pesca_A)_2021'!AH41</f>
        <v>5542146</v>
      </c>
      <c r="BL39" s="584">
        <f>BK39/'Fac Conv'!$C$123</f>
        <v>5542.1459999999997</v>
      </c>
      <c r="BM39" s="583">
        <f>'IB 5D2-(MYPE_I)(Pesca_A)_2021'!AI41</f>
        <v>5311529</v>
      </c>
      <c r="BN39" s="584">
        <f>BM39/'Fac Conv'!$C$123</f>
        <v>5311.5290000000005</v>
      </c>
      <c r="BO39" s="583">
        <f>'IB 5D2-(MYPE_I)(Pesca_A)_2021'!AJ41</f>
        <v>5235322</v>
      </c>
      <c r="BP39" s="584">
        <f>BO39/'Fac Conv'!$C$123</f>
        <v>5235.3220000000001</v>
      </c>
      <c r="BR39" s="263" t="str">
        <f>'Fac Conv'!$G$13</f>
        <v>Productos lácteos</v>
      </c>
      <c r="BS39" s="263">
        <f>VLOOKUP(BR39,'Fac Conv'!$G$10:$K$25,2,FALSE)</f>
        <v>7</v>
      </c>
      <c r="BT39" s="263">
        <f>VLOOKUP(BR39,'Fac Conv'!$G$10:$K$25,4,FALSE)</f>
        <v>10</v>
      </c>
    </row>
    <row r="40" spans="2:72" ht="13.9" customHeight="1">
      <c r="B40" s="752"/>
      <c r="C40" s="87" t="str">
        <f>'IB 5D2-(MYPE_I)(Pesca_A)_2021'!D42</f>
        <v>Quesos frescos</v>
      </c>
      <c r="D40" s="510" t="str">
        <f>'IB 5D2-(MYPE_I)(Pesca_A)_2021'!E42</f>
        <v>KG</v>
      </c>
      <c r="E40" s="588"/>
      <c r="F40" s="588"/>
      <c r="G40" s="674" t="str">
        <f>'IB 5D2-(MYPE_I)(Pesca_A)_2021'!F42</f>
        <v>(no reporta)</v>
      </c>
      <c r="H40" s="588"/>
      <c r="I40" s="587" t="str">
        <f>'IB 5D2-(MYPE_I)(Pesca_A)_2021'!G42</f>
        <v>(no reporta)</v>
      </c>
      <c r="J40" s="588"/>
      <c r="K40" s="587" t="str">
        <f>'IB 5D2-(MYPE_I)(Pesca_A)_2021'!H42</f>
        <v>(no reporta)</v>
      </c>
      <c r="L40" s="588"/>
      <c r="M40" s="587" t="str">
        <f>'IB 5D2-(MYPE_I)(Pesca_A)_2021'!I42</f>
        <v>(no reporta)</v>
      </c>
      <c r="N40" s="588"/>
      <c r="O40" s="587" t="str">
        <f>'IB 5D2-(MYPE_I)(Pesca_A)_2021'!J42</f>
        <v>(no reporta)</v>
      </c>
      <c r="P40" s="588"/>
      <c r="Q40" s="587" t="str">
        <f>'IB 5D2-(MYPE_I)(Pesca_A)_2021'!K42</f>
        <v>(no reporta)</v>
      </c>
      <c r="R40" s="588"/>
      <c r="S40" s="587" t="str">
        <f>'IB 5D2-(MYPE_I)(Pesca_A)_2021'!L42</f>
        <v>(no reporta)</v>
      </c>
      <c r="T40" s="588"/>
      <c r="U40" s="587" t="str">
        <f>'IB 5D2-(MYPE_I)(Pesca_A)_2021'!M42</f>
        <v>(no reporta)</v>
      </c>
      <c r="V40" s="588"/>
      <c r="W40" s="587" t="str">
        <f>'IB 5D2-(MYPE_I)(Pesca_A)_2021'!N42</f>
        <v>(no reporta)</v>
      </c>
      <c r="X40" s="588"/>
      <c r="Y40" s="587" t="str">
        <f>'IB 5D2-(MYPE_I)(Pesca_A)_2021'!O42</f>
        <v>(no reporta)</v>
      </c>
      <c r="Z40" s="588"/>
      <c r="AA40" s="587" t="str">
        <f>'IB 5D2-(MYPE_I)(Pesca_A)_2021'!P42</f>
        <v>(no reporta)</v>
      </c>
      <c r="AB40" s="588"/>
      <c r="AC40" s="587" t="str">
        <f>'IB 5D2-(MYPE_I)(Pesca_A)_2021'!Q42</f>
        <v>(no reporta)</v>
      </c>
      <c r="AD40" s="588"/>
      <c r="AE40" s="587" t="str">
        <f>'IB 5D2-(MYPE_I)(Pesca_A)_2021'!R42</f>
        <v>(no reporta)</v>
      </c>
      <c r="AF40" s="588"/>
      <c r="AG40" s="587" t="str">
        <f>'IB 5D2-(MYPE_I)(Pesca_A)_2021'!S42</f>
        <v>(no reporta)</v>
      </c>
      <c r="AH40" s="588"/>
      <c r="AI40" s="587" t="str">
        <f>'IB 5D2-(MYPE_I)(Pesca_A)_2021'!T42</f>
        <v>(no reporta)</v>
      </c>
      <c r="AJ40" s="588"/>
      <c r="AK40" s="587" t="str">
        <f>'IB 5D2-(MYPE_I)(Pesca_A)_2021'!U42</f>
        <v>(no reporta)</v>
      </c>
      <c r="AL40" s="588"/>
      <c r="AM40" s="587" t="str">
        <f>'IB 5D2-(MYPE_I)(Pesca_A)_2021'!V42</f>
        <v>(no reporta)</v>
      </c>
      <c r="AN40" s="588"/>
      <c r="AO40" s="587" t="str">
        <f>'IB 5D2-(MYPE_I)(Pesca_A)_2021'!W42</f>
        <v>(no reporta)</v>
      </c>
      <c r="AP40" s="588"/>
      <c r="AQ40" s="587" t="str">
        <f>'IB 5D2-(MYPE_I)(Pesca_A)_2021'!X42</f>
        <v>(no reporta)</v>
      </c>
      <c r="AR40" s="588"/>
      <c r="AS40" s="587" t="str">
        <f>'IB 5D2-(MYPE_I)(Pesca_A)_2021'!Y42</f>
        <v>(no reporta)</v>
      </c>
      <c r="AT40" s="588"/>
      <c r="AU40" s="583">
        <f>'IB 5D2-(MYPE_I)(Pesca_A)_2021'!Z42</f>
        <v>3069190</v>
      </c>
      <c r="AV40" s="584">
        <f>AU40/'Fac Conv'!$C$123</f>
        <v>3069.19</v>
      </c>
      <c r="AW40" s="583">
        <f>'IB 5D2-(MYPE_I)(Pesca_A)_2021'!AA42</f>
        <v>2920276</v>
      </c>
      <c r="AX40" s="584">
        <f>AW40/'Fac Conv'!$C$123</f>
        <v>2920.2759999999998</v>
      </c>
      <c r="AY40" s="583">
        <f>'IB 5D2-(MYPE_I)(Pesca_A)_2021'!AB42</f>
        <v>2923034</v>
      </c>
      <c r="AZ40" s="584">
        <f>AY40/'Fac Conv'!$C$123</f>
        <v>2923.0340000000001</v>
      </c>
      <c r="BA40" s="583">
        <f>'IB 5D2-(MYPE_I)(Pesca_A)_2021'!AC42</f>
        <v>3116161</v>
      </c>
      <c r="BB40" s="584">
        <f>BA40/'Fac Conv'!$C$123</f>
        <v>3116.1610000000001</v>
      </c>
      <c r="BC40" s="583">
        <f>'IB 5D2-(MYPE_I)(Pesca_A)_2021'!AD42</f>
        <v>3240667</v>
      </c>
      <c r="BD40" s="584">
        <f>BC40/'Fac Conv'!$C$123</f>
        <v>3240.6669999999999</v>
      </c>
      <c r="BE40" s="583">
        <f>'IB 5D2-(MYPE_I)(Pesca_A)_2021'!AE42</f>
        <v>3046447</v>
      </c>
      <c r="BF40" s="584">
        <f>BE40/'Fac Conv'!$C$123</f>
        <v>3046.4470000000001</v>
      </c>
      <c r="BG40" s="583">
        <f>'IB 5D2-(MYPE_I)(Pesca_A)_2021'!AF42</f>
        <v>3050436</v>
      </c>
      <c r="BH40" s="584">
        <f>BG40/'Fac Conv'!$C$123</f>
        <v>3050.4360000000001</v>
      </c>
      <c r="BI40" s="583">
        <f>'IB 5D2-(MYPE_I)(Pesca_A)_2021'!AG42</f>
        <v>3562310</v>
      </c>
      <c r="BJ40" s="584">
        <f>BI40/'Fac Conv'!$C$123</f>
        <v>3562.31</v>
      </c>
      <c r="BK40" s="583">
        <f>'IB 5D2-(MYPE_I)(Pesca_A)_2021'!AH42</f>
        <v>3258212</v>
      </c>
      <c r="BL40" s="584">
        <f>BK40/'Fac Conv'!$C$123</f>
        <v>3258.212</v>
      </c>
      <c r="BM40" s="583">
        <f>'IB 5D2-(MYPE_I)(Pesca_A)_2021'!AI42</f>
        <v>2444199</v>
      </c>
      <c r="BN40" s="584">
        <f>BM40/'Fac Conv'!$C$123</f>
        <v>2444.1990000000001</v>
      </c>
      <c r="BO40" s="583">
        <f>'IB 5D2-(MYPE_I)(Pesca_A)_2021'!AJ42</f>
        <v>2237926</v>
      </c>
      <c r="BP40" s="584">
        <f>BO40/'Fac Conv'!$C$123</f>
        <v>2237.9259999999999</v>
      </c>
      <c r="BR40" s="263" t="str">
        <f>'Fac Conv'!$G$13</f>
        <v>Productos lácteos</v>
      </c>
      <c r="BS40" s="263">
        <f>VLOOKUP(BR40,'Fac Conv'!$G$10:$K$25,2,FALSE)</f>
        <v>7</v>
      </c>
      <c r="BT40" s="263">
        <f>VLOOKUP(BR40,'Fac Conv'!$G$10:$K$25,4,FALSE)</f>
        <v>10</v>
      </c>
    </row>
    <row r="41" spans="2:72" ht="13.9" customHeight="1">
      <c r="B41" s="752"/>
      <c r="C41" s="87" t="str">
        <f>'IB 5D2-(MYPE_I)(Pesca_A)_2021'!D43</f>
        <v>Mantequilla</v>
      </c>
      <c r="D41" s="510" t="str">
        <f>'IB 5D2-(MYPE_I)(Pesca_A)_2021'!E43</f>
        <v>KG</v>
      </c>
      <c r="E41" s="588"/>
      <c r="F41" s="588"/>
      <c r="G41" s="674" t="str">
        <f>'IB 5D2-(MYPE_I)(Pesca_A)_2021'!F43</f>
        <v>(no reporta)</v>
      </c>
      <c r="H41" s="588"/>
      <c r="I41" s="587" t="str">
        <f>'IB 5D2-(MYPE_I)(Pesca_A)_2021'!G43</f>
        <v>(no reporta)</v>
      </c>
      <c r="J41" s="588"/>
      <c r="K41" s="587" t="str">
        <f>'IB 5D2-(MYPE_I)(Pesca_A)_2021'!H43</f>
        <v>(no reporta)</v>
      </c>
      <c r="L41" s="588"/>
      <c r="M41" s="587" t="str">
        <f>'IB 5D2-(MYPE_I)(Pesca_A)_2021'!I43</f>
        <v>(no reporta)</v>
      </c>
      <c r="N41" s="588"/>
      <c r="O41" s="587" t="str">
        <f>'IB 5D2-(MYPE_I)(Pesca_A)_2021'!J43</f>
        <v>(no reporta)</v>
      </c>
      <c r="P41" s="588"/>
      <c r="Q41" s="587" t="str">
        <f>'IB 5D2-(MYPE_I)(Pesca_A)_2021'!K43</f>
        <v>(no reporta)</v>
      </c>
      <c r="R41" s="588"/>
      <c r="S41" s="587" t="str">
        <f>'IB 5D2-(MYPE_I)(Pesca_A)_2021'!L43</f>
        <v>(no reporta)</v>
      </c>
      <c r="T41" s="588"/>
      <c r="U41" s="587" t="str">
        <f>'IB 5D2-(MYPE_I)(Pesca_A)_2021'!M43</f>
        <v>(no reporta)</v>
      </c>
      <c r="V41" s="588"/>
      <c r="W41" s="587" t="str">
        <f>'IB 5D2-(MYPE_I)(Pesca_A)_2021'!N43</f>
        <v>(no reporta)</v>
      </c>
      <c r="X41" s="588"/>
      <c r="Y41" s="587" t="str">
        <f>'IB 5D2-(MYPE_I)(Pesca_A)_2021'!O43</f>
        <v>(no reporta)</v>
      </c>
      <c r="Z41" s="588"/>
      <c r="AA41" s="587" t="str">
        <f>'IB 5D2-(MYPE_I)(Pesca_A)_2021'!P43</f>
        <v>(no reporta)</v>
      </c>
      <c r="AB41" s="588"/>
      <c r="AC41" s="587" t="str">
        <f>'IB 5D2-(MYPE_I)(Pesca_A)_2021'!Q43</f>
        <v>(no reporta)</v>
      </c>
      <c r="AD41" s="588"/>
      <c r="AE41" s="587" t="str">
        <f>'IB 5D2-(MYPE_I)(Pesca_A)_2021'!R43</f>
        <v>(no reporta)</v>
      </c>
      <c r="AF41" s="588"/>
      <c r="AG41" s="587" t="str">
        <f>'IB 5D2-(MYPE_I)(Pesca_A)_2021'!S43</f>
        <v>(no reporta)</v>
      </c>
      <c r="AH41" s="588"/>
      <c r="AI41" s="587" t="str">
        <f>'IB 5D2-(MYPE_I)(Pesca_A)_2021'!T43</f>
        <v>(no reporta)</v>
      </c>
      <c r="AJ41" s="588"/>
      <c r="AK41" s="587" t="str">
        <f>'IB 5D2-(MYPE_I)(Pesca_A)_2021'!U43</f>
        <v>(no reporta)</v>
      </c>
      <c r="AL41" s="588"/>
      <c r="AM41" s="587" t="str">
        <f>'IB 5D2-(MYPE_I)(Pesca_A)_2021'!V43</f>
        <v>(no reporta)</v>
      </c>
      <c r="AN41" s="588"/>
      <c r="AO41" s="587" t="str">
        <f>'IB 5D2-(MYPE_I)(Pesca_A)_2021'!W43</f>
        <v>(no reporta)</v>
      </c>
      <c r="AP41" s="588"/>
      <c r="AQ41" s="587" t="str">
        <f>'IB 5D2-(MYPE_I)(Pesca_A)_2021'!X43</f>
        <v>(no reporta)</v>
      </c>
      <c r="AR41" s="588"/>
      <c r="AS41" s="587" t="str">
        <f>'IB 5D2-(MYPE_I)(Pesca_A)_2021'!Y43</f>
        <v>(no reporta)</v>
      </c>
      <c r="AT41" s="588"/>
      <c r="AU41" s="583">
        <f>'IB 5D2-(MYPE_I)(Pesca_A)_2021'!Z43</f>
        <v>2659628</v>
      </c>
      <c r="AV41" s="584">
        <f>AU41/'Fac Conv'!$C$123</f>
        <v>2659.6280000000002</v>
      </c>
      <c r="AW41" s="583">
        <f>'IB 5D2-(MYPE_I)(Pesca_A)_2021'!AA43</f>
        <v>3527521</v>
      </c>
      <c r="AX41" s="584">
        <f>AW41/'Fac Conv'!$C$123</f>
        <v>3527.5210000000002</v>
      </c>
      <c r="AY41" s="583">
        <f>'IB 5D2-(MYPE_I)(Pesca_A)_2021'!AB43</f>
        <v>3562525</v>
      </c>
      <c r="AZ41" s="584">
        <f>AY41/'Fac Conv'!$C$123</f>
        <v>3562.5250000000001</v>
      </c>
      <c r="BA41" s="583">
        <f>'IB 5D2-(MYPE_I)(Pesca_A)_2021'!AC43</f>
        <v>4223508</v>
      </c>
      <c r="BB41" s="584">
        <f>BA41/'Fac Conv'!$C$123</f>
        <v>4223.5079999999998</v>
      </c>
      <c r="BC41" s="583">
        <f>'IB 5D2-(MYPE_I)(Pesca_A)_2021'!AD43</f>
        <v>4160027</v>
      </c>
      <c r="BD41" s="584">
        <f>BC41/'Fac Conv'!$C$123</f>
        <v>4160.027</v>
      </c>
      <c r="BE41" s="583">
        <f>'IB 5D2-(MYPE_I)(Pesca_A)_2021'!AE43</f>
        <v>4843524</v>
      </c>
      <c r="BF41" s="584">
        <f>BE41/'Fac Conv'!$C$123</f>
        <v>4843.5240000000003</v>
      </c>
      <c r="BG41" s="583">
        <f>'IB 5D2-(MYPE_I)(Pesca_A)_2021'!AF43</f>
        <v>5436107</v>
      </c>
      <c r="BH41" s="584">
        <f>BG41/'Fac Conv'!$C$123</f>
        <v>5436.107</v>
      </c>
      <c r="BI41" s="583">
        <f>'IB 5D2-(MYPE_I)(Pesca_A)_2021'!AG43</f>
        <v>5458280</v>
      </c>
      <c r="BJ41" s="584">
        <f>BI41/'Fac Conv'!$C$123</f>
        <v>5458.28</v>
      </c>
      <c r="BK41" s="583">
        <f>'IB 5D2-(MYPE_I)(Pesca_A)_2021'!AH43</f>
        <v>6955861</v>
      </c>
      <c r="BL41" s="584">
        <f>BK41/'Fac Conv'!$C$123</f>
        <v>6955.8609999999999</v>
      </c>
      <c r="BM41" s="583">
        <f>'IB 5D2-(MYPE_I)(Pesca_A)_2021'!AI43</f>
        <v>5761980</v>
      </c>
      <c r="BN41" s="584">
        <f>BM41/'Fac Conv'!$C$123</f>
        <v>5761.98</v>
      </c>
      <c r="BO41" s="583">
        <f>'IB 5D2-(MYPE_I)(Pesca_A)_2021'!AJ43</f>
        <v>5385586</v>
      </c>
      <c r="BP41" s="584">
        <f>BO41/'Fac Conv'!$C$123</f>
        <v>5385.5860000000002</v>
      </c>
      <c r="BR41" s="263" t="str">
        <f>'Fac Conv'!$G$13</f>
        <v>Productos lácteos</v>
      </c>
      <c r="BS41" s="263">
        <f>VLOOKUP(BR41,'Fac Conv'!$G$10:$K$25,2,FALSE)</f>
        <v>7</v>
      </c>
      <c r="BT41" s="263">
        <f>VLOOKUP(BR41,'Fac Conv'!$G$10:$K$25,4,FALSE)</f>
        <v>10</v>
      </c>
    </row>
    <row r="42" spans="2:72" ht="13.9" customHeight="1">
      <c r="B42" s="752"/>
      <c r="C42" s="87" t="str">
        <f>'IB 5D2-(MYPE_I)(Pesca_A)_2021'!D44</f>
        <v>Crema de leche</v>
      </c>
      <c r="D42" s="510" t="str">
        <f>'IB 5D2-(MYPE_I)(Pesca_A)_2021'!E44</f>
        <v>LT</v>
      </c>
      <c r="E42" s="588"/>
      <c r="F42" s="588"/>
      <c r="G42" s="674" t="str">
        <f>'IB 5D2-(MYPE_I)(Pesca_A)_2021'!F44</f>
        <v>(no reporta)</v>
      </c>
      <c r="H42" s="588"/>
      <c r="I42" s="587" t="str">
        <f>'IB 5D2-(MYPE_I)(Pesca_A)_2021'!G44</f>
        <v>(no reporta)</v>
      </c>
      <c r="J42" s="588"/>
      <c r="K42" s="587" t="str">
        <f>'IB 5D2-(MYPE_I)(Pesca_A)_2021'!H44</f>
        <v>(no reporta)</v>
      </c>
      <c r="L42" s="588"/>
      <c r="M42" s="587" t="str">
        <f>'IB 5D2-(MYPE_I)(Pesca_A)_2021'!I44</f>
        <v>(no reporta)</v>
      </c>
      <c r="N42" s="588"/>
      <c r="O42" s="587" t="str">
        <f>'IB 5D2-(MYPE_I)(Pesca_A)_2021'!J44</f>
        <v>(no reporta)</v>
      </c>
      <c r="P42" s="588"/>
      <c r="Q42" s="587" t="str">
        <f>'IB 5D2-(MYPE_I)(Pesca_A)_2021'!K44</f>
        <v>(no reporta)</v>
      </c>
      <c r="R42" s="588"/>
      <c r="S42" s="587" t="str">
        <f>'IB 5D2-(MYPE_I)(Pesca_A)_2021'!L44</f>
        <v>(no reporta)</v>
      </c>
      <c r="T42" s="588"/>
      <c r="U42" s="587" t="str">
        <f>'IB 5D2-(MYPE_I)(Pesca_A)_2021'!M44</f>
        <v>(no reporta)</v>
      </c>
      <c r="V42" s="588"/>
      <c r="W42" s="587" t="str">
        <f>'IB 5D2-(MYPE_I)(Pesca_A)_2021'!N44</f>
        <v>(no reporta)</v>
      </c>
      <c r="X42" s="588"/>
      <c r="Y42" s="587" t="str">
        <f>'IB 5D2-(MYPE_I)(Pesca_A)_2021'!O44</f>
        <v>(no reporta)</v>
      </c>
      <c r="Z42" s="588"/>
      <c r="AA42" s="587" t="str">
        <f>'IB 5D2-(MYPE_I)(Pesca_A)_2021'!P44</f>
        <v>(no reporta)</v>
      </c>
      <c r="AB42" s="588"/>
      <c r="AC42" s="587" t="str">
        <f>'IB 5D2-(MYPE_I)(Pesca_A)_2021'!Q44</f>
        <v>(no reporta)</v>
      </c>
      <c r="AD42" s="588"/>
      <c r="AE42" s="587" t="str">
        <f>'IB 5D2-(MYPE_I)(Pesca_A)_2021'!R44</f>
        <v>(no reporta)</v>
      </c>
      <c r="AF42" s="588"/>
      <c r="AG42" s="587" t="str">
        <f>'IB 5D2-(MYPE_I)(Pesca_A)_2021'!S44</f>
        <v>(no reporta)</v>
      </c>
      <c r="AH42" s="588"/>
      <c r="AI42" s="587" t="str">
        <f>'IB 5D2-(MYPE_I)(Pesca_A)_2021'!T44</f>
        <v>(no reporta)</v>
      </c>
      <c r="AJ42" s="588"/>
      <c r="AK42" s="587" t="str">
        <f>'IB 5D2-(MYPE_I)(Pesca_A)_2021'!U44</f>
        <v>(no reporta)</v>
      </c>
      <c r="AL42" s="588"/>
      <c r="AM42" s="587" t="str">
        <f>'IB 5D2-(MYPE_I)(Pesca_A)_2021'!V44</f>
        <v>(no reporta)</v>
      </c>
      <c r="AN42" s="588"/>
      <c r="AO42" s="587" t="str">
        <f>'IB 5D2-(MYPE_I)(Pesca_A)_2021'!W44</f>
        <v>(no reporta)</v>
      </c>
      <c r="AP42" s="588"/>
      <c r="AQ42" s="587" t="str">
        <f>'IB 5D2-(MYPE_I)(Pesca_A)_2021'!X44</f>
        <v>(no reporta)</v>
      </c>
      <c r="AR42" s="588"/>
      <c r="AS42" s="587" t="str">
        <f>'IB 5D2-(MYPE_I)(Pesca_A)_2021'!Y44</f>
        <v>(no reporta)</v>
      </c>
      <c r="AT42" s="588"/>
      <c r="AU42" s="583">
        <f>'IB 5D2-(MYPE_I)(Pesca_A)_2021'!Z44</f>
        <v>54451797</v>
      </c>
      <c r="AV42" s="584">
        <f>AU42/'Fac Conv'!$C$123</f>
        <v>54451.796999999999</v>
      </c>
      <c r="AW42" s="583">
        <f>'IB 5D2-(MYPE_I)(Pesca_A)_2021'!AA44</f>
        <v>49893953</v>
      </c>
      <c r="AX42" s="584">
        <f>AW42/'Fac Conv'!$C$123</f>
        <v>49893.953000000001</v>
      </c>
      <c r="AY42" s="583">
        <f>'IB 5D2-(MYPE_I)(Pesca_A)_2021'!AB44</f>
        <v>47057587</v>
      </c>
      <c r="AZ42" s="584">
        <f>AY42/'Fac Conv'!$C$123</f>
        <v>47057.587</v>
      </c>
      <c r="BA42" s="583">
        <f>'IB 5D2-(MYPE_I)(Pesca_A)_2021'!AC44</f>
        <v>39915255</v>
      </c>
      <c r="BB42" s="584">
        <f>BA42/'Fac Conv'!$C$123</f>
        <v>39915.254999999997</v>
      </c>
      <c r="BC42" s="583">
        <f>'IB 5D2-(MYPE_I)(Pesca_A)_2021'!AD44</f>
        <v>38083017</v>
      </c>
      <c r="BD42" s="584">
        <f>BC42/'Fac Conv'!$C$123</f>
        <v>38083.017</v>
      </c>
      <c r="BE42" s="583">
        <f>'IB 5D2-(MYPE_I)(Pesca_A)_2021'!AE44</f>
        <v>35927931</v>
      </c>
      <c r="BF42" s="584">
        <f>BE42/'Fac Conv'!$C$123</f>
        <v>35927.930999999997</v>
      </c>
      <c r="BG42" s="583">
        <f>'IB 5D2-(MYPE_I)(Pesca_A)_2021'!AF44</f>
        <v>37568502</v>
      </c>
      <c r="BH42" s="584">
        <f>BG42/'Fac Conv'!$C$123</f>
        <v>37568.502</v>
      </c>
      <c r="BI42" s="583">
        <f>'IB 5D2-(MYPE_I)(Pesca_A)_2021'!AG44</f>
        <v>42592272</v>
      </c>
      <c r="BJ42" s="584">
        <f>BI42/'Fac Conv'!$C$123</f>
        <v>42592.271999999997</v>
      </c>
      <c r="BK42" s="583">
        <f>'IB 5D2-(MYPE_I)(Pesca_A)_2021'!AH44</f>
        <v>35039108</v>
      </c>
      <c r="BL42" s="584">
        <f>BK42/'Fac Conv'!$C$123</f>
        <v>35039.108</v>
      </c>
      <c r="BM42" s="583">
        <f>'IB 5D2-(MYPE_I)(Pesca_A)_2021'!AI44</f>
        <v>42777101</v>
      </c>
      <c r="BN42" s="584">
        <f>BM42/'Fac Conv'!$C$123</f>
        <v>42777.101000000002</v>
      </c>
      <c r="BO42" s="583">
        <f>'IB 5D2-(MYPE_I)(Pesca_A)_2021'!AJ44</f>
        <v>37903571</v>
      </c>
      <c r="BP42" s="584">
        <f>BO42/'Fac Conv'!$C$123</f>
        <v>37903.571000000004</v>
      </c>
      <c r="BQ42" s="264" t="s">
        <v>451</v>
      </c>
      <c r="BR42" s="263" t="str">
        <f>'Fac Conv'!$G$13</f>
        <v>Productos lácteos</v>
      </c>
      <c r="BS42" s="263">
        <f>VLOOKUP(BR42,'Fac Conv'!$G$10:$K$25,2,FALSE)</f>
        <v>7</v>
      </c>
      <c r="BT42" s="263">
        <f>VLOOKUP(BR42,'Fac Conv'!$G$10:$K$25,4,FALSE)</f>
        <v>10</v>
      </c>
    </row>
    <row r="43" spans="2:72" ht="13.9" customHeight="1">
      <c r="B43" s="752"/>
      <c r="C43" s="87" t="str">
        <f>'IB 5D2-(MYPE_I)(Pesca_A)_2021'!D45</f>
        <v>Azúcar (también como azúcar refinada)</v>
      </c>
      <c r="D43" s="510" t="str">
        <f>'IB 5D2-(MYPE_I)(Pesca_A)_2021'!E45</f>
        <v>TM</v>
      </c>
      <c r="E43" s="588"/>
      <c r="F43" s="588"/>
      <c r="G43" s="674" t="str">
        <f>'IB 5D2-(MYPE_I)(Pesca_A)_2021'!F45</f>
        <v>(no reporta)</v>
      </c>
      <c r="H43" s="588"/>
      <c r="I43" s="587" t="str">
        <f>'IB 5D2-(MYPE_I)(Pesca_A)_2021'!G45</f>
        <v>(no reporta)</v>
      </c>
      <c r="J43" s="588"/>
      <c r="K43" s="587" t="str">
        <f>'IB 5D2-(MYPE_I)(Pesca_A)_2021'!H45</f>
        <v>(no reporta)</v>
      </c>
      <c r="L43" s="588"/>
      <c r="M43" s="583">
        <f>'IB 5D2-(MYPE_I)(Pesca_A)_2021'!I45</f>
        <v>641926</v>
      </c>
      <c r="N43" s="585">
        <f t="shared" ref="N43:P43" si="36">M43</f>
        <v>641926</v>
      </c>
      <c r="O43" s="583">
        <f>'IB 5D2-(MYPE_I)(Pesca_A)_2021'!J45</f>
        <v>607808</v>
      </c>
      <c r="P43" s="585">
        <f t="shared" si="36"/>
        <v>607808</v>
      </c>
      <c r="Q43" s="583">
        <f>'IB 5D2-(MYPE_I)(Pesca_A)_2021'!K45</f>
        <v>674334</v>
      </c>
      <c r="R43" s="585">
        <f t="shared" ref="R43:T43" si="37">Q43</f>
        <v>674334</v>
      </c>
      <c r="S43" s="583">
        <f>'IB 5D2-(MYPE_I)(Pesca_A)_2021'!L45</f>
        <v>449582</v>
      </c>
      <c r="T43" s="585">
        <f t="shared" si="37"/>
        <v>449582</v>
      </c>
      <c r="U43" s="583">
        <f>'IB 5D2-(MYPE_I)(Pesca_A)_2021'!M45</f>
        <v>604569</v>
      </c>
      <c r="V43" s="585">
        <f t="shared" ref="V43:X43" si="38">U43</f>
        <v>604569</v>
      </c>
      <c r="W43" s="583">
        <f>'IB 5D2-(MYPE_I)(Pesca_A)_2021'!N45</f>
        <v>724095.86300000001</v>
      </c>
      <c r="X43" s="585">
        <f t="shared" si="38"/>
        <v>724095.86300000001</v>
      </c>
      <c r="Y43" s="583">
        <f>'IB 5D2-(MYPE_I)(Pesca_A)_2021'!O45</f>
        <v>759934.66145000001</v>
      </c>
      <c r="Z43" s="585">
        <f t="shared" ref="Z43:AB48" si="39">Y43</f>
        <v>759934.66145000001</v>
      </c>
      <c r="AA43" s="583">
        <f>'IB 5D2-(MYPE_I)(Pesca_A)_2021'!P45</f>
        <v>876648</v>
      </c>
      <c r="AB43" s="585">
        <f t="shared" si="39"/>
        <v>876648</v>
      </c>
      <c r="AC43" s="583">
        <f>'IB 5D2-(MYPE_I)(Pesca_A)_2021'!Q45</f>
        <v>958807</v>
      </c>
      <c r="AD43" s="585">
        <f>AC43</f>
        <v>958807</v>
      </c>
      <c r="AE43" s="583">
        <f>'IB 5D2-(MYPE_I)(Pesca_A)_2021'!R45</f>
        <v>746181.3</v>
      </c>
      <c r="AF43" s="585">
        <f>AE43</f>
        <v>746181.3</v>
      </c>
      <c r="AG43" s="583">
        <f>'IB 5D2-(MYPE_I)(Pesca_A)_2021'!S45</f>
        <v>695598.3</v>
      </c>
      <c r="AH43" s="585">
        <f>AG43</f>
        <v>695598.3</v>
      </c>
      <c r="AI43" s="583">
        <f>'IB 5D2-(MYPE_I)(Pesca_A)_2021'!T45</f>
        <v>805132.7</v>
      </c>
      <c r="AJ43" s="585">
        <f>AI43</f>
        <v>805132.7</v>
      </c>
      <c r="AK43" s="583">
        <f>'IB 5D2-(MYPE_I)(Pesca_A)_2021'!U45</f>
        <v>908964.4</v>
      </c>
      <c r="AL43" s="585">
        <f>AK43</f>
        <v>908964.4</v>
      </c>
      <c r="AM43" s="583">
        <f>'IB 5D2-(MYPE_I)(Pesca_A)_2021'!V45</f>
        <v>1007169.6</v>
      </c>
      <c r="AN43" s="585">
        <f>AM43</f>
        <v>1007169.6</v>
      </c>
      <c r="AO43" s="583">
        <f>'IB 5D2-(MYPE_I)(Pesca_A)_2021'!W45</f>
        <v>1064499.3</v>
      </c>
      <c r="AP43" s="585">
        <f>AO43</f>
        <v>1064499.3</v>
      </c>
      <c r="AQ43" s="583">
        <f>'IB 5D2-(MYPE_I)(Pesca_A)_2021'!X45</f>
        <v>1039167.5</v>
      </c>
      <c r="AR43" s="585">
        <f>AQ43</f>
        <v>1039167.5</v>
      </c>
      <c r="AS43" s="583">
        <f>'IB 5D2-(MYPE_I)(Pesca_A)_2021'!Y45</f>
        <v>1076214.8</v>
      </c>
      <c r="AT43" s="585">
        <f>AS43</f>
        <v>1076214.8</v>
      </c>
      <c r="AU43" s="583">
        <f>'IB 5D2-(MYPE_I)(Pesca_A)_2021'!Z45</f>
        <v>1106278</v>
      </c>
      <c r="AV43" s="585">
        <f>AU43</f>
        <v>1106278</v>
      </c>
      <c r="AW43" s="583">
        <f>'IB 5D2-(MYPE_I)(Pesca_A)_2021'!AA45</f>
        <v>1174068</v>
      </c>
      <c r="AX43" s="585">
        <f>AW43</f>
        <v>1174068</v>
      </c>
      <c r="AY43" s="583">
        <f>'IB 5D2-(MYPE_I)(Pesca_A)_2021'!AB45</f>
        <v>1203492</v>
      </c>
      <c r="AZ43" s="585">
        <f>AY43</f>
        <v>1203492</v>
      </c>
      <c r="BA43" s="583">
        <f>'IB 5D2-(MYPE_I)(Pesca_A)_2021'!AC45</f>
        <v>1087985</v>
      </c>
      <c r="BB43" s="585">
        <f>BA43</f>
        <v>1087985</v>
      </c>
      <c r="BC43" s="583">
        <f>'IB 5D2-(MYPE_I)(Pesca_A)_2021'!AD45</f>
        <v>1143793</v>
      </c>
      <c r="BD43" s="585">
        <f>BC43</f>
        <v>1143793</v>
      </c>
      <c r="BE43" s="583">
        <f>'IB 5D2-(MYPE_I)(Pesca_A)_2021'!AE45</f>
        <v>1080559</v>
      </c>
      <c r="BF43" s="585">
        <f>BE43</f>
        <v>1080559</v>
      </c>
      <c r="BG43" s="583">
        <f>'IB 5D2-(MYPE_I)(Pesca_A)_2021'!AF45</f>
        <v>1182999</v>
      </c>
      <c r="BH43" s="585">
        <f>BG43</f>
        <v>1182999</v>
      </c>
      <c r="BI43" s="583">
        <f>'IB 5D2-(MYPE_I)(Pesca_A)_2021'!AG45</f>
        <v>1198823</v>
      </c>
      <c r="BJ43" s="585">
        <f>BI43</f>
        <v>1198823</v>
      </c>
      <c r="BK43" s="583">
        <f>'IB 5D2-(MYPE_I)(Pesca_A)_2021'!AH45</f>
        <v>1197370</v>
      </c>
      <c r="BL43" s="585">
        <f>BK43</f>
        <v>1197370</v>
      </c>
      <c r="BM43" s="583">
        <f>'IB 5D2-(MYPE_I)(Pesca_A)_2021'!AI45</f>
        <v>1098598</v>
      </c>
      <c r="BN43" s="585">
        <f>BM43</f>
        <v>1098598</v>
      </c>
      <c r="BO43" s="583">
        <f>'IB 5D2-(MYPE_I)(Pesca_A)_2021'!AJ45</f>
        <v>1111812</v>
      </c>
      <c r="BP43" s="585">
        <f>BO43</f>
        <v>1111812</v>
      </c>
      <c r="BR43" s="263" t="str">
        <f>'Fac Conv'!G22</f>
        <v>Refinación de azúcar</v>
      </c>
      <c r="BS43" s="263">
        <f>(4+18)/2</f>
        <v>11</v>
      </c>
      <c r="BT43" s="263">
        <f>VLOOKUP(BR43,'Fac Conv'!$G$10:$K$25,4,FALSE)</f>
        <v>18</v>
      </c>
    </row>
    <row r="44" spans="2:72" ht="13.9" customHeight="1">
      <c r="B44" s="752"/>
      <c r="C44" s="87" t="str">
        <f>'IB 5D2-(MYPE_I)(Pesca_A)_2021'!D46</f>
        <v>Café (tostado y molido) (también como Café soluble)</v>
      </c>
      <c r="D44" s="510" t="str">
        <f>'IB 5D2-(MYPE_I)(Pesca_A)_2021'!E46</f>
        <v>TM/KG</v>
      </c>
      <c r="E44" s="588"/>
      <c r="F44" s="588"/>
      <c r="G44" s="674" t="str">
        <f>'IB 5D2-(MYPE_I)(Pesca_A)_2021'!F46</f>
        <v>(no reporta)</v>
      </c>
      <c r="H44" s="588"/>
      <c r="I44" s="587" t="str">
        <f>'IB 5D2-(MYPE_I)(Pesca_A)_2021'!G46</f>
        <v>(no reporta)</v>
      </c>
      <c r="J44" s="588"/>
      <c r="K44" s="587" t="str">
        <f>'IB 5D2-(MYPE_I)(Pesca_A)_2021'!H46</f>
        <v>(no reporta)</v>
      </c>
      <c r="L44" s="588"/>
      <c r="M44" s="583">
        <f>'IB 5D2-(MYPE_I)(Pesca_A)_2021'!I46</f>
        <v>1230</v>
      </c>
      <c r="N44" s="585">
        <f t="shared" ref="N44:P44" si="40">M44</f>
        <v>1230</v>
      </c>
      <c r="O44" s="583">
        <f>'IB 5D2-(MYPE_I)(Pesca_A)_2021'!J46</f>
        <v>1403</v>
      </c>
      <c r="P44" s="585">
        <f t="shared" si="40"/>
        <v>1403</v>
      </c>
      <c r="Q44" s="583">
        <f>'IB 5D2-(MYPE_I)(Pesca_A)_2021'!K46</f>
        <v>1317</v>
      </c>
      <c r="R44" s="585">
        <f t="shared" ref="R44:T44" si="41">Q44</f>
        <v>1317</v>
      </c>
      <c r="S44" s="583">
        <f>'IB 5D2-(MYPE_I)(Pesca_A)_2021'!L46</f>
        <v>1472</v>
      </c>
      <c r="T44" s="585">
        <f t="shared" si="41"/>
        <v>1472</v>
      </c>
      <c r="U44" s="583">
        <f>'IB 5D2-(MYPE_I)(Pesca_A)_2021'!M46</f>
        <v>1481</v>
      </c>
      <c r="V44" s="585">
        <f t="shared" ref="V44:X44" si="42">U44</f>
        <v>1481</v>
      </c>
      <c r="W44" s="583">
        <f>'IB 5D2-(MYPE_I)(Pesca_A)_2021'!N46</f>
        <v>1549</v>
      </c>
      <c r="X44" s="585">
        <f t="shared" si="42"/>
        <v>1549</v>
      </c>
      <c r="Y44" s="583">
        <f>'IB 5D2-(MYPE_I)(Pesca_A)_2021'!O46</f>
        <v>861</v>
      </c>
      <c r="Z44" s="585">
        <f t="shared" si="39"/>
        <v>861</v>
      </c>
      <c r="AA44" s="583">
        <f>'IB 5D2-(MYPE_I)(Pesca_A)_2021'!P46</f>
        <v>650</v>
      </c>
      <c r="AB44" s="585">
        <f t="shared" si="39"/>
        <v>650</v>
      </c>
      <c r="AC44" s="587" t="str">
        <f>'IB 5D2-(MYPE_I)(Pesca_A)_2021'!Q46</f>
        <v>(no reporta)</v>
      </c>
      <c r="AD44" s="588"/>
      <c r="AE44" s="587" t="str">
        <f>'IB 5D2-(MYPE_I)(Pesca_A)_2021'!R46</f>
        <v>(no reporta)</v>
      </c>
      <c r="AF44" s="588"/>
      <c r="AG44" s="587" t="str">
        <f>'IB 5D2-(MYPE_I)(Pesca_A)_2021'!S46</f>
        <v>(no reporta)</v>
      </c>
      <c r="AH44" s="588"/>
      <c r="AI44" s="587" t="str">
        <f>'IB 5D2-(MYPE_I)(Pesca_A)_2021'!T46</f>
        <v>(no reporta)</v>
      </c>
      <c r="AJ44" s="588"/>
      <c r="AK44" s="587" t="str">
        <f>'IB 5D2-(MYPE_I)(Pesca_A)_2021'!U46</f>
        <v>(no reporta)</v>
      </c>
      <c r="AL44" s="588"/>
      <c r="AM44" s="587" t="str">
        <f>'IB 5D2-(MYPE_I)(Pesca_A)_2021'!V46</f>
        <v>(no reporta)</v>
      </c>
      <c r="AN44" s="588"/>
      <c r="AO44" s="587" t="str">
        <f>'IB 5D2-(MYPE_I)(Pesca_A)_2021'!W46</f>
        <v>(no reporta)</v>
      </c>
      <c r="AP44" s="588"/>
      <c r="AQ44" s="587" t="str">
        <f>'IB 5D2-(MYPE_I)(Pesca_A)_2021'!X46</f>
        <v>(no reporta)</v>
      </c>
      <c r="AR44" s="588"/>
      <c r="AS44" s="587" t="str">
        <f>'IB 5D2-(MYPE_I)(Pesca_A)_2021'!Y46</f>
        <v>(no reporta)</v>
      </c>
      <c r="AT44" s="588"/>
      <c r="AU44" s="583">
        <f>'IB 5D2-(MYPE_I)(Pesca_A)_2021'!Z46</f>
        <v>52662281</v>
      </c>
      <c r="AV44" s="584">
        <f>AU44/'Fac Conv'!$C$123</f>
        <v>52662.281000000003</v>
      </c>
      <c r="AW44" s="583">
        <f>'IB 5D2-(MYPE_I)(Pesca_A)_2021'!AA46</f>
        <v>57502294</v>
      </c>
      <c r="AX44" s="584">
        <f>AW44/'Fac Conv'!$C$123</f>
        <v>57502.294000000002</v>
      </c>
      <c r="AY44" s="583">
        <f>'IB 5D2-(MYPE_I)(Pesca_A)_2021'!AB46</f>
        <v>42329135</v>
      </c>
      <c r="AZ44" s="584">
        <f>AY44/'Fac Conv'!$C$123</f>
        <v>42329.135000000002</v>
      </c>
      <c r="BA44" s="583">
        <f>'IB 5D2-(MYPE_I)(Pesca_A)_2021'!AC46</f>
        <v>34184364</v>
      </c>
      <c r="BB44" s="584">
        <f>BA44/'Fac Conv'!$C$123</f>
        <v>34184.364000000001</v>
      </c>
      <c r="BC44" s="583">
        <f>'IB 5D2-(MYPE_I)(Pesca_A)_2021'!AD46</f>
        <v>43821739</v>
      </c>
      <c r="BD44" s="584">
        <f>BC44/'Fac Conv'!$C$123</f>
        <v>43821.739000000001</v>
      </c>
      <c r="BE44" s="583">
        <f>'IB 5D2-(MYPE_I)(Pesca_A)_2021'!AE46</f>
        <v>49959692</v>
      </c>
      <c r="BF44" s="584">
        <f>BE44/'Fac Conv'!$C$123</f>
        <v>49959.692000000003</v>
      </c>
      <c r="BG44" s="583">
        <f>'IB 5D2-(MYPE_I)(Pesca_A)_2021'!AF46</f>
        <v>51211783</v>
      </c>
      <c r="BH44" s="584">
        <f>BG44/'Fac Conv'!$C$123</f>
        <v>51211.783000000003</v>
      </c>
      <c r="BI44" s="583">
        <f>'IB 5D2-(MYPE_I)(Pesca_A)_2021'!AG46</f>
        <v>52556497</v>
      </c>
      <c r="BJ44" s="584">
        <f>BI44/'Fac Conv'!$C$123</f>
        <v>52556.497000000003</v>
      </c>
      <c r="BK44" s="583">
        <f>'IB 5D2-(MYPE_I)(Pesca_A)_2021'!AH46</f>
        <v>46010367</v>
      </c>
      <c r="BL44" s="584">
        <f>BK44/'Fac Conv'!$C$123</f>
        <v>46010.366999999998</v>
      </c>
      <c r="BM44" s="583">
        <f>'IB 5D2-(MYPE_I)(Pesca_A)_2021'!AI46</f>
        <v>42404195</v>
      </c>
      <c r="BN44" s="584">
        <f>BM44/'Fac Conv'!$C$123</f>
        <v>42404.195</v>
      </c>
      <c r="BO44" s="583">
        <f>'IB 5D2-(MYPE_I)(Pesca_A)_2021'!AJ46</f>
        <v>45849594</v>
      </c>
      <c r="BP44" s="584">
        <f>BO44/'Fac Conv'!$C$123</f>
        <v>45849.593999999997</v>
      </c>
      <c r="BR44" s="263" t="str">
        <f>'Fac Conv'!G12</f>
        <v>Café</v>
      </c>
      <c r="BS44" s="263" t="str">
        <f>VLOOKUP(BR44,'Fac Conv'!$G$10:$K$25,2,FALSE)</f>
        <v>ND</v>
      </c>
      <c r="BT44" s="263">
        <f>VLOOKUP(BR44,'Fac Conv'!$G$10:$K$25,4,FALSE)</f>
        <v>0</v>
      </c>
    </row>
    <row r="45" spans="2:72" ht="13.9" customHeight="1">
      <c r="B45" s="752"/>
      <c r="C45" s="87" t="str">
        <f>'IB 5D2-(MYPE_I)(Pesca_A)_2021'!D52</f>
        <v>mermeladas de frutas diversas</v>
      </c>
      <c r="D45" s="510" t="str">
        <f>'IB 5D2-(MYPE_I)(Pesca_A)_2021'!E52</f>
        <v>TM</v>
      </c>
      <c r="E45" s="588"/>
      <c r="F45" s="588"/>
      <c r="G45" s="674" t="str">
        <f>'IB 5D2-(MYPE_I)(Pesca_A)_2021'!F52</f>
        <v>(no reporta)</v>
      </c>
      <c r="H45" s="588"/>
      <c r="I45" s="587" t="str">
        <f>'IB 5D2-(MYPE_I)(Pesca_A)_2021'!G52</f>
        <v>(no reporta)</v>
      </c>
      <c r="J45" s="588"/>
      <c r="K45" s="587" t="str">
        <f>'IB 5D2-(MYPE_I)(Pesca_A)_2021'!H52</f>
        <v>(no reporta)</v>
      </c>
      <c r="L45" s="588"/>
      <c r="M45" s="583">
        <f>'IB 5D2-(MYPE_I)(Pesca_A)_2021'!I52</f>
        <v>349.618786</v>
      </c>
      <c r="N45" s="585">
        <f t="shared" ref="N45:P45" si="43">M45</f>
        <v>349.618786</v>
      </c>
      <c r="O45" s="583">
        <f>'IB 5D2-(MYPE_I)(Pesca_A)_2021'!J52</f>
        <v>292.40489200000002</v>
      </c>
      <c r="P45" s="585">
        <f t="shared" si="43"/>
        <v>292.40489200000002</v>
      </c>
      <c r="Q45" s="583">
        <f>'IB 5D2-(MYPE_I)(Pesca_A)_2021'!K52</f>
        <v>342.019049</v>
      </c>
      <c r="R45" s="585">
        <f t="shared" ref="R45:T45" si="44">Q45</f>
        <v>342.019049</v>
      </c>
      <c r="S45" s="583">
        <f>'IB 5D2-(MYPE_I)(Pesca_A)_2021'!L52</f>
        <v>175.97896</v>
      </c>
      <c r="T45" s="585">
        <f t="shared" si="44"/>
        <v>175.97896</v>
      </c>
      <c r="U45" s="583">
        <f>'IB 5D2-(MYPE_I)(Pesca_A)_2021'!M52</f>
        <v>159.231797</v>
      </c>
      <c r="V45" s="585">
        <f t="shared" ref="V45:X45" si="45">U45</f>
        <v>159.231797</v>
      </c>
      <c r="W45" s="583">
        <f>'IB 5D2-(MYPE_I)(Pesca_A)_2021'!N52</f>
        <v>127.03389199999999</v>
      </c>
      <c r="X45" s="585">
        <f t="shared" si="45"/>
        <v>127.03389199999999</v>
      </c>
      <c r="Y45" s="583">
        <f>'IB 5D2-(MYPE_I)(Pesca_A)_2021'!O52</f>
        <v>195.93208200000001</v>
      </c>
      <c r="Z45" s="585">
        <f t="shared" si="39"/>
        <v>195.93208200000001</v>
      </c>
      <c r="AA45" s="583">
        <f>'IB 5D2-(MYPE_I)(Pesca_A)_2021'!P52</f>
        <v>162.38357099999999</v>
      </c>
      <c r="AB45" s="585">
        <f t="shared" si="39"/>
        <v>162.38357099999999</v>
      </c>
      <c r="AC45" s="587" t="str">
        <f>'IB 5D2-(MYPE_I)(Pesca_A)_2021'!Q52</f>
        <v>(no reporta)</v>
      </c>
      <c r="AD45" s="588"/>
      <c r="AE45" s="587" t="str">
        <f>'IB 5D2-(MYPE_I)(Pesca_A)_2021'!R52</f>
        <v>(no reporta)</v>
      </c>
      <c r="AF45" s="588"/>
      <c r="AG45" s="587" t="str">
        <f>'IB 5D2-(MYPE_I)(Pesca_A)_2021'!S52</f>
        <v>(no reporta)</v>
      </c>
      <c r="AH45" s="588"/>
      <c r="AI45" s="587" t="str">
        <f>'IB 5D2-(MYPE_I)(Pesca_A)_2021'!T52</f>
        <v>(no reporta)</v>
      </c>
      <c r="AJ45" s="588"/>
      <c r="AK45" s="587" t="str">
        <f>'IB 5D2-(MYPE_I)(Pesca_A)_2021'!U52</f>
        <v>(no reporta)</v>
      </c>
      <c r="AL45" s="588"/>
      <c r="AM45" s="587" t="str">
        <f>'IB 5D2-(MYPE_I)(Pesca_A)_2021'!V52</f>
        <v>(no reporta)</v>
      </c>
      <c r="AN45" s="588"/>
      <c r="AO45" s="587" t="str">
        <f>'IB 5D2-(MYPE_I)(Pesca_A)_2021'!W52</f>
        <v>(no reporta)</v>
      </c>
      <c r="AP45" s="588"/>
      <c r="AQ45" s="587" t="str">
        <f>'IB 5D2-(MYPE_I)(Pesca_A)_2021'!X52</f>
        <v>(no reporta)</v>
      </c>
      <c r="AR45" s="588"/>
      <c r="AS45" s="587" t="str">
        <f>'IB 5D2-(MYPE_I)(Pesca_A)_2021'!Y52</f>
        <v>(no reporta)</v>
      </c>
      <c r="AT45" s="588"/>
      <c r="AU45" s="587" t="str">
        <f>'IB 5D2-(MYPE_I)(Pesca_A)_2021'!Z52</f>
        <v>(no reporta)</v>
      </c>
      <c r="AV45" s="588"/>
      <c r="AW45" s="587" t="str">
        <f>'IB 5D2-(MYPE_I)(Pesca_A)_2021'!AA52</f>
        <v>(no reporta)</v>
      </c>
      <c r="AX45" s="588"/>
      <c r="AY45" s="587" t="str">
        <f>'IB 5D2-(MYPE_I)(Pesca_A)_2021'!AB52</f>
        <v>(no reporta)</v>
      </c>
      <c r="AZ45" s="588"/>
      <c r="BA45" s="587" t="str">
        <f>'IB 5D2-(MYPE_I)(Pesca_A)_2021'!AC52</f>
        <v>(no reporta)</v>
      </c>
      <c r="BB45" s="588"/>
      <c r="BC45" s="587" t="str">
        <f>'IB 5D2-(MYPE_I)(Pesca_A)_2021'!AD52</f>
        <v>(no reporta)</v>
      </c>
      <c r="BD45" s="588"/>
      <c r="BE45" s="587" t="str">
        <f>'IB 5D2-(MYPE_I)(Pesca_A)_2021'!AE52</f>
        <v>(no reporta)</v>
      </c>
      <c r="BF45" s="588"/>
      <c r="BG45" s="587" t="str">
        <f>'IB 5D2-(MYPE_I)(Pesca_A)_2021'!AF52</f>
        <v>(no reporta)</v>
      </c>
      <c r="BH45" s="588"/>
      <c r="BI45" s="587" t="str">
        <f>'IB 5D2-(MYPE_I)(Pesca_A)_2021'!AG52</f>
        <v>(no reporta)</v>
      </c>
      <c r="BJ45" s="588"/>
      <c r="BK45" s="587" t="str">
        <f>'IB 5D2-(MYPE_I)(Pesca_A)_2021'!AH52</f>
        <v>(no reporta)</v>
      </c>
      <c r="BL45" s="588"/>
      <c r="BM45" s="587" t="str">
        <f>'IB 5D2-(MYPE_I)(Pesca_A)_2021'!AI52</f>
        <v>(no reporta)</v>
      </c>
      <c r="BN45" s="588"/>
      <c r="BO45" s="587" t="str">
        <f>'IB 5D2-(MYPE_I)(Pesca_A)_2021'!AJ52</f>
        <v>(no reporta)</v>
      </c>
      <c r="BP45" s="588"/>
      <c r="BQ45" s="603" t="s">
        <v>452</v>
      </c>
      <c r="BR45" s="263" t="str">
        <f>'Fac Conv'!$G$24</f>
        <v>Verduras, frutas y jugos</v>
      </c>
      <c r="BS45" s="263">
        <f>VLOOKUP(BR45,'Fac Conv'!$G$10:$K$25,2,FALSE)</f>
        <v>20</v>
      </c>
      <c r="BT45" s="263">
        <f>VLOOKUP(BR45,'Fac Conv'!$G$10:$K$25,4,FALSE)</f>
        <v>35</v>
      </c>
    </row>
    <row r="46" spans="2:72" ht="13.9" customHeight="1">
      <c r="B46" s="752"/>
      <c r="C46" s="87" t="str">
        <f>'IB 5D2-(MYPE_I)(Pesca_A)_2021'!D53</f>
        <v>tomate cátchup / kétchup</v>
      </c>
      <c r="D46" s="510" t="str">
        <f>'IB 5D2-(MYPE_I)(Pesca_A)_2021'!E53</f>
        <v>TM/KG</v>
      </c>
      <c r="E46" s="588"/>
      <c r="F46" s="588"/>
      <c r="G46" s="674" t="str">
        <f>'IB 5D2-(MYPE_I)(Pesca_A)_2021'!F53</f>
        <v>(no reporta)</v>
      </c>
      <c r="H46" s="588"/>
      <c r="I46" s="587" t="str">
        <f>'IB 5D2-(MYPE_I)(Pesca_A)_2021'!G53</f>
        <v>(no reporta)</v>
      </c>
      <c r="J46" s="588"/>
      <c r="K46" s="587" t="str">
        <f>'IB 5D2-(MYPE_I)(Pesca_A)_2021'!H53</f>
        <v>(no reporta)</v>
      </c>
      <c r="L46" s="588"/>
      <c r="M46" s="583">
        <f>'IB 5D2-(MYPE_I)(Pesca_A)_2021'!I53</f>
        <v>684.44461999999999</v>
      </c>
      <c r="N46" s="585">
        <f t="shared" ref="N46:P46" si="46">M46</f>
        <v>684.44461999999999</v>
      </c>
      <c r="O46" s="583">
        <f>'IB 5D2-(MYPE_I)(Pesca_A)_2021'!J53</f>
        <v>775.35738000000003</v>
      </c>
      <c r="P46" s="585">
        <f t="shared" si="46"/>
        <v>775.35738000000003</v>
      </c>
      <c r="Q46" s="583">
        <f>'IB 5D2-(MYPE_I)(Pesca_A)_2021'!K53</f>
        <v>801.79249000000004</v>
      </c>
      <c r="R46" s="585">
        <f t="shared" ref="R46:T46" si="47">Q46</f>
        <v>801.79249000000004</v>
      </c>
      <c r="S46" s="583">
        <f>'IB 5D2-(MYPE_I)(Pesca_A)_2021'!L53</f>
        <v>829.97600199999999</v>
      </c>
      <c r="T46" s="585">
        <f t="shared" si="47"/>
        <v>829.97600199999999</v>
      </c>
      <c r="U46" s="583">
        <f>'IB 5D2-(MYPE_I)(Pesca_A)_2021'!M53</f>
        <v>931.70100100000002</v>
      </c>
      <c r="V46" s="585">
        <f t="shared" ref="V46:X46" si="48">U46</f>
        <v>931.70100100000002</v>
      </c>
      <c r="W46" s="583">
        <f>'IB 5D2-(MYPE_I)(Pesca_A)_2021'!N53</f>
        <v>1014.816521</v>
      </c>
      <c r="X46" s="585">
        <f t="shared" si="48"/>
        <v>1014.816521</v>
      </c>
      <c r="Y46" s="583">
        <f>'IB 5D2-(MYPE_I)(Pesca_A)_2021'!O53</f>
        <v>764.81876199999999</v>
      </c>
      <c r="Z46" s="585">
        <f t="shared" si="39"/>
        <v>764.81876199999999</v>
      </c>
      <c r="AA46" s="583">
        <f>'IB 5D2-(MYPE_I)(Pesca_A)_2021'!P53</f>
        <v>908.24706000000003</v>
      </c>
      <c r="AB46" s="585">
        <f t="shared" si="39"/>
        <v>908.24706000000003</v>
      </c>
      <c r="AC46" s="583">
        <f>'IB 5D2-(MYPE_I)(Pesca_A)_2021'!Q53</f>
        <v>1303892.3999999999</v>
      </c>
      <c r="AD46" s="584">
        <f>AC46/'Fac Conv'!$C$123</f>
        <v>1303.8924</v>
      </c>
      <c r="AE46" s="583">
        <f>'IB 5D2-(MYPE_I)(Pesca_A)_2021'!R53</f>
        <v>1011652.8</v>
      </c>
      <c r="AF46" s="584">
        <f>AE46/'Fac Conv'!$C$123</f>
        <v>1011.6528000000001</v>
      </c>
      <c r="AG46" s="583">
        <f>'IB 5D2-(MYPE_I)(Pesca_A)_2021'!S53</f>
        <v>1069963.1000000001</v>
      </c>
      <c r="AH46" s="584">
        <f>AG46/'Fac Conv'!$C$123</f>
        <v>1069.9631000000002</v>
      </c>
      <c r="AI46" s="583">
        <f>'IB 5D2-(MYPE_I)(Pesca_A)_2021'!T53</f>
        <v>1082856.7</v>
      </c>
      <c r="AJ46" s="584">
        <f>AI46/'Fac Conv'!$C$123</f>
        <v>1082.8567</v>
      </c>
      <c r="AK46" s="583">
        <f>'IB 5D2-(MYPE_I)(Pesca_A)_2021'!U53</f>
        <v>1136395.2</v>
      </c>
      <c r="AL46" s="584">
        <f>AK46/'Fac Conv'!$C$123</f>
        <v>1136.3951999999999</v>
      </c>
      <c r="AM46" s="583">
        <f>'IB 5D2-(MYPE_I)(Pesca_A)_2021'!V53</f>
        <v>1338633.5</v>
      </c>
      <c r="AN46" s="584">
        <f>AM46/'Fac Conv'!$C$123</f>
        <v>1338.6334999999999</v>
      </c>
      <c r="AO46" s="583">
        <f>'IB 5D2-(MYPE_I)(Pesca_A)_2021'!W53</f>
        <v>1409977.9</v>
      </c>
      <c r="AP46" s="584">
        <f>AO46/'Fac Conv'!$C$123</f>
        <v>1409.9778999999999</v>
      </c>
      <c r="AQ46" s="583">
        <f>'IB 5D2-(MYPE_I)(Pesca_A)_2021'!X53</f>
        <v>1626176.4</v>
      </c>
      <c r="AR46" s="584">
        <f>AQ46/'Fac Conv'!$C$123</f>
        <v>1626.1763999999998</v>
      </c>
      <c r="AS46" s="583">
        <f>'IB 5D2-(MYPE_I)(Pesca_A)_2021'!Y53</f>
        <v>1762437.5</v>
      </c>
      <c r="AT46" s="584">
        <f>AS46/'Fac Conv'!$C$123</f>
        <v>1762.4375</v>
      </c>
      <c r="AU46" s="587" t="str">
        <f>'IB 5D2-(MYPE_I)(Pesca_A)_2021'!Z53</f>
        <v>(no reporta)</v>
      </c>
      <c r="AV46" s="588"/>
      <c r="AW46" s="587" t="str">
        <f>'IB 5D2-(MYPE_I)(Pesca_A)_2021'!AA53</f>
        <v>(no reporta)</v>
      </c>
      <c r="AX46" s="588"/>
      <c r="AY46" s="587" t="str">
        <f>'IB 5D2-(MYPE_I)(Pesca_A)_2021'!AB53</f>
        <v>(no reporta)</v>
      </c>
      <c r="AZ46" s="588"/>
      <c r="BA46" s="587" t="str">
        <f>'IB 5D2-(MYPE_I)(Pesca_A)_2021'!AC53</f>
        <v>(no reporta)</v>
      </c>
      <c r="BB46" s="588"/>
      <c r="BC46" s="587" t="str">
        <f>'IB 5D2-(MYPE_I)(Pesca_A)_2021'!AD53</f>
        <v>(no reporta)</v>
      </c>
      <c r="BD46" s="588"/>
      <c r="BE46" s="587" t="str">
        <f>'IB 5D2-(MYPE_I)(Pesca_A)_2021'!AE53</f>
        <v>(no reporta)</v>
      </c>
      <c r="BF46" s="588"/>
      <c r="BG46" s="587" t="str">
        <f>'IB 5D2-(MYPE_I)(Pesca_A)_2021'!AF53</f>
        <v>(no reporta)</v>
      </c>
      <c r="BH46" s="588"/>
      <c r="BI46" s="587" t="str">
        <f>'IB 5D2-(MYPE_I)(Pesca_A)_2021'!AG53</f>
        <v>(no reporta)</v>
      </c>
      <c r="BJ46" s="588"/>
      <c r="BK46" s="587" t="str">
        <f>'IB 5D2-(MYPE_I)(Pesca_A)_2021'!AH53</f>
        <v>(no reporta)</v>
      </c>
      <c r="BL46" s="588"/>
      <c r="BM46" s="587" t="str">
        <f>'IB 5D2-(MYPE_I)(Pesca_A)_2021'!AI53</f>
        <v>(no reporta)</v>
      </c>
      <c r="BN46" s="588"/>
      <c r="BO46" s="587" t="str">
        <f>'IB 5D2-(MYPE_I)(Pesca_A)_2021'!AJ53</f>
        <v>(no reporta)</v>
      </c>
      <c r="BP46" s="588"/>
      <c r="BQ46" s="603" t="s">
        <v>452</v>
      </c>
      <c r="BR46" s="263" t="str">
        <f>'Fac Conv'!$G$24</f>
        <v>Verduras, frutas y jugos</v>
      </c>
      <c r="BS46" s="263">
        <f>VLOOKUP(BR46,'Fac Conv'!$G$10:$K$25,2,FALSE)</f>
        <v>20</v>
      </c>
      <c r="BT46" s="263">
        <f>VLOOKUP(BR46,'Fac Conv'!$G$10:$K$25,4,FALSE)</f>
        <v>35</v>
      </c>
    </row>
    <row r="47" spans="2:72" ht="13.9" customHeight="1">
      <c r="B47" s="752"/>
      <c r="C47" s="87" t="str">
        <f>'IB 5D2-(MYPE_I)(Pesca_A)_2021'!D54</f>
        <v>pasta de tomate</v>
      </c>
      <c r="D47" s="510" t="str">
        <f>'IB 5D2-(MYPE_I)(Pesca_A)_2021'!E54</f>
        <v>TM</v>
      </c>
      <c r="E47" s="588"/>
      <c r="F47" s="588"/>
      <c r="G47" s="674" t="str">
        <f>'IB 5D2-(MYPE_I)(Pesca_A)_2021'!F54</f>
        <v>(no reporta)</v>
      </c>
      <c r="H47" s="588"/>
      <c r="I47" s="587" t="str">
        <f>'IB 5D2-(MYPE_I)(Pesca_A)_2021'!G54</f>
        <v>(no reporta)</v>
      </c>
      <c r="J47" s="588"/>
      <c r="K47" s="587" t="str">
        <f>'IB 5D2-(MYPE_I)(Pesca_A)_2021'!H54</f>
        <v>(no reporta)</v>
      </c>
      <c r="L47" s="588"/>
      <c r="M47" s="583">
        <f>'IB 5D2-(MYPE_I)(Pesca_A)_2021'!I54</f>
        <v>1342.955555</v>
      </c>
      <c r="N47" s="585">
        <f t="shared" ref="N47:P47" si="49">M47</f>
        <v>1342.955555</v>
      </c>
      <c r="O47" s="583">
        <f>'IB 5D2-(MYPE_I)(Pesca_A)_2021'!J54</f>
        <v>1712.0106270000001</v>
      </c>
      <c r="P47" s="585">
        <f t="shared" si="49"/>
        <v>1712.0106270000001</v>
      </c>
      <c r="Q47" s="583">
        <f>'IB 5D2-(MYPE_I)(Pesca_A)_2021'!K54</f>
        <v>3043.10241</v>
      </c>
      <c r="R47" s="585">
        <f t="shared" ref="R47:T47" si="50">Q47</f>
        <v>3043.10241</v>
      </c>
      <c r="S47" s="583">
        <f>'IB 5D2-(MYPE_I)(Pesca_A)_2021'!L54</f>
        <v>1760.452603</v>
      </c>
      <c r="T47" s="585">
        <f t="shared" si="50"/>
        <v>1760.452603</v>
      </c>
      <c r="U47" s="583">
        <f>'IB 5D2-(MYPE_I)(Pesca_A)_2021'!M54</f>
        <v>1039.808</v>
      </c>
      <c r="V47" s="585">
        <f t="shared" ref="V47:X47" si="51">U47</f>
        <v>1039.808</v>
      </c>
      <c r="W47" s="583">
        <f>'IB 5D2-(MYPE_I)(Pesca_A)_2021'!N54</f>
        <v>1053.69561</v>
      </c>
      <c r="X47" s="585">
        <f t="shared" si="51"/>
        <v>1053.69561</v>
      </c>
      <c r="Y47" s="583">
        <f>'IB 5D2-(MYPE_I)(Pesca_A)_2021'!O54</f>
        <v>818.92662499999994</v>
      </c>
      <c r="Z47" s="585">
        <f t="shared" si="39"/>
        <v>818.92662499999994</v>
      </c>
      <c r="AA47" s="583">
        <f>'IB 5D2-(MYPE_I)(Pesca_A)_2021'!P54</f>
        <v>976.25595999999996</v>
      </c>
      <c r="AB47" s="585">
        <f t="shared" si="39"/>
        <v>976.25595999999996</v>
      </c>
      <c r="AC47" s="587" t="str">
        <f>'IB 5D2-(MYPE_I)(Pesca_A)_2021'!Q54</f>
        <v>(no reporta)</v>
      </c>
      <c r="AD47" s="588"/>
      <c r="AE47" s="587" t="str">
        <f>'IB 5D2-(MYPE_I)(Pesca_A)_2021'!R54</f>
        <v>(no reporta)</v>
      </c>
      <c r="AF47" s="588"/>
      <c r="AG47" s="587" t="str">
        <f>'IB 5D2-(MYPE_I)(Pesca_A)_2021'!S54</f>
        <v>(no reporta)</v>
      </c>
      <c r="AH47" s="588"/>
      <c r="AI47" s="587" t="str">
        <f>'IB 5D2-(MYPE_I)(Pesca_A)_2021'!T54</f>
        <v>(no reporta)</v>
      </c>
      <c r="AJ47" s="588"/>
      <c r="AK47" s="587" t="str">
        <f>'IB 5D2-(MYPE_I)(Pesca_A)_2021'!U54</f>
        <v>(no reporta)</v>
      </c>
      <c r="AL47" s="588"/>
      <c r="AM47" s="587" t="str">
        <f>'IB 5D2-(MYPE_I)(Pesca_A)_2021'!V54</f>
        <v>(no reporta)</v>
      </c>
      <c r="AN47" s="588"/>
      <c r="AO47" s="587" t="str">
        <f>'IB 5D2-(MYPE_I)(Pesca_A)_2021'!W54</f>
        <v>(no reporta)</v>
      </c>
      <c r="AP47" s="588"/>
      <c r="AQ47" s="587" t="str">
        <f>'IB 5D2-(MYPE_I)(Pesca_A)_2021'!X54</f>
        <v>(no reporta)</v>
      </c>
      <c r="AR47" s="588"/>
      <c r="AS47" s="587" t="str">
        <f>'IB 5D2-(MYPE_I)(Pesca_A)_2021'!Y54</f>
        <v>(no reporta)</v>
      </c>
      <c r="AT47" s="588"/>
      <c r="AU47" s="587" t="str">
        <f>'IB 5D2-(MYPE_I)(Pesca_A)_2021'!Z54</f>
        <v>(no reporta)</v>
      </c>
      <c r="AV47" s="588"/>
      <c r="AW47" s="587" t="str">
        <f>'IB 5D2-(MYPE_I)(Pesca_A)_2021'!AA54</f>
        <v>(no reporta)</v>
      </c>
      <c r="AX47" s="588"/>
      <c r="AY47" s="587" t="str">
        <f>'IB 5D2-(MYPE_I)(Pesca_A)_2021'!AB54</f>
        <v>(no reporta)</v>
      </c>
      <c r="AZ47" s="588"/>
      <c r="BA47" s="587" t="str">
        <f>'IB 5D2-(MYPE_I)(Pesca_A)_2021'!AC54</f>
        <v>(no reporta)</v>
      </c>
      <c r="BB47" s="588"/>
      <c r="BC47" s="587" t="str">
        <f>'IB 5D2-(MYPE_I)(Pesca_A)_2021'!AD54</f>
        <v>(no reporta)</v>
      </c>
      <c r="BD47" s="588"/>
      <c r="BE47" s="587" t="str">
        <f>'IB 5D2-(MYPE_I)(Pesca_A)_2021'!AE54</f>
        <v>(no reporta)</v>
      </c>
      <c r="BF47" s="588"/>
      <c r="BG47" s="587" t="str">
        <f>'IB 5D2-(MYPE_I)(Pesca_A)_2021'!AF54</f>
        <v>(no reporta)</v>
      </c>
      <c r="BH47" s="588"/>
      <c r="BI47" s="587" t="str">
        <f>'IB 5D2-(MYPE_I)(Pesca_A)_2021'!AG54</f>
        <v>(no reporta)</v>
      </c>
      <c r="BJ47" s="588"/>
      <c r="BK47" s="587" t="str">
        <f>'IB 5D2-(MYPE_I)(Pesca_A)_2021'!AH54</f>
        <v>(no reporta)</v>
      </c>
      <c r="BL47" s="588"/>
      <c r="BM47" s="587" t="str">
        <f>'IB 5D2-(MYPE_I)(Pesca_A)_2021'!AI54</f>
        <v>(no reporta)</v>
      </c>
      <c r="BN47" s="588"/>
      <c r="BO47" s="587" t="str">
        <f>'IB 5D2-(MYPE_I)(Pesca_A)_2021'!AJ54</f>
        <v>(no reporta)</v>
      </c>
      <c r="BP47" s="588"/>
      <c r="BQ47" s="603" t="s">
        <v>452</v>
      </c>
      <c r="BR47" s="263" t="str">
        <f>'Fac Conv'!$G$24</f>
        <v>Verduras, frutas y jugos</v>
      </c>
      <c r="BS47" s="263">
        <f>VLOOKUP(BR47,'Fac Conv'!$G$10:$K$25,2,FALSE)</f>
        <v>20</v>
      </c>
      <c r="BT47" s="263">
        <f>VLOOKUP(BR47,'Fac Conv'!$G$10:$K$25,4,FALSE)</f>
        <v>35</v>
      </c>
    </row>
    <row r="48" spans="2:72" ht="13.9" customHeight="1">
      <c r="B48" s="753"/>
      <c r="C48" s="100" t="str">
        <f>'IB 5D2-(MYPE_I)(Pesca_A)_2021'!D55</f>
        <v>quesos</v>
      </c>
      <c r="D48" s="510" t="str">
        <f>'IB 5D2-(MYPE_I)(Pesca_A)_2021'!E55</f>
        <v>TM/KG</v>
      </c>
      <c r="E48" s="588"/>
      <c r="F48" s="588"/>
      <c r="G48" s="674" t="str">
        <f>'IB 5D2-(MYPE_I)(Pesca_A)_2021'!F55</f>
        <v>(no reporta)</v>
      </c>
      <c r="H48" s="588"/>
      <c r="I48" s="587" t="str">
        <f>'IB 5D2-(MYPE_I)(Pesca_A)_2021'!G55</f>
        <v>(no reporta)</v>
      </c>
      <c r="J48" s="588"/>
      <c r="K48" s="587" t="str">
        <f>'IB 5D2-(MYPE_I)(Pesca_A)_2021'!H55</f>
        <v>(no reporta)</v>
      </c>
      <c r="L48" s="588"/>
      <c r="M48" s="587" t="str">
        <f>'IB 5D2-(MYPE_I)(Pesca_A)_2021'!I55</f>
        <v>(no reporta)</v>
      </c>
      <c r="N48" s="588"/>
      <c r="O48" s="587" t="str">
        <f>'IB 5D2-(MYPE_I)(Pesca_A)_2021'!J55</f>
        <v>(no reporta)</v>
      </c>
      <c r="P48" s="588"/>
      <c r="Q48" s="587" t="str">
        <f>'IB 5D2-(MYPE_I)(Pesca_A)_2021'!K55</f>
        <v>(no reporta)</v>
      </c>
      <c r="R48" s="588"/>
      <c r="S48" s="583">
        <f>'IB 5D2-(MYPE_I)(Pesca_A)_2021'!L55</f>
        <v>3850</v>
      </c>
      <c r="T48" s="585">
        <f t="shared" ref="T48" si="52">S48</f>
        <v>3850</v>
      </c>
      <c r="U48" s="583">
        <f>'IB 5D2-(MYPE_I)(Pesca_A)_2021'!M55</f>
        <v>4982</v>
      </c>
      <c r="V48" s="585">
        <f t="shared" ref="V48:X48" si="53">U48</f>
        <v>4982</v>
      </c>
      <c r="W48" s="583">
        <f>'IB 5D2-(MYPE_I)(Pesca_A)_2021'!N55</f>
        <v>6392</v>
      </c>
      <c r="X48" s="585">
        <f t="shared" si="53"/>
        <v>6392</v>
      </c>
      <c r="Y48" s="583">
        <f>'IB 5D2-(MYPE_I)(Pesca_A)_2021'!O55</f>
        <v>6474</v>
      </c>
      <c r="Z48" s="585">
        <f t="shared" si="39"/>
        <v>6474</v>
      </c>
      <c r="AA48" s="583">
        <f>'IB 5D2-(MYPE_I)(Pesca_A)_2021'!P55</f>
        <v>8519</v>
      </c>
      <c r="AB48" s="585">
        <f t="shared" si="39"/>
        <v>8519</v>
      </c>
      <c r="AC48" s="602">
        <f>'IB 5D2-(MYPE_I)(Pesca_A)_2021'!Q55</f>
        <v>5241163.8</v>
      </c>
      <c r="AD48" s="584">
        <f>AC48/'Fac Conv'!$C$123</f>
        <v>5241.1638000000003</v>
      </c>
      <c r="AE48" s="602">
        <f>'IB 5D2-(MYPE_I)(Pesca_A)_2021'!R55</f>
        <v>5758131.5</v>
      </c>
      <c r="AF48" s="584">
        <f>AE48/'Fac Conv'!$C$123</f>
        <v>5758.1315000000004</v>
      </c>
      <c r="AG48" s="602">
        <f>'IB 5D2-(MYPE_I)(Pesca_A)_2021'!S55</f>
        <v>6202457.7999999998</v>
      </c>
      <c r="AH48" s="584">
        <f>AG48/'Fac Conv'!$C$123</f>
        <v>6202.4578000000001</v>
      </c>
      <c r="AI48" s="602">
        <f>'IB 5D2-(MYPE_I)(Pesca_A)_2021'!T55</f>
        <v>7334797.4000000004</v>
      </c>
      <c r="AJ48" s="584">
        <f>AI48/'Fac Conv'!$C$123</f>
        <v>7334.7974000000004</v>
      </c>
      <c r="AK48" s="602">
        <f>'IB 5D2-(MYPE_I)(Pesca_A)_2021'!U55</f>
        <v>7317497.7999999998</v>
      </c>
      <c r="AL48" s="584">
        <f>AK48/'Fac Conv'!$C$123</f>
        <v>7317.4978000000001</v>
      </c>
      <c r="AM48" s="602">
        <f>'IB 5D2-(MYPE_I)(Pesca_A)_2021'!V55</f>
        <v>7185867.2999999998</v>
      </c>
      <c r="AN48" s="584">
        <f>AM48/'Fac Conv'!$C$123</f>
        <v>7185.8672999999999</v>
      </c>
      <c r="AO48" s="602">
        <f>'IB 5D2-(MYPE_I)(Pesca_A)_2021'!W55</f>
        <v>5906141.0999999996</v>
      </c>
      <c r="AP48" s="584">
        <f>AO48/'Fac Conv'!$C$123</f>
        <v>5906.1410999999998</v>
      </c>
      <c r="AQ48" s="602">
        <f>'IB 5D2-(MYPE_I)(Pesca_A)_2021'!X55</f>
        <v>6358934.9000000004</v>
      </c>
      <c r="AR48" s="584">
        <f>AQ48/'Fac Conv'!$C$123</f>
        <v>6358.9349000000002</v>
      </c>
      <c r="AS48" s="602">
        <f>'IB 5D2-(MYPE_I)(Pesca_A)_2021'!Y55</f>
        <v>6689783.7000000002</v>
      </c>
      <c r="AT48" s="584">
        <f>AS48/'Fac Conv'!$C$123</f>
        <v>6689.7837</v>
      </c>
      <c r="AU48" s="587" t="str">
        <f>'IB 5D2-(MYPE_I)(Pesca_A)_2021'!Z55</f>
        <v>(no reporta)</v>
      </c>
      <c r="AV48" s="589"/>
      <c r="AW48" s="587" t="str">
        <f>'IB 5D2-(MYPE_I)(Pesca_A)_2021'!AA55</f>
        <v>(no reporta)</v>
      </c>
      <c r="AX48" s="589"/>
      <c r="AY48" s="587" t="str">
        <f>'IB 5D2-(MYPE_I)(Pesca_A)_2021'!AB55</f>
        <v>(no reporta)</v>
      </c>
      <c r="AZ48" s="589"/>
      <c r="BA48" s="587" t="str">
        <f>'IB 5D2-(MYPE_I)(Pesca_A)_2021'!AC55</f>
        <v>(no reporta)</v>
      </c>
      <c r="BB48" s="589"/>
      <c r="BC48" s="587" t="str">
        <f>'IB 5D2-(MYPE_I)(Pesca_A)_2021'!AD55</f>
        <v>(no reporta)</v>
      </c>
      <c r="BD48" s="589"/>
      <c r="BE48" s="587" t="str">
        <f>'IB 5D2-(MYPE_I)(Pesca_A)_2021'!AE55</f>
        <v>(no reporta)</v>
      </c>
      <c r="BF48" s="589"/>
      <c r="BG48" s="587" t="str">
        <f>'IB 5D2-(MYPE_I)(Pesca_A)_2021'!AF55</f>
        <v>(no reporta)</v>
      </c>
      <c r="BH48" s="589"/>
      <c r="BI48" s="587" t="str">
        <f>'IB 5D2-(MYPE_I)(Pesca_A)_2021'!AG55</f>
        <v>(no reporta)</v>
      </c>
      <c r="BJ48" s="589"/>
      <c r="BK48" s="590" t="str">
        <f>'IB 5D2-(MYPE_I)(Pesca_A)_2021'!AH55</f>
        <v>(no reporta)</v>
      </c>
      <c r="BL48" s="589"/>
      <c r="BM48" s="587" t="str">
        <f>'IB 5D2-(MYPE_I)(Pesca_A)_2021'!AI55</f>
        <v>(no reporta)</v>
      </c>
      <c r="BN48" s="589"/>
      <c r="BO48" s="587" t="str">
        <f>'IB 5D2-(MYPE_I)(Pesca_A)_2021'!AJ55</f>
        <v>(no reporta)</v>
      </c>
      <c r="BP48" s="589"/>
      <c r="BQ48" s="603" t="s">
        <v>452</v>
      </c>
      <c r="BR48" s="263" t="str">
        <f>'Fac Conv'!G13</f>
        <v>Productos lácteos</v>
      </c>
      <c r="BS48" s="263">
        <f>VLOOKUP(BR48,'Fac Conv'!$G$10:$K$25,2,FALSE)</f>
        <v>7</v>
      </c>
      <c r="BT48" s="263">
        <f>VLOOKUP(BR48,'Fac Conv'!$G$10:$K$25,4,FALSE)</f>
        <v>10</v>
      </c>
    </row>
    <row r="49" spans="2:72" ht="13.9" customHeight="1">
      <c r="B49" s="765" t="s">
        <v>210</v>
      </c>
      <c r="C49" s="95" t="str">
        <f>'IB 5D2-(MYPE_I)(Pesca_A)_2021'!D56</f>
        <v>Piscos</v>
      </c>
      <c r="D49" s="268" t="str">
        <f>'IB 5D2-(MYPE_I)(Pesca_A)_2021'!E56</f>
        <v>ML.LT/LT</v>
      </c>
      <c r="E49" s="588"/>
      <c r="F49" s="588"/>
      <c r="G49" s="676" t="str">
        <f>'IB 5D2-(MYPE_I)(Pesca_A)_2021'!F56</f>
        <v>(no reporta)</v>
      </c>
      <c r="H49" s="588"/>
      <c r="I49" s="103" t="str">
        <f>'IB 5D2-(MYPE_I)(Pesca_A)_2021'!G56</f>
        <v>(no reporta)</v>
      </c>
      <c r="J49" s="588"/>
      <c r="K49" s="103" t="str">
        <f>'IB 5D2-(MYPE_I)(Pesca_A)_2021'!H56</f>
        <v>(no reporta)</v>
      </c>
      <c r="L49" s="588"/>
      <c r="M49" s="607">
        <f>'IB 5D2-(MYPE_I)(Pesca_A)_2021'!I56</f>
        <v>324.89999999999998</v>
      </c>
      <c r="N49" s="582">
        <f xml:space="preserve"> M49*'Fac Conv'!$C$151</f>
        <v>324.89999999999998</v>
      </c>
      <c r="O49" s="607">
        <f>'IB 5D2-(MYPE_I)(Pesca_A)_2021'!J56</f>
        <v>456.66399999999999</v>
      </c>
      <c r="P49" s="582">
        <f xml:space="preserve"> O49*'Fac Conv'!$C$151</f>
        <v>456.66399999999999</v>
      </c>
      <c r="Q49" s="607">
        <f>'IB 5D2-(MYPE_I)(Pesca_A)_2021'!K56</f>
        <v>448.19</v>
      </c>
      <c r="R49" s="582">
        <f xml:space="preserve"> Q49*'Fac Conv'!$C$151</f>
        <v>448.19</v>
      </c>
      <c r="S49" s="607">
        <f>'IB 5D2-(MYPE_I)(Pesca_A)_2021'!L56</f>
        <v>249.881</v>
      </c>
      <c r="T49" s="582">
        <f xml:space="preserve"> S49*'Fac Conv'!$C$151</f>
        <v>249.881</v>
      </c>
      <c r="U49" s="607">
        <f>'IB 5D2-(MYPE_I)(Pesca_A)_2021'!M56</f>
        <v>367.44299999999998</v>
      </c>
      <c r="V49" s="582">
        <f xml:space="preserve"> U49*'Fac Conv'!$C$151</f>
        <v>367.44299999999998</v>
      </c>
      <c r="W49" s="607">
        <f>'IB 5D2-(MYPE_I)(Pesca_A)_2021'!N56</f>
        <v>341.10539999999997</v>
      </c>
      <c r="X49" s="582">
        <f xml:space="preserve"> W49*'Fac Conv'!$C$151</f>
        <v>341.10539999999997</v>
      </c>
      <c r="Y49" s="608">
        <f>'IB 5D2-(MYPE_I)(Pesca_A)_2021'!O56</f>
        <v>380.13974999999999</v>
      </c>
      <c r="Z49" s="582">
        <f xml:space="preserve"> Y49*'Fac Conv'!$C$151</f>
        <v>380.13974999999999</v>
      </c>
      <c r="AA49" s="608">
        <f>'IB 5D2-(MYPE_I)(Pesca_A)_2021'!P56</f>
        <v>311.3288</v>
      </c>
      <c r="AB49" s="582">
        <f xml:space="preserve"> AA49*'Fac Conv'!$C$151</f>
        <v>311.3288</v>
      </c>
      <c r="AC49" s="608">
        <f>'IB 5D2-(MYPE_I)(Pesca_A)_2021'!Q56</f>
        <v>488885.5</v>
      </c>
      <c r="AD49" s="582">
        <f xml:space="preserve"> AC49*'Fac Conv'!$C$151/'Fac Conv'!$C$123</f>
        <v>488.88549999999998</v>
      </c>
      <c r="AE49" s="608">
        <f>'IB 5D2-(MYPE_I)(Pesca_A)_2021'!R56</f>
        <v>600166.30000000005</v>
      </c>
      <c r="AF49" s="582">
        <f xml:space="preserve"> AE49*'Fac Conv'!$C$151/'Fac Conv'!$C$123</f>
        <v>600.16630000000009</v>
      </c>
      <c r="AG49" s="608">
        <f>'IB 5D2-(MYPE_I)(Pesca_A)_2021'!S56</f>
        <v>813960.3</v>
      </c>
      <c r="AH49" s="582">
        <f xml:space="preserve"> AG49*'Fac Conv'!$C$151/'Fac Conv'!$C$123</f>
        <v>813.96030000000007</v>
      </c>
      <c r="AI49" s="608">
        <f>'IB 5D2-(MYPE_I)(Pesca_A)_2021'!T56</f>
        <v>874136.3</v>
      </c>
      <c r="AJ49" s="582">
        <f xml:space="preserve"> AI49*'Fac Conv'!$C$151/'Fac Conv'!$C$123</f>
        <v>874.13630000000001</v>
      </c>
      <c r="AK49" s="608">
        <f>'IB 5D2-(MYPE_I)(Pesca_A)_2021'!U56</f>
        <v>1089715.3</v>
      </c>
      <c r="AL49" s="582">
        <f xml:space="preserve"> AK49*'Fac Conv'!$C$151/'Fac Conv'!$C$123</f>
        <v>1089.7153000000001</v>
      </c>
      <c r="AM49" s="600">
        <f>'IB 5D2-(MYPE_I)(Pesca_A)_2021'!V56</f>
        <v>1507421.2</v>
      </c>
      <c r="AN49" s="582">
        <f xml:space="preserve"> AM49*'Fac Conv'!$C$151/'Fac Conv'!$C$123</f>
        <v>1507.4212</v>
      </c>
      <c r="AO49" s="600">
        <f>'IB 5D2-(MYPE_I)(Pesca_A)_2021'!W56</f>
        <v>1394130.8</v>
      </c>
      <c r="AP49" s="582">
        <f xml:space="preserve"> AO49*'Fac Conv'!$C$151/'Fac Conv'!$C$123</f>
        <v>1394.1308000000001</v>
      </c>
      <c r="AQ49" s="600">
        <f>'IB 5D2-(MYPE_I)(Pesca_A)_2021'!X56</f>
        <v>1332318.8999999999</v>
      </c>
      <c r="AR49" s="582">
        <f xml:space="preserve"> AQ49*'Fac Conv'!$C$151/'Fac Conv'!$C$123</f>
        <v>1332.3189</v>
      </c>
      <c r="AS49" s="600">
        <f>'IB 5D2-(MYPE_I)(Pesca_A)_2021'!Y56</f>
        <v>1326551.3</v>
      </c>
      <c r="AT49" s="582">
        <f xml:space="preserve"> AS49*'Fac Conv'!$C$151/'Fac Conv'!$C$123</f>
        <v>1326.5513000000001</v>
      </c>
      <c r="AU49" s="600">
        <f>'IB 5D2-(MYPE_I)(Pesca_A)_2021'!Z56</f>
        <v>2829893</v>
      </c>
      <c r="AV49" s="582">
        <f xml:space="preserve"> AU49*'Fac Conv'!$C$151/'Fac Conv'!$C$123</f>
        <v>2829.893</v>
      </c>
      <c r="AW49" s="600">
        <f>'IB 5D2-(MYPE_I)(Pesca_A)_2021'!AA56</f>
        <v>2827768</v>
      </c>
      <c r="AX49" s="582">
        <f xml:space="preserve"> AW49*'Fac Conv'!$C$151/'Fac Conv'!$C$123</f>
        <v>2827.768</v>
      </c>
      <c r="AY49" s="600">
        <f>'IB 5D2-(MYPE_I)(Pesca_A)_2021'!AB56</f>
        <v>3434488</v>
      </c>
      <c r="AZ49" s="582">
        <f xml:space="preserve"> AY49*'Fac Conv'!$C$151/'Fac Conv'!$C$123</f>
        <v>3434.4879999999998</v>
      </c>
      <c r="BA49" s="600">
        <f>'IB 5D2-(MYPE_I)(Pesca_A)_2021'!AC56</f>
        <v>3804203</v>
      </c>
      <c r="BB49" s="582">
        <f xml:space="preserve"> BA49*'Fac Conv'!$C$151/'Fac Conv'!$C$123</f>
        <v>3804.203</v>
      </c>
      <c r="BC49" s="600">
        <f>'IB 5D2-(MYPE_I)(Pesca_A)_2021'!AD56</f>
        <v>4190897</v>
      </c>
      <c r="BD49" s="582">
        <f xml:space="preserve"> BC49*'Fac Conv'!$C$151/'Fac Conv'!$C$123</f>
        <v>4190.8969999999999</v>
      </c>
      <c r="BE49" s="600">
        <f>'IB 5D2-(MYPE_I)(Pesca_A)_2021'!AE56</f>
        <v>4218399</v>
      </c>
      <c r="BF49" s="582">
        <f xml:space="preserve"> BE49*'Fac Conv'!$C$151/'Fac Conv'!$C$123</f>
        <v>4218.3990000000003</v>
      </c>
      <c r="BG49" s="600">
        <f>'IB 5D2-(MYPE_I)(Pesca_A)_2021'!AF56</f>
        <v>5211766</v>
      </c>
      <c r="BH49" s="582">
        <f xml:space="preserve"> BG49*'Fac Conv'!$C$151/'Fac Conv'!$C$123</f>
        <v>5211.7659999999996</v>
      </c>
      <c r="BI49" s="600">
        <f>'IB 5D2-(MYPE_I)(Pesca_A)_2021'!AG56</f>
        <v>4964516</v>
      </c>
      <c r="BJ49" s="582">
        <f xml:space="preserve"> BI49*'Fac Conv'!$C$151/'Fac Conv'!$C$123</f>
        <v>4964.5159999999996</v>
      </c>
      <c r="BK49" s="581">
        <f>'IB 5D2-(MYPE_I)(Pesca_A)_2021'!AH56</f>
        <v>4253956</v>
      </c>
      <c r="BL49" s="582">
        <f>BK49*'Fac Conv'!$C$151/'Fac Conv'!$C$123</f>
        <v>4253.9560000000001</v>
      </c>
      <c r="BM49" s="581">
        <f>'IB 5D2-(MYPE_I)(Pesca_A)_2021'!AI56</f>
        <v>6349565</v>
      </c>
      <c r="BN49" s="582">
        <f>BM49*'Fac Conv'!$C$151/'Fac Conv'!$C$123</f>
        <v>6349.5649999999996</v>
      </c>
      <c r="BO49" s="581">
        <f>'IB 5D2-(MYPE_I)(Pesca_A)_2021'!AJ56</f>
        <v>7546437</v>
      </c>
      <c r="BP49" s="582">
        <f>BO49*'Fac Conv'!$C$151/'Fac Conv'!$C$123</f>
        <v>7546.4369999999999</v>
      </c>
      <c r="BQ49" s="264" t="s">
        <v>451</v>
      </c>
      <c r="BR49" s="263" t="str">
        <f>'Fac Conv'!G10</f>
        <v>Refinación de alcoholes</v>
      </c>
      <c r="BS49" s="263">
        <f>VLOOKUP(BR49,'Fac Conv'!$G$10:$K$25,2,FALSE)</f>
        <v>24</v>
      </c>
      <c r="BT49" s="263">
        <f>VLOOKUP(BR49,'Fac Conv'!$G$10:$K$25,4,FALSE)</f>
        <v>32</v>
      </c>
    </row>
    <row r="50" spans="2:72" ht="13.9" customHeight="1">
      <c r="B50" s="766"/>
      <c r="C50" s="87" t="str">
        <f>'IB 5D2-(MYPE_I)(Pesca_A)_2021'!D57</f>
        <v>Vinos (también como vinos y espumantes)</v>
      </c>
      <c r="D50" s="269" t="str">
        <f>'IB 5D2-(MYPE_I)(Pesca_A)_2021'!E57</f>
        <v>ML.LT/LT</v>
      </c>
      <c r="E50" s="588"/>
      <c r="F50" s="588"/>
      <c r="G50" s="674" t="str">
        <f>'IB 5D2-(MYPE_I)(Pesca_A)_2021'!F57</f>
        <v>(no reporta)</v>
      </c>
      <c r="H50" s="588"/>
      <c r="I50" s="587" t="str">
        <f>'IB 5D2-(MYPE_I)(Pesca_A)_2021'!G57</f>
        <v>(no reporta)</v>
      </c>
      <c r="J50" s="588"/>
      <c r="K50" s="587" t="str">
        <f>'IB 5D2-(MYPE_I)(Pesca_A)_2021'!H57</f>
        <v>(no reporta)</v>
      </c>
      <c r="L50" s="588"/>
      <c r="M50" s="606">
        <f>'IB 5D2-(MYPE_I)(Pesca_A)_2021'!I57</f>
        <v>2724.511</v>
      </c>
      <c r="N50" s="584">
        <f xml:space="preserve"> M50*'Fac Conv'!$C$153/'Fac Conv'!$C$123</f>
        <v>2714.9752114999997</v>
      </c>
      <c r="O50" s="606">
        <f>'IB 5D2-(MYPE_I)(Pesca_A)_2021'!J57</f>
        <v>3062.75</v>
      </c>
      <c r="P50" s="584">
        <f xml:space="preserve"> O50*'Fac Conv'!$C$153/'Fac Conv'!$C$123</f>
        <v>3052.0303749999998</v>
      </c>
      <c r="Q50" s="606">
        <f>'IB 5D2-(MYPE_I)(Pesca_A)_2021'!K57</f>
        <v>3371.79</v>
      </c>
      <c r="R50" s="584">
        <f xml:space="preserve"> Q50*'Fac Conv'!$C$153/'Fac Conv'!$C$123</f>
        <v>3359.9887349999999</v>
      </c>
      <c r="S50" s="606">
        <f>'IB 5D2-(MYPE_I)(Pesca_A)_2021'!L57</f>
        <v>3076.116</v>
      </c>
      <c r="T50" s="584">
        <f xml:space="preserve"> S50*'Fac Conv'!$C$153/'Fac Conv'!$C$123</f>
        <v>3065.3495940000003</v>
      </c>
      <c r="U50" s="606">
        <f>'IB 5D2-(MYPE_I)(Pesca_A)_2021'!M57</f>
        <v>3273.953</v>
      </c>
      <c r="V50" s="584">
        <f xml:space="preserve"> U50*'Fac Conv'!$C$153/'Fac Conv'!$C$123</f>
        <v>3262.4941644999999</v>
      </c>
      <c r="W50" s="606">
        <f>'IB 5D2-(MYPE_I)(Pesca_A)_2021'!N57</f>
        <v>3266.4694340000001</v>
      </c>
      <c r="X50" s="584">
        <f xml:space="preserve"> W50*'Fac Conv'!$C$153/'Fac Conv'!$C$123</f>
        <v>3255.0367909810002</v>
      </c>
      <c r="Y50" s="583">
        <f>'IB 5D2-(MYPE_I)(Pesca_A)_2021'!O57</f>
        <v>3732.2656040000002</v>
      </c>
      <c r="Z50" s="584">
        <f xml:space="preserve"> Y50*'Fac Conv'!$C$153/'Fac Conv'!$C$123</f>
        <v>3719.2026743860001</v>
      </c>
      <c r="AA50" s="583">
        <f>'IB 5D2-(MYPE_I)(Pesca_A)_2021'!P57</f>
        <v>4045.8350999999998</v>
      </c>
      <c r="AB50" s="584">
        <f xml:space="preserve"> AA50*'Fac Conv'!$C$153/'Fac Conv'!$C$123</f>
        <v>4031.6746771499998</v>
      </c>
      <c r="AC50" s="583">
        <f>'IB 5D2-(MYPE_I)(Pesca_A)_2021'!Q57</f>
        <v>4575455</v>
      </c>
      <c r="AD50" s="584">
        <f>AC50*'Fac Conv'!$C$153/'Fac Conv'!$C$125</f>
        <v>4559.4409075000003</v>
      </c>
      <c r="AE50" s="583">
        <f>'IB 5D2-(MYPE_I)(Pesca_A)_2021'!R57</f>
        <v>4800502</v>
      </c>
      <c r="AF50" s="584">
        <f>AE50*'Fac Conv'!$C$153/'Fac Conv'!$C$125</f>
        <v>4783.7002430000002</v>
      </c>
      <c r="AG50" s="583">
        <f>'IB 5D2-(MYPE_I)(Pesca_A)_2021'!S57</f>
        <v>5864560</v>
      </c>
      <c r="AH50" s="584">
        <f>AG50*'Fac Conv'!$C$153/'Fac Conv'!$C$125</f>
        <v>5844.0340399999995</v>
      </c>
      <c r="AI50" s="583">
        <f>'IB 5D2-(MYPE_I)(Pesca_A)_2021'!T57</f>
        <v>5986483.2999999998</v>
      </c>
      <c r="AJ50" s="584">
        <f>AI50*'Fac Conv'!$C$153/'Fac Conv'!$C$125</f>
        <v>5965.5306084499998</v>
      </c>
      <c r="AK50" s="583">
        <f>'IB 5D2-(MYPE_I)(Pesca_A)_2021'!U57</f>
        <v>6785332.5</v>
      </c>
      <c r="AL50" s="584">
        <f>AK50*'Fac Conv'!$C$153/'Fac Conv'!$C$125</f>
        <v>6761.5838362499999</v>
      </c>
      <c r="AM50" s="601">
        <f>'IB 5D2-(MYPE_I)(Pesca_A)_2021'!V57</f>
        <v>8450040.0999999996</v>
      </c>
      <c r="AN50" s="584">
        <f>AM50*'Fac Conv'!$C$153/'Fac Conv'!$C$125</f>
        <v>8420.4649596500003</v>
      </c>
      <c r="AO50" s="601">
        <f>'IB 5D2-(MYPE_I)(Pesca_A)_2021'!W57</f>
        <v>7700689.7000000002</v>
      </c>
      <c r="AP50" s="584">
        <f>AO50*'Fac Conv'!$C$153/'Fac Conv'!$C$125</f>
        <v>7673.73728605</v>
      </c>
      <c r="AQ50" s="601">
        <f>'IB 5D2-(MYPE_I)(Pesca_A)_2021'!X57</f>
        <v>9794177</v>
      </c>
      <c r="AR50" s="584">
        <f>AQ50*'Fac Conv'!$C$153/'Fac Conv'!$C$125</f>
        <v>9759.8973805000005</v>
      </c>
      <c r="AS50" s="601">
        <f>'IB 5D2-(MYPE_I)(Pesca_A)_2021'!Y57</f>
        <v>9619449.5999999996</v>
      </c>
      <c r="AT50" s="584">
        <f>AS50*'Fac Conv'!$C$153/'Fac Conv'!$C$125</f>
        <v>9585.7815264000001</v>
      </c>
      <c r="AU50" s="601">
        <f>'IB 5D2-(MYPE_I)(Pesca_A)_2021'!Z57</f>
        <v>9324559</v>
      </c>
      <c r="AV50" s="584">
        <f>AU50*'Fac Conv'!$C$153/'Fac Conv'!$C$125</f>
        <v>9291.9230435000009</v>
      </c>
      <c r="AW50" s="601">
        <f>'IB 5D2-(MYPE_I)(Pesca_A)_2021'!AA57</f>
        <v>10104483</v>
      </c>
      <c r="AX50" s="584">
        <f>AW50*'Fac Conv'!$C$153/'Fac Conv'!$C$125</f>
        <v>10069.117309499999</v>
      </c>
      <c r="AY50" s="601">
        <f>'IB 5D2-(MYPE_I)(Pesca_A)_2021'!AB57</f>
        <v>11841040</v>
      </c>
      <c r="AZ50" s="584">
        <f>AY50*'Fac Conv'!$C$153/'Fac Conv'!$C$125</f>
        <v>11799.59636</v>
      </c>
      <c r="BA50" s="601">
        <f>'IB 5D2-(MYPE_I)(Pesca_A)_2021'!AC57</f>
        <v>11239302</v>
      </c>
      <c r="BB50" s="584">
        <f>BA50*'Fac Conv'!$C$153/'Fac Conv'!$C$125</f>
        <v>11199.964443000001</v>
      </c>
      <c r="BC50" s="601">
        <f>'IB 5D2-(MYPE_I)(Pesca_A)_2021'!AD57</f>
        <v>11135486</v>
      </c>
      <c r="BD50" s="584">
        <f>BC50*'Fac Conv'!$C$153/'Fac Conv'!$C$125</f>
        <v>11096.511799</v>
      </c>
      <c r="BE50" s="601">
        <f>'IB 5D2-(MYPE_I)(Pesca_A)_2021'!AE57</f>
        <v>10862037</v>
      </c>
      <c r="BF50" s="584">
        <f>BE50*'Fac Conv'!$C$153/'Fac Conv'!$C$125</f>
        <v>10824.0198705</v>
      </c>
      <c r="BG50" s="601">
        <f>'IB 5D2-(MYPE_I)(Pesca_A)_2021'!AF57</f>
        <v>13814176</v>
      </c>
      <c r="BH50" s="584">
        <f>BG50*'Fac Conv'!$C$153/'Fac Conv'!$C$125</f>
        <v>13765.826384</v>
      </c>
      <c r="BI50" s="601">
        <f>'IB 5D2-(MYPE_I)(Pesca_A)_2021'!AG57</f>
        <v>15108532</v>
      </c>
      <c r="BJ50" s="584">
        <f>BI50*'Fac Conv'!$C$153/'Fac Conv'!$C$125</f>
        <v>15055.652137999999</v>
      </c>
      <c r="BK50" s="583">
        <f>'IB 5D2-(MYPE_I)(Pesca_A)_2021'!AH57</f>
        <v>17171468</v>
      </c>
      <c r="BL50" s="584">
        <f>BK50*'Fac Conv'!$C$153/'Fac Conv'!$C$125</f>
        <v>17111.367861999999</v>
      </c>
      <c r="BM50" s="583">
        <f>'IB 5D2-(MYPE_I)(Pesca_A)_2021'!AI57</f>
        <v>21841234</v>
      </c>
      <c r="BN50" s="584">
        <f>BM50*'Fac Conv'!$C$153/'Fac Conv'!$C$125</f>
        <v>21764.789680999998</v>
      </c>
      <c r="BO50" s="583">
        <f>'IB 5D2-(MYPE_I)(Pesca_A)_2021'!AJ57</f>
        <v>23337930</v>
      </c>
      <c r="BP50" s="584">
        <f>BO50*'Fac Conv'!$C$153/'Fac Conv'!$C$125</f>
        <v>23256.247244999999</v>
      </c>
      <c r="BQ50" s="264" t="s">
        <v>453</v>
      </c>
      <c r="BR50" s="263" t="str">
        <f>'Fac Conv'!G25</f>
        <v>Vinos y vinagres</v>
      </c>
      <c r="BS50" s="263">
        <f>VLOOKUP(BR50,'Fac Conv'!$G$10:$K$25,2,FALSE)</f>
        <v>23</v>
      </c>
      <c r="BT50" s="263">
        <f>VLOOKUP(BR50,'Fac Conv'!$G$10:$K$25,4,FALSE)</f>
        <v>46</v>
      </c>
    </row>
    <row r="51" spans="2:72" ht="13.9" customHeight="1">
      <c r="B51" s="766"/>
      <c r="C51" s="87" t="str">
        <f>'IB 5D2-(MYPE_I)(Pesca_A)_2021'!D58</f>
        <v>Cerveza blanca</v>
      </c>
      <c r="D51" s="269" t="str">
        <f>'IB 5D2-(MYPE_I)(Pesca_A)_2021'!E58</f>
        <v>ML.LT/LT</v>
      </c>
      <c r="E51" s="588"/>
      <c r="F51" s="588"/>
      <c r="G51" s="674" t="str">
        <f>'IB 5D2-(MYPE_I)(Pesca_A)_2021'!F58</f>
        <v>(no reporta)</v>
      </c>
      <c r="H51" s="588"/>
      <c r="I51" s="587" t="str">
        <f>'IB 5D2-(MYPE_I)(Pesca_A)_2021'!G58</f>
        <v>(no reporta)</v>
      </c>
      <c r="J51" s="588"/>
      <c r="K51" s="587" t="str">
        <f>'IB 5D2-(MYPE_I)(Pesca_A)_2021'!H58</f>
        <v>(no reporta)</v>
      </c>
      <c r="L51" s="588"/>
      <c r="M51" s="606">
        <f>'IB 5D2-(MYPE_I)(Pesca_A)_2021'!I58</f>
        <v>753436.25600000005</v>
      </c>
      <c r="N51" s="584">
        <f xml:space="preserve"> (M51*'Fac Conv'!$C$141/'Fac Conv'!$C$139)*'Fac Conv'!$C$156/'Fac Conv'!$C$125</f>
        <v>791108.06880000001</v>
      </c>
      <c r="O51" s="606">
        <f>'IB 5D2-(MYPE_I)(Pesca_A)_2021'!J58</f>
        <v>718450.39800000004</v>
      </c>
      <c r="P51" s="584">
        <f xml:space="preserve"> (O51*'Fac Conv'!$C$141/'Fac Conv'!$C$139)*'Fac Conv'!$C$156/'Fac Conv'!$C$125</f>
        <v>754372.9179</v>
      </c>
      <c r="Q51" s="606">
        <f>'IB 5D2-(MYPE_I)(Pesca_A)_2021'!K58</f>
        <v>728157.28700000001</v>
      </c>
      <c r="R51" s="584">
        <f xml:space="preserve"> (Q51*'Fac Conv'!$C$141/'Fac Conv'!$C$139)*'Fac Conv'!$C$156/'Fac Conv'!$C$125</f>
        <v>764565.15134999994</v>
      </c>
      <c r="S51" s="606">
        <f>'IB 5D2-(MYPE_I)(Pesca_A)_2021'!L58</f>
        <v>640581.43799999997</v>
      </c>
      <c r="T51" s="584">
        <f xml:space="preserve"> (S51*'Fac Conv'!$C$141/'Fac Conv'!$C$139)*'Fac Conv'!$C$156/'Fac Conv'!$C$125</f>
        <v>672610.50989999995</v>
      </c>
      <c r="U51" s="606">
        <f>'IB 5D2-(MYPE_I)(Pesca_A)_2021'!M58</f>
        <v>602720.68700000003</v>
      </c>
      <c r="V51" s="584">
        <f xml:space="preserve"> (U51*'Fac Conv'!$C$141/'Fac Conv'!$C$139)*'Fac Conv'!$C$156/'Fac Conv'!$C$125</f>
        <v>632856.72135000001</v>
      </c>
      <c r="W51" s="606">
        <f>'IB 5D2-(MYPE_I)(Pesca_A)_2021'!N58</f>
        <v>558767.17200000002</v>
      </c>
      <c r="X51" s="584">
        <f xml:space="preserve"> (W51*'Fac Conv'!$C$141/'Fac Conv'!$C$139)*'Fac Conv'!$C$156/'Fac Conv'!$C$125</f>
        <v>586705.53060000006</v>
      </c>
      <c r="Y51" s="583">
        <f>'IB 5D2-(MYPE_I)(Pesca_A)_2021'!O58</f>
        <v>519333.59100000001</v>
      </c>
      <c r="Z51" s="584">
        <f xml:space="preserve"> (Y51*'Fac Conv'!$C$141/'Fac Conv'!$C$139)*'Fac Conv'!$C$156/'Fac Conv'!$C$125</f>
        <v>545300.27055000002</v>
      </c>
      <c r="AA51" s="583">
        <f>'IB 5D2-(MYPE_I)(Pesca_A)_2021'!P58</f>
        <v>605900.54200000002</v>
      </c>
      <c r="AB51" s="584">
        <f xml:space="preserve"> (AA51*'Fac Conv'!$C$141/'Fac Conv'!$C$139)*'Fac Conv'!$C$156/'Fac Conv'!$C$125</f>
        <v>636195.56909999996</v>
      </c>
      <c r="AC51" s="583">
        <f>'IB 5D2-(MYPE_I)(Pesca_A)_2021'!Q58</f>
        <v>632714100</v>
      </c>
      <c r="AD51" s="584">
        <f>(AC51/'Fac Conv'!$C$139)*'Fac Conv'!$C$156/'Fac Conv'!$C$125</f>
        <v>664349.80500000005</v>
      </c>
      <c r="AE51" s="583">
        <f>'IB 5D2-(MYPE_I)(Pesca_A)_2021'!R58</f>
        <v>663616900</v>
      </c>
      <c r="AF51" s="584">
        <f>(AE51/'Fac Conv'!$C$139)*'Fac Conv'!$C$156/'Fac Conv'!$C$125</f>
        <v>696797.745</v>
      </c>
      <c r="AG51" s="583">
        <f>'IB 5D2-(MYPE_I)(Pesca_A)_2021'!S58</f>
        <v>781110700</v>
      </c>
      <c r="AH51" s="584">
        <f>(AG51/'Fac Conv'!$C$139)*'Fac Conv'!$C$156/'Fac Conv'!$C$125</f>
        <v>820166.23499999999</v>
      </c>
      <c r="AI51" s="583">
        <f>'IB 5D2-(MYPE_I)(Pesca_A)_2021'!T58</f>
        <v>943362400</v>
      </c>
      <c r="AJ51" s="584">
        <f>(AI51/'Fac Conv'!$C$139)*'Fac Conv'!$C$156/'Fac Conv'!$C$125</f>
        <v>990530.52</v>
      </c>
      <c r="AK51" s="583">
        <f>'IB 5D2-(MYPE_I)(Pesca_A)_2021'!U58</f>
        <v>1037052900</v>
      </c>
      <c r="AL51" s="584">
        <f>(AK51/'Fac Conv'!$C$139)*'Fac Conv'!$C$156/'Fac Conv'!$C$125</f>
        <v>1088905.5449999999</v>
      </c>
      <c r="AM51" s="601">
        <f>'IB 5D2-(MYPE_I)(Pesca_A)_2021'!V58</f>
        <v>1179776900</v>
      </c>
      <c r="AN51" s="584">
        <f>(AM51/'Fac Conv'!$C$139)*'Fac Conv'!$C$156/'Fac Conv'!$C$125</f>
        <v>1238765.7450000001</v>
      </c>
      <c r="AO51" s="601">
        <f>'IB 5D2-(MYPE_I)(Pesca_A)_2021'!W58</f>
        <v>1169677200</v>
      </c>
      <c r="AP51" s="584">
        <f>(AO51/'Fac Conv'!$C$139)*'Fac Conv'!$C$156/'Fac Conv'!$C$125</f>
        <v>1228161.06</v>
      </c>
      <c r="AQ51" s="601">
        <f>'IB 5D2-(MYPE_I)(Pesca_A)_2021'!X58</f>
        <v>1230334800</v>
      </c>
      <c r="AR51" s="584">
        <f>(AQ51/'Fac Conv'!$C$139)*'Fac Conv'!$C$156/'Fac Conv'!$C$125</f>
        <v>1291851.54</v>
      </c>
      <c r="AS51" s="601">
        <f>'IB 5D2-(MYPE_I)(Pesca_A)_2021'!Y58</f>
        <v>1305390300</v>
      </c>
      <c r="AT51" s="584">
        <f>(AS51/'Fac Conv'!$C$139)*'Fac Conv'!$C$156/'Fac Conv'!$C$125</f>
        <v>1370659.8149999999</v>
      </c>
      <c r="AU51" s="601">
        <f>'IB 5D2-(MYPE_I)(Pesca_A)_2021'!Z58</f>
        <v>1365089100</v>
      </c>
      <c r="AV51" s="584">
        <f>(AU51/'Fac Conv'!$C$139)*'Fac Conv'!$C$156/'Fac Conv'!$C$125</f>
        <v>1433343.5549999999</v>
      </c>
      <c r="AW51" s="601">
        <f>'IB 5D2-(MYPE_I)(Pesca_A)_2021'!AA58</f>
        <v>1349327892</v>
      </c>
      <c r="AX51" s="584">
        <f>(AW51/'Fac Conv'!$C$139)*'Fac Conv'!$C$156/'Fac Conv'!$C$125</f>
        <v>1416794.2866</v>
      </c>
      <c r="AY51" s="601">
        <f>'IB 5D2-(MYPE_I)(Pesca_A)_2021'!AB58</f>
        <v>1355140799</v>
      </c>
      <c r="AZ51" s="584">
        <f>(AY51/'Fac Conv'!$C$139)*'Fac Conv'!$C$156/'Fac Conv'!$C$125</f>
        <v>1422897.83895</v>
      </c>
      <c r="BA51" s="601">
        <f>'IB 5D2-(MYPE_I)(Pesca_A)_2021'!AC58</f>
        <v>1356011336</v>
      </c>
      <c r="BB51" s="584">
        <f>(BA51/'Fac Conv'!$C$139)*'Fac Conv'!$C$156/'Fac Conv'!$C$125</f>
        <v>1423811.9028</v>
      </c>
      <c r="BC51" s="601">
        <f>'IB 5D2-(MYPE_I)(Pesca_A)_2021'!AD58</f>
        <v>1360119923</v>
      </c>
      <c r="BD51" s="584">
        <f>(BC51/'Fac Conv'!$C$139)*'Fac Conv'!$C$156/'Fac Conv'!$C$125</f>
        <v>1428125.91915</v>
      </c>
      <c r="BE51" s="601">
        <f>'IB 5D2-(MYPE_I)(Pesca_A)_2021'!AE58</f>
        <v>1368914013</v>
      </c>
      <c r="BF51" s="584">
        <f>(BE51/'Fac Conv'!$C$139)*'Fac Conv'!$C$156/'Fac Conv'!$C$125</f>
        <v>1437359.71365</v>
      </c>
      <c r="BG51" s="601">
        <f>'IB 5D2-(MYPE_I)(Pesca_A)_2021'!AF58</f>
        <v>1353704298</v>
      </c>
      <c r="BH51" s="584">
        <f>(BG51/'Fac Conv'!$C$139)*'Fac Conv'!$C$156/'Fac Conv'!$C$125</f>
        <v>1421389.5129</v>
      </c>
      <c r="BI51" s="601">
        <f>'IB 5D2-(MYPE_I)(Pesca_A)_2021'!AG58</f>
        <v>1363582139</v>
      </c>
      <c r="BJ51" s="584">
        <f>(BI51/'Fac Conv'!$C$139)*'Fac Conv'!$C$156/'Fac Conv'!$C$125</f>
        <v>1431761.2459499999</v>
      </c>
      <c r="BK51" s="583">
        <f>'IB 5D2-(MYPE_I)(Pesca_A)_2021'!AH58</f>
        <v>998170924</v>
      </c>
      <c r="BL51" s="584">
        <f>BK51/'Fac Conv'!$C$139*'Fac Conv'!$C$156/'Fac Conv'!$C$125</f>
        <v>1048079.4702</v>
      </c>
      <c r="BM51" s="583">
        <f>'IB 5D2-(MYPE_I)(Pesca_A)_2021'!AI58</f>
        <v>1275676031</v>
      </c>
      <c r="BN51" s="584">
        <f>BM51/'Fac Conv'!$C$139*'Fac Conv'!$C$156/'Fac Conv'!$C$125</f>
        <v>1339459.8325499999</v>
      </c>
      <c r="BO51" s="583">
        <f>'IB 5D2-(MYPE_I)(Pesca_A)_2021'!AJ58</f>
        <v>1452161531</v>
      </c>
      <c r="BP51" s="584">
        <f>BO51/'Fac Conv'!$C$139*'Fac Conv'!$C$156/'Fac Conv'!$C$125</f>
        <v>1524769.6075500001</v>
      </c>
      <c r="BQ51" s="264" t="s">
        <v>453</v>
      </c>
      <c r="BR51" s="263" t="str">
        <f>'Fac Conv'!G11</f>
        <v>Cerveza y malta</v>
      </c>
      <c r="BS51" s="263">
        <f>VLOOKUP(BR51,'Fac Conv'!$G$10:$K$25,2,FALSE)</f>
        <v>6.3</v>
      </c>
      <c r="BT51" s="263">
        <f>VLOOKUP(BR51,'Fac Conv'!$G$10:$K$25,4,FALSE)</f>
        <v>9</v>
      </c>
    </row>
    <row r="52" spans="2:72" ht="13.9" customHeight="1">
      <c r="B52" s="766"/>
      <c r="C52" s="87" t="str">
        <f>'IB 5D2-(MYPE_I)(Pesca_A)_2021'!D64</f>
        <v>ron</v>
      </c>
      <c r="D52" s="510" t="str">
        <f>'IB 5D2-(MYPE_I)(Pesca_A)_2021'!E64</f>
        <v>ML.LT</v>
      </c>
      <c r="E52" s="588"/>
      <c r="F52" s="588"/>
      <c r="G52" s="674" t="str">
        <f>'IB 5D2-(MYPE_I)(Pesca_A)_2021'!F64</f>
        <v>(no reporta)</v>
      </c>
      <c r="H52" s="588"/>
      <c r="I52" s="587" t="str">
        <f>'IB 5D2-(MYPE_I)(Pesca_A)_2021'!G64</f>
        <v>(no reporta)</v>
      </c>
      <c r="J52" s="588"/>
      <c r="K52" s="587" t="str">
        <f>'IB 5D2-(MYPE_I)(Pesca_A)_2021'!H64</f>
        <v>(no reporta)</v>
      </c>
      <c r="L52" s="588"/>
      <c r="M52" s="583">
        <f>'IB 5D2-(MYPE_I)(Pesca_A)_2021'!I64</f>
        <v>2928.4589999999998</v>
      </c>
      <c r="N52" s="584">
        <f xml:space="preserve"> M52*'Fac Conv'!$C$151</f>
        <v>2928.4589999999998</v>
      </c>
      <c r="O52" s="583">
        <f>'IB 5D2-(MYPE_I)(Pesca_A)_2021'!J64</f>
        <v>2956.0819999999999</v>
      </c>
      <c r="P52" s="584">
        <f xml:space="preserve"> O52*'Fac Conv'!$C$151</f>
        <v>2956.0819999999999</v>
      </c>
      <c r="Q52" s="583">
        <f>'IB 5D2-(MYPE_I)(Pesca_A)_2021'!K64</f>
        <v>3657.9520000000002</v>
      </c>
      <c r="R52" s="584">
        <f xml:space="preserve"> Q52*'Fac Conv'!$C$151</f>
        <v>3657.9520000000002</v>
      </c>
      <c r="S52" s="583">
        <f>'IB 5D2-(MYPE_I)(Pesca_A)_2021'!L64</f>
        <v>5440.7730009999996</v>
      </c>
      <c r="T52" s="584">
        <f xml:space="preserve"> S52*'Fac Conv'!$C$151</f>
        <v>5440.7730009999996</v>
      </c>
      <c r="U52" s="583">
        <f>'IB 5D2-(MYPE_I)(Pesca_A)_2021'!M64</f>
        <v>8163.665</v>
      </c>
      <c r="V52" s="584">
        <f xml:space="preserve"> U52*'Fac Conv'!$C$151</f>
        <v>8163.665</v>
      </c>
      <c r="W52" s="583">
        <f>'IB 5D2-(MYPE_I)(Pesca_A)_2021'!N64</f>
        <v>10907.306200999999</v>
      </c>
      <c r="X52" s="584">
        <f xml:space="preserve"> W52*'Fac Conv'!$C$151</f>
        <v>10907.306200999999</v>
      </c>
      <c r="Y52" s="583">
        <f>'IB 5D2-(MYPE_I)(Pesca_A)_2021'!O64</f>
        <v>9330.3653040000008</v>
      </c>
      <c r="Z52" s="584">
        <f xml:space="preserve"> Y52*'Fac Conv'!$C$151</f>
        <v>9330.3653040000008</v>
      </c>
      <c r="AA52" s="583">
        <f>'IB 5D2-(MYPE_I)(Pesca_A)_2021'!P64</f>
        <v>8335.2409000000007</v>
      </c>
      <c r="AB52" s="584">
        <f xml:space="preserve"> AA52*'Fac Conv'!$C$151</f>
        <v>8335.2409000000007</v>
      </c>
      <c r="AC52" s="587" t="str">
        <f>'IB 5D2-(MYPE_I)(Pesca_A)_2021'!Q64</f>
        <v>(no reporta)</v>
      </c>
      <c r="AD52" s="588"/>
      <c r="AE52" s="587" t="str">
        <f>'IB 5D2-(MYPE_I)(Pesca_A)_2021'!R64</f>
        <v>(no reporta)</v>
      </c>
      <c r="AF52" s="588"/>
      <c r="AG52" s="587" t="str">
        <f>'IB 5D2-(MYPE_I)(Pesca_A)_2021'!S64</f>
        <v>(no reporta)</v>
      </c>
      <c r="AH52" s="588"/>
      <c r="AI52" s="587" t="str">
        <f>'IB 5D2-(MYPE_I)(Pesca_A)_2021'!T64</f>
        <v>(no reporta)</v>
      </c>
      <c r="AJ52" s="588"/>
      <c r="AK52" s="587" t="str">
        <f>'IB 5D2-(MYPE_I)(Pesca_A)_2021'!U64</f>
        <v>(no reporta)</v>
      </c>
      <c r="AL52" s="588"/>
      <c r="AM52" s="587" t="str">
        <f>'IB 5D2-(MYPE_I)(Pesca_A)_2021'!V64</f>
        <v>(no reporta)</v>
      </c>
      <c r="AN52" s="588"/>
      <c r="AO52" s="587" t="str">
        <f>'IB 5D2-(MYPE_I)(Pesca_A)_2021'!W64</f>
        <v>(no reporta)</v>
      </c>
      <c r="AP52" s="588"/>
      <c r="AQ52" s="587" t="str">
        <f>'IB 5D2-(MYPE_I)(Pesca_A)_2021'!X64</f>
        <v>(no reporta)</v>
      </c>
      <c r="AR52" s="588"/>
      <c r="AS52" s="587" t="str">
        <f>'IB 5D2-(MYPE_I)(Pesca_A)_2021'!Y64</f>
        <v>(no reporta)</v>
      </c>
      <c r="AT52" s="588"/>
      <c r="AU52" s="587" t="str">
        <f>'IB 5D2-(MYPE_I)(Pesca_A)_2021'!Z64</f>
        <v>(no reporta)</v>
      </c>
      <c r="AV52" s="588"/>
      <c r="AW52" s="587" t="str">
        <f>'IB 5D2-(MYPE_I)(Pesca_A)_2021'!AA64</f>
        <v>(no reporta)</v>
      </c>
      <c r="AX52" s="588"/>
      <c r="AY52" s="587" t="str">
        <f>'IB 5D2-(MYPE_I)(Pesca_A)_2021'!AB64</f>
        <v>(no reporta)</v>
      </c>
      <c r="AZ52" s="588"/>
      <c r="BA52" s="587" t="str">
        <f>'IB 5D2-(MYPE_I)(Pesca_A)_2021'!AC64</f>
        <v>(no reporta)</v>
      </c>
      <c r="BB52" s="588"/>
      <c r="BC52" s="587" t="str">
        <f>'IB 5D2-(MYPE_I)(Pesca_A)_2021'!AD64</f>
        <v>(no reporta)</v>
      </c>
      <c r="BD52" s="588"/>
      <c r="BE52" s="587" t="str">
        <f>'IB 5D2-(MYPE_I)(Pesca_A)_2021'!AE64</f>
        <v>(no reporta)</v>
      </c>
      <c r="BF52" s="588"/>
      <c r="BG52" s="587" t="str">
        <f>'IB 5D2-(MYPE_I)(Pesca_A)_2021'!AF64</f>
        <v>(no reporta)</v>
      </c>
      <c r="BH52" s="588"/>
      <c r="BI52" s="587" t="str">
        <f>'IB 5D2-(MYPE_I)(Pesca_A)_2021'!AG64</f>
        <v>(no reporta)</v>
      </c>
      <c r="BJ52" s="588"/>
      <c r="BK52" s="587" t="str">
        <f>'IB 5D2-(MYPE_I)(Pesca_A)_2021'!AH64</f>
        <v>(no reporta)</v>
      </c>
      <c r="BL52" s="588"/>
      <c r="BM52" s="587" t="str">
        <f>'IB 5D2-(MYPE_I)(Pesca_A)_2021'!AI64</f>
        <v>(no reporta)</v>
      </c>
      <c r="BN52" s="588"/>
      <c r="BO52" s="587" t="str">
        <f>'IB 5D2-(MYPE_I)(Pesca_A)_2021'!AJ64</f>
        <v>(no reporta)</v>
      </c>
      <c r="BP52" s="588"/>
      <c r="BQ52" s="603" t="s">
        <v>452</v>
      </c>
      <c r="BR52" s="263" t="str">
        <f>'Fac Conv'!G10</f>
        <v>Refinación de alcoholes</v>
      </c>
      <c r="BS52" s="263">
        <f>VLOOKUP(BR52,'Fac Conv'!$G$10:$K$25,2,FALSE)</f>
        <v>24</v>
      </c>
      <c r="BT52" s="263">
        <f>VLOOKUP(BR52,'Fac Conv'!$G$10:$K$25,4,FALSE)</f>
        <v>32</v>
      </c>
    </row>
    <row r="53" spans="2:72" ht="13.9" customHeight="1">
      <c r="B53" s="767"/>
      <c r="C53" s="100" t="str">
        <f>'IB 5D2-(MYPE_I)(Pesca_A)_2021'!D65</f>
        <v>cerveza negra</v>
      </c>
      <c r="D53" s="510" t="str">
        <f>'IB 5D2-(MYPE_I)(Pesca_A)_2021'!E65</f>
        <v>ML.LT</v>
      </c>
      <c r="E53" s="588"/>
      <c r="F53" s="588"/>
      <c r="G53" s="674" t="str">
        <f>'IB 5D2-(MYPE_I)(Pesca_A)_2021'!F65</f>
        <v>(no reporta)</v>
      </c>
      <c r="H53" s="588"/>
      <c r="I53" s="587" t="str">
        <f>'IB 5D2-(MYPE_I)(Pesca_A)_2021'!G65</f>
        <v>(no reporta)</v>
      </c>
      <c r="J53" s="588"/>
      <c r="K53" s="587" t="str">
        <f>'IB 5D2-(MYPE_I)(Pesca_A)_2021'!H65</f>
        <v>(no reporta)</v>
      </c>
      <c r="L53" s="588"/>
      <c r="M53" s="583">
        <f>'IB 5D2-(MYPE_I)(Pesca_A)_2021'!I65</f>
        <v>28289.553</v>
      </c>
      <c r="N53" s="584">
        <f xml:space="preserve"> (M53*'Fac Conv'!$C$141/'Fac Conv'!$C$139)*'Fac Conv'!$C$156/'Fac Conv'!$C$125</f>
        <v>29704.030650000001</v>
      </c>
      <c r="O53" s="583">
        <f>'IB 5D2-(MYPE_I)(Pesca_A)_2021'!J65</f>
        <v>24995.832999999999</v>
      </c>
      <c r="P53" s="584">
        <f xml:space="preserve"> (O53*'Fac Conv'!$C$141/'Fac Conv'!$C$139)*'Fac Conv'!$C$156/'Fac Conv'!$C$125</f>
        <v>26245.624650000002</v>
      </c>
      <c r="Q53" s="583">
        <f>'IB 5D2-(MYPE_I)(Pesca_A)_2021'!K65</f>
        <v>14899.371999999999</v>
      </c>
      <c r="R53" s="584">
        <f xml:space="preserve"> (Q53*'Fac Conv'!$C$141/'Fac Conv'!$C$139)*'Fac Conv'!$C$156/'Fac Conv'!$C$125</f>
        <v>15644.3406</v>
      </c>
      <c r="S53" s="583">
        <f>'IB 5D2-(MYPE_I)(Pesca_A)_2021'!L65</f>
        <v>15144.201999999999</v>
      </c>
      <c r="T53" s="584">
        <f xml:space="preserve"> (S53*'Fac Conv'!$C$141/'Fac Conv'!$C$139)*'Fac Conv'!$C$156/'Fac Conv'!$C$125</f>
        <v>15901.4121</v>
      </c>
      <c r="U53" s="583">
        <f>'IB 5D2-(MYPE_I)(Pesca_A)_2021'!M65</f>
        <v>14075.43</v>
      </c>
      <c r="V53" s="584">
        <f xml:space="preserve"> (U53*'Fac Conv'!$C$141/'Fac Conv'!$C$139)*'Fac Conv'!$C$156/'Fac Conv'!$C$125</f>
        <v>14779.201499999999</v>
      </c>
      <c r="W53" s="583">
        <f>'IB 5D2-(MYPE_I)(Pesca_A)_2021'!N65</f>
        <v>11784.17</v>
      </c>
      <c r="X53" s="584">
        <f xml:space="preserve"> (W53*'Fac Conv'!$C$141/'Fac Conv'!$C$139)*'Fac Conv'!$C$156/'Fac Conv'!$C$125</f>
        <v>12373.378500000001</v>
      </c>
      <c r="Y53" s="583">
        <f>'IB 5D2-(MYPE_I)(Pesca_A)_2021'!O65</f>
        <v>10284.300999999999</v>
      </c>
      <c r="Z53" s="584">
        <f xml:space="preserve"> (Y53*'Fac Conv'!$C$141/'Fac Conv'!$C$139)*'Fac Conv'!$C$156/'Fac Conv'!$C$125</f>
        <v>10798.51605</v>
      </c>
      <c r="AA53" s="583">
        <f>'IB 5D2-(MYPE_I)(Pesca_A)_2021'!P65</f>
        <v>10415.434999999999</v>
      </c>
      <c r="AB53" s="584">
        <f xml:space="preserve"> (AA53*'Fac Conv'!$C$141/'Fac Conv'!$C$139)*'Fac Conv'!$C$156/'Fac Conv'!$C$125</f>
        <v>10936.206749999999</v>
      </c>
      <c r="AC53" s="578" t="str">
        <f>'IB 5D2-(MYPE_I)(Pesca_A)_2021'!Q65</f>
        <v>(no reporta)</v>
      </c>
      <c r="AD53" s="588"/>
      <c r="AE53" s="587" t="str">
        <f>'IB 5D2-(MYPE_I)(Pesca_A)_2021'!R65</f>
        <v>(no reporta)</v>
      </c>
      <c r="AF53" s="588"/>
      <c r="AG53" s="578" t="str">
        <f>'IB 5D2-(MYPE_I)(Pesca_A)_2021'!S65</f>
        <v>(no reporta)</v>
      </c>
      <c r="AH53" s="588"/>
      <c r="AI53" s="578" t="str">
        <f>'IB 5D2-(MYPE_I)(Pesca_A)_2021'!T65</f>
        <v>(no reporta)</v>
      </c>
      <c r="AJ53" s="588"/>
      <c r="AK53" s="578" t="str">
        <f>'IB 5D2-(MYPE_I)(Pesca_A)_2021'!U65</f>
        <v>(no reporta)</v>
      </c>
      <c r="AL53" s="588"/>
      <c r="AM53" s="587" t="str">
        <f>'IB 5D2-(MYPE_I)(Pesca_A)_2021'!V65</f>
        <v>(no reporta)</v>
      </c>
      <c r="AN53" s="588"/>
      <c r="AO53" s="587" t="str">
        <f>'IB 5D2-(MYPE_I)(Pesca_A)_2021'!W65</f>
        <v>(no reporta)</v>
      </c>
      <c r="AP53" s="588"/>
      <c r="AQ53" s="587" t="str">
        <f>'IB 5D2-(MYPE_I)(Pesca_A)_2021'!X65</f>
        <v>(no reporta)</v>
      </c>
      <c r="AR53" s="588"/>
      <c r="AS53" s="587" t="str">
        <f>'IB 5D2-(MYPE_I)(Pesca_A)_2021'!Y65</f>
        <v>(no reporta)</v>
      </c>
      <c r="AT53" s="588"/>
      <c r="AU53" s="587" t="str">
        <f>'IB 5D2-(MYPE_I)(Pesca_A)_2021'!Z65</f>
        <v>(no reporta)</v>
      </c>
      <c r="AV53" s="588"/>
      <c r="AW53" s="587" t="str">
        <f>'IB 5D2-(MYPE_I)(Pesca_A)_2021'!AA65</f>
        <v>(no reporta)</v>
      </c>
      <c r="AX53" s="588"/>
      <c r="AY53" s="587" t="str">
        <f>'IB 5D2-(MYPE_I)(Pesca_A)_2021'!AB65</f>
        <v>(no reporta)</v>
      </c>
      <c r="AZ53" s="588"/>
      <c r="BA53" s="587" t="str">
        <f>'IB 5D2-(MYPE_I)(Pesca_A)_2021'!AC65</f>
        <v>(no reporta)</v>
      </c>
      <c r="BB53" s="588"/>
      <c r="BC53" s="578" t="str">
        <f>'IB 5D2-(MYPE_I)(Pesca_A)_2021'!AD65</f>
        <v>(no reporta)</v>
      </c>
      <c r="BD53" s="588"/>
      <c r="BE53" s="578" t="str">
        <f>'IB 5D2-(MYPE_I)(Pesca_A)_2021'!AE65</f>
        <v>(no reporta)</v>
      </c>
      <c r="BF53" s="588"/>
      <c r="BG53" s="578" t="str">
        <f>'IB 5D2-(MYPE_I)(Pesca_A)_2021'!AF65</f>
        <v>(no reporta)</v>
      </c>
      <c r="BH53" s="588"/>
      <c r="BI53" s="578" t="str">
        <f>'IB 5D2-(MYPE_I)(Pesca_A)_2021'!AG65</f>
        <v>(no reporta)</v>
      </c>
      <c r="BJ53" s="588"/>
      <c r="BK53" s="590" t="str">
        <f>'IB 5D2-(MYPE_I)(Pesca_A)_2021'!AH65</f>
        <v>(no reporta)</v>
      </c>
      <c r="BL53" s="589"/>
      <c r="BM53" s="590" t="str">
        <f>'IB 5D2-(MYPE_I)(Pesca_A)_2021'!AI65</f>
        <v>(no reporta)</v>
      </c>
      <c r="BN53" s="589"/>
      <c r="BO53" s="590" t="str">
        <f>'IB 5D2-(MYPE_I)(Pesca_A)_2021'!AJ65</f>
        <v>(no reporta)</v>
      </c>
      <c r="BP53" s="589"/>
      <c r="BQ53" s="603" t="s">
        <v>452</v>
      </c>
      <c r="BR53" s="263" t="str">
        <f>'Fac Conv'!G11</f>
        <v>Cerveza y malta</v>
      </c>
      <c r="BS53" s="263">
        <f>VLOOKUP(BR53,'Fac Conv'!$G$10:$K$25,2,FALSE)</f>
        <v>6.3</v>
      </c>
      <c r="BT53" s="263">
        <f>VLOOKUP(BR53,'Fac Conv'!$G$10:$K$25,4,FALSE)</f>
        <v>9</v>
      </c>
    </row>
    <row r="54" spans="2:72" ht="13.9" customHeight="1">
      <c r="B54" s="765" t="s">
        <v>228</v>
      </c>
      <c r="C54" s="95" t="str">
        <f>'IB 5D2-(MYPE_I)(Pesca_A)_2021'!D72</f>
        <v>Papel corrugado</v>
      </c>
      <c r="D54" s="513" t="str">
        <f>'IB 5D2-(MYPE_I)(Pesca_A)_2021'!E72</f>
        <v>TM</v>
      </c>
      <c r="E54" s="588"/>
      <c r="F54" s="588"/>
      <c r="G54" s="676" t="str">
        <f>'IB 5D2-(MYPE_I)(Pesca_A)_2021'!F72</f>
        <v>(no reporta)</v>
      </c>
      <c r="H54" s="588"/>
      <c r="I54" s="103" t="str">
        <f>'IB 5D2-(MYPE_I)(Pesca_A)_2021'!G72</f>
        <v>(no reporta)</v>
      </c>
      <c r="J54" s="588"/>
      <c r="K54" s="103" t="str">
        <f>'IB 5D2-(MYPE_I)(Pesca_A)_2021'!H72</f>
        <v>(no reporta)</v>
      </c>
      <c r="L54" s="588"/>
      <c r="M54" s="557" t="str">
        <f>'IB 5D2-(MYPE_I)(Pesca_A)_2021'!I72</f>
        <v>(no reporta)</v>
      </c>
      <c r="N54" s="588"/>
      <c r="O54" s="557" t="str">
        <f>'IB 5D2-(MYPE_I)(Pesca_A)_2021'!J72</f>
        <v>(no reporta)</v>
      </c>
      <c r="P54" s="588"/>
      <c r="Q54" s="557" t="str">
        <f>'IB 5D2-(MYPE_I)(Pesca_A)_2021'!K72</f>
        <v>(no reporta)</v>
      </c>
      <c r="R54" s="588"/>
      <c r="S54" s="557" t="str">
        <f>'IB 5D2-(MYPE_I)(Pesca_A)_2021'!L72</f>
        <v>(no reporta)</v>
      </c>
      <c r="T54" s="588"/>
      <c r="U54" s="557" t="str">
        <f>'IB 5D2-(MYPE_I)(Pesca_A)_2021'!M72</f>
        <v>(no reporta)</v>
      </c>
      <c r="V54" s="588"/>
      <c r="W54" s="557" t="str">
        <f>'IB 5D2-(MYPE_I)(Pesca_A)_2021'!N72</f>
        <v>(no reporta)</v>
      </c>
      <c r="X54" s="588"/>
      <c r="Y54" s="557" t="str">
        <f>'IB 5D2-(MYPE_I)(Pesca_A)_2021'!O72</f>
        <v>(no reporta)</v>
      </c>
      <c r="Z54" s="588"/>
      <c r="AA54" s="557" t="str">
        <f>'IB 5D2-(MYPE_I)(Pesca_A)_2021'!P72</f>
        <v>(no reporta)</v>
      </c>
      <c r="AB54" s="588"/>
      <c r="AC54" s="557" t="str">
        <f>'IB 5D2-(MYPE_I)(Pesca_A)_2021'!Q72</f>
        <v>(no reporta)</v>
      </c>
      <c r="AD54" s="588"/>
      <c r="AE54" s="557" t="str">
        <f>'IB 5D2-(MYPE_I)(Pesca_A)_2021'!R72</f>
        <v>(no reporta)</v>
      </c>
      <c r="AF54" s="588"/>
      <c r="AG54" s="557" t="str">
        <f>'IB 5D2-(MYPE_I)(Pesca_A)_2021'!S72</f>
        <v>(no reporta)</v>
      </c>
      <c r="AH54" s="588"/>
      <c r="AI54" s="557" t="str">
        <f>'IB 5D2-(MYPE_I)(Pesca_A)_2021'!T72</f>
        <v>(no reporta)</v>
      </c>
      <c r="AJ54" s="588"/>
      <c r="AK54" s="557" t="str">
        <f>'IB 5D2-(MYPE_I)(Pesca_A)_2021'!U72</f>
        <v>(no reporta)</v>
      </c>
      <c r="AL54" s="588"/>
      <c r="AM54" s="557" t="str">
        <f>'IB 5D2-(MYPE_I)(Pesca_A)_2021'!V72</f>
        <v>(no reporta)</v>
      </c>
      <c r="AN54" s="588"/>
      <c r="AO54" s="557" t="str">
        <f>'IB 5D2-(MYPE_I)(Pesca_A)_2021'!W72</f>
        <v>(no reporta)</v>
      </c>
      <c r="AP54" s="588"/>
      <c r="AQ54" s="557" t="str">
        <f>'IB 5D2-(MYPE_I)(Pesca_A)_2021'!X72</f>
        <v>(no reporta)</v>
      </c>
      <c r="AR54" s="588"/>
      <c r="AS54" s="557" t="str">
        <f>'IB 5D2-(MYPE_I)(Pesca_A)_2021'!Y72</f>
        <v>(no reporta)</v>
      </c>
      <c r="AT54" s="588"/>
      <c r="AU54" s="616">
        <f>'IB 5D2-(MYPE_I)(Pesca_A)_2021'!Z72</f>
        <v>39787</v>
      </c>
      <c r="AV54" s="617">
        <f>AU54</f>
        <v>39787</v>
      </c>
      <c r="AW54" s="616">
        <f>'IB 5D2-(MYPE_I)(Pesca_A)_2021'!AA72</f>
        <v>44314</v>
      </c>
      <c r="AX54" s="617">
        <f>AW54</f>
        <v>44314</v>
      </c>
      <c r="AY54" s="616">
        <f>'IB 5D2-(MYPE_I)(Pesca_A)_2021'!AB72</f>
        <v>42712</v>
      </c>
      <c r="AZ54" s="617">
        <f>AY54</f>
        <v>42712</v>
      </c>
      <c r="BA54" s="616">
        <f>'IB 5D2-(MYPE_I)(Pesca_A)_2021'!AC72</f>
        <v>43140</v>
      </c>
      <c r="BB54" s="617">
        <f>BA54</f>
        <v>43140</v>
      </c>
      <c r="BC54" s="616">
        <f>'IB 5D2-(MYPE_I)(Pesca_A)_2021'!AD72</f>
        <v>48147</v>
      </c>
      <c r="BD54" s="617">
        <f>BC54</f>
        <v>48147</v>
      </c>
      <c r="BE54" s="616">
        <f>'IB 5D2-(MYPE_I)(Pesca_A)_2021'!AE72</f>
        <v>47872</v>
      </c>
      <c r="BF54" s="617">
        <f>BE54</f>
        <v>47872</v>
      </c>
      <c r="BG54" s="616">
        <f>'IB 5D2-(MYPE_I)(Pesca_A)_2021'!AF72</f>
        <v>53310</v>
      </c>
      <c r="BH54" s="617">
        <f>BG54</f>
        <v>53310</v>
      </c>
      <c r="BI54" s="616">
        <f>'IB 5D2-(MYPE_I)(Pesca_A)_2021'!AG72</f>
        <v>55161</v>
      </c>
      <c r="BJ54" s="617">
        <f>BI54</f>
        <v>55161</v>
      </c>
      <c r="BK54" s="581">
        <f>'IB 5D2-(MYPE_I)(Pesca_A)_2021'!AH72</f>
        <v>53414</v>
      </c>
      <c r="BL54" s="591">
        <f t="shared" ref="BL54:BP60" si="54">BK54</f>
        <v>53414</v>
      </c>
      <c r="BM54" s="581">
        <f>'IB 5D2-(MYPE_I)(Pesca_A)_2021'!AI72</f>
        <v>47311</v>
      </c>
      <c r="BN54" s="591">
        <f t="shared" si="54"/>
        <v>47311</v>
      </c>
      <c r="BO54" s="581">
        <f>'IB 5D2-(MYPE_I)(Pesca_A)_2021'!AJ72</f>
        <v>45268</v>
      </c>
      <c r="BP54" s="591">
        <f t="shared" si="54"/>
        <v>45268</v>
      </c>
      <c r="BR54" s="263" t="str">
        <f>'Fac Conv'!$G$19</f>
        <v>Pulpa y papel (combinados)</v>
      </c>
      <c r="BS54" s="263">
        <f>VLOOKUP(BR54,'Fac Conv'!$G$10:$K$25,2,FALSE)</f>
        <v>162</v>
      </c>
      <c r="BT54" s="263">
        <f>VLOOKUP(BR54,'Fac Conv'!$G$10:$K$25,4,FALSE)</f>
        <v>240</v>
      </c>
    </row>
    <row r="55" spans="2:72" ht="13.9" customHeight="1">
      <c r="B55" s="766"/>
      <c r="C55" s="89" t="str">
        <f>'IB 5D2-(MYPE_I)(Pesca_A)_2021'!D73</f>
        <v>Cartones diversos</v>
      </c>
      <c r="D55" s="514" t="str">
        <f>'IB 5D2-(MYPE_I)(Pesca_A)_2021'!E73</f>
        <v>TM</v>
      </c>
      <c r="E55" s="588"/>
      <c r="F55" s="588"/>
      <c r="G55" s="677" t="str">
        <f>'IB 5D2-(MYPE_I)(Pesca_A)_2021'!F73</f>
        <v>(no reporta)</v>
      </c>
      <c r="H55" s="588"/>
      <c r="I55" s="576" t="str">
        <f>'IB 5D2-(MYPE_I)(Pesca_A)_2021'!G73</f>
        <v>(no reporta)</v>
      </c>
      <c r="J55" s="588"/>
      <c r="K55" s="576" t="str">
        <f>'IB 5D2-(MYPE_I)(Pesca_A)_2021'!H73</f>
        <v>(no reporta)</v>
      </c>
      <c r="L55" s="588"/>
      <c r="M55" s="587" t="str">
        <f>'IB 5D2-(MYPE_I)(Pesca_A)_2021'!I73</f>
        <v>(no reporta)</v>
      </c>
      <c r="N55" s="588"/>
      <c r="O55" s="587" t="str">
        <f>'IB 5D2-(MYPE_I)(Pesca_A)_2021'!J73</f>
        <v>(no reporta)</v>
      </c>
      <c r="P55" s="588"/>
      <c r="Q55" s="587" t="str">
        <f>'IB 5D2-(MYPE_I)(Pesca_A)_2021'!K73</f>
        <v>(no reporta)</v>
      </c>
      <c r="R55" s="588"/>
      <c r="S55" s="587" t="str">
        <f>'IB 5D2-(MYPE_I)(Pesca_A)_2021'!L73</f>
        <v>(no reporta)</v>
      </c>
      <c r="T55" s="588"/>
      <c r="U55" s="587" t="str">
        <f>'IB 5D2-(MYPE_I)(Pesca_A)_2021'!M73</f>
        <v>(no reporta)</v>
      </c>
      <c r="V55" s="588"/>
      <c r="W55" s="587" t="str">
        <f>'IB 5D2-(MYPE_I)(Pesca_A)_2021'!N73</f>
        <v>(no reporta)</v>
      </c>
      <c r="X55" s="588"/>
      <c r="Y55" s="587" t="str">
        <f>'IB 5D2-(MYPE_I)(Pesca_A)_2021'!O73</f>
        <v>(no reporta)</v>
      </c>
      <c r="Z55" s="588"/>
      <c r="AA55" s="587" t="str">
        <f>'IB 5D2-(MYPE_I)(Pesca_A)_2021'!P73</f>
        <v>(no reporta)</v>
      </c>
      <c r="AB55" s="588"/>
      <c r="AC55" s="587" t="str">
        <f>'IB 5D2-(MYPE_I)(Pesca_A)_2021'!Q73</f>
        <v>(no reporta)</v>
      </c>
      <c r="AD55" s="588"/>
      <c r="AE55" s="587" t="str">
        <f>'IB 5D2-(MYPE_I)(Pesca_A)_2021'!R73</f>
        <v>(no reporta)</v>
      </c>
      <c r="AF55" s="588"/>
      <c r="AG55" s="587" t="str">
        <f>'IB 5D2-(MYPE_I)(Pesca_A)_2021'!S73</f>
        <v>(no reporta)</v>
      </c>
      <c r="AH55" s="588"/>
      <c r="AI55" s="587" t="str">
        <f>'IB 5D2-(MYPE_I)(Pesca_A)_2021'!T73</f>
        <v>(no reporta)</v>
      </c>
      <c r="AJ55" s="588"/>
      <c r="AK55" s="587" t="str">
        <f>'IB 5D2-(MYPE_I)(Pesca_A)_2021'!U73</f>
        <v>(no reporta)</v>
      </c>
      <c r="AL55" s="588"/>
      <c r="AM55" s="587" t="str">
        <f>'IB 5D2-(MYPE_I)(Pesca_A)_2021'!V73</f>
        <v>(no reporta)</v>
      </c>
      <c r="AN55" s="588"/>
      <c r="AO55" s="587" t="str">
        <f>'IB 5D2-(MYPE_I)(Pesca_A)_2021'!W73</f>
        <v>(no reporta)</v>
      </c>
      <c r="AP55" s="588"/>
      <c r="AQ55" s="587" t="str">
        <f>'IB 5D2-(MYPE_I)(Pesca_A)_2021'!X73</f>
        <v>(no reporta)</v>
      </c>
      <c r="AR55" s="588"/>
      <c r="AS55" s="587" t="str">
        <f>'IB 5D2-(MYPE_I)(Pesca_A)_2021'!Y73</f>
        <v>(no reporta)</v>
      </c>
      <c r="AT55" s="588"/>
      <c r="AU55" s="611">
        <f>'IB 5D2-(MYPE_I)(Pesca_A)_2021'!Z73</f>
        <v>94073</v>
      </c>
      <c r="AV55" s="612">
        <f t="shared" ref="AV55:AX61" si="55">AU55</f>
        <v>94073</v>
      </c>
      <c r="AW55" s="611">
        <f>'IB 5D2-(MYPE_I)(Pesca_A)_2021'!AA73</f>
        <v>104761</v>
      </c>
      <c r="AX55" s="612">
        <f t="shared" si="55"/>
        <v>104761</v>
      </c>
      <c r="AY55" s="611">
        <f>'IB 5D2-(MYPE_I)(Pesca_A)_2021'!AB73</f>
        <v>83485</v>
      </c>
      <c r="AZ55" s="612">
        <f t="shared" ref="AZ55" si="56">AY55</f>
        <v>83485</v>
      </c>
      <c r="BA55" s="611">
        <f>'IB 5D2-(MYPE_I)(Pesca_A)_2021'!AC73</f>
        <v>74545</v>
      </c>
      <c r="BB55" s="612">
        <f t="shared" ref="BB55" si="57">BA55</f>
        <v>74545</v>
      </c>
      <c r="BC55" s="611">
        <f>'IB 5D2-(MYPE_I)(Pesca_A)_2021'!AD73</f>
        <v>92239</v>
      </c>
      <c r="BD55" s="612">
        <f t="shared" ref="BD55" si="58">BC55</f>
        <v>92239</v>
      </c>
      <c r="BE55" s="611">
        <f>'IB 5D2-(MYPE_I)(Pesca_A)_2021'!AE73</f>
        <v>151360</v>
      </c>
      <c r="BF55" s="612">
        <f t="shared" ref="BF55" si="59">BE55</f>
        <v>151360</v>
      </c>
      <c r="BG55" s="611">
        <f>'IB 5D2-(MYPE_I)(Pesca_A)_2021'!AF73</f>
        <v>194835</v>
      </c>
      <c r="BH55" s="612">
        <f t="shared" ref="BH55" si="60">BG55</f>
        <v>194835</v>
      </c>
      <c r="BI55" s="611">
        <f>'IB 5D2-(MYPE_I)(Pesca_A)_2021'!AG73</f>
        <v>199713</v>
      </c>
      <c r="BJ55" s="612">
        <f t="shared" ref="BJ55" si="61">BI55</f>
        <v>199713</v>
      </c>
      <c r="BK55" s="583">
        <f>'IB 5D2-(MYPE_I)(Pesca_A)_2021'!AH73</f>
        <v>191958</v>
      </c>
      <c r="BL55" s="585">
        <f t="shared" si="54"/>
        <v>191958</v>
      </c>
      <c r="BM55" s="583">
        <f>'IB 5D2-(MYPE_I)(Pesca_A)_2021'!AI73</f>
        <v>224587</v>
      </c>
      <c r="BN55" s="585">
        <f t="shared" si="54"/>
        <v>224587</v>
      </c>
      <c r="BO55" s="583">
        <f>'IB 5D2-(MYPE_I)(Pesca_A)_2021'!AJ73</f>
        <v>238823</v>
      </c>
      <c r="BP55" s="585">
        <f t="shared" si="54"/>
        <v>238823</v>
      </c>
      <c r="BR55" s="263" t="str">
        <f>'Fac Conv'!$G$19</f>
        <v>Pulpa y papel (combinados)</v>
      </c>
      <c r="BS55" s="263">
        <f>VLOOKUP(BR55,'Fac Conv'!$G$10:$K$25,2,FALSE)</f>
        <v>162</v>
      </c>
      <c r="BT55" s="263">
        <f>VLOOKUP(BR55,'Fac Conv'!$G$10:$K$25,4,FALSE)</f>
        <v>240</v>
      </c>
    </row>
    <row r="56" spans="2:72" ht="13.9" customHeight="1">
      <c r="B56" s="766"/>
      <c r="C56" s="87" t="str">
        <f>'IB 5D2-(MYPE_I)(Pesca_A)_2021'!D74</f>
        <v xml:space="preserve">Papel higiénico                                 </v>
      </c>
      <c r="D56" s="514" t="str">
        <f>'IB 5D2-(MYPE_I)(Pesca_A)_2021'!E74</f>
        <v>TM</v>
      </c>
      <c r="E56" s="588"/>
      <c r="F56" s="588"/>
      <c r="G56" s="677" t="str">
        <f>'IB 5D2-(MYPE_I)(Pesca_A)_2021'!F74</f>
        <v>(no reporta)</v>
      </c>
      <c r="H56" s="588"/>
      <c r="I56" s="576" t="str">
        <f>'IB 5D2-(MYPE_I)(Pesca_A)_2021'!G74</f>
        <v>(no reporta)</v>
      </c>
      <c r="J56" s="588"/>
      <c r="K56" s="576" t="str">
        <f>'IB 5D2-(MYPE_I)(Pesca_A)_2021'!H74</f>
        <v>(no reporta)</v>
      </c>
      <c r="L56" s="588"/>
      <c r="M56" s="611">
        <f>'IB 5D2-(MYPE_I)(Pesca_A)_2021'!I74</f>
        <v>12251.344999999999</v>
      </c>
      <c r="N56" s="612">
        <f>M56</f>
        <v>12251.344999999999</v>
      </c>
      <c r="O56" s="611">
        <f>'IB 5D2-(MYPE_I)(Pesca_A)_2021'!J74</f>
        <v>16702.175999999999</v>
      </c>
      <c r="P56" s="612">
        <f>O56</f>
        <v>16702.175999999999</v>
      </c>
      <c r="Q56" s="611">
        <f>'IB 5D2-(MYPE_I)(Pesca_A)_2021'!K74</f>
        <v>14154.644</v>
      </c>
      <c r="R56" s="612">
        <f>Q56</f>
        <v>14154.644</v>
      </c>
      <c r="S56" s="611">
        <f>'IB 5D2-(MYPE_I)(Pesca_A)_2021'!L74</f>
        <v>13929.795</v>
      </c>
      <c r="T56" s="612">
        <f>S56</f>
        <v>13929.795</v>
      </c>
      <c r="U56" s="611">
        <f>'IB 5D2-(MYPE_I)(Pesca_A)_2021'!M74</f>
        <v>17724.722000000002</v>
      </c>
      <c r="V56" s="612">
        <f>U56</f>
        <v>17724.722000000002</v>
      </c>
      <c r="W56" s="611">
        <f>'IB 5D2-(MYPE_I)(Pesca_A)_2021'!N74</f>
        <v>19823.254000000001</v>
      </c>
      <c r="X56" s="612">
        <f>W56</f>
        <v>19823.254000000001</v>
      </c>
      <c r="Y56" s="611">
        <f>'IB 5D2-(MYPE_I)(Pesca_A)_2021'!O74</f>
        <v>21975.125</v>
      </c>
      <c r="Z56" s="612">
        <f>Y56</f>
        <v>21975.125</v>
      </c>
      <c r="AA56" s="611">
        <f>'IB 5D2-(MYPE_I)(Pesca_A)_2021'!P74</f>
        <v>24540.09</v>
      </c>
      <c r="AB56" s="612">
        <f>AA56</f>
        <v>24540.09</v>
      </c>
      <c r="AC56" s="587" t="str">
        <f>'IB 5D2-(MYPE_I)(Pesca_A)_2021'!Q74</f>
        <v>(no reporta)</v>
      </c>
      <c r="AD56" s="588"/>
      <c r="AE56" s="587" t="str">
        <f>'IB 5D2-(MYPE_I)(Pesca_A)_2021'!R74</f>
        <v>(no reporta)</v>
      </c>
      <c r="AF56" s="588"/>
      <c r="AG56" s="587" t="str">
        <f>'IB 5D2-(MYPE_I)(Pesca_A)_2021'!S74</f>
        <v>(no reporta)</v>
      </c>
      <c r="AH56" s="588"/>
      <c r="AI56" s="587" t="str">
        <f>'IB 5D2-(MYPE_I)(Pesca_A)_2021'!T74</f>
        <v>(no reporta)</v>
      </c>
      <c r="AJ56" s="588"/>
      <c r="AK56" s="587" t="str">
        <f>'IB 5D2-(MYPE_I)(Pesca_A)_2021'!U74</f>
        <v>(no reporta)</v>
      </c>
      <c r="AL56" s="588"/>
      <c r="AM56" s="587" t="str">
        <f>'IB 5D2-(MYPE_I)(Pesca_A)_2021'!V74</f>
        <v>(no reporta)</v>
      </c>
      <c r="AN56" s="588"/>
      <c r="AO56" s="587" t="str">
        <f>'IB 5D2-(MYPE_I)(Pesca_A)_2021'!W74</f>
        <v>(no reporta)</v>
      </c>
      <c r="AP56" s="588"/>
      <c r="AQ56" s="587" t="str">
        <f>'IB 5D2-(MYPE_I)(Pesca_A)_2021'!X74</f>
        <v>(no reporta)</v>
      </c>
      <c r="AR56" s="588"/>
      <c r="AS56" s="587" t="str">
        <f>'IB 5D2-(MYPE_I)(Pesca_A)_2021'!Y74</f>
        <v>(no reporta)</v>
      </c>
      <c r="AT56" s="588"/>
      <c r="AU56" s="611">
        <f>'IB 5D2-(MYPE_I)(Pesca_A)_2021'!Z74</f>
        <v>97212</v>
      </c>
      <c r="AV56" s="612">
        <f t="shared" si="55"/>
        <v>97212</v>
      </c>
      <c r="AW56" s="611">
        <f>'IB 5D2-(MYPE_I)(Pesca_A)_2021'!AA74</f>
        <v>112777</v>
      </c>
      <c r="AX56" s="612">
        <f t="shared" si="55"/>
        <v>112777</v>
      </c>
      <c r="AY56" s="611">
        <f>'IB 5D2-(MYPE_I)(Pesca_A)_2021'!AB74</f>
        <v>150405</v>
      </c>
      <c r="AZ56" s="612">
        <f t="shared" ref="AZ56" si="62">AY56</f>
        <v>150405</v>
      </c>
      <c r="BA56" s="611">
        <f>'IB 5D2-(MYPE_I)(Pesca_A)_2021'!AC74</f>
        <v>169056</v>
      </c>
      <c r="BB56" s="612">
        <f t="shared" ref="BB56" si="63">BA56</f>
        <v>169056</v>
      </c>
      <c r="BC56" s="611">
        <f>'IB 5D2-(MYPE_I)(Pesca_A)_2021'!AD74</f>
        <v>165576</v>
      </c>
      <c r="BD56" s="612">
        <f t="shared" ref="BD56" si="64">BC56</f>
        <v>165576</v>
      </c>
      <c r="BE56" s="611">
        <f>'IB 5D2-(MYPE_I)(Pesca_A)_2021'!AE74</f>
        <v>188510</v>
      </c>
      <c r="BF56" s="612">
        <f t="shared" ref="BF56" si="65">BE56</f>
        <v>188510</v>
      </c>
      <c r="BG56" s="611">
        <f>'IB 5D2-(MYPE_I)(Pesca_A)_2021'!AF74</f>
        <v>201913</v>
      </c>
      <c r="BH56" s="612">
        <f t="shared" ref="BH56" si="66">BG56</f>
        <v>201913</v>
      </c>
      <c r="BI56" s="611">
        <f>'IB 5D2-(MYPE_I)(Pesca_A)_2021'!AG74</f>
        <v>204499</v>
      </c>
      <c r="BJ56" s="612">
        <f t="shared" ref="BJ56" si="67">BI56</f>
        <v>204499</v>
      </c>
      <c r="BK56" s="583">
        <f>'IB 5D2-(MYPE_I)(Pesca_A)_2021'!AH74</f>
        <v>199132</v>
      </c>
      <c r="BL56" s="585">
        <f t="shared" si="54"/>
        <v>199132</v>
      </c>
      <c r="BM56" s="583">
        <f>'IB 5D2-(MYPE_I)(Pesca_A)_2021'!AI74</f>
        <v>176467</v>
      </c>
      <c r="BN56" s="585">
        <f t="shared" si="54"/>
        <v>176467</v>
      </c>
      <c r="BO56" s="583">
        <f>'IB 5D2-(MYPE_I)(Pesca_A)_2021'!AJ74</f>
        <v>143560</v>
      </c>
      <c r="BP56" s="585">
        <f t="shared" si="54"/>
        <v>143560</v>
      </c>
      <c r="BR56" s="263" t="str">
        <f>'Fac Conv'!$G$19</f>
        <v>Pulpa y papel (combinados)</v>
      </c>
      <c r="BS56" s="263">
        <f>VLOOKUP(BR56,'Fac Conv'!$G$10:$K$25,2,FALSE)</f>
        <v>162</v>
      </c>
      <c r="BT56" s="263">
        <f>VLOOKUP(BR56,'Fac Conv'!$G$10:$K$25,4,FALSE)</f>
        <v>240</v>
      </c>
    </row>
    <row r="57" spans="2:72" ht="13.9" customHeight="1">
      <c r="B57" s="766"/>
      <c r="C57" s="89" t="str">
        <f>'IB 5D2-(MYPE_I)(Pesca_A)_2021'!D75</f>
        <v>Papel Bond (también como papel bond y similares)</v>
      </c>
      <c r="D57" s="514" t="str">
        <f>'IB 5D2-(MYPE_I)(Pesca_A)_2021'!E75</f>
        <v>TM</v>
      </c>
      <c r="E57" s="588"/>
      <c r="F57" s="588"/>
      <c r="G57" s="677" t="str">
        <f>'IB 5D2-(MYPE_I)(Pesca_A)_2021'!F75</f>
        <v>(no reporta)</v>
      </c>
      <c r="H57" s="588"/>
      <c r="I57" s="576" t="str">
        <f>'IB 5D2-(MYPE_I)(Pesca_A)_2021'!G75</f>
        <v>(no reporta)</v>
      </c>
      <c r="J57" s="588"/>
      <c r="K57" s="576" t="str">
        <f>'IB 5D2-(MYPE_I)(Pesca_A)_2021'!H75</f>
        <v>(no reporta)</v>
      </c>
      <c r="L57" s="588"/>
      <c r="M57" s="611">
        <f>'IB 5D2-(MYPE_I)(Pesca_A)_2021'!I75</f>
        <v>23416.575000000001</v>
      </c>
      <c r="N57" s="612">
        <f>M57</f>
        <v>23416.575000000001</v>
      </c>
      <c r="O57" s="611">
        <f>'IB 5D2-(MYPE_I)(Pesca_A)_2021'!J75</f>
        <v>18669.648000000001</v>
      </c>
      <c r="P57" s="612">
        <f>O57</f>
        <v>18669.648000000001</v>
      </c>
      <c r="Q57" s="611">
        <f>'IB 5D2-(MYPE_I)(Pesca_A)_2021'!K75</f>
        <v>14995.134</v>
      </c>
      <c r="R57" s="612">
        <f>Q57</f>
        <v>14995.134</v>
      </c>
      <c r="S57" s="611">
        <f>'IB 5D2-(MYPE_I)(Pesca_A)_2021'!L75</f>
        <v>6779.81</v>
      </c>
      <c r="T57" s="612">
        <f>S57</f>
        <v>6779.81</v>
      </c>
      <c r="U57" s="611">
        <f>'IB 5D2-(MYPE_I)(Pesca_A)_2021'!M75</f>
        <v>28017.477999999999</v>
      </c>
      <c r="V57" s="612">
        <f>U57</f>
        <v>28017.477999999999</v>
      </c>
      <c r="W57" s="611">
        <f>'IB 5D2-(MYPE_I)(Pesca_A)_2021'!N75</f>
        <v>40652.290999999997</v>
      </c>
      <c r="X57" s="612">
        <f>W57</f>
        <v>40652.290999999997</v>
      </c>
      <c r="Y57" s="611">
        <f>'IB 5D2-(MYPE_I)(Pesca_A)_2021'!O75</f>
        <v>33458.606</v>
      </c>
      <c r="Z57" s="612">
        <f>Y57</f>
        <v>33458.606</v>
      </c>
      <c r="AA57" s="611">
        <f>'IB 5D2-(MYPE_I)(Pesca_A)_2021'!P75</f>
        <v>45245.599999999999</v>
      </c>
      <c r="AB57" s="612">
        <f>AA57</f>
        <v>45245.599999999999</v>
      </c>
      <c r="AC57" s="611">
        <f>'IB 5D2-(MYPE_I)(Pesca_A)_2021'!Q75</f>
        <v>41031.300000000003</v>
      </c>
      <c r="AD57" s="612">
        <f>AC57</f>
        <v>41031.300000000003</v>
      </c>
      <c r="AE57" s="611">
        <f>'IB 5D2-(MYPE_I)(Pesca_A)_2021'!R75</f>
        <v>51662.400000000001</v>
      </c>
      <c r="AF57" s="612">
        <f>AE57</f>
        <v>51662.400000000001</v>
      </c>
      <c r="AG57" s="611">
        <f>'IB 5D2-(MYPE_I)(Pesca_A)_2021'!S75</f>
        <v>48337.4</v>
      </c>
      <c r="AH57" s="612">
        <f>AG57</f>
        <v>48337.4</v>
      </c>
      <c r="AI57" s="611">
        <f>'IB 5D2-(MYPE_I)(Pesca_A)_2021'!T75</f>
        <v>44729.2</v>
      </c>
      <c r="AJ57" s="612">
        <f>AI57</f>
        <v>44729.2</v>
      </c>
      <c r="AK57" s="611">
        <f>'IB 5D2-(MYPE_I)(Pesca_A)_2021'!U75</f>
        <v>49588.4</v>
      </c>
      <c r="AL57" s="612">
        <f>AK57</f>
        <v>49588.4</v>
      </c>
      <c r="AM57" s="611">
        <f>'IB 5D2-(MYPE_I)(Pesca_A)_2021'!V75</f>
        <v>51737.599999999999</v>
      </c>
      <c r="AN57" s="612">
        <f>AM57</f>
        <v>51737.599999999999</v>
      </c>
      <c r="AO57" s="611">
        <f>'IB 5D2-(MYPE_I)(Pesca_A)_2021'!W75</f>
        <v>40006.199999999997</v>
      </c>
      <c r="AP57" s="612">
        <f>AO57</f>
        <v>40006.199999999997</v>
      </c>
      <c r="AQ57" s="611">
        <f>'IB 5D2-(MYPE_I)(Pesca_A)_2021'!X75</f>
        <v>38625.300000000003</v>
      </c>
      <c r="AR57" s="612">
        <f>AQ57</f>
        <v>38625.300000000003</v>
      </c>
      <c r="AS57" s="611">
        <f>'IB 5D2-(MYPE_I)(Pesca_A)_2021'!Y75</f>
        <v>47254.5</v>
      </c>
      <c r="AT57" s="612">
        <f>AS57</f>
        <v>47254.5</v>
      </c>
      <c r="AU57" s="611">
        <f>'IB 5D2-(MYPE_I)(Pesca_A)_2021'!Z75</f>
        <v>60204</v>
      </c>
      <c r="AV57" s="612">
        <f t="shared" si="55"/>
        <v>60204</v>
      </c>
      <c r="AW57" s="611">
        <f>'IB 5D2-(MYPE_I)(Pesca_A)_2021'!AA75</f>
        <v>53404</v>
      </c>
      <c r="AX57" s="612">
        <f t="shared" si="55"/>
        <v>53404</v>
      </c>
      <c r="AY57" s="611">
        <f>'IB 5D2-(MYPE_I)(Pesca_A)_2021'!AB75</f>
        <v>44933</v>
      </c>
      <c r="AZ57" s="612">
        <f t="shared" ref="AZ57" si="68">AY57</f>
        <v>44933</v>
      </c>
      <c r="BA57" s="611">
        <f>'IB 5D2-(MYPE_I)(Pesca_A)_2021'!AC75</f>
        <v>55885</v>
      </c>
      <c r="BB57" s="612">
        <f t="shared" ref="BB57" si="69">BA57</f>
        <v>55885</v>
      </c>
      <c r="BC57" s="611">
        <f>'IB 5D2-(MYPE_I)(Pesca_A)_2021'!AD75</f>
        <v>31957</v>
      </c>
      <c r="BD57" s="612">
        <f t="shared" ref="BD57" si="70">BC57</f>
        <v>31957</v>
      </c>
      <c r="BE57" s="611">
        <f>'IB 5D2-(MYPE_I)(Pesca_A)_2021'!AE75</f>
        <v>44955</v>
      </c>
      <c r="BF57" s="612">
        <f t="shared" ref="BF57" si="71">BE57</f>
        <v>44955</v>
      </c>
      <c r="BG57" s="611">
        <f>'IB 5D2-(MYPE_I)(Pesca_A)_2021'!AF75</f>
        <v>48693</v>
      </c>
      <c r="BH57" s="612">
        <f t="shared" ref="BH57" si="72">BG57</f>
        <v>48693</v>
      </c>
      <c r="BI57" s="611">
        <f>'IB 5D2-(MYPE_I)(Pesca_A)_2021'!AG75</f>
        <v>14703</v>
      </c>
      <c r="BJ57" s="612">
        <f t="shared" ref="BJ57" si="73">BI57</f>
        <v>14703</v>
      </c>
      <c r="BK57" s="583">
        <f>'IB 5D2-(MYPE_I)(Pesca_A)_2021'!AH75</f>
        <v>1783</v>
      </c>
      <c r="BL57" s="585">
        <f t="shared" si="54"/>
        <v>1783</v>
      </c>
      <c r="BM57" s="583">
        <f>'IB 5D2-(MYPE_I)(Pesca_A)_2021'!AI75</f>
        <v>1319</v>
      </c>
      <c r="BN57" s="585">
        <f t="shared" si="54"/>
        <v>1319</v>
      </c>
      <c r="BO57" s="583">
        <f>'IB 5D2-(MYPE_I)(Pesca_A)_2021'!AJ75</f>
        <v>2246</v>
      </c>
      <c r="BP57" s="585">
        <f t="shared" si="54"/>
        <v>2246</v>
      </c>
      <c r="BR57" s="263" t="str">
        <f>'Fac Conv'!$G$19</f>
        <v>Pulpa y papel (combinados)</v>
      </c>
      <c r="BS57" s="263">
        <f>VLOOKUP(BR57,'Fac Conv'!$G$10:$K$25,2,FALSE)</f>
        <v>162</v>
      </c>
      <c r="BT57" s="263">
        <f>VLOOKUP(BR57,'Fac Conv'!$G$10:$K$25,4,FALSE)</f>
        <v>240</v>
      </c>
    </row>
    <row r="58" spans="2:72" ht="13.9" customHeight="1">
      <c r="B58" s="766"/>
      <c r="C58" s="87" t="str">
        <f>'IB 5D2-(MYPE_I)(Pesca_A)_2021'!D76</f>
        <v xml:space="preserve">Servilleta                                     </v>
      </c>
      <c r="D58" s="514" t="str">
        <f>'IB 5D2-(MYPE_I)(Pesca_A)_2021'!E76</f>
        <v>TM</v>
      </c>
      <c r="E58" s="588"/>
      <c r="F58" s="588"/>
      <c r="G58" s="677" t="str">
        <f>'IB 5D2-(MYPE_I)(Pesca_A)_2021'!F76</f>
        <v>(no reporta)</v>
      </c>
      <c r="H58" s="588"/>
      <c r="I58" s="576" t="str">
        <f>'IB 5D2-(MYPE_I)(Pesca_A)_2021'!G76</f>
        <v>(no reporta)</v>
      </c>
      <c r="J58" s="588"/>
      <c r="K58" s="576" t="str">
        <f>'IB 5D2-(MYPE_I)(Pesca_A)_2021'!H76</f>
        <v>(no reporta)</v>
      </c>
      <c r="L58" s="588"/>
      <c r="M58" s="587" t="str">
        <f>'IB 5D2-(MYPE_I)(Pesca_A)_2021'!I76</f>
        <v>(no reporta)</v>
      </c>
      <c r="N58" s="588"/>
      <c r="O58" s="587" t="str">
        <f>'IB 5D2-(MYPE_I)(Pesca_A)_2021'!J76</f>
        <v>(no reporta)</v>
      </c>
      <c r="P58" s="588"/>
      <c r="Q58" s="587" t="str">
        <f>'IB 5D2-(MYPE_I)(Pesca_A)_2021'!K76</f>
        <v>(no reporta)</v>
      </c>
      <c r="R58" s="588"/>
      <c r="S58" s="587" t="str">
        <f>'IB 5D2-(MYPE_I)(Pesca_A)_2021'!L76</f>
        <v>(no reporta)</v>
      </c>
      <c r="T58" s="588"/>
      <c r="U58" s="587" t="str">
        <f>'IB 5D2-(MYPE_I)(Pesca_A)_2021'!M76</f>
        <v>(no reporta)</v>
      </c>
      <c r="V58" s="588"/>
      <c r="W58" s="587" t="str">
        <f>'IB 5D2-(MYPE_I)(Pesca_A)_2021'!N76</f>
        <v>(no reporta)</v>
      </c>
      <c r="X58" s="588"/>
      <c r="Y58" s="587" t="str">
        <f>'IB 5D2-(MYPE_I)(Pesca_A)_2021'!O76</f>
        <v>(no reporta)</v>
      </c>
      <c r="Z58" s="588"/>
      <c r="AA58" s="587" t="str">
        <f>'IB 5D2-(MYPE_I)(Pesca_A)_2021'!P76</f>
        <v>(no reporta)</v>
      </c>
      <c r="AB58" s="588"/>
      <c r="AC58" s="587" t="str">
        <f>'IB 5D2-(MYPE_I)(Pesca_A)_2021'!Q76</f>
        <v>(no reporta)</v>
      </c>
      <c r="AD58" s="588"/>
      <c r="AE58" s="587" t="str">
        <f>'IB 5D2-(MYPE_I)(Pesca_A)_2021'!R76</f>
        <v>(no reporta)</v>
      </c>
      <c r="AF58" s="588"/>
      <c r="AG58" s="587" t="str">
        <f>'IB 5D2-(MYPE_I)(Pesca_A)_2021'!S76</f>
        <v>(no reporta)</v>
      </c>
      <c r="AH58" s="588"/>
      <c r="AI58" s="587" t="str">
        <f>'IB 5D2-(MYPE_I)(Pesca_A)_2021'!T76</f>
        <v>(no reporta)</v>
      </c>
      <c r="AJ58" s="588"/>
      <c r="AK58" s="587" t="str">
        <f>'IB 5D2-(MYPE_I)(Pesca_A)_2021'!U76</f>
        <v>(no reporta)</v>
      </c>
      <c r="AL58" s="588"/>
      <c r="AM58" s="587" t="str">
        <f>'IB 5D2-(MYPE_I)(Pesca_A)_2021'!V76</f>
        <v>(no reporta)</v>
      </c>
      <c r="AN58" s="588"/>
      <c r="AO58" s="587" t="str">
        <f>'IB 5D2-(MYPE_I)(Pesca_A)_2021'!W76</f>
        <v>(no reporta)</v>
      </c>
      <c r="AP58" s="588"/>
      <c r="AQ58" s="587" t="str">
        <f>'IB 5D2-(MYPE_I)(Pesca_A)_2021'!X76</f>
        <v>(no reporta)</v>
      </c>
      <c r="AR58" s="588"/>
      <c r="AS58" s="587" t="str">
        <f>'IB 5D2-(MYPE_I)(Pesca_A)_2021'!Y76</f>
        <v>(no reporta)</v>
      </c>
      <c r="AT58" s="588"/>
      <c r="AU58" s="611">
        <f>'IB 5D2-(MYPE_I)(Pesca_A)_2021'!Z76</f>
        <v>16473</v>
      </c>
      <c r="AV58" s="612">
        <f t="shared" si="55"/>
        <v>16473</v>
      </c>
      <c r="AW58" s="611">
        <f>'IB 5D2-(MYPE_I)(Pesca_A)_2021'!AA76</f>
        <v>6433</v>
      </c>
      <c r="AX58" s="612">
        <f t="shared" si="55"/>
        <v>6433</v>
      </c>
      <c r="AY58" s="611">
        <f>'IB 5D2-(MYPE_I)(Pesca_A)_2021'!AB76</f>
        <v>12499</v>
      </c>
      <c r="AZ58" s="612">
        <f t="shared" ref="AZ58" si="74">AY58</f>
        <v>12499</v>
      </c>
      <c r="BA58" s="611">
        <f>'IB 5D2-(MYPE_I)(Pesca_A)_2021'!AC76</f>
        <v>14717</v>
      </c>
      <c r="BB58" s="612">
        <f t="shared" ref="BB58" si="75">BA58</f>
        <v>14717</v>
      </c>
      <c r="BC58" s="611">
        <f>'IB 5D2-(MYPE_I)(Pesca_A)_2021'!AD76</f>
        <v>14015</v>
      </c>
      <c r="BD58" s="612">
        <f t="shared" ref="BD58" si="76">BC58</f>
        <v>14015</v>
      </c>
      <c r="BE58" s="611">
        <f>'IB 5D2-(MYPE_I)(Pesca_A)_2021'!AE76</f>
        <v>17815</v>
      </c>
      <c r="BF58" s="612">
        <f t="shared" ref="BF58" si="77">BE58</f>
        <v>17815</v>
      </c>
      <c r="BG58" s="611">
        <f>'IB 5D2-(MYPE_I)(Pesca_A)_2021'!AF76</f>
        <v>18997</v>
      </c>
      <c r="BH58" s="612">
        <f t="shared" ref="BH58" si="78">BG58</f>
        <v>18997</v>
      </c>
      <c r="BI58" s="611">
        <f>'IB 5D2-(MYPE_I)(Pesca_A)_2021'!AG76</f>
        <v>22739</v>
      </c>
      <c r="BJ58" s="612">
        <f t="shared" ref="BJ58" si="79">BI58</f>
        <v>22739</v>
      </c>
      <c r="BK58" s="583">
        <f>'IB 5D2-(MYPE_I)(Pesca_A)_2021'!AH76</f>
        <v>26289</v>
      </c>
      <c r="BL58" s="585">
        <f t="shared" si="54"/>
        <v>26289</v>
      </c>
      <c r="BM58" s="583">
        <f>'IB 5D2-(MYPE_I)(Pesca_A)_2021'!AI76</f>
        <v>29261</v>
      </c>
      <c r="BN58" s="585">
        <f t="shared" si="54"/>
        <v>29261</v>
      </c>
      <c r="BO58" s="583">
        <f>'IB 5D2-(MYPE_I)(Pesca_A)_2021'!AJ76</f>
        <v>7221</v>
      </c>
      <c r="BP58" s="592">
        <f t="shared" si="54"/>
        <v>7221</v>
      </c>
      <c r="BR58" s="263" t="str">
        <f>'Fac Conv'!$G$19</f>
        <v>Pulpa y papel (combinados)</v>
      </c>
      <c r="BS58" s="263">
        <f>VLOOKUP(BR58,'Fac Conv'!$G$10:$K$25,2,FALSE)</f>
        <v>162</v>
      </c>
      <c r="BT58" s="263">
        <f>VLOOKUP(BR58,'Fac Conv'!$G$10:$K$25,4,FALSE)</f>
        <v>240</v>
      </c>
    </row>
    <row r="59" spans="2:72" ht="13.9" customHeight="1">
      <c r="B59" s="766"/>
      <c r="C59" s="87" t="str">
        <f>'IB 5D2-(MYPE_I)(Pesca_A)_2021'!D77</f>
        <v xml:space="preserve">Papel toalla                       </v>
      </c>
      <c r="D59" s="514" t="str">
        <f>'IB 5D2-(MYPE_I)(Pesca_A)_2021'!E77</f>
        <v>TM</v>
      </c>
      <c r="E59" s="588"/>
      <c r="F59" s="588"/>
      <c r="G59" s="677" t="str">
        <f>'IB 5D2-(MYPE_I)(Pesca_A)_2021'!F77</f>
        <v>(no reporta)</v>
      </c>
      <c r="H59" s="588"/>
      <c r="I59" s="576" t="str">
        <f>'IB 5D2-(MYPE_I)(Pesca_A)_2021'!G77</f>
        <v>(no reporta)</v>
      </c>
      <c r="J59" s="588"/>
      <c r="K59" s="576" t="str">
        <f>'IB 5D2-(MYPE_I)(Pesca_A)_2021'!H77</f>
        <v>(no reporta)</v>
      </c>
      <c r="L59" s="588"/>
      <c r="M59" s="611">
        <f>'IB 5D2-(MYPE_I)(Pesca_A)_2021'!I77</f>
        <v>272.74299999999999</v>
      </c>
      <c r="N59" s="612">
        <f>M59</f>
        <v>272.74299999999999</v>
      </c>
      <c r="O59" s="611">
        <f>'IB 5D2-(MYPE_I)(Pesca_A)_2021'!J77</f>
        <v>177.11099999999999</v>
      </c>
      <c r="P59" s="612">
        <f>O59</f>
        <v>177.11099999999999</v>
      </c>
      <c r="Q59" s="611">
        <f>'IB 5D2-(MYPE_I)(Pesca_A)_2021'!K77</f>
        <v>150.74700000000001</v>
      </c>
      <c r="R59" s="612">
        <f>Q59</f>
        <v>150.74700000000001</v>
      </c>
      <c r="S59" s="611">
        <f>'IB 5D2-(MYPE_I)(Pesca_A)_2021'!L77</f>
        <v>71</v>
      </c>
      <c r="T59" s="612">
        <f>S59</f>
        <v>71</v>
      </c>
      <c r="U59" s="611">
        <f>'IB 5D2-(MYPE_I)(Pesca_A)_2021'!M77</f>
        <v>137</v>
      </c>
      <c r="V59" s="612">
        <f>U59</f>
        <v>137</v>
      </c>
      <c r="W59" s="611">
        <f>'IB 5D2-(MYPE_I)(Pesca_A)_2021'!N77</f>
        <v>143</v>
      </c>
      <c r="X59" s="612">
        <f>W59</f>
        <v>143</v>
      </c>
      <c r="Y59" s="611">
        <f>'IB 5D2-(MYPE_I)(Pesca_A)_2021'!O77</f>
        <v>939.97</v>
      </c>
      <c r="Z59" s="612">
        <f>Y59</f>
        <v>939.97</v>
      </c>
      <c r="AA59" s="611">
        <f>'IB 5D2-(MYPE_I)(Pesca_A)_2021'!P77</f>
        <v>1163.25</v>
      </c>
      <c r="AB59" s="612">
        <f>AA59</f>
        <v>1163.25</v>
      </c>
      <c r="AC59" s="587" t="str">
        <f>'IB 5D2-(MYPE_I)(Pesca_A)_2021'!Q77</f>
        <v>(no reporta)</v>
      </c>
      <c r="AD59" s="588"/>
      <c r="AE59" s="587" t="str">
        <f>'IB 5D2-(MYPE_I)(Pesca_A)_2021'!R77</f>
        <v>(no reporta)</v>
      </c>
      <c r="AF59" s="588"/>
      <c r="AG59" s="587" t="str">
        <f>'IB 5D2-(MYPE_I)(Pesca_A)_2021'!S77</f>
        <v>(no reporta)</v>
      </c>
      <c r="AH59" s="588"/>
      <c r="AI59" s="587" t="str">
        <f>'IB 5D2-(MYPE_I)(Pesca_A)_2021'!T77</f>
        <v>(no reporta)</v>
      </c>
      <c r="AJ59" s="588"/>
      <c r="AK59" s="587" t="str">
        <f>'IB 5D2-(MYPE_I)(Pesca_A)_2021'!U77</f>
        <v>(no reporta)</v>
      </c>
      <c r="AL59" s="588"/>
      <c r="AM59" s="587" t="str">
        <f>'IB 5D2-(MYPE_I)(Pesca_A)_2021'!V77</f>
        <v>(no reporta)</v>
      </c>
      <c r="AN59" s="588"/>
      <c r="AO59" s="587" t="str">
        <f>'IB 5D2-(MYPE_I)(Pesca_A)_2021'!W77</f>
        <v>(no reporta)</v>
      </c>
      <c r="AP59" s="588"/>
      <c r="AQ59" s="587" t="str">
        <f>'IB 5D2-(MYPE_I)(Pesca_A)_2021'!X77</f>
        <v>(no reporta)</v>
      </c>
      <c r="AR59" s="588"/>
      <c r="AS59" s="587" t="str">
        <f>'IB 5D2-(MYPE_I)(Pesca_A)_2021'!Y77</f>
        <v>(no reporta)</v>
      </c>
      <c r="AT59" s="588"/>
      <c r="AU59" s="611">
        <f>'IB 5D2-(MYPE_I)(Pesca_A)_2021'!Z77</f>
        <v>12643</v>
      </c>
      <c r="AV59" s="612">
        <f t="shared" si="55"/>
        <v>12643</v>
      </c>
      <c r="AW59" s="611">
        <f>'IB 5D2-(MYPE_I)(Pesca_A)_2021'!AA77</f>
        <v>13299</v>
      </c>
      <c r="AX59" s="612">
        <f t="shared" si="55"/>
        <v>13299</v>
      </c>
      <c r="AY59" s="611">
        <f>'IB 5D2-(MYPE_I)(Pesca_A)_2021'!AB77</f>
        <v>18255</v>
      </c>
      <c r="AZ59" s="612">
        <f t="shared" ref="AZ59" si="80">AY59</f>
        <v>18255</v>
      </c>
      <c r="BA59" s="611">
        <f>'IB 5D2-(MYPE_I)(Pesca_A)_2021'!AC77</f>
        <v>25236</v>
      </c>
      <c r="BB59" s="612">
        <f t="shared" ref="BB59" si="81">BA59</f>
        <v>25236</v>
      </c>
      <c r="BC59" s="611">
        <f>'IB 5D2-(MYPE_I)(Pesca_A)_2021'!AD77</f>
        <v>30874</v>
      </c>
      <c r="BD59" s="612">
        <f t="shared" ref="BD59" si="82">BC59</f>
        <v>30874</v>
      </c>
      <c r="BE59" s="611">
        <f>'IB 5D2-(MYPE_I)(Pesca_A)_2021'!AE77</f>
        <v>30878</v>
      </c>
      <c r="BF59" s="612">
        <f t="shared" ref="BF59" si="83">BE59</f>
        <v>30878</v>
      </c>
      <c r="BG59" s="611">
        <f>'IB 5D2-(MYPE_I)(Pesca_A)_2021'!AF77</f>
        <v>30627</v>
      </c>
      <c r="BH59" s="612">
        <f t="shared" ref="BH59" si="84">BG59</f>
        <v>30627</v>
      </c>
      <c r="BI59" s="611">
        <f>'IB 5D2-(MYPE_I)(Pesca_A)_2021'!AG77</f>
        <v>28590</v>
      </c>
      <c r="BJ59" s="612">
        <f t="shared" ref="BJ59" si="85">BI59</f>
        <v>28590</v>
      </c>
      <c r="BK59" s="583">
        <f>'IB 5D2-(MYPE_I)(Pesca_A)_2021'!AH77</f>
        <v>29116</v>
      </c>
      <c r="BL59" s="585">
        <f t="shared" si="54"/>
        <v>29116</v>
      </c>
      <c r="BM59" s="583">
        <f>'IB 5D2-(MYPE_I)(Pesca_A)_2021'!AI77</f>
        <v>28150</v>
      </c>
      <c r="BN59" s="585">
        <f t="shared" si="54"/>
        <v>28150</v>
      </c>
      <c r="BO59" s="583">
        <f>'IB 5D2-(MYPE_I)(Pesca_A)_2021'!AJ77</f>
        <v>21505</v>
      </c>
      <c r="BP59" s="585">
        <f t="shared" si="54"/>
        <v>21505</v>
      </c>
      <c r="BR59" s="263" t="str">
        <f>'Fac Conv'!$G$19</f>
        <v>Pulpa y papel (combinados)</v>
      </c>
      <c r="BS59" s="263">
        <f>VLOOKUP(BR59,'Fac Conv'!$G$10:$K$25,2,FALSE)</f>
        <v>162</v>
      </c>
      <c r="BT59" s="263">
        <f>VLOOKUP(BR59,'Fac Conv'!$G$10:$K$25,4,FALSE)</f>
        <v>240</v>
      </c>
    </row>
    <row r="60" spans="2:72" ht="13.9" customHeight="1">
      <c r="B60" s="766"/>
      <c r="C60" s="87" t="str">
        <f>'IB 5D2-(MYPE_I)(Pesca_A)_2021'!D78</f>
        <v xml:space="preserve">Papeles diversos                  </v>
      </c>
      <c r="D60" s="514" t="str">
        <f>'IB 5D2-(MYPE_I)(Pesca_A)_2021'!E78</f>
        <v>TM</v>
      </c>
      <c r="E60" s="588"/>
      <c r="F60" s="588"/>
      <c r="G60" s="677" t="str">
        <f>'IB 5D2-(MYPE_I)(Pesca_A)_2021'!F78</f>
        <v>(no reporta)</v>
      </c>
      <c r="H60" s="588"/>
      <c r="I60" s="576" t="str">
        <f>'IB 5D2-(MYPE_I)(Pesca_A)_2021'!G78</f>
        <v>(no reporta)</v>
      </c>
      <c r="J60" s="588"/>
      <c r="K60" s="576" t="str">
        <f>'IB 5D2-(MYPE_I)(Pesca_A)_2021'!H78</f>
        <v>(no reporta)</v>
      </c>
      <c r="L60" s="588"/>
      <c r="M60" s="587" t="str">
        <f>'IB 5D2-(MYPE_I)(Pesca_A)_2021'!I78</f>
        <v>(no reporta)</v>
      </c>
      <c r="N60" s="588"/>
      <c r="O60" s="587" t="str">
        <f>'IB 5D2-(MYPE_I)(Pesca_A)_2021'!J78</f>
        <v>(no reporta)</v>
      </c>
      <c r="P60" s="588"/>
      <c r="Q60" s="587" t="str">
        <f>'IB 5D2-(MYPE_I)(Pesca_A)_2021'!K78</f>
        <v>(no reporta)</v>
      </c>
      <c r="R60" s="588"/>
      <c r="S60" s="587" t="str">
        <f>'IB 5D2-(MYPE_I)(Pesca_A)_2021'!L78</f>
        <v>(no reporta)</v>
      </c>
      <c r="T60" s="588"/>
      <c r="U60" s="587" t="str">
        <f>'IB 5D2-(MYPE_I)(Pesca_A)_2021'!M78</f>
        <v>(no reporta)</v>
      </c>
      <c r="V60" s="588"/>
      <c r="W60" s="587" t="str">
        <f>'IB 5D2-(MYPE_I)(Pesca_A)_2021'!N78</f>
        <v>(no reporta)</v>
      </c>
      <c r="X60" s="588"/>
      <c r="Y60" s="587" t="str">
        <f>'IB 5D2-(MYPE_I)(Pesca_A)_2021'!O78</f>
        <v>(no reporta)</v>
      </c>
      <c r="Z60" s="588"/>
      <c r="AA60" s="587" t="str">
        <f>'IB 5D2-(MYPE_I)(Pesca_A)_2021'!P78</f>
        <v>(no reporta)</v>
      </c>
      <c r="AB60" s="588"/>
      <c r="AC60" s="587" t="str">
        <f>'IB 5D2-(MYPE_I)(Pesca_A)_2021'!Q78</f>
        <v>(no reporta)</v>
      </c>
      <c r="AD60" s="588"/>
      <c r="AE60" s="587" t="str">
        <f>'IB 5D2-(MYPE_I)(Pesca_A)_2021'!R78</f>
        <v>(no reporta)</v>
      </c>
      <c r="AF60" s="588"/>
      <c r="AG60" s="587" t="str">
        <f>'IB 5D2-(MYPE_I)(Pesca_A)_2021'!S78</f>
        <v>(no reporta)</v>
      </c>
      <c r="AH60" s="588"/>
      <c r="AI60" s="587" t="str">
        <f>'IB 5D2-(MYPE_I)(Pesca_A)_2021'!T78</f>
        <v>(no reporta)</v>
      </c>
      <c r="AJ60" s="588"/>
      <c r="AK60" s="587" t="str">
        <f>'IB 5D2-(MYPE_I)(Pesca_A)_2021'!U78</f>
        <v>(no reporta)</v>
      </c>
      <c r="AL60" s="588"/>
      <c r="AM60" s="587" t="str">
        <f>'IB 5D2-(MYPE_I)(Pesca_A)_2021'!V78</f>
        <v>(no reporta)</v>
      </c>
      <c r="AN60" s="588"/>
      <c r="AO60" s="587" t="str">
        <f>'IB 5D2-(MYPE_I)(Pesca_A)_2021'!W78</f>
        <v>(no reporta)</v>
      </c>
      <c r="AP60" s="588"/>
      <c r="AQ60" s="587" t="str">
        <f>'IB 5D2-(MYPE_I)(Pesca_A)_2021'!X78</f>
        <v>(no reporta)</v>
      </c>
      <c r="AR60" s="588"/>
      <c r="AS60" s="587" t="str">
        <f>'IB 5D2-(MYPE_I)(Pesca_A)_2021'!Y78</f>
        <v>(no reporta)</v>
      </c>
      <c r="AT60" s="588"/>
      <c r="AU60" s="611">
        <f>'IB 5D2-(MYPE_I)(Pesca_A)_2021'!Z78</f>
        <v>51245</v>
      </c>
      <c r="AV60" s="612">
        <f t="shared" si="55"/>
        <v>51245</v>
      </c>
      <c r="AW60" s="611">
        <f>'IB 5D2-(MYPE_I)(Pesca_A)_2021'!AA78</f>
        <v>50473</v>
      </c>
      <c r="AX60" s="612">
        <f t="shared" si="55"/>
        <v>50473</v>
      </c>
      <c r="AY60" s="611">
        <f>'IB 5D2-(MYPE_I)(Pesca_A)_2021'!AB78</f>
        <v>55407</v>
      </c>
      <c r="AZ60" s="612">
        <f t="shared" ref="AZ60" si="86">AY60</f>
        <v>55407</v>
      </c>
      <c r="BA60" s="611">
        <f>'IB 5D2-(MYPE_I)(Pesca_A)_2021'!AC78</f>
        <v>57310</v>
      </c>
      <c r="BB60" s="612">
        <f t="shared" ref="BB60" si="87">BA60</f>
        <v>57310</v>
      </c>
      <c r="BC60" s="611">
        <f>'IB 5D2-(MYPE_I)(Pesca_A)_2021'!AD78</f>
        <v>53553</v>
      </c>
      <c r="BD60" s="612">
        <f t="shared" ref="BD60" si="88">BC60</f>
        <v>53553</v>
      </c>
      <c r="BE60" s="611">
        <f>'IB 5D2-(MYPE_I)(Pesca_A)_2021'!AE78</f>
        <v>52784</v>
      </c>
      <c r="BF60" s="612">
        <f t="shared" ref="BF60" si="89">BE60</f>
        <v>52784</v>
      </c>
      <c r="BG60" s="611">
        <f>'IB 5D2-(MYPE_I)(Pesca_A)_2021'!AF78</f>
        <v>50414</v>
      </c>
      <c r="BH60" s="612">
        <f t="shared" ref="BH60" si="90">BG60</f>
        <v>50414</v>
      </c>
      <c r="BI60" s="611">
        <f>'IB 5D2-(MYPE_I)(Pesca_A)_2021'!AG78</f>
        <v>52935</v>
      </c>
      <c r="BJ60" s="612">
        <f t="shared" ref="BJ60" si="91">BI60</f>
        <v>52935</v>
      </c>
      <c r="BK60" s="583">
        <f>'IB 5D2-(MYPE_I)(Pesca_A)_2021'!AH78</f>
        <v>41392</v>
      </c>
      <c r="BL60" s="585">
        <f t="shared" si="54"/>
        <v>41392</v>
      </c>
      <c r="BM60" s="583">
        <f>'IB 5D2-(MYPE_I)(Pesca_A)_2021'!AI78</f>
        <v>30704</v>
      </c>
      <c r="BN60" s="585">
        <f t="shared" si="54"/>
        <v>30704</v>
      </c>
      <c r="BO60" s="583">
        <f>'IB 5D2-(MYPE_I)(Pesca_A)_2021'!AJ78</f>
        <v>25370</v>
      </c>
      <c r="BP60" s="585">
        <f t="shared" si="54"/>
        <v>25370</v>
      </c>
      <c r="BR60" s="263" t="str">
        <f>'Fac Conv'!$G$19</f>
        <v>Pulpa y papel (combinados)</v>
      </c>
      <c r="BS60" s="263">
        <f>VLOOKUP(BR60,'Fac Conv'!$G$10:$K$25,2,FALSE)</f>
        <v>162</v>
      </c>
      <c r="BT60" s="263">
        <f>VLOOKUP(BR60,'Fac Conv'!$G$10:$K$25,4,FALSE)</f>
        <v>240</v>
      </c>
    </row>
    <row r="61" spans="2:72" ht="13.9" customHeight="1">
      <c r="B61" s="766"/>
      <c r="C61" s="87" t="str">
        <f>'IB 5D2-(MYPE_I)(Pesca_A)_2021'!D79</f>
        <v>Cartulina</v>
      </c>
      <c r="D61" s="514" t="str">
        <f>'IB 5D2-(MYPE_I)(Pesca_A)_2021'!E79</f>
        <v>TM/CTO</v>
      </c>
      <c r="E61" s="588"/>
      <c r="F61" s="588"/>
      <c r="G61" s="677" t="str">
        <f>'IB 5D2-(MYPE_I)(Pesca_A)_2021'!F79</f>
        <v>(no reporta)</v>
      </c>
      <c r="H61" s="588"/>
      <c r="I61" s="576" t="str">
        <f>'IB 5D2-(MYPE_I)(Pesca_A)_2021'!G79</f>
        <v>(no reporta)</v>
      </c>
      <c r="J61" s="588"/>
      <c r="K61" s="576" t="str">
        <f>'IB 5D2-(MYPE_I)(Pesca_A)_2021'!H79</f>
        <v>(no reporta)</v>
      </c>
      <c r="L61" s="588"/>
      <c r="M61" s="611">
        <f>'IB 5D2-(MYPE_I)(Pesca_A)_2021'!I79</f>
        <v>1099.3030000000001</v>
      </c>
      <c r="N61" s="612">
        <f>M61</f>
        <v>1099.3030000000001</v>
      </c>
      <c r="O61" s="611">
        <f>'IB 5D2-(MYPE_I)(Pesca_A)_2021'!J79</f>
        <v>1450.34</v>
      </c>
      <c r="P61" s="612">
        <f>O61</f>
        <v>1450.34</v>
      </c>
      <c r="Q61" s="611">
        <f>'IB 5D2-(MYPE_I)(Pesca_A)_2021'!K79</f>
        <v>1043.192</v>
      </c>
      <c r="R61" s="612">
        <f>Q61</f>
        <v>1043.192</v>
      </c>
      <c r="S61" s="611">
        <f>'IB 5D2-(MYPE_I)(Pesca_A)_2021'!L79</f>
        <v>749.26199999999994</v>
      </c>
      <c r="T61" s="612">
        <f>S61</f>
        <v>749.26199999999994</v>
      </c>
      <c r="U61" s="611">
        <f>'IB 5D2-(MYPE_I)(Pesca_A)_2021'!M79</f>
        <v>1723.335</v>
      </c>
      <c r="V61" s="612">
        <f>U61</f>
        <v>1723.335</v>
      </c>
      <c r="W61" s="611">
        <f>'IB 5D2-(MYPE_I)(Pesca_A)_2021'!N79</f>
        <v>3289.1370000000002</v>
      </c>
      <c r="X61" s="612">
        <f>W61</f>
        <v>3289.1370000000002</v>
      </c>
      <c r="Y61" s="611">
        <f>'IB 5D2-(MYPE_I)(Pesca_A)_2021'!O79</f>
        <v>4287.4629999999997</v>
      </c>
      <c r="Z61" s="612">
        <f>Y61</f>
        <v>4287.4629999999997</v>
      </c>
      <c r="AA61" s="611">
        <f>'IB 5D2-(MYPE_I)(Pesca_A)_2021'!P79</f>
        <v>3053.8110000000001</v>
      </c>
      <c r="AB61" s="612">
        <f>AA61</f>
        <v>3053.8110000000001</v>
      </c>
      <c r="AC61" s="587" t="str">
        <f>'IB 5D2-(MYPE_I)(Pesca_A)_2021'!Q79</f>
        <v>(no reporta)</v>
      </c>
      <c r="AD61" s="588"/>
      <c r="AE61" s="587" t="str">
        <f>'IB 5D2-(MYPE_I)(Pesca_A)_2021'!R79</f>
        <v>(no reporta)</v>
      </c>
      <c r="AF61" s="588"/>
      <c r="AG61" s="587" t="str">
        <f>'IB 5D2-(MYPE_I)(Pesca_A)_2021'!S79</f>
        <v>(no reporta)</v>
      </c>
      <c r="AH61" s="588"/>
      <c r="AI61" s="587" t="str">
        <f>'IB 5D2-(MYPE_I)(Pesca_A)_2021'!T79</f>
        <v>(no reporta)</v>
      </c>
      <c r="AJ61" s="588"/>
      <c r="AK61" s="587" t="str">
        <f>'IB 5D2-(MYPE_I)(Pesca_A)_2021'!U79</f>
        <v>(no reporta)</v>
      </c>
      <c r="AL61" s="588"/>
      <c r="AM61" s="587" t="str">
        <f>'IB 5D2-(MYPE_I)(Pesca_A)_2021'!V79</f>
        <v>(no reporta)</v>
      </c>
      <c r="AN61" s="588"/>
      <c r="AO61" s="587" t="str">
        <f>'IB 5D2-(MYPE_I)(Pesca_A)_2021'!W79</f>
        <v>(no reporta)</v>
      </c>
      <c r="AP61" s="588"/>
      <c r="AQ61" s="587" t="str">
        <f>'IB 5D2-(MYPE_I)(Pesca_A)_2021'!X79</f>
        <v>(no reporta)</v>
      </c>
      <c r="AR61" s="588"/>
      <c r="AS61" s="587" t="str">
        <f>'IB 5D2-(MYPE_I)(Pesca_A)_2021'!Y79</f>
        <v>(no reporta)</v>
      </c>
      <c r="AT61" s="588"/>
      <c r="AU61" s="611">
        <f>'IB 5D2-(MYPE_I)(Pesca_A)_2021'!Z79</f>
        <v>171724</v>
      </c>
      <c r="AV61" s="612">
        <f t="shared" si="55"/>
        <v>171724</v>
      </c>
      <c r="AW61" s="611">
        <f>'IB 5D2-(MYPE_I)(Pesca_A)_2021'!AA79</f>
        <v>134986</v>
      </c>
      <c r="AX61" s="612">
        <f t="shared" si="55"/>
        <v>134986</v>
      </c>
      <c r="AY61" s="611">
        <f>'IB 5D2-(MYPE_I)(Pesca_A)_2021'!AB79</f>
        <v>116677</v>
      </c>
      <c r="AZ61" s="612">
        <f t="shared" ref="AZ61" si="92">AY61</f>
        <v>116677</v>
      </c>
      <c r="BA61" s="611">
        <f>'IB 5D2-(MYPE_I)(Pesca_A)_2021'!AC79</f>
        <v>127472</v>
      </c>
      <c r="BB61" s="612">
        <f t="shared" ref="BB61" si="93">BA61</f>
        <v>127472</v>
      </c>
      <c r="BC61" s="611">
        <f>'IB 5D2-(MYPE_I)(Pesca_A)_2021'!AD79</f>
        <v>141631</v>
      </c>
      <c r="BD61" s="612">
        <f t="shared" ref="BD61" si="94">BC61</f>
        <v>141631</v>
      </c>
      <c r="BE61" s="611">
        <f>'IB 5D2-(MYPE_I)(Pesca_A)_2021'!AE79</f>
        <v>123680</v>
      </c>
      <c r="BF61" s="612">
        <f t="shared" ref="BF61" si="95">BE61</f>
        <v>123680</v>
      </c>
      <c r="BG61" s="611">
        <f>'IB 5D2-(MYPE_I)(Pesca_A)_2021'!AF79</f>
        <v>102762</v>
      </c>
      <c r="BH61" s="612">
        <f t="shared" ref="BH61" si="96">BG61</f>
        <v>102762</v>
      </c>
      <c r="BI61" s="611">
        <f>'IB 5D2-(MYPE_I)(Pesca_A)_2021'!AG79</f>
        <v>9547</v>
      </c>
      <c r="BJ61" s="612">
        <f t="shared" ref="BJ61" si="97">BI61</f>
        <v>9547</v>
      </c>
      <c r="BK61" s="583">
        <f>'IB 5D2-(MYPE_I)(Pesca_A)_2021'!AH79</f>
        <v>3786</v>
      </c>
      <c r="BL61" s="593"/>
      <c r="BM61" s="583">
        <f>'IB 5D2-(MYPE_I)(Pesca_A)_2021'!AI79</f>
        <v>4575</v>
      </c>
      <c r="BN61" s="593"/>
      <c r="BO61" s="583">
        <f>'IB 5D2-(MYPE_I)(Pesca_A)_2021'!AJ79</f>
        <v>6948</v>
      </c>
      <c r="BP61" s="593"/>
      <c r="BQ61" s="264" t="s">
        <v>454</v>
      </c>
      <c r="BR61" s="263" t="str">
        <f>'Fac Conv'!$G$19</f>
        <v>Pulpa y papel (combinados)</v>
      </c>
      <c r="BS61" s="263">
        <f>VLOOKUP(BR61,'Fac Conv'!$G$10:$K$25,2,FALSE)</f>
        <v>162</v>
      </c>
      <c r="BT61" s="263">
        <f>VLOOKUP(BR61,'Fac Conv'!$G$10:$K$25,4,FALSE)</f>
        <v>240</v>
      </c>
    </row>
    <row r="62" spans="2:72" ht="13.9" customHeight="1">
      <c r="B62" s="766"/>
      <c r="C62" s="87" t="str">
        <f>'IB 5D2-(MYPE_I)(Pesca_A)_2021'!D80</f>
        <v>papel Kraft y similares</v>
      </c>
      <c r="D62" s="514" t="str">
        <f>'IB 5D2-(MYPE_I)(Pesca_A)_2021'!E80</f>
        <v>TM</v>
      </c>
      <c r="E62" s="588"/>
      <c r="F62" s="588"/>
      <c r="G62" s="677" t="str">
        <f>'IB 5D2-(MYPE_I)(Pesca_A)_2021'!F80</f>
        <v>(no reporta)</v>
      </c>
      <c r="H62" s="588"/>
      <c r="I62" s="576" t="str">
        <f>'IB 5D2-(MYPE_I)(Pesca_A)_2021'!G80</f>
        <v>(no reporta)</v>
      </c>
      <c r="J62" s="588"/>
      <c r="K62" s="576" t="str">
        <f>'IB 5D2-(MYPE_I)(Pesca_A)_2021'!H80</f>
        <v>(no reporta)</v>
      </c>
      <c r="L62" s="588"/>
      <c r="M62" s="611">
        <f>'IB 5D2-(MYPE_I)(Pesca_A)_2021'!I80</f>
        <v>7882.277</v>
      </c>
      <c r="N62" s="612">
        <f t="shared" ref="N62:P65" si="98">M62</f>
        <v>7882.277</v>
      </c>
      <c r="O62" s="611">
        <f>'IB 5D2-(MYPE_I)(Pesca_A)_2021'!J80</f>
        <v>3418.395</v>
      </c>
      <c r="P62" s="612">
        <f t="shared" si="98"/>
        <v>3418.395</v>
      </c>
      <c r="Q62" s="611">
        <f>'IB 5D2-(MYPE_I)(Pesca_A)_2021'!K80</f>
        <v>7023.8860000000004</v>
      </c>
      <c r="R62" s="612">
        <f t="shared" ref="R62" si="99">Q62</f>
        <v>7023.8860000000004</v>
      </c>
      <c r="S62" s="611">
        <f>'IB 5D2-(MYPE_I)(Pesca_A)_2021'!L80</f>
        <v>6503.9589999999998</v>
      </c>
      <c r="T62" s="612">
        <f t="shared" ref="T62" si="100">S62</f>
        <v>6503.9589999999998</v>
      </c>
      <c r="U62" s="611">
        <f>'IB 5D2-(MYPE_I)(Pesca_A)_2021'!M80</f>
        <v>5477.5910000000003</v>
      </c>
      <c r="V62" s="612">
        <f t="shared" ref="V62" si="101">U62</f>
        <v>5477.5910000000003</v>
      </c>
      <c r="W62" s="611">
        <f>'IB 5D2-(MYPE_I)(Pesca_A)_2021'!N80</f>
        <v>5951.2520000000004</v>
      </c>
      <c r="X62" s="612">
        <f t="shared" ref="X62" si="102">W62</f>
        <v>5951.2520000000004</v>
      </c>
      <c r="Y62" s="611">
        <f>'IB 5D2-(MYPE_I)(Pesca_A)_2021'!O80</f>
        <v>5779.9830000000002</v>
      </c>
      <c r="Z62" s="612">
        <f t="shared" ref="Z62" si="103">Y62</f>
        <v>5779.9830000000002</v>
      </c>
      <c r="AA62" s="611">
        <f>'IB 5D2-(MYPE_I)(Pesca_A)_2021'!P80</f>
        <v>6272.0919999999996</v>
      </c>
      <c r="AB62" s="612">
        <f t="shared" ref="AB62" si="104">AA62</f>
        <v>6272.0919999999996</v>
      </c>
      <c r="AC62" s="611">
        <f>'IB 5D2-(MYPE_I)(Pesca_A)_2021'!Q80</f>
        <v>5198.7</v>
      </c>
      <c r="AD62" s="612">
        <f t="shared" ref="AD62:AF62" si="105">AC62</f>
        <v>5198.7</v>
      </c>
      <c r="AE62" s="611">
        <f>'IB 5D2-(MYPE_I)(Pesca_A)_2021'!R80</f>
        <v>5262</v>
      </c>
      <c r="AF62" s="612">
        <f t="shared" si="105"/>
        <v>5262</v>
      </c>
      <c r="AG62" s="611">
        <f>'IB 5D2-(MYPE_I)(Pesca_A)_2021'!S80</f>
        <v>3862.8</v>
      </c>
      <c r="AH62" s="612">
        <f t="shared" ref="AH62" si="106">AG62</f>
        <v>3862.8</v>
      </c>
      <c r="AI62" s="611">
        <f>'IB 5D2-(MYPE_I)(Pesca_A)_2021'!T80</f>
        <v>4924.2</v>
      </c>
      <c r="AJ62" s="612">
        <f t="shared" ref="AJ62" si="107">AI62</f>
        <v>4924.2</v>
      </c>
      <c r="AK62" s="611">
        <f>'IB 5D2-(MYPE_I)(Pesca_A)_2021'!U80</f>
        <v>7149.8</v>
      </c>
      <c r="AL62" s="612">
        <f t="shared" ref="AL62" si="108">AK62</f>
        <v>7149.8</v>
      </c>
      <c r="AM62" s="611">
        <f>'IB 5D2-(MYPE_I)(Pesca_A)_2021'!V80</f>
        <v>5285</v>
      </c>
      <c r="AN62" s="612">
        <f t="shared" ref="AN62" si="109">AM62</f>
        <v>5285</v>
      </c>
      <c r="AO62" s="611">
        <f>'IB 5D2-(MYPE_I)(Pesca_A)_2021'!W80</f>
        <v>4533.3999999999996</v>
      </c>
      <c r="AP62" s="612">
        <f t="shared" ref="AP62" si="110">AO62</f>
        <v>4533.3999999999996</v>
      </c>
      <c r="AQ62" s="611">
        <f>'IB 5D2-(MYPE_I)(Pesca_A)_2021'!X80</f>
        <v>3429.2</v>
      </c>
      <c r="AR62" s="612">
        <f t="shared" ref="AR62" si="111">AQ62</f>
        <v>3429.2</v>
      </c>
      <c r="AS62" s="611">
        <f>'IB 5D2-(MYPE_I)(Pesca_A)_2021'!Y80</f>
        <v>3696.4</v>
      </c>
      <c r="AT62" s="612">
        <f t="shared" ref="AT62" si="112">AS62</f>
        <v>3696.4</v>
      </c>
      <c r="AU62" s="576" t="str">
        <f>'IB 5D2-(MYPE_I)(Pesca_A)_2021'!Z80</f>
        <v>(no reporta)</v>
      </c>
      <c r="AV62" s="588"/>
      <c r="AW62" s="576" t="str">
        <f>'IB 5D2-(MYPE_I)(Pesca_A)_2021'!AA80</f>
        <v>(no reporta)</v>
      </c>
      <c r="AX62" s="588"/>
      <c r="AY62" s="576" t="str">
        <f>'IB 5D2-(MYPE_I)(Pesca_A)_2021'!AB80</f>
        <v>(no reporta)</v>
      </c>
      <c r="AZ62" s="588"/>
      <c r="BA62" s="576" t="str">
        <f>'IB 5D2-(MYPE_I)(Pesca_A)_2021'!AC80</f>
        <v>(no reporta)</v>
      </c>
      <c r="BB62" s="588"/>
      <c r="BC62" s="576" t="str">
        <f>'IB 5D2-(MYPE_I)(Pesca_A)_2021'!AD80</f>
        <v>(no reporta)</v>
      </c>
      <c r="BD62" s="588"/>
      <c r="BE62" s="576" t="str">
        <f>'IB 5D2-(MYPE_I)(Pesca_A)_2021'!AE80</f>
        <v>(no reporta)</v>
      </c>
      <c r="BF62" s="588"/>
      <c r="BG62" s="576" t="str">
        <f>'IB 5D2-(MYPE_I)(Pesca_A)_2021'!AF80</f>
        <v>(no reporta)</v>
      </c>
      <c r="BH62" s="588"/>
      <c r="BI62" s="576" t="str">
        <f>'IB 5D2-(MYPE_I)(Pesca_A)_2021'!AG80</f>
        <v>(no reporta)</v>
      </c>
      <c r="BJ62" s="588"/>
      <c r="BK62" s="587" t="str">
        <f>'IB 5D2-(MYPE_I)(Pesca_A)_2021'!AH80</f>
        <v>(no reporta)</v>
      </c>
      <c r="BL62" s="588"/>
      <c r="BM62" s="587" t="str">
        <f>'IB 5D2-(MYPE_I)(Pesca_A)_2021'!AI80</f>
        <v>(no reporta)</v>
      </c>
      <c r="BN62" s="588"/>
      <c r="BO62" s="587" t="str">
        <f>'IB 5D2-(MYPE_I)(Pesca_A)_2021'!AJ80</f>
        <v>(no reporta)</v>
      </c>
      <c r="BP62" s="588"/>
      <c r="BQ62" s="603" t="s">
        <v>452</v>
      </c>
      <c r="BR62" s="263" t="str">
        <f>'Fac Conv'!$G$19</f>
        <v>Pulpa y papel (combinados)</v>
      </c>
      <c r="BS62" s="263">
        <f>VLOOKUP(BR62,'Fac Conv'!$G$10:$K$25,2,FALSE)</f>
        <v>162</v>
      </c>
      <c r="BT62" s="263">
        <f>VLOOKUP(BR62,'Fac Conv'!$G$10:$K$25,4,FALSE)</f>
        <v>240</v>
      </c>
    </row>
    <row r="63" spans="2:72" ht="13.9" customHeight="1">
      <c r="B63" s="766"/>
      <c r="C63" s="87" t="str">
        <f>'IB 5D2-(MYPE_I)(Pesca_A)_2021'!D81</f>
        <v>cartón liner</v>
      </c>
      <c r="D63" s="514" t="str">
        <f>'IB 5D2-(MYPE_I)(Pesca_A)_2021'!E81</f>
        <v>TM</v>
      </c>
      <c r="E63" s="588"/>
      <c r="F63" s="588"/>
      <c r="G63" s="677" t="str">
        <f>'IB 5D2-(MYPE_I)(Pesca_A)_2021'!F81</f>
        <v>(no reporta)</v>
      </c>
      <c r="H63" s="588"/>
      <c r="I63" s="576" t="str">
        <f>'IB 5D2-(MYPE_I)(Pesca_A)_2021'!G81</f>
        <v>(no reporta)</v>
      </c>
      <c r="J63" s="588"/>
      <c r="K63" s="576" t="str">
        <f>'IB 5D2-(MYPE_I)(Pesca_A)_2021'!H81</f>
        <v>(no reporta)</v>
      </c>
      <c r="L63" s="588"/>
      <c r="M63" s="611">
        <f>'IB 5D2-(MYPE_I)(Pesca_A)_2021'!I81</f>
        <v>14952.995999999999</v>
      </c>
      <c r="N63" s="612">
        <f t="shared" si="98"/>
        <v>14952.995999999999</v>
      </c>
      <c r="O63" s="611">
        <f>'IB 5D2-(MYPE_I)(Pesca_A)_2021'!J81</f>
        <v>14441.771000000001</v>
      </c>
      <c r="P63" s="612">
        <f t="shared" si="98"/>
        <v>14441.771000000001</v>
      </c>
      <c r="Q63" s="611">
        <f>'IB 5D2-(MYPE_I)(Pesca_A)_2021'!K81</f>
        <v>16263.679</v>
      </c>
      <c r="R63" s="612">
        <f t="shared" ref="R63" si="113">Q63</f>
        <v>16263.679</v>
      </c>
      <c r="S63" s="611">
        <f>'IB 5D2-(MYPE_I)(Pesca_A)_2021'!L81</f>
        <v>16615.583999999999</v>
      </c>
      <c r="T63" s="612">
        <f t="shared" ref="T63" si="114">S63</f>
        <v>16615.583999999999</v>
      </c>
      <c r="U63" s="611">
        <f>'IB 5D2-(MYPE_I)(Pesca_A)_2021'!M81</f>
        <v>17041.728999999999</v>
      </c>
      <c r="V63" s="612">
        <f t="shared" ref="V63" si="115">U63</f>
        <v>17041.728999999999</v>
      </c>
      <c r="W63" s="611">
        <f>'IB 5D2-(MYPE_I)(Pesca_A)_2021'!N81</f>
        <v>28792.687999999998</v>
      </c>
      <c r="X63" s="612">
        <f t="shared" ref="X63" si="116">W63</f>
        <v>28792.687999999998</v>
      </c>
      <c r="Y63" s="611">
        <f>'IB 5D2-(MYPE_I)(Pesca_A)_2021'!O81</f>
        <v>25361.178</v>
      </c>
      <c r="Z63" s="612">
        <f t="shared" ref="Z63" si="117">Y63</f>
        <v>25361.178</v>
      </c>
      <c r="AA63" s="611">
        <f>'IB 5D2-(MYPE_I)(Pesca_A)_2021'!P81</f>
        <v>28059.231</v>
      </c>
      <c r="AB63" s="612">
        <f t="shared" ref="AB63" si="118">AA63</f>
        <v>28059.231</v>
      </c>
      <c r="AC63" s="611">
        <f>'IB 5D2-(MYPE_I)(Pesca_A)_2021'!Q81</f>
        <v>23557.599999999999</v>
      </c>
      <c r="AD63" s="612">
        <f t="shared" ref="AD63:AF63" si="119">AC63</f>
        <v>23557.599999999999</v>
      </c>
      <c r="AE63" s="611">
        <f>'IB 5D2-(MYPE_I)(Pesca_A)_2021'!R81</f>
        <v>23370.9</v>
      </c>
      <c r="AF63" s="612">
        <f t="shared" si="119"/>
        <v>23370.9</v>
      </c>
      <c r="AG63" s="611">
        <f>'IB 5D2-(MYPE_I)(Pesca_A)_2021'!S81</f>
        <v>33349.5</v>
      </c>
      <c r="AH63" s="612">
        <f t="shared" ref="AH63" si="120">AG63</f>
        <v>33349.5</v>
      </c>
      <c r="AI63" s="611">
        <f>'IB 5D2-(MYPE_I)(Pesca_A)_2021'!T81</f>
        <v>42826.3</v>
      </c>
      <c r="AJ63" s="612">
        <f t="shared" ref="AJ63" si="121">AI63</f>
        <v>42826.3</v>
      </c>
      <c r="AK63" s="611">
        <f>'IB 5D2-(MYPE_I)(Pesca_A)_2021'!U81</f>
        <v>39348</v>
      </c>
      <c r="AL63" s="612">
        <f t="shared" ref="AL63" si="122">AK63</f>
        <v>39348</v>
      </c>
      <c r="AM63" s="611">
        <f>'IB 5D2-(MYPE_I)(Pesca_A)_2021'!V81</f>
        <v>42688.5</v>
      </c>
      <c r="AN63" s="612">
        <f t="shared" ref="AN63" si="123">AM63</f>
        <v>42688.5</v>
      </c>
      <c r="AO63" s="611">
        <f>'IB 5D2-(MYPE_I)(Pesca_A)_2021'!W81</f>
        <v>39127.699999999997</v>
      </c>
      <c r="AP63" s="612">
        <f t="shared" ref="AP63" si="124">AO63</f>
        <v>39127.699999999997</v>
      </c>
      <c r="AQ63" s="611">
        <f>'IB 5D2-(MYPE_I)(Pesca_A)_2021'!X81</f>
        <v>55856.800000000003</v>
      </c>
      <c r="AR63" s="612">
        <f t="shared" ref="AR63" si="125">AQ63</f>
        <v>55856.800000000003</v>
      </c>
      <c r="AS63" s="611">
        <f>'IB 5D2-(MYPE_I)(Pesca_A)_2021'!Y81</f>
        <v>58285.5</v>
      </c>
      <c r="AT63" s="612">
        <f t="shared" ref="AT63" si="126">AS63</f>
        <v>58285.5</v>
      </c>
      <c r="AU63" s="576" t="str">
        <f>'IB 5D2-(MYPE_I)(Pesca_A)_2021'!Z81</f>
        <v>(no reporta)</v>
      </c>
      <c r="AV63" s="588"/>
      <c r="AW63" s="576" t="str">
        <f>'IB 5D2-(MYPE_I)(Pesca_A)_2021'!AA81</f>
        <v>(no reporta)</v>
      </c>
      <c r="AX63" s="588"/>
      <c r="AY63" s="576" t="str">
        <f>'IB 5D2-(MYPE_I)(Pesca_A)_2021'!AB81</f>
        <v>(no reporta)</v>
      </c>
      <c r="AZ63" s="588"/>
      <c r="BA63" s="576" t="str">
        <f>'IB 5D2-(MYPE_I)(Pesca_A)_2021'!AC81</f>
        <v>(no reporta)</v>
      </c>
      <c r="BB63" s="588"/>
      <c r="BC63" s="576" t="str">
        <f>'IB 5D2-(MYPE_I)(Pesca_A)_2021'!AD81</f>
        <v>(no reporta)</v>
      </c>
      <c r="BD63" s="588"/>
      <c r="BE63" s="576" t="str">
        <f>'IB 5D2-(MYPE_I)(Pesca_A)_2021'!AE81</f>
        <v>(no reporta)</v>
      </c>
      <c r="BF63" s="588"/>
      <c r="BG63" s="576" t="str">
        <f>'IB 5D2-(MYPE_I)(Pesca_A)_2021'!AF81</f>
        <v>(no reporta)</v>
      </c>
      <c r="BH63" s="588"/>
      <c r="BI63" s="576" t="str">
        <f>'IB 5D2-(MYPE_I)(Pesca_A)_2021'!AG81</f>
        <v>(no reporta)</v>
      </c>
      <c r="BJ63" s="588"/>
      <c r="BK63" s="587" t="str">
        <f>'IB 5D2-(MYPE_I)(Pesca_A)_2021'!AH81</f>
        <v>(no reporta)</v>
      </c>
      <c r="BL63" s="588"/>
      <c r="BM63" s="587" t="str">
        <f>'IB 5D2-(MYPE_I)(Pesca_A)_2021'!AI81</f>
        <v>(no reporta)</v>
      </c>
      <c r="BN63" s="588"/>
      <c r="BO63" s="587" t="str">
        <f>'IB 5D2-(MYPE_I)(Pesca_A)_2021'!AJ81</f>
        <v>(no reporta)</v>
      </c>
      <c r="BP63" s="588"/>
      <c r="BQ63" s="603" t="s">
        <v>452</v>
      </c>
      <c r="BR63" s="263" t="str">
        <f>'Fac Conv'!$G$19</f>
        <v>Pulpa y papel (combinados)</v>
      </c>
      <c r="BS63" s="263">
        <f>VLOOKUP(BR63,'Fac Conv'!$G$10:$K$25,2,FALSE)</f>
        <v>162</v>
      </c>
      <c r="BT63" s="263">
        <f>VLOOKUP(BR63,'Fac Conv'!$G$10:$K$25,4,FALSE)</f>
        <v>240</v>
      </c>
    </row>
    <row r="64" spans="2:72" ht="13.9" customHeight="1">
      <c r="B64" s="766"/>
      <c r="C64" s="87" t="str">
        <f>'IB 5D2-(MYPE_I)(Pesca_A)_2021'!D82</f>
        <v>cartón dúplex</v>
      </c>
      <c r="D64" s="514" t="str">
        <f>'IB 5D2-(MYPE_I)(Pesca_A)_2021'!E82</f>
        <v>TM</v>
      </c>
      <c r="E64" s="588"/>
      <c r="F64" s="588"/>
      <c r="G64" s="677" t="str">
        <f>'IB 5D2-(MYPE_I)(Pesca_A)_2021'!F82</f>
        <v>(no reporta)</v>
      </c>
      <c r="H64" s="588"/>
      <c r="I64" s="576" t="str">
        <f>'IB 5D2-(MYPE_I)(Pesca_A)_2021'!G82</f>
        <v>(no reporta)</v>
      </c>
      <c r="J64" s="588"/>
      <c r="K64" s="576" t="str">
        <f>'IB 5D2-(MYPE_I)(Pesca_A)_2021'!H82</f>
        <v>(no reporta)</v>
      </c>
      <c r="L64" s="588"/>
      <c r="M64" s="611">
        <f>'IB 5D2-(MYPE_I)(Pesca_A)_2021'!I82</f>
        <v>4370.0609999999997</v>
      </c>
      <c r="N64" s="612">
        <f t="shared" si="98"/>
        <v>4370.0609999999997</v>
      </c>
      <c r="O64" s="611">
        <f>'IB 5D2-(MYPE_I)(Pesca_A)_2021'!J82</f>
        <v>2689.3380000000002</v>
      </c>
      <c r="P64" s="612">
        <f t="shared" si="98"/>
        <v>2689.3380000000002</v>
      </c>
      <c r="Q64" s="611">
        <f>'IB 5D2-(MYPE_I)(Pesca_A)_2021'!K82</f>
        <v>1138.742</v>
      </c>
      <c r="R64" s="612">
        <f t="shared" ref="R64" si="127">Q64</f>
        <v>1138.742</v>
      </c>
      <c r="S64" s="611">
        <f>'IB 5D2-(MYPE_I)(Pesca_A)_2021'!L82</f>
        <v>786.49699999999996</v>
      </c>
      <c r="T64" s="612">
        <f t="shared" ref="T64" si="128">S64</f>
        <v>786.49699999999996</v>
      </c>
      <c r="U64" s="611">
        <f>'IB 5D2-(MYPE_I)(Pesca_A)_2021'!M82</f>
        <v>2083.326</v>
      </c>
      <c r="V64" s="612">
        <f t="shared" ref="V64" si="129">U64</f>
        <v>2083.326</v>
      </c>
      <c r="W64" s="611">
        <f>'IB 5D2-(MYPE_I)(Pesca_A)_2021'!N82</f>
        <v>1967.5419999999999</v>
      </c>
      <c r="X64" s="612">
        <f t="shared" ref="X64" si="130">W64</f>
        <v>1967.5419999999999</v>
      </c>
      <c r="Y64" s="611">
        <f>'IB 5D2-(MYPE_I)(Pesca_A)_2021'!O82</f>
        <v>2730.739</v>
      </c>
      <c r="Z64" s="612">
        <f t="shared" ref="Z64" si="131">Y64</f>
        <v>2730.739</v>
      </c>
      <c r="AA64" s="611">
        <f>'IB 5D2-(MYPE_I)(Pesca_A)_2021'!P82</f>
        <v>1646.258</v>
      </c>
      <c r="AB64" s="612">
        <f t="shared" ref="AB64" si="132">AA64</f>
        <v>1646.258</v>
      </c>
      <c r="AC64" s="587" t="str">
        <f>'IB 5D2-(MYPE_I)(Pesca_A)_2021'!Q82</f>
        <v>(no reporta)</v>
      </c>
      <c r="AD64" s="588"/>
      <c r="AE64" s="587" t="str">
        <f>'IB 5D2-(MYPE_I)(Pesca_A)_2021'!R82</f>
        <v>(no reporta)</v>
      </c>
      <c r="AF64" s="588"/>
      <c r="AG64" s="587" t="str">
        <f>'IB 5D2-(MYPE_I)(Pesca_A)_2021'!S82</f>
        <v>(no reporta)</v>
      </c>
      <c r="AH64" s="588"/>
      <c r="AI64" s="587" t="str">
        <f>'IB 5D2-(MYPE_I)(Pesca_A)_2021'!T82</f>
        <v>(no reporta)</v>
      </c>
      <c r="AJ64" s="588"/>
      <c r="AK64" s="587" t="str">
        <f>'IB 5D2-(MYPE_I)(Pesca_A)_2021'!U82</f>
        <v>(no reporta)</v>
      </c>
      <c r="AL64" s="588"/>
      <c r="AM64" s="587" t="str">
        <f>'IB 5D2-(MYPE_I)(Pesca_A)_2021'!V82</f>
        <v>(no reporta)</v>
      </c>
      <c r="AN64" s="588"/>
      <c r="AO64" s="587" t="str">
        <f>'IB 5D2-(MYPE_I)(Pesca_A)_2021'!W82</f>
        <v>(no reporta)</v>
      </c>
      <c r="AP64" s="588"/>
      <c r="AQ64" s="587" t="str">
        <f>'IB 5D2-(MYPE_I)(Pesca_A)_2021'!X82</f>
        <v>(no reporta)</v>
      </c>
      <c r="AR64" s="588"/>
      <c r="AS64" s="587" t="str">
        <f>'IB 5D2-(MYPE_I)(Pesca_A)_2021'!Y82</f>
        <v>(no reporta)</v>
      </c>
      <c r="AT64" s="588"/>
      <c r="AU64" s="576" t="str">
        <f>'IB 5D2-(MYPE_I)(Pesca_A)_2021'!Z82</f>
        <v>(no reporta)</v>
      </c>
      <c r="AV64" s="588"/>
      <c r="AW64" s="576" t="str">
        <f>'IB 5D2-(MYPE_I)(Pesca_A)_2021'!AA82</f>
        <v>(no reporta)</v>
      </c>
      <c r="AX64" s="588"/>
      <c r="AY64" s="576" t="str">
        <f>'IB 5D2-(MYPE_I)(Pesca_A)_2021'!AB82</f>
        <v>(no reporta)</v>
      </c>
      <c r="AZ64" s="588"/>
      <c r="BA64" s="576" t="str">
        <f>'IB 5D2-(MYPE_I)(Pesca_A)_2021'!AC82</f>
        <v>(no reporta)</v>
      </c>
      <c r="BB64" s="588"/>
      <c r="BC64" s="576" t="str">
        <f>'IB 5D2-(MYPE_I)(Pesca_A)_2021'!AD82</f>
        <v>(no reporta)</v>
      </c>
      <c r="BD64" s="588"/>
      <c r="BE64" s="576" t="str">
        <f>'IB 5D2-(MYPE_I)(Pesca_A)_2021'!AE82</f>
        <v>(no reporta)</v>
      </c>
      <c r="BF64" s="588"/>
      <c r="BG64" s="576" t="str">
        <f>'IB 5D2-(MYPE_I)(Pesca_A)_2021'!AF82</f>
        <v>(no reporta)</v>
      </c>
      <c r="BH64" s="588"/>
      <c r="BI64" s="576" t="str">
        <f>'IB 5D2-(MYPE_I)(Pesca_A)_2021'!AG82</f>
        <v>(no reporta)</v>
      </c>
      <c r="BJ64" s="588"/>
      <c r="BK64" s="587" t="str">
        <f>'IB 5D2-(MYPE_I)(Pesca_A)_2021'!AH82</f>
        <v>(no reporta)</v>
      </c>
      <c r="BL64" s="588"/>
      <c r="BM64" s="587" t="str">
        <f>'IB 5D2-(MYPE_I)(Pesca_A)_2021'!AI82</f>
        <v>(no reporta)</v>
      </c>
      <c r="BN64" s="588"/>
      <c r="BO64" s="587" t="str">
        <f>'IB 5D2-(MYPE_I)(Pesca_A)_2021'!AJ82</f>
        <v>(no reporta)</v>
      </c>
      <c r="BP64" s="588"/>
      <c r="BQ64" s="603" t="s">
        <v>452</v>
      </c>
      <c r="BR64" s="263" t="str">
        <f>'Fac Conv'!$G$19</f>
        <v>Pulpa y papel (combinados)</v>
      </c>
      <c r="BS64" s="263">
        <f>VLOOKUP(BR64,'Fac Conv'!$G$10:$K$25,2,FALSE)</f>
        <v>162</v>
      </c>
      <c r="BT64" s="263">
        <f>VLOOKUP(BR64,'Fac Conv'!$G$10:$K$25,4,FALSE)</f>
        <v>240</v>
      </c>
    </row>
    <row r="65" spans="2:72" ht="13.9" customHeight="1">
      <c r="B65" s="766"/>
      <c r="C65" s="87" t="str">
        <f>'IB 5D2-(MYPE_I)(Pesca_A)_2021'!D83</f>
        <v>cartón corrugado</v>
      </c>
      <c r="D65" s="514" t="str">
        <f>'IB 5D2-(MYPE_I)(Pesca_A)_2021'!E83</f>
        <v>TM</v>
      </c>
      <c r="E65" s="588"/>
      <c r="F65" s="588"/>
      <c r="G65" s="677" t="str">
        <f>'IB 5D2-(MYPE_I)(Pesca_A)_2021'!F83</f>
        <v>(no reporta)</v>
      </c>
      <c r="H65" s="588"/>
      <c r="I65" s="576" t="str">
        <f>'IB 5D2-(MYPE_I)(Pesca_A)_2021'!G83</f>
        <v>(no reporta)</v>
      </c>
      <c r="J65" s="588"/>
      <c r="K65" s="576" t="str">
        <f>'IB 5D2-(MYPE_I)(Pesca_A)_2021'!H83</f>
        <v>(no reporta)</v>
      </c>
      <c r="L65" s="588"/>
      <c r="M65" s="611">
        <f>'IB 5D2-(MYPE_I)(Pesca_A)_2021'!I83</f>
        <v>35775.599000000002</v>
      </c>
      <c r="N65" s="612">
        <f t="shared" si="98"/>
        <v>35775.599000000002</v>
      </c>
      <c r="O65" s="611">
        <f>'IB 5D2-(MYPE_I)(Pesca_A)_2021'!J83</f>
        <v>15529.96</v>
      </c>
      <c r="P65" s="612">
        <f t="shared" si="98"/>
        <v>15529.96</v>
      </c>
      <c r="Q65" s="611">
        <f>'IB 5D2-(MYPE_I)(Pesca_A)_2021'!K83</f>
        <v>4250.0119999999997</v>
      </c>
      <c r="R65" s="612">
        <f t="shared" ref="R65" si="133">Q65</f>
        <v>4250.0119999999997</v>
      </c>
      <c r="S65" s="611">
        <f>'IB 5D2-(MYPE_I)(Pesca_A)_2021'!L83</f>
        <v>177.685</v>
      </c>
      <c r="T65" s="612">
        <f t="shared" ref="T65" si="134">S65</f>
        <v>177.685</v>
      </c>
      <c r="U65" s="611">
        <f>'IB 5D2-(MYPE_I)(Pesca_A)_2021'!M83</f>
        <v>180.18799999999999</v>
      </c>
      <c r="V65" s="612">
        <f t="shared" ref="V65" si="135">U65</f>
        <v>180.18799999999999</v>
      </c>
      <c r="W65" s="611">
        <f>'IB 5D2-(MYPE_I)(Pesca_A)_2021'!N83</f>
        <v>6406.0789999999997</v>
      </c>
      <c r="X65" s="612">
        <f t="shared" ref="X65" si="136">W65</f>
        <v>6406.0789999999997</v>
      </c>
      <c r="Y65" s="611">
        <f>'IB 5D2-(MYPE_I)(Pesca_A)_2021'!O83</f>
        <v>5680.0230000000001</v>
      </c>
      <c r="Z65" s="612">
        <f t="shared" ref="Z65" si="137">Y65</f>
        <v>5680.0230000000001</v>
      </c>
      <c r="AA65" s="611">
        <f>'IB 5D2-(MYPE_I)(Pesca_A)_2021'!P83</f>
        <v>4788.1350000000002</v>
      </c>
      <c r="AB65" s="612">
        <f t="shared" ref="AB65" si="138">AA65</f>
        <v>4788.1350000000002</v>
      </c>
      <c r="AC65" s="611">
        <f>'IB 5D2-(MYPE_I)(Pesca_A)_2021'!Q83</f>
        <v>4948.6000000000004</v>
      </c>
      <c r="AD65" s="612">
        <f t="shared" ref="AD65:AF65" si="139">AC65</f>
        <v>4948.6000000000004</v>
      </c>
      <c r="AE65" s="611">
        <f>'IB 5D2-(MYPE_I)(Pesca_A)_2021'!R83</f>
        <v>7554.8</v>
      </c>
      <c r="AF65" s="612">
        <f t="shared" si="139"/>
        <v>7554.8</v>
      </c>
      <c r="AG65" s="611">
        <f>'IB 5D2-(MYPE_I)(Pesca_A)_2021'!S83</f>
        <v>5137.1000000000004</v>
      </c>
      <c r="AH65" s="612">
        <f t="shared" ref="AH65" si="140">AG65</f>
        <v>5137.1000000000004</v>
      </c>
      <c r="AI65" s="611">
        <f>'IB 5D2-(MYPE_I)(Pesca_A)_2021'!T83</f>
        <v>10574.8</v>
      </c>
      <c r="AJ65" s="612">
        <f t="shared" ref="AJ65" si="141">AI65</f>
        <v>10574.8</v>
      </c>
      <c r="AK65" s="611">
        <f>'IB 5D2-(MYPE_I)(Pesca_A)_2021'!U83</f>
        <v>8593</v>
      </c>
      <c r="AL65" s="612">
        <f t="shared" ref="AL65" si="142">AK65</f>
        <v>8593</v>
      </c>
      <c r="AM65" s="611">
        <f>'IB 5D2-(MYPE_I)(Pesca_A)_2021'!V83</f>
        <v>15908.5</v>
      </c>
      <c r="AN65" s="612">
        <f t="shared" ref="AN65" si="143">AM65</f>
        <v>15908.5</v>
      </c>
      <c r="AO65" s="611">
        <f>'IB 5D2-(MYPE_I)(Pesca_A)_2021'!W83</f>
        <v>15829.2</v>
      </c>
      <c r="AP65" s="612">
        <f t="shared" ref="AP65" si="144">AO65</f>
        <v>15829.2</v>
      </c>
      <c r="AQ65" s="611">
        <f>'IB 5D2-(MYPE_I)(Pesca_A)_2021'!X83</f>
        <v>18725.099999999999</v>
      </c>
      <c r="AR65" s="612">
        <f t="shared" ref="AR65" si="145">AQ65</f>
        <v>18725.099999999999</v>
      </c>
      <c r="AS65" s="611">
        <f>'IB 5D2-(MYPE_I)(Pesca_A)_2021'!Y83</f>
        <v>22386.6</v>
      </c>
      <c r="AT65" s="612">
        <f t="shared" ref="AT65" si="146">AS65</f>
        <v>22386.6</v>
      </c>
      <c r="AU65" s="576" t="str">
        <f>'IB 5D2-(MYPE_I)(Pesca_A)_2021'!Z83</f>
        <v>(no reporta)</v>
      </c>
      <c r="AV65" s="588"/>
      <c r="AW65" s="576" t="str">
        <f>'IB 5D2-(MYPE_I)(Pesca_A)_2021'!AA83</f>
        <v>(no reporta)</v>
      </c>
      <c r="AX65" s="588"/>
      <c r="AY65" s="576" t="str">
        <f>'IB 5D2-(MYPE_I)(Pesca_A)_2021'!AB83</f>
        <v>(no reporta)</v>
      </c>
      <c r="AZ65" s="588"/>
      <c r="BA65" s="576" t="str">
        <f>'IB 5D2-(MYPE_I)(Pesca_A)_2021'!AC83</f>
        <v>(no reporta)</v>
      </c>
      <c r="BB65" s="588"/>
      <c r="BC65" s="576" t="str">
        <f>'IB 5D2-(MYPE_I)(Pesca_A)_2021'!AD83</f>
        <v>(no reporta)</v>
      </c>
      <c r="BD65" s="588"/>
      <c r="BE65" s="576" t="str">
        <f>'IB 5D2-(MYPE_I)(Pesca_A)_2021'!AE83</f>
        <v>(no reporta)</v>
      </c>
      <c r="BF65" s="588"/>
      <c r="BG65" s="576" t="str">
        <f>'IB 5D2-(MYPE_I)(Pesca_A)_2021'!AF83</f>
        <v>(no reporta)</v>
      </c>
      <c r="BH65" s="588"/>
      <c r="BI65" s="576" t="str">
        <f>'IB 5D2-(MYPE_I)(Pesca_A)_2021'!AG83</f>
        <v>(no reporta)</v>
      </c>
      <c r="BJ65" s="588"/>
      <c r="BK65" s="587" t="str">
        <f>'IB 5D2-(MYPE_I)(Pesca_A)_2021'!AH83</f>
        <v>(no reporta)</v>
      </c>
      <c r="BL65" s="588"/>
      <c r="BM65" s="587" t="str">
        <f>'IB 5D2-(MYPE_I)(Pesca_A)_2021'!AI83</f>
        <v>(no reporta)</v>
      </c>
      <c r="BN65" s="588"/>
      <c r="BO65" s="587" t="str">
        <f>'IB 5D2-(MYPE_I)(Pesca_A)_2021'!AJ83</f>
        <v>(no reporta)</v>
      </c>
      <c r="BP65" s="588"/>
      <c r="BQ65" s="603" t="s">
        <v>452</v>
      </c>
      <c r="BR65" s="263" t="str">
        <f>'Fac Conv'!$G$19</f>
        <v>Pulpa y papel (combinados)</v>
      </c>
      <c r="BS65" s="263">
        <f>VLOOKUP(BR65,'Fac Conv'!$G$10:$K$25,2,FALSE)</f>
        <v>162</v>
      </c>
      <c r="BT65" s="263">
        <f>VLOOKUP(BR65,'Fac Conv'!$G$10:$K$25,4,FALSE)</f>
        <v>240</v>
      </c>
    </row>
    <row r="66" spans="2:72" ht="13.9" customHeight="1">
      <c r="B66" s="766"/>
      <c r="C66" s="99" t="str">
        <f>'IB 5D2-(MYPE_I)(Pesca_A)_2021'!D84</f>
        <v>sacos multipliegos</v>
      </c>
      <c r="D66" s="92" t="str">
        <f>'IB 5D2-(MYPE_I)(Pesca_A)_2021'!E84</f>
        <v>-</v>
      </c>
      <c r="E66" s="588"/>
      <c r="F66" s="588"/>
      <c r="G66" s="677" t="str">
        <f>'IB 5D2-(MYPE_I)(Pesca_A)_2021'!F84</f>
        <v>(no reporta)</v>
      </c>
      <c r="H66" s="588"/>
      <c r="I66" s="576" t="str">
        <f>'IB 5D2-(MYPE_I)(Pesca_A)_2021'!G84</f>
        <v>(no reporta)</v>
      </c>
      <c r="J66" s="588"/>
      <c r="K66" s="576" t="str">
        <f>'IB 5D2-(MYPE_I)(Pesca_A)_2021'!H84</f>
        <v>(no reporta)</v>
      </c>
      <c r="L66" s="588"/>
      <c r="M66" s="587" t="str">
        <f>'IB 5D2-(MYPE_I)(Pesca_A)_2021'!I84</f>
        <v>(no reporta)</v>
      </c>
      <c r="N66" s="588"/>
      <c r="O66" s="587" t="str">
        <f>'IB 5D2-(MYPE_I)(Pesca_A)_2021'!J84</f>
        <v>(no reporta)</v>
      </c>
      <c r="P66" s="588"/>
      <c r="Q66" s="587" t="str">
        <f>'IB 5D2-(MYPE_I)(Pesca_A)_2021'!K84</f>
        <v>(no reporta)</v>
      </c>
      <c r="R66" s="588"/>
      <c r="S66" s="587" t="str">
        <f>'IB 5D2-(MYPE_I)(Pesca_A)_2021'!L84</f>
        <v>(no reporta)</v>
      </c>
      <c r="T66" s="588"/>
      <c r="U66" s="587" t="str">
        <f>'IB 5D2-(MYPE_I)(Pesca_A)_2021'!M84</f>
        <v>(no reporta)</v>
      </c>
      <c r="V66" s="588"/>
      <c r="W66" s="587" t="str">
        <f>'IB 5D2-(MYPE_I)(Pesca_A)_2021'!N84</f>
        <v>(no reporta)</v>
      </c>
      <c r="X66" s="588"/>
      <c r="Y66" s="587" t="str">
        <f>'IB 5D2-(MYPE_I)(Pesca_A)_2021'!O84</f>
        <v>(no reporta)</v>
      </c>
      <c r="Z66" s="588"/>
      <c r="AA66" s="587" t="str">
        <f>'IB 5D2-(MYPE_I)(Pesca_A)_2021'!P84</f>
        <v>(no reporta)</v>
      </c>
      <c r="AB66" s="588"/>
      <c r="AC66" s="587" t="str">
        <f>'IB 5D2-(MYPE_I)(Pesca_A)_2021'!Q84</f>
        <v>(no reporta)</v>
      </c>
      <c r="AD66" s="588"/>
      <c r="AE66" s="587" t="str">
        <f>'IB 5D2-(MYPE_I)(Pesca_A)_2021'!R84</f>
        <v>(no reporta)</v>
      </c>
      <c r="AF66" s="588"/>
      <c r="AG66" s="587" t="str">
        <f>'IB 5D2-(MYPE_I)(Pesca_A)_2021'!S84</f>
        <v>(no reporta)</v>
      </c>
      <c r="AH66" s="588"/>
      <c r="AI66" s="587" t="str">
        <f>'IB 5D2-(MYPE_I)(Pesca_A)_2021'!T84</f>
        <v>(no reporta)</v>
      </c>
      <c r="AJ66" s="588"/>
      <c r="AK66" s="587" t="str">
        <f>'IB 5D2-(MYPE_I)(Pesca_A)_2021'!U84</f>
        <v>(no reporta)</v>
      </c>
      <c r="AL66" s="588"/>
      <c r="AM66" s="587" t="str">
        <f>'IB 5D2-(MYPE_I)(Pesca_A)_2021'!V84</f>
        <v>(no reporta)</v>
      </c>
      <c r="AN66" s="588"/>
      <c r="AO66" s="587" t="str">
        <f>'IB 5D2-(MYPE_I)(Pesca_A)_2021'!W84</f>
        <v>(no reporta)</v>
      </c>
      <c r="AP66" s="588"/>
      <c r="AQ66" s="587" t="str">
        <f>'IB 5D2-(MYPE_I)(Pesca_A)_2021'!X84</f>
        <v>(no reporta)</v>
      </c>
      <c r="AR66" s="588"/>
      <c r="AS66" s="587" t="str">
        <f>'IB 5D2-(MYPE_I)(Pesca_A)_2021'!Y84</f>
        <v>(no reporta)</v>
      </c>
      <c r="AT66" s="588"/>
      <c r="AU66" s="576" t="str">
        <f>'IB 5D2-(MYPE_I)(Pesca_A)_2021'!Z84</f>
        <v>(no reporta)</v>
      </c>
      <c r="AV66" s="588"/>
      <c r="AW66" s="576" t="str">
        <f>'IB 5D2-(MYPE_I)(Pesca_A)_2021'!AA84</f>
        <v>(no reporta)</v>
      </c>
      <c r="AX66" s="588"/>
      <c r="AY66" s="576" t="str">
        <f>'IB 5D2-(MYPE_I)(Pesca_A)_2021'!AB84</f>
        <v>(no reporta)</v>
      </c>
      <c r="AZ66" s="588"/>
      <c r="BA66" s="576" t="str">
        <f>'IB 5D2-(MYPE_I)(Pesca_A)_2021'!AC84</f>
        <v>(no reporta)</v>
      </c>
      <c r="BB66" s="588"/>
      <c r="BC66" s="576" t="str">
        <f>'IB 5D2-(MYPE_I)(Pesca_A)_2021'!AD84</f>
        <v>(no reporta)</v>
      </c>
      <c r="BD66" s="588"/>
      <c r="BE66" s="576" t="str">
        <f>'IB 5D2-(MYPE_I)(Pesca_A)_2021'!AE84</f>
        <v>(no reporta)</v>
      </c>
      <c r="BF66" s="588"/>
      <c r="BG66" s="576" t="str">
        <f>'IB 5D2-(MYPE_I)(Pesca_A)_2021'!AF84</f>
        <v>(no reporta)</v>
      </c>
      <c r="BH66" s="588"/>
      <c r="BI66" s="576" t="str">
        <f>'IB 5D2-(MYPE_I)(Pesca_A)_2021'!AG84</f>
        <v>(no reporta)</v>
      </c>
      <c r="BJ66" s="588"/>
      <c r="BK66" s="587" t="str">
        <f>'IB 5D2-(MYPE_I)(Pesca_A)_2021'!AH84</f>
        <v>(no reporta)</v>
      </c>
      <c r="BL66" s="588"/>
      <c r="BM66" s="587" t="str">
        <f>'IB 5D2-(MYPE_I)(Pesca_A)_2021'!AI84</f>
        <v>(no reporta)</v>
      </c>
      <c r="BN66" s="588"/>
      <c r="BO66" s="587" t="str">
        <f>'IB 5D2-(MYPE_I)(Pesca_A)_2021'!AJ84</f>
        <v>(no reporta)</v>
      </c>
      <c r="BP66" s="588"/>
      <c r="BQ66" s="603" t="s">
        <v>452</v>
      </c>
      <c r="BR66" s="263" t="str">
        <f>'Fac Conv'!$G$19</f>
        <v>Pulpa y papel (combinados)</v>
      </c>
      <c r="BS66" s="263">
        <f>VLOOKUP(BR66,'Fac Conv'!$G$10:$K$25,2,FALSE)</f>
        <v>162</v>
      </c>
      <c r="BT66" s="263">
        <f>VLOOKUP(BR66,'Fac Conv'!$G$10:$K$25,4,FALSE)</f>
        <v>240</v>
      </c>
    </row>
    <row r="67" spans="2:72" ht="13.9" customHeight="1">
      <c r="B67" s="766"/>
      <c r="C67" s="99" t="str">
        <f>'IB 5D2-(MYPE_I)(Pesca_A)_2021'!D85</f>
        <v>cajas de cartón corrugado</v>
      </c>
      <c r="D67" s="92" t="str">
        <f>'IB 5D2-(MYPE_I)(Pesca_A)_2021'!E85</f>
        <v>-</v>
      </c>
      <c r="E67" s="588"/>
      <c r="F67" s="588"/>
      <c r="G67" s="677" t="str">
        <f>'IB 5D2-(MYPE_I)(Pesca_A)_2021'!F85</f>
        <v>(no reporta)</v>
      </c>
      <c r="H67" s="588"/>
      <c r="I67" s="576" t="str">
        <f>'IB 5D2-(MYPE_I)(Pesca_A)_2021'!G85</f>
        <v>(no reporta)</v>
      </c>
      <c r="J67" s="588"/>
      <c r="K67" s="576" t="str">
        <f>'IB 5D2-(MYPE_I)(Pesca_A)_2021'!H85</f>
        <v>(no reporta)</v>
      </c>
      <c r="L67" s="588"/>
      <c r="M67" s="587" t="str">
        <f>'IB 5D2-(MYPE_I)(Pesca_A)_2021'!I85</f>
        <v>(no reporta)</v>
      </c>
      <c r="N67" s="588"/>
      <c r="O67" s="587" t="str">
        <f>'IB 5D2-(MYPE_I)(Pesca_A)_2021'!J85</f>
        <v>(no reporta)</v>
      </c>
      <c r="P67" s="588"/>
      <c r="Q67" s="587" t="str">
        <f>'IB 5D2-(MYPE_I)(Pesca_A)_2021'!K85</f>
        <v>(no reporta)</v>
      </c>
      <c r="R67" s="588"/>
      <c r="S67" s="587" t="str">
        <f>'IB 5D2-(MYPE_I)(Pesca_A)_2021'!L85</f>
        <v>(no reporta)</v>
      </c>
      <c r="T67" s="588"/>
      <c r="U67" s="587" t="str">
        <f>'IB 5D2-(MYPE_I)(Pesca_A)_2021'!M85</f>
        <v>(no reporta)</v>
      </c>
      <c r="V67" s="588"/>
      <c r="W67" s="587" t="str">
        <f>'IB 5D2-(MYPE_I)(Pesca_A)_2021'!N85</f>
        <v>(no reporta)</v>
      </c>
      <c r="X67" s="588"/>
      <c r="Y67" s="587" t="str">
        <f>'IB 5D2-(MYPE_I)(Pesca_A)_2021'!O85</f>
        <v>(no reporta)</v>
      </c>
      <c r="Z67" s="588"/>
      <c r="AA67" s="587" t="str">
        <f>'IB 5D2-(MYPE_I)(Pesca_A)_2021'!P85</f>
        <v>(no reporta)</v>
      </c>
      <c r="AB67" s="588"/>
      <c r="AC67" s="587" t="str">
        <f>'IB 5D2-(MYPE_I)(Pesca_A)_2021'!Q85</f>
        <v>(no reporta)</v>
      </c>
      <c r="AD67" s="588"/>
      <c r="AE67" s="587" t="str">
        <f>'IB 5D2-(MYPE_I)(Pesca_A)_2021'!R85</f>
        <v>(no reporta)</v>
      </c>
      <c r="AF67" s="588"/>
      <c r="AG67" s="587" t="str">
        <f>'IB 5D2-(MYPE_I)(Pesca_A)_2021'!S85</f>
        <v>(no reporta)</v>
      </c>
      <c r="AH67" s="588"/>
      <c r="AI67" s="587" t="str">
        <f>'IB 5D2-(MYPE_I)(Pesca_A)_2021'!T85</f>
        <v>(no reporta)</v>
      </c>
      <c r="AJ67" s="588"/>
      <c r="AK67" s="587" t="str">
        <f>'IB 5D2-(MYPE_I)(Pesca_A)_2021'!U85</f>
        <v>(no reporta)</v>
      </c>
      <c r="AL67" s="588"/>
      <c r="AM67" s="587" t="str">
        <f>'IB 5D2-(MYPE_I)(Pesca_A)_2021'!V85</f>
        <v>(no reporta)</v>
      </c>
      <c r="AN67" s="588"/>
      <c r="AO67" s="587" t="str">
        <f>'IB 5D2-(MYPE_I)(Pesca_A)_2021'!W85</f>
        <v>(no reporta)</v>
      </c>
      <c r="AP67" s="588"/>
      <c r="AQ67" s="587" t="str">
        <f>'IB 5D2-(MYPE_I)(Pesca_A)_2021'!X85</f>
        <v>(no reporta)</v>
      </c>
      <c r="AR67" s="588"/>
      <c r="AS67" s="587" t="str">
        <f>'IB 5D2-(MYPE_I)(Pesca_A)_2021'!Y85</f>
        <v>(no reporta)</v>
      </c>
      <c r="AT67" s="588"/>
      <c r="AU67" s="576" t="str">
        <f>'IB 5D2-(MYPE_I)(Pesca_A)_2021'!Z85</f>
        <v>(no reporta)</v>
      </c>
      <c r="AV67" s="588"/>
      <c r="AW67" s="576" t="str">
        <f>'IB 5D2-(MYPE_I)(Pesca_A)_2021'!AA85</f>
        <v>(no reporta)</v>
      </c>
      <c r="AX67" s="588"/>
      <c r="AY67" s="576" t="str">
        <f>'IB 5D2-(MYPE_I)(Pesca_A)_2021'!AB85</f>
        <v>(no reporta)</v>
      </c>
      <c r="AZ67" s="588"/>
      <c r="BA67" s="576" t="str">
        <f>'IB 5D2-(MYPE_I)(Pesca_A)_2021'!AC85</f>
        <v>(no reporta)</v>
      </c>
      <c r="BB67" s="588"/>
      <c r="BC67" s="576" t="str">
        <f>'IB 5D2-(MYPE_I)(Pesca_A)_2021'!AD85</f>
        <v>(no reporta)</v>
      </c>
      <c r="BD67" s="588"/>
      <c r="BE67" s="576" t="str">
        <f>'IB 5D2-(MYPE_I)(Pesca_A)_2021'!AE85</f>
        <v>(no reporta)</v>
      </c>
      <c r="BF67" s="588"/>
      <c r="BG67" s="576" t="str">
        <f>'IB 5D2-(MYPE_I)(Pesca_A)_2021'!AF85</f>
        <v>(no reporta)</v>
      </c>
      <c r="BH67" s="588"/>
      <c r="BI67" s="576" t="str">
        <f>'IB 5D2-(MYPE_I)(Pesca_A)_2021'!AG85</f>
        <v>(no reporta)</v>
      </c>
      <c r="BJ67" s="588"/>
      <c r="BK67" s="587" t="str">
        <f>'IB 5D2-(MYPE_I)(Pesca_A)_2021'!AH85</f>
        <v>(no reporta)</v>
      </c>
      <c r="BL67" s="588"/>
      <c r="BM67" s="587" t="str">
        <f>'IB 5D2-(MYPE_I)(Pesca_A)_2021'!AI85</f>
        <v>(no reporta)</v>
      </c>
      <c r="BN67" s="588"/>
      <c r="BO67" s="587" t="str">
        <f>'IB 5D2-(MYPE_I)(Pesca_A)_2021'!AJ85</f>
        <v>(no reporta)</v>
      </c>
      <c r="BP67" s="588"/>
      <c r="BQ67" s="603" t="s">
        <v>452</v>
      </c>
      <c r="BR67" s="263" t="str">
        <f>'Fac Conv'!$G$19</f>
        <v>Pulpa y papel (combinados)</v>
      </c>
      <c r="BS67" s="263">
        <f>VLOOKUP(BR67,'Fac Conv'!$G$10:$K$25,2,FALSE)</f>
        <v>162</v>
      </c>
      <c r="BT67" s="263">
        <f>VLOOKUP(BR67,'Fac Conv'!$G$10:$K$25,4,FALSE)</f>
        <v>240</v>
      </c>
    </row>
    <row r="68" spans="2:72" ht="13.9" customHeight="1">
      <c r="B68" s="766"/>
      <c r="C68" s="87" t="str">
        <f>'IB 5D2-(MYPE_I)(Pesca_A)_2021'!D86</f>
        <v>toallas higiénicas</v>
      </c>
      <c r="D68" s="514" t="str">
        <f>'IB 5D2-(MYPE_I)(Pesca_A)_2021'!E86</f>
        <v>ML</v>
      </c>
      <c r="E68" s="588"/>
      <c r="F68" s="588"/>
      <c r="G68" s="677" t="str">
        <f>'IB 5D2-(MYPE_I)(Pesca_A)_2021'!F86</f>
        <v>(no reporta)</v>
      </c>
      <c r="H68" s="588"/>
      <c r="I68" s="576" t="str">
        <f>'IB 5D2-(MYPE_I)(Pesca_A)_2021'!G86</f>
        <v>(no reporta)</v>
      </c>
      <c r="J68" s="588"/>
      <c r="K68" s="576" t="str">
        <f>'IB 5D2-(MYPE_I)(Pesca_A)_2021'!H86</f>
        <v>(no reporta)</v>
      </c>
      <c r="L68" s="588"/>
      <c r="M68" s="613">
        <f>'IB 5D2-(MYPE_I)(Pesca_A)_2021'!I86</f>
        <v>243563.72</v>
      </c>
      <c r="N68" s="614">
        <f>M68</f>
        <v>243563.72</v>
      </c>
      <c r="O68" s="613">
        <f>'IB 5D2-(MYPE_I)(Pesca_A)_2021'!J86</f>
        <v>199482.736</v>
      </c>
      <c r="P68" s="614">
        <f>O68</f>
        <v>199482.736</v>
      </c>
      <c r="Q68" s="613">
        <f>'IB 5D2-(MYPE_I)(Pesca_A)_2021'!K86</f>
        <v>221343.28</v>
      </c>
      <c r="R68" s="614">
        <f>Q68</f>
        <v>221343.28</v>
      </c>
      <c r="S68" s="613">
        <f>'IB 5D2-(MYPE_I)(Pesca_A)_2021'!L86</f>
        <v>276069.00300000003</v>
      </c>
      <c r="T68" s="614">
        <f>S68</f>
        <v>276069.00300000003</v>
      </c>
      <c r="U68" s="613">
        <f>'IB 5D2-(MYPE_I)(Pesca_A)_2021'!M86</f>
        <v>261674.55900000001</v>
      </c>
      <c r="V68" s="614">
        <f>U68</f>
        <v>261674.55900000001</v>
      </c>
      <c r="W68" s="613">
        <f>'IB 5D2-(MYPE_I)(Pesca_A)_2021'!N86</f>
        <v>232263.864</v>
      </c>
      <c r="X68" s="614">
        <f>W68</f>
        <v>232263.864</v>
      </c>
      <c r="Y68" s="613">
        <f>'IB 5D2-(MYPE_I)(Pesca_A)_2021'!O86</f>
        <v>238138.10399999999</v>
      </c>
      <c r="Z68" s="614">
        <f>Y68</f>
        <v>238138.10399999999</v>
      </c>
      <c r="AA68" s="613">
        <f>'IB 5D2-(MYPE_I)(Pesca_A)_2021'!P86</f>
        <v>197994.584</v>
      </c>
      <c r="AB68" s="614">
        <f>AA68</f>
        <v>197994.584</v>
      </c>
      <c r="AC68" s="587" t="str">
        <f>'IB 5D2-(MYPE_I)(Pesca_A)_2021'!Q86</f>
        <v>(no reporta)</v>
      </c>
      <c r="AD68" s="588"/>
      <c r="AE68" s="587" t="str">
        <f>'IB 5D2-(MYPE_I)(Pesca_A)_2021'!R86</f>
        <v>(no reporta)</v>
      </c>
      <c r="AF68" s="588"/>
      <c r="AG68" s="587" t="str">
        <f>'IB 5D2-(MYPE_I)(Pesca_A)_2021'!S86</f>
        <v>(no reporta)</v>
      </c>
      <c r="AH68" s="588"/>
      <c r="AI68" s="587" t="str">
        <f>'IB 5D2-(MYPE_I)(Pesca_A)_2021'!T86</f>
        <v>(no reporta)</v>
      </c>
      <c r="AJ68" s="588"/>
      <c r="AK68" s="587" t="str">
        <f>'IB 5D2-(MYPE_I)(Pesca_A)_2021'!U86</f>
        <v>(no reporta)</v>
      </c>
      <c r="AL68" s="588"/>
      <c r="AM68" s="587" t="str">
        <f>'IB 5D2-(MYPE_I)(Pesca_A)_2021'!V86</f>
        <v>(no reporta)</v>
      </c>
      <c r="AN68" s="588"/>
      <c r="AO68" s="587" t="str">
        <f>'IB 5D2-(MYPE_I)(Pesca_A)_2021'!W86</f>
        <v>(no reporta)</v>
      </c>
      <c r="AP68" s="588"/>
      <c r="AQ68" s="587" t="str">
        <f>'IB 5D2-(MYPE_I)(Pesca_A)_2021'!X86</f>
        <v>(no reporta)</v>
      </c>
      <c r="AR68" s="588"/>
      <c r="AS68" s="587" t="str">
        <f>'IB 5D2-(MYPE_I)(Pesca_A)_2021'!Y86</f>
        <v>(no reporta)</v>
      </c>
      <c r="AT68" s="588"/>
      <c r="AU68" s="576" t="str">
        <f>'IB 5D2-(MYPE_I)(Pesca_A)_2021'!Z86</f>
        <v>(no reporta)</v>
      </c>
      <c r="AV68" s="588"/>
      <c r="AW68" s="576" t="str">
        <f>'IB 5D2-(MYPE_I)(Pesca_A)_2021'!AA86</f>
        <v>(no reporta)</v>
      </c>
      <c r="AX68" s="588"/>
      <c r="AY68" s="576" t="str">
        <f>'IB 5D2-(MYPE_I)(Pesca_A)_2021'!AB86</f>
        <v>(no reporta)</v>
      </c>
      <c r="AZ68" s="588"/>
      <c r="BA68" s="576" t="str">
        <f>'IB 5D2-(MYPE_I)(Pesca_A)_2021'!AC86</f>
        <v>(no reporta)</v>
      </c>
      <c r="BB68" s="588"/>
      <c r="BC68" s="576" t="str">
        <f>'IB 5D2-(MYPE_I)(Pesca_A)_2021'!AD86</f>
        <v>(no reporta)</v>
      </c>
      <c r="BD68" s="588"/>
      <c r="BE68" s="576" t="str">
        <f>'IB 5D2-(MYPE_I)(Pesca_A)_2021'!AE86</f>
        <v>(no reporta)</v>
      </c>
      <c r="BF68" s="588"/>
      <c r="BG68" s="576" t="str">
        <f>'IB 5D2-(MYPE_I)(Pesca_A)_2021'!AF86</f>
        <v>(no reporta)</v>
      </c>
      <c r="BH68" s="588"/>
      <c r="BI68" s="576" t="str">
        <f>'IB 5D2-(MYPE_I)(Pesca_A)_2021'!AG86</f>
        <v>(no reporta)</v>
      </c>
      <c r="BJ68" s="588"/>
      <c r="BK68" s="587" t="str">
        <f>'IB 5D2-(MYPE_I)(Pesca_A)_2021'!AH86</f>
        <v>(no reporta)</v>
      </c>
      <c r="BL68" s="588"/>
      <c r="BM68" s="587" t="str">
        <f>'IB 5D2-(MYPE_I)(Pesca_A)_2021'!AI86</f>
        <v>(no reporta)</v>
      </c>
      <c r="BN68" s="588"/>
      <c r="BO68" s="587" t="str">
        <f>'IB 5D2-(MYPE_I)(Pesca_A)_2021'!AJ86</f>
        <v>(no reporta)</v>
      </c>
      <c r="BP68" s="588"/>
      <c r="BQ68" s="603" t="s">
        <v>452</v>
      </c>
      <c r="BR68" s="263" t="str">
        <f>'Fac Conv'!$G$19</f>
        <v>Pulpa y papel (combinados)</v>
      </c>
      <c r="BS68" s="263">
        <f>VLOOKUP(BR68,'Fac Conv'!$G$10:$K$25,2,FALSE)</f>
        <v>162</v>
      </c>
      <c r="BT68" s="263">
        <f>VLOOKUP(BR68,'Fac Conv'!$G$10:$K$25,4,FALSE)</f>
        <v>240</v>
      </c>
    </row>
    <row r="69" spans="2:72" ht="13.9" customHeight="1">
      <c r="B69" s="767"/>
      <c r="C69" s="87" t="str">
        <f>'IB 5D2-(MYPE_I)(Pesca_A)_2021'!D87</f>
        <v>pañales tipo calzón</v>
      </c>
      <c r="D69" s="514" t="str">
        <f>'IB 5D2-(MYPE_I)(Pesca_A)_2021'!E87</f>
        <v>ML</v>
      </c>
      <c r="E69" s="588"/>
      <c r="F69" s="588"/>
      <c r="G69" s="678" t="str">
        <f>'IB 5D2-(MYPE_I)(Pesca_A)_2021'!F87</f>
        <v>(no reporta)</v>
      </c>
      <c r="H69" s="588"/>
      <c r="I69" s="577" t="str">
        <f>'IB 5D2-(MYPE_I)(Pesca_A)_2021'!G87</f>
        <v>(no reporta)</v>
      </c>
      <c r="J69" s="588"/>
      <c r="K69" s="577" t="str">
        <f>'IB 5D2-(MYPE_I)(Pesca_A)_2021'!H87</f>
        <v>(no reporta)</v>
      </c>
      <c r="L69" s="588"/>
      <c r="M69" s="583">
        <f>'IB 5D2-(MYPE_I)(Pesca_A)_2021'!I87</f>
        <v>44162.504000000001</v>
      </c>
      <c r="N69" s="615">
        <f>M69</f>
        <v>44162.504000000001</v>
      </c>
      <c r="O69" s="583">
        <f>'IB 5D2-(MYPE_I)(Pesca_A)_2021'!J87</f>
        <v>88860.142000000007</v>
      </c>
      <c r="P69" s="615">
        <f>O69</f>
        <v>88860.142000000007</v>
      </c>
      <c r="Q69" s="583">
        <f>'IB 5D2-(MYPE_I)(Pesca_A)_2021'!K87</f>
        <v>66987.460000000006</v>
      </c>
      <c r="R69" s="615">
        <f>Q69</f>
        <v>66987.460000000006</v>
      </c>
      <c r="S69" s="583">
        <f>'IB 5D2-(MYPE_I)(Pesca_A)_2021'!L87</f>
        <v>108092.88800000001</v>
      </c>
      <c r="T69" s="615">
        <f>S69</f>
        <v>108092.88800000001</v>
      </c>
      <c r="U69" s="583">
        <f>'IB 5D2-(MYPE_I)(Pesca_A)_2021'!M87</f>
        <v>135564.16399999999</v>
      </c>
      <c r="V69" s="615">
        <f>U69</f>
        <v>135564.16399999999</v>
      </c>
      <c r="W69" s="583">
        <f>'IB 5D2-(MYPE_I)(Pesca_A)_2021'!N87</f>
        <v>227788.52</v>
      </c>
      <c r="X69" s="615">
        <f>W69</f>
        <v>227788.52</v>
      </c>
      <c r="Y69" s="583">
        <f>'IB 5D2-(MYPE_I)(Pesca_A)_2021'!O87</f>
        <v>81635.22</v>
      </c>
      <c r="Z69" s="615">
        <f>Y69</f>
        <v>81635.22</v>
      </c>
      <c r="AA69" s="583">
        <f>'IB 5D2-(MYPE_I)(Pesca_A)_2021'!P87</f>
        <v>250926.88</v>
      </c>
      <c r="AB69" s="615">
        <f>AA69</f>
        <v>250926.88</v>
      </c>
      <c r="AC69" s="583">
        <f>'IB 5D2-(MYPE_I)(Pesca_A)_2021'!Q87</f>
        <v>82595.8</v>
      </c>
      <c r="AD69" s="615">
        <f>AC69</f>
        <v>82595.8</v>
      </c>
      <c r="AE69" s="583">
        <f>'IB 5D2-(MYPE_I)(Pesca_A)_2021'!R87</f>
        <v>254097.1</v>
      </c>
      <c r="AF69" s="615">
        <f>AE69</f>
        <v>254097.1</v>
      </c>
      <c r="AG69" s="583">
        <f>'IB 5D2-(MYPE_I)(Pesca_A)_2021'!S87</f>
        <v>337920.9</v>
      </c>
      <c r="AH69" s="615">
        <f>AG69</f>
        <v>337920.9</v>
      </c>
      <c r="AI69" s="583">
        <f>'IB 5D2-(MYPE_I)(Pesca_A)_2021'!T87</f>
        <v>370157.4</v>
      </c>
      <c r="AJ69" s="615">
        <f>AI69</f>
        <v>370157.4</v>
      </c>
      <c r="AK69" s="583">
        <f>'IB 5D2-(MYPE_I)(Pesca_A)_2021'!U87</f>
        <v>394445.5</v>
      </c>
      <c r="AL69" s="615">
        <f>AK69</f>
        <v>394445.5</v>
      </c>
      <c r="AM69" s="583">
        <f>'IB 5D2-(MYPE_I)(Pesca_A)_2021'!V87</f>
        <v>370157.6</v>
      </c>
      <c r="AN69" s="615">
        <f>AM69</f>
        <v>370157.6</v>
      </c>
      <c r="AO69" s="583">
        <f>'IB 5D2-(MYPE_I)(Pesca_A)_2021'!W87</f>
        <v>275128.40000000002</v>
      </c>
      <c r="AP69" s="615">
        <f>AO69</f>
        <v>275128.40000000002</v>
      </c>
      <c r="AQ69" s="583">
        <f>'IB 5D2-(MYPE_I)(Pesca_A)_2021'!X87</f>
        <v>433213.8</v>
      </c>
      <c r="AR69" s="615">
        <f>AQ69</f>
        <v>433213.8</v>
      </c>
      <c r="AS69" s="583">
        <f>'IB 5D2-(MYPE_I)(Pesca_A)_2021'!Y87</f>
        <v>482937.59999999998</v>
      </c>
      <c r="AT69" s="615">
        <f>AS69</f>
        <v>482937.59999999998</v>
      </c>
      <c r="AU69" s="577" t="str">
        <f>'IB 5D2-(MYPE_I)(Pesca_A)_2021'!Z87</f>
        <v>(no reporta)</v>
      </c>
      <c r="AV69" s="588"/>
      <c r="AW69" s="577" t="str">
        <f>'IB 5D2-(MYPE_I)(Pesca_A)_2021'!AA87</f>
        <v>(no reporta)</v>
      </c>
      <c r="AX69" s="588"/>
      <c r="AY69" s="577" t="str">
        <f>'IB 5D2-(MYPE_I)(Pesca_A)_2021'!AB87</f>
        <v>(no reporta)</v>
      </c>
      <c r="AZ69" s="588"/>
      <c r="BA69" s="577" t="str">
        <f>'IB 5D2-(MYPE_I)(Pesca_A)_2021'!AC87</f>
        <v>(no reporta)</v>
      </c>
      <c r="BB69" s="588"/>
      <c r="BC69" s="577" t="str">
        <f>'IB 5D2-(MYPE_I)(Pesca_A)_2021'!AD87</f>
        <v>(no reporta)</v>
      </c>
      <c r="BD69" s="588"/>
      <c r="BE69" s="577" t="str">
        <f>'IB 5D2-(MYPE_I)(Pesca_A)_2021'!AE87</f>
        <v>(no reporta)</v>
      </c>
      <c r="BF69" s="588"/>
      <c r="BG69" s="577" t="str">
        <f>'IB 5D2-(MYPE_I)(Pesca_A)_2021'!AF87</f>
        <v>(no reporta)</v>
      </c>
      <c r="BH69" s="588"/>
      <c r="BI69" s="577" t="str">
        <f>'IB 5D2-(MYPE_I)(Pesca_A)_2021'!AG87</f>
        <v>(no reporta)</v>
      </c>
      <c r="BJ69" s="588"/>
      <c r="BK69" s="594" t="str">
        <f>'IB 5D2-(MYPE_I)(Pesca_A)_2021'!AH87</f>
        <v>(no reporta)</v>
      </c>
      <c r="BL69" s="595"/>
      <c r="BM69" s="594" t="str">
        <f>'IB 5D2-(MYPE_I)(Pesca_A)_2021'!AI87</f>
        <v>(no reporta)</v>
      </c>
      <c r="BN69" s="595"/>
      <c r="BO69" s="594" t="str">
        <f>'IB 5D2-(MYPE_I)(Pesca_A)_2021'!AJ87</f>
        <v>(no reporta)</v>
      </c>
      <c r="BP69" s="595"/>
      <c r="BQ69" s="603" t="s">
        <v>452</v>
      </c>
      <c r="BR69" s="263" t="str">
        <f>'Fac Conv'!$G$19</f>
        <v>Pulpa y papel (combinados)</v>
      </c>
      <c r="BS69" s="263">
        <f>VLOOKUP(BR69,'Fac Conv'!$G$10:$K$25,2,FALSE)</f>
        <v>162</v>
      </c>
      <c r="BT69" s="263">
        <f>VLOOKUP(BR69,'Fac Conv'!$G$10:$K$25,4,FALSE)</f>
        <v>240</v>
      </c>
    </row>
    <row r="70" spans="2:72" ht="13.9" customHeight="1">
      <c r="B70" s="765" t="s">
        <v>245</v>
      </c>
      <c r="C70" s="85" t="str">
        <f>'IB 5D2-(MYPE_I)(Pesca_A)_2021'!D88</f>
        <v>Petróleo (Diesel)</v>
      </c>
      <c r="D70" s="513" t="str">
        <f>'IB 5D2-(MYPE_I)(Pesca_A)_2021'!E88</f>
        <v>BL</v>
      </c>
      <c r="E70" s="588"/>
      <c r="F70" s="588"/>
      <c r="G70" s="676" t="str">
        <f>'IB 5D2-(MYPE_I)(Pesca_A)_2021'!F88</f>
        <v>(no reporta)</v>
      </c>
      <c r="H70" s="588"/>
      <c r="I70" s="103" t="str">
        <f>'IB 5D2-(MYPE_I)(Pesca_A)_2021'!G88</f>
        <v>(no reporta)</v>
      </c>
      <c r="J70" s="588"/>
      <c r="K70" s="103" t="str">
        <f>'IB 5D2-(MYPE_I)(Pesca_A)_2021'!H88</f>
        <v>(no reporta)</v>
      </c>
      <c r="L70" s="588"/>
      <c r="M70" s="541" t="str">
        <f>'IB 5D2-(MYPE_I)(Pesca_A)_2021'!I88</f>
        <v>(no reporta)</v>
      </c>
      <c r="N70" s="588"/>
      <c r="O70" s="103" t="str">
        <f>'IB 5D2-(MYPE_I)(Pesca_A)_2021'!J88</f>
        <v>(no reporta)</v>
      </c>
      <c r="P70" s="588"/>
      <c r="Q70" s="541" t="str">
        <f>'IB 5D2-(MYPE_I)(Pesca_A)_2021'!K88</f>
        <v>(no reporta)</v>
      </c>
      <c r="R70" s="588"/>
      <c r="S70" s="541" t="str">
        <f>'IB 5D2-(MYPE_I)(Pesca_A)_2021'!L88</f>
        <v>(no reporta)</v>
      </c>
      <c r="T70" s="588"/>
      <c r="U70" s="541" t="str">
        <f>'IB 5D2-(MYPE_I)(Pesca_A)_2021'!M88</f>
        <v>(no reporta)</v>
      </c>
      <c r="V70" s="588"/>
      <c r="W70" s="541" t="str">
        <f>'IB 5D2-(MYPE_I)(Pesca_A)_2021'!N88</f>
        <v>(no reporta)</v>
      </c>
      <c r="X70" s="588"/>
      <c r="Y70" s="541" t="str">
        <f>'IB 5D2-(MYPE_I)(Pesca_A)_2021'!O88</f>
        <v>(no reporta)</v>
      </c>
      <c r="Z70" s="588"/>
      <c r="AA70" s="541" t="str">
        <f>'IB 5D2-(MYPE_I)(Pesca_A)_2021'!P88</f>
        <v>(no reporta)</v>
      </c>
      <c r="AB70" s="588"/>
      <c r="AC70" s="541" t="str">
        <f>'IB 5D2-(MYPE_I)(Pesca_A)_2021'!Q88</f>
        <v>(no reporta)</v>
      </c>
      <c r="AD70" s="588"/>
      <c r="AE70" s="541" t="str">
        <f>'IB 5D2-(MYPE_I)(Pesca_A)_2021'!R88</f>
        <v>(no reporta)</v>
      </c>
      <c r="AF70" s="588"/>
      <c r="AG70" s="541" t="str">
        <f>'IB 5D2-(MYPE_I)(Pesca_A)_2021'!S88</f>
        <v>(no reporta)</v>
      </c>
      <c r="AH70" s="588"/>
      <c r="AI70" s="541" t="str">
        <f>'IB 5D2-(MYPE_I)(Pesca_A)_2021'!T88</f>
        <v>(no reporta)</v>
      </c>
      <c r="AJ70" s="588"/>
      <c r="AK70" s="541" t="str">
        <f>'IB 5D2-(MYPE_I)(Pesca_A)_2021'!U88</f>
        <v>(no reporta)</v>
      </c>
      <c r="AL70" s="588"/>
      <c r="AM70" s="541" t="str">
        <f>'IB 5D2-(MYPE_I)(Pesca_A)_2021'!V88</f>
        <v>(no reporta)</v>
      </c>
      <c r="AN70" s="588"/>
      <c r="AO70" s="541" t="str">
        <f>'IB 5D2-(MYPE_I)(Pesca_A)_2021'!W88</f>
        <v>(no reporta)</v>
      </c>
      <c r="AP70" s="588"/>
      <c r="AQ70" s="541" t="str">
        <f>'IB 5D2-(MYPE_I)(Pesca_A)_2021'!X88</f>
        <v>(no reporta)</v>
      </c>
      <c r="AR70" s="588"/>
      <c r="AS70" s="541" t="str">
        <f>'IB 5D2-(MYPE_I)(Pesca_A)_2021'!Y88</f>
        <v>(no reporta)</v>
      </c>
      <c r="AT70" s="588"/>
      <c r="AU70" s="616">
        <f>'IB 5D2-(MYPE_I)(Pesca_A)_2021'!Z88</f>
        <v>37676284</v>
      </c>
      <c r="AV70" s="582">
        <f>((AU70*'Fac Conv'!$C$145/'Fac Conv'!$C$146)*'Fac Conv'!$C$162*'Fac Conv'!$D$133)/'Fac Conv'!$C$125</f>
        <v>4968772.7108711824</v>
      </c>
      <c r="AW70" s="616">
        <f>'IB 5D2-(MYPE_I)(Pesca_A)_2021'!AA88</f>
        <v>33121894</v>
      </c>
      <c r="AX70" s="582">
        <f>((AW70*'Fac Conv'!$C$145/'Fac Conv'!$C$146)*'Fac Conv'!$C$162*'Fac Conv'!$D$133)/'Fac Conv'!$C$125</f>
        <v>4368136.8109330507</v>
      </c>
      <c r="AY70" s="616">
        <f>'IB 5D2-(MYPE_I)(Pesca_A)_2021'!AB88</f>
        <v>35299126</v>
      </c>
      <c r="AZ70" s="582">
        <f>((AY70*'Fac Conv'!$C$145/'Fac Conv'!$C$146)*'Fac Conv'!$C$162*'Fac Conv'!$D$133)/'Fac Conv'!$C$125</f>
        <v>4655271.5757850064</v>
      </c>
      <c r="BA70" s="616">
        <f>'IB 5D2-(MYPE_I)(Pesca_A)_2021'!AC88</f>
        <v>34363200</v>
      </c>
      <c r="BB70" s="582">
        <f>((BA70*'Fac Conv'!$C$145/'Fac Conv'!$C$146)*'Fac Conv'!$C$162*'Fac Conv'!$D$133)/'Fac Conv'!$C$125</f>
        <v>4531841.0493510608</v>
      </c>
      <c r="BC70" s="616">
        <f>'IB 5D2-(MYPE_I)(Pesca_A)_2021'!AD88</f>
        <v>34755426</v>
      </c>
      <c r="BD70" s="582">
        <f>((BC70*'Fac Conv'!$C$145/'Fac Conv'!$C$146)*'Fac Conv'!$C$162*'Fac Conv'!$D$133)/'Fac Conv'!$C$125</f>
        <v>4583568.0680053998</v>
      </c>
      <c r="BE70" s="616">
        <f>'IB 5D2-(MYPE_I)(Pesca_A)_2021'!AE88</f>
        <v>33956078</v>
      </c>
      <c r="BF70" s="582">
        <f>((BE70*'Fac Conv'!$C$145/'Fac Conv'!$C$146)*'Fac Conv'!$C$162*'Fac Conv'!$D$133)/'Fac Conv'!$C$125</f>
        <v>4478149.5365788545</v>
      </c>
      <c r="BG70" s="616">
        <f>'IB 5D2-(MYPE_I)(Pesca_A)_2021'!AF88</f>
        <v>30122308</v>
      </c>
      <c r="BH70" s="582">
        <f>((BG70*'Fac Conv'!$C$145/'Fac Conv'!$C$146)*'Fac Conv'!$C$162*'Fac Conv'!$D$133)/'Fac Conv'!$C$125</f>
        <v>3972549.4684894267</v>
      </c>
      <c r="BI70" s="616">
        <f>'IB 5D2-(MYPE_I)(Pesca_A)_2021'!AG88</f>
        <v>28211142</v>
      </c>
      <c r="BJ70" s="582">
        <f>((BI70*'Fac Conv'!$C$145/'Fac Conv'!$C$146)*'Fac Conv'!$C$162*'Fac Conv'!$D$133)/'Fac Conv'!$C$125</f>
        <v>3720503.6598649663</v>
      </c>
      <c r="BK70" s="581">
        <f>'IB 5D2-(MYPE_I)(Pesca_A)_2021'!AH88</f>
        <v>20764646</v>
      </c>
      <c r="BL70" s="582">
        <f>((BK70*'Fac Conv'!$C$145/'Fac Conv'!$C$146)*'Fac Conv'!$C$162*'Fac Conv'!$D$133)/'Fac Conv'!$C$125</f>
        <v>2738454.9494238985</v>
      </c>
      <c r="BM70" s="581">
        <f>'IB 5D2-(MYPE_I)(Pesca_A)_2021'!AI88</f>
        <v>23797291</v>
      </c>
      <c r="BN70" s="582">
        <f>((BM70*'Fac Conv'!$C$145/'Fac Conv'!$C$146)*'Fac Conv'!$C$162*'Fac Conv'!$D$133)/'Fac Conv'!$C$125</f>
        <v>3138402.1341770426</v>
      </c>
      <c r="BO70" s="581">
        <f>'IB 5D2-(MYPE_I)(Pesca_A)_2021'!AJ88</f>
        <v>20651022</v>
      </c>
      <c r="BP70" s="582">
        <f>((BO70*'Fac Conv'!$C$145/'Fac Conv'!$C$146)*'Fac Conv'!$C$162*'Fac Conv'!$D$133)/'Fac Conv'!$C$125</f>
        <v>2723470.1427879776</v>
      </c>
      <c r="BQ70" s="264" t="s">
        <v>453</v>
      </c>
      <c r="BR70" s="263" t="str">
        <f>'Fac Conv'!$G$17</f>
        <v>Refinarías de petróleo</v>
      </c>
      <c r="BS70" s="263">
        <f>VLOOKUP(BR70,'Fac Conv'!$G$10:$K$25,2,FALSE)</f>
        <v>0.6</v>
      </c>
      <c r="BT70" s="263">
        <f>VLOOKUP(BR70,'Fac Conv'!$G$10:$K$25,4,FALSE)</f>
        <v>1.2</v>
      </c>
    </row>
    <row r="71" spans="2:72" ht="13.9" customHeight="1">
      <c r="B71" s="766"/>
      <c r="C71" s="87" t="str">
        <f>'IB 5D2-(MYPE_I)(Pesca_A)_2021'!D89</f>
        <v>Petróleo industrial</v>
      </c>
      <c r="D71" s="514" t="str">
        <f>'IB 5D2-(MYPE_I)(Pesca_A)_2021'!E89</f>
        <v>GL</v>
      </c>
      <c r="E71" s="588"/>
      <c r="F71" s="588"/>
      <c r="G71" s="677" t="str">
        <f>'IB 5D2-(MYPE_I)(Pesca_A)_2021'!F89</f>
        <v>(no reporta)</v>
      </c>
      <c r="H71" s="588"/>
      <c r="I71" s="576" t="str">
        <f>'IB 5D2-(MYPE_I)(Pesca_A)_2021'!G89</f>
        <v>(no reporta)</v>
      </c>
      <c r="J71" s="588"/>
      <c r="K71" s="576" t="str">
        <f>'IB 5D2-(MYPE_I)(Pesca_A)_2021'!H89</f>
        <v>(no reporta)</v>
      </c>
      <c r="L71" s="588"/>
      <c r="M71" s="576" t="str">
        <f>'IB 5D2-(MYPE_I)(Pesca_A)_2021'!I89</f>
        <v>(no reporta)</v>
      </c>
      <c r="N71" s="588"/>
      <c r="O71" s="576" t="str">
        <f>'IB 5D2-(MYPE_I)(Pesca_A)_2021'!J89</f>
        <v>(no reporta)</v>
      </c>
      <c r="P71" s="588"/>
      <c r="Q71" s="576" t="str">
        <f>'IB 5D2-(MYPE_I)(Pesca_A)_2021'!K89</f>
        <v>(no reporta)</v>
      </c>
      <c r="R71" s="588"/>
      <c r="S71" s="576" t="str">
        <f>'IB 5D2-(MYPE_I)(Pesca_A)_2021'!L89</f>
        <v>(no reporta)</v>
      </c>
      <c r="T71" s="588"/>
      <c r="U71" s="576" t="str">
        <f>'IB 5D2-(MYPE_I)(Pesca_A)_2021'!M89</f>
        <v>(no reporta)</v>
      </c>
      <c r="V71" s="588"/>
      <c r="W71" s="576" t="str">
        <f>'IB 5D2-(MYPE_I)(Pesca_A)_2021'!N89</f>
        <v>(no reporta)</v>
      </c>
      <c r="X71" s="588"/>
      <c r="Y71" s="576" t="str">
        <f>'IB 5D2-(MYPE_I)(Pesca_A)_2021'!O89</f>
        <v>(no reporta)</v>
      </c>
      <c r="Z71" s="588"/>
      <c r="AA71" s="576" t="str">
        <f>'IB 5D2-(MYPE_I)(Pesca_A)_2021'!P89</f>
        <v>(no reporta)</v>
      </c>
      <c r="AB71" s="588"/>
      <c r="AC71" s="576" t="str">
        <f>'IB 5D2-(MYPE_I)(Pesca_A)_2021'!Q89</f>
        <v>(no reporta)</v>
      </c>
      <c r="AD71" s="588"/>
      <c r="AE71" s="576" t="str">
        <f>'IB 5D2-(MYPE_I)(Pesca_A)_2021'!R89</f>
        <v>(no reporta)</v>
      </c>
      <c r="AF71" s="588"/>
      <c r="AG71" s="576" t="str">
        <f>'IB 5D2-(MYPE_I)(Pesca_A)_2021'!S89</f>
        <v>(no reporta)</v>
      </c>
      <c r="AH71" s="588"/>
      <c r="AI71" s="576" t="str">
        <f>'IB 5D2-(MYPE_I)(Pesca_A)_2021'!T89</f>
        <v>(no reporta)</v>
      </c>
      <c r="AJ71" s="588"/>
      <c r="AK71" s="576" t="str">
        <f>'IB 5D2-(MYPE_I)(Pesca_A)_2021'!U89</f>
        <v>(no reporta)</v>
      </c>
      <c r="AL71" s="588"/>
      <c r="AM71" s="576" t="str">
        <f>'IB 5D2-(MYPE_I)(Pesca_A)_2021'!V89</f>
        <v>(no reporta)</v>
      </c>
      <c r="AN71" s="588"/>
      <c r="AO71" s="576" t="str">
        <f>'IB 5D2-(MYPE_I)(Pesca_A)_2021'!W89</f>
        <v>(no reporta)</v>
      </c>
      <c r="AP71" s="588"/>
      <c r="AQ71" s="576" t="str">
        <f>'IB 5D2-(MYPE_I)(Pesca_A)_2021'!X89</f>
        <v>(no reporta)</v>
      </c>
      <c r="AR71" s="588"/>
      <c r="AS71" s="576" t="str">
        <f>'IB 5D2-(MYPE_I)(Pesca_A)_2021'!Y89</f>
        <v>(no reporta)</v>
      </c>
      <c r="AT71" s="588"/>
      <c r="AU71" s="611">
        <f>'IB 5D2-(MYPE_I)(Pesca_A)_2021'!Z89</f>
        <v>64099709</v>
      </c>
      <c r="AV71" s="584">
        <f>AU71*'Fac Conv'!$C$165*'Fac Conv'!$D$133/'Fac Conv'!$C$125</f>
        <v>239091.91456999999</v>
      </c>
      <c r="AW71" s="611">
        <f>'IB 5D2-(MYPE_I)(Pesca_A)_2021'!AA89</f>
        <v>178897504</v>
      </c>
      <c r="AX71" s="584">
        <f>AW71*'Fac Conv'!$C$165*'Fac Conv'!$D$133/'Fac Conv'!$C$125</f>
        <v>667287.68991999992</v>
      </c>
      <c r="AY71" s="611">
        <f>'IB 5D2-(MYPE_I)(Pesca_A)_2021'!AB89</f>
        <v>186510189</v>
      </c>
      <c r="AZ71" s="584">
        <f>AY71*'Fac Conv'!$C$165*'Fac Conv'!$D$133/'Fac Conv'!$C$125</f>
        <v>695683.00497000001</v>
      </c>
      <c r="BA71" s="611">
        <f>'IB 5D2-(MYPE_I)(Pesca_A)_2021'!AC89</f>
        <v>238431656</v>
      </c>
      <c r="BB71" s="584">
        <f>BA71*'Fac Conv'!$C$165*'Fac Conv'!$D$133/'Fac Conv'!$C$125</f>
        <v>889350.07687999995</v>
      </c>
      <c r="BC71" s="611">
        <f>'IB 5D2-(MYPE_I)(Pesca_A)_2021'!AD89</f>
        <v>342238171</v>
      </c>
      <c r="BD71" s="584">
        <f>BC71*'Fac Conv'!$C$165*'Fac Conv'!$D$133/'Fac Conv'!$C$125</f>
        <v>1276548.3778299999</v>
      </c>
      <c r="BE71" s="611">
        <f>'IB 5D2-(MYPE_I)(Pesca_A)_2021'!AE89</f>
        <v>556010763</v>
      </c>
      <c r="BF71" s="584">
        <f>BE71*'Fac Conv'!$C$165*'Fac Conv'!$D$133/'Fac Conv'!$C$125</f>
        <v>2073920.1459900001</v>
      </c>
      <c r="BG71" s="611">
        <f>'IB 5D2-(MYPE_I)(Pesca_A)_2021'!AF89</f>
        <v>397665979</v>
      </c>
      <c r="BH71" s="584">
        <f>BG71*'Fac Conv'!$C$165*'Fac Conv'!$D$133/'Fac Conv'!$C$125</f>
        <v>1483294.10167</v>
      </c>
      <c r="BI71" s="611">
        <f>'IB 5D2-(MYPE_I)(Pesca_A)_2021'!AG89</f>
        <v>336995841</v>
      </c>
      <c r="BJ71" s="584">
        <f>BI71*'Fac Conv'!$C$165*'Fac Conv'!$D$133/'Fac Conv'!$C$125</f>
        <v>1256994.4869299999</v>
      </c>
      <c r="BK71" s="583">
        <f>'IB 5D2-(MYPE_I)(Pesca_A)_2021'!AH89</f>
        <v>129596109</v>
      </c>
      <c r="BL71" s="584">
        <f>BK71*'Fac Conv'!$C$165*'Fac Conv'!$D$133/'Fac Conv'!$C$125</f>
        <v>483393.48657000001</v>
      </c>
      <c r="BM71" s="583">
        <f>'IB 5D2-(MYPE_I)(Pesca_A)_2021'!AI89</f>
        <v>277870369</v>
      </c>
      <c r="BN71" s="584">
        <f>BM71*'Fac Conv'!$C$165*'Fac Conv'!$D$133/'Fac Conv'!$C$125</f>
        <v>1036456.47637</v>
      </c>
      <c r="BO71" s="583">
        <f>'IB 5D2-(MYPE_I)(Pesca_A)_2021'!AJ89</f>
        <v>242912281</v>
      </c>
      <c r="BP71" s="584">
        <f>BO71*'Fac Conv'!$C$165*'Fac Conv'!$D$133/'Fac Conv'!$C$125</f>
        <v>906062.80813000002</v>
      </c>
      <c r="BQ71" s="264" t="s">
        <v>453</v>
      </c>
      <c r="BR71" s="263" t="str">
        <f>'Fac Conv'!$G$17</f>
        <v>Refinarías de petróleo</v>
      </c>
      <c r="BS71" s="263">
        <f>VLOOKUP(BR71,'Fac Conv'!$G$10:$K$25,2,FALSE)</f>
        <v>0.6</v>
      </c>
      <c r="BT71" s="263">
        <f>VLOOKUP(BR71,'Fac Conv'!$G$10:$K$25,4,FALSE)</f>
        <v>1.2</v>
      </c>
    </row>
    <row r="72" spans="2:72" ht="13.9" customHeight="1">
      <c r="B72" s="767"/>
      <c r="C72" s="87" t="str">
        <f>'IB 5D2-(MYPE_I)(Pesca_A)_2021'!D90</f>
        <v>Petrodiésel 2</v>
      </c>
      <c r="D72" s="514" t="str">
        <f>'IB 5D2-(MYPE_I)(Pesca_A)_2021'!E90</f>
        <v>ML.BL/BL</v>
      </c>
      <c r="E72" s="588"/>
      <c r="F72" s="588"/>
      <c r="G72" s="678" t="str">
        <f>'IB 5D2-(MYPE_I)(Pesca_A)_2021'!F90</f>
        <v>(no reporta)</v>
      </c>
      <c r="H72" s="588"/>
      <c r="I72" s="577" t="str">
        <f>'IB 5D2-(MYPE_I)(Pesca_A)_2021'!G90</f>
        <v>(no reporta)</v>
      </c>
      <c r="J72" s="588"/>
      <c r="K72" s="577" t="str">
        <f>'IB 5D2-(MYPE_I)(Pesca_A)_2021'!H90</f>
        <v>(no reporta)</v>
      </c>
      <c r="L72" s="588"/>
      <c r="M72" s="583">
        <f>'IB 5D2-(MYPE_I)(Pesca_A)_2021'!I90</f>
        <v>12529.953</v>
      </c>
      <c r="N72" s="584">
        <f>((M72*'Fac Conv'!$C$142*'Fac Conv'!$C$145/'Fac Conv'!$C$146)*'Fac Conv'!$C$162*'Fac Conv'!$D$133)/'Fac Conv'!$C$125</f>
        <v>1652458.3086510999</v>
      </c>
      <c r="O72" s="583">
        <f>'IB 5D2-(MYPE_I)(Pesca_A)_2021'!J90</f>
        <v>13561.395</v>
      </c>
      <c r="P72" s="584">
        <f>((O72*'Fac Conv'!$C$142*'Fac Conv'!$C$145/'Fac Conv'!$C$146)*'Fac Conv'!$C$162*'Fac Conv'!$D$133)/'Fac Conv'!$C$125</f>
        <v>1788485.5469648996</v>
      </c>
      <c r="Q72" s="583">
        <f>'IB 5D2-(MYPE_I)(Pesca_A)_2021'!K90</f>
        <v>13433.383</v>
      </c>
      <c r="R72" s="584">
        <f>((Q72*'Fac Conv'!$C$142*'Fac Conv'!$C$145/'Fac Conv'!$C$146)*'Fac Conv'!$C$162*'Fac Conv'!$D$133)/'Fac Conv'!$C$125</f>
        <v>1771603.2415797918</v>
      </c>
      <c r="S72" s="583">
        <f>'IB 5D2-(MYPE_I)(Pesca_A)_2021'!L90</f>
        <v>14911.638000000001</v>
      </c>
      <c r="T72" s="584">
        <f>((S72*'Fac Conv'!$C$142*'Fac Conv'!$C$145/'Fac Conv'!$C$146)*'Fac Conv'!$C$162*'Fac Conv'!$D$133)/'Fac Conv'!$C$125</f>
        <v>1966556.4674262919</v>
      </c>
      <c r="U72" s="583">
        <f>'IB 5D2-(MYPE_I)(Pesca_A)_2021'!M90</f>
        <v>13599.361000000001</v>
      </c>
      <c r="V72" s="584">
        <f>((U72*'Fac Conv'!$C$142*'Fac Conv'!$C$145/'Fac Conv'!$C$146)*'Fac Conv'!$C$162*'Fac Conv'!$D$133)/'Fac Conv'!$C$125</f>
        <v>1793492.5276093001</v>
      </c>
      <c r="W72" s="583">
        <f>'IB 5D2-(MYPE_I)(Pesca_A)_2021'!N90</f>
        <v>12370.119000000001</v>
      </c>
      <c r="X72" s="584">
        <f>((W72*'Fac Conv'!$C$142*'Fac Conv'!$C$145/'Fac Conv'!$C$146)*'Fac Conv'!$C$162*'Fac Conv'!$D$133)/'Fac Conv'!$C$125</f>
        <v>1631379.2973168243</v>
      </c>
      <c r="Y72" s="583">
        <f>'IB 5D2-(MYPE_I)(Pesca_A)_2021'!O90</f>
        <v>13475.856</v>
      </c>
      <c r="Z72" s="584">
        <f>((Y72*'Fac Conv'!$C$142*'Fac Conv'!$C$145/'Fac Conv'!$C$146)*'Fac Conv'!$C$162*'Fac Conv'!$D$133)/'Fac Conv'!$C$125</f>
        <v>1777204.6083002684</v>
      </c>
      <c r="AA72" s="583">
        <f>'IB 5D2-(MYPE_I)(Pesca_A)_2021'!P90</f>
        <v>13708.843000000001</v>
      </c>
      <c r="AB72" s="584">
        <f>((AA72*'Fac Conv'!$C$142*'Fac Conv'!$C$145/'Fac Conv'!$C$146)*'Fac Conv'!$C$162*'Fac Conv'!$D$133)/'Fac Conv'!$C$125</f>
        <v>1807931.0846053029</v>
      </c>
      <c r="AC72" s="583">
        <f>'IB 5D2-(MYPE_I)(Pesca_A)_2021'!Q90</f>
        <v>13866300</v>
      </c>
      <c r="AD72" s="584">
        <f>((AC72*'Fac Conv'!$C$145/'Fac Conv'!$C$146)*'Fac Conv'!$C$162*'Fac Conv'!$D$133)/'Fac Conv'!$C$125</f>
        <v>1828696.6156416344</v>
      </c>
      <c r="AE72" s="583">
        <f>'IB 5D2-(MYPE_I)(Pesca_A)_2021'!R90</f>
        <v>14907800</v>
      </c>
      <c r="AF72" s="584">
        <f>((AE72*'Fac Conv'!$C$145/'Fac Conv'!$C$146)*'Fac Conv'!$C$162*'Fac Conv'!$D$133)/'Fac Conv'!$C$125</f>
        <v>1966050.3095030654</v>
      </c>
      <c r="AG72" s="583">
        <f>'IB 5D2-(MYPE_I)(Pesca_A)_2021'!S90</f>
        <v>17652800</v>
      </c>
      <c r="AH72" s="584">
        <f>((AG72*'Fac Conv'!$C$145/'Fac Conv'!$C$146)*'Fac Conv'!$C$162*'Fac Conv'!$D$133)/'Fac Conv'!$C$125</f>
        <v>2328062.6855468759</v>
      </c>
      <c r="AI72" s="583">
        <f>'IB 5D2-(MYPE_I)(Pesca_A)_2021'!T90</f>
        <v>18913200</v>
      </c>
      <c r="AJ72" s="584">
        <f>((AI72*'Fac Conv'!$C$145/'Fac Conv'!$C$146)*'Fac Conv'!$C$162*'Fac Conv'!$D$133)/'Fac Conv'!$C$125</f>
        <v>2494285.0530389049</v>
      </c>
      <c r="AK72" s="583">
        <f>'IB 5D2-(MYPE_I)(Pesca_A)_2021'!U90</f>
        <v>20106600</v>
      </c>
      <c r="AL72" s="584">
        <f>((AK72*'Fac Conv'!$C$145/'Fac Conv'!$C$146)*'Fac Conv'!$C$162*'Fac Conv'!$D$133)/'Fac Conv'!$C$125</f>
        <v>2651671.4171812302</v>
      </c>
      <c r="AM72" s="583">
        <f>'IB 5D2-(MYPE_I)(Pesca_A)_2021'!V90</f>
        <v>21313300</v>
      </c>
      <c r="AN72" s="584">
        <f>((AM72*'Fac Conv'!$C$145/'Fac Conv'!$C$146)*'Fac Conv'!$C$162*'Fac Conv'!$D$133)/'Fac Conv'!$C$125</f>
        <v>2810811.793928795</v>
      </c>
      <c r="AO72" s="583">
        <f>'IB 5D2-(MYPE_I)(Pesca_A)_2021'!W90</f>
        <v>29836100</v>
      </c>
      <c r="AP72" s="584">
        <f>((AO72*'Fac Conv'!$C$145/'Fac Conv'!$C$146)*'Fac Conv'!$C$162*'Fac Conv'!$D$133)/'Fac Conv'!$C$125</f>
        <v>3934804.1722698468</v>
      </c>
      <c r="AQ72" s="583">
        <f>'IB 5D2-(MYPE_I)(Pesca_A)_2021'!X90</f>
        <v>36281900</v>
      </c>
      <c r="AR72" s="584">
        <f>((AQ72*'Fac Conv'!$C$145/'Fac Conv'!$C$146)*'Fac Conv'!$C$162*'Fac Conv'!$D$133)/'Fac Conv'!$C$125</f>
        <v>4784880.4467700999</v>
      </c>
      <c r="AS72" s="583">
        <f>'IB 5D2-(MYPE_I)(Pesca_A)_2021'!Y90</f>
        <v>35825800</v>
      </c>
      <c r="AT72" s="584">
        <f>((AS72*'Fac Conv'!$C$145/'Fac Conv'!$C$146)*'Fac Conv'!$C$162*'Fac Conv'!$D$133)/'Fac Conv'!$C$125</f>
        <v>4724729.6836686125</v>
      </c>
      <c r="AU72" s="587" t="str">
        <f>'IB 5D2-(MYPE_I)(Pesca_A)_2021'!Z90</f>
        <v>(no reporta)</v>
      </c>
      <c r="AV72" s="588"/>
      <c r="AW72" s="587" t="str">
        <f>'IB 5D2-(MYPE_I)(Pesca_A)_2021'!AA90</f>
        <v>(no reporta)</v>
      </c>
      <c r="AX72" s="588"/>
      <c r="AY72" s="587" t="str">
        <f>'IB 5D2-(MYPE_I)(Pesca_A)_2021'!AB90</f>
        <v>(no reporta)</v>
      </c>
      <c r="AZ72" s="588"/>
      <c r="BA72" s="587" t="str">
        <f>'IB 5D2-(MYPE_I)(Pesca_A)_2021'!AC90</f>
        <v>(no reporta)</v>
      </c>
      <c r="BB72" s="588"/>
      <c r="BC72" s="587" t="str">
        <f>'IB 5D2-(MYPE_I)(Pesca_A)_2021'!AD90</f>
        <v>(no reporta)</v>
      </c>
      <c r="BD72" s="588"/>
      <c r="BE72" s="587" t="str">
        <f>'IB 5D2-(MYPE_I)(Pesca_A)_2021'!AE90</f>
        <v>(no reporta)</v>
      </c>
      <c r="BF72" s="588"/>
      <c r="BG72" s="587" t="str">
        <f>'IB 5D2-(MYPE_I)(Pesca_A)_2021'!AF90</f>
        <v>(no reporta)</v>
      </c>
      <c r="BH72" s="588"/>
      <c r="BI72" s="587" t="str">
        <f>'IB 5D2-(MYPE_I)(Pesca_A)_2021'!AG90</f>
        <v>(no reporta)</v>
      </c>
      <c r="BJ72" s="588"/>
      <c r="BK72" s="587" t="str">
        <f>'IB 5D2-(MYPE_I)(Pesca_A)_2021'!AH90</f>
        <v>(no reporta)</v>
      </c>
      <c r="BL72" s="588"/>
      <c r="BM72" s="587" t="str">
        <f>'IB 5D2-(MYPE_I)(Pesca_A)_2021'!AI90</f>
        <v>(no reporta)</v>
      </c>
      <c r="BN72" s="588"/>
      <c r="BO72" s="587" t="str">
        <f>'IB 5D2-(MYPE_I)(Pesca_A)_2021'!AJ90</f>
        <v>(no reporta)</v>
      </c>
      <c r="BP72" s="588"/>
      <c r="BQ72" s="264" t="s">
        <v>452</v>
      </c>
      <c r="BR72" s="263" t="str">
        <f>'Fac Conv'!$G$17</f>
        <v>Refinarías de petróleo</v>
      </c>
      <c r="BS72" s="263">
        <f>VLOOKUP(BR72,'Fac Conv'!$G$10:$K$25,2,FALSE)</f>
        <v>0.6</v>
      </c>
      <c r="BT72" s="263">
        <f>VLOOKUP(BR72,'Fac Conv'!$G$10:$K$25,4,FALSE)</f>
        <v>1.2</v>
      </c>
    </row>
    <row r="73" spans="2:72" ht="13.9" customHeight="1">
      <c r="B73" s="765" t="s">
        <v>251</v>
      </c>
      <c r="C73" s="85" t="str">
        <f>'IB 5D2-(MYPE_I)(Pesca_A)_2021'!D91</f>
        <v xml:space="preserve">Alcohol etílico (también como alcohol etílico rectificado)                                  </v>
      </c>
      <c r="D73" s="270" t="str">
        <f>'IB 5D2-(MYPE_I)(Pesca_A)_2021'!E91</f>
        <v>LT</v>
      </c>
      <c r="E73" s="588"/>
      <c r="F73" s="588"/>
      <c r="G73" s="676" t="str">
        <f>'IB 5D2-(MYPE_I)(Pesca_A)_2021'!F91</f>
        <v>(no reporta)</v>
      </c>
      <c r="H73" s="588"/>
      <c r="I73" s="103" t="str">
        <f>'IB 5D2-(MYPE_I)(Pesca_A)_2021'!G91</f>
        <v>(no reporta)</v>
      </c>
      <c r="J73" s="588"/>
      <c r="K73" s="103" t="str">
        <f>'IB 5D2-(MYPE_I)(Pesca_A)_2021'!H91</f>
        <v>(no reporta)</v>
      </c>
      <c r="L73" s="588"/>
      <c r="M73" s="541" t="str">
        <f>'IB 5D2-(MYPE_I)(Pesca_A)_2021'!I91</f>
        <v>(no reporta)</v>
      </c>
      <c r="N73" s="588"/>
      <c r="O73" s="541" t="str">
        <f>'IB 5D2-(MYPE_I)(Pesca_A)_2021'!J91</f>
        <v>(no reporta)</v>
      </c>
      <c r="P73" s="588"/>
      <c r="Q73" s="541" t="str">
        <f>'IB 5D2-(MYPE_I)(Pesca_A)_2021'!K91</f>
        <v>(no reporta)</v>
      </c>
      <c r="R73" s="588"/>
      <c r="S73" s="541" t="str">
        <f>'IB 5D2-(MYPE_I)(Pesca_A)_2021'!L91</f>
        <v>(no reporta)</v>
      </c>
      <c r="T73" s="588"/>
      <c r="U73" s="541" t="str">
        <f>'IB 5D2-(MYPE_I)(Pesca_A)_2021'!M91</f>
        <v>(no reporta)</v>
      </c>
      <c r="V73" s="588"/>
      <c r="W73" s="541" t="str">
        <f>'IB 5D2-(MYPE_I)(Pesca_A)_2021'!N91</f>
        <v>(no reporta)</v>
      </c>
      <c r="X73" s="588"/>
      <c r="Y73" s="541" t="str">
        <f>'IB 5D2-(MYPE_I)(Pesca_A)_2021'!O91</f>
        <v>(no reporta)</v>
      </c>
      <c r="Z73" s="588"/>
      <c r="AA73" s="541" t="str">
        <f>'IB 5D2-(MYPE_I)(Pesca_A)_2021'!P91</f>
        <v>(no reporta)</v>
      </c>
      <c r="AB73" s="588"/>
      <c r="AC73" s="621" t="str">
        <f>'IB 5D2-(MYPE_I)(Pesca_A)_2021'!Q91</f>
        <v>(no reporta)</v>
      </c>
      <c r="AD73" s="588"/>
      <c r="AE73" s="621" t="str">
        <f>'IB 5D2-(MYPE_I)(Pesca_A)_2021'!R91</f>
        <v>(no reporta)</v>
      </c>
      <c r="AF73" s="588"/>
      <c r="AG73" s="621" t="str">
        <f>'IB 5D2-(MYPE_I)(Pesca_A)_2021'!S91</f>
        <v>(no reporta)</v>
      </c>
      <c r="AH73" s="588"/>
      <c r="AI73" s="621" t="str">
        <f>'IB 5D2-(MYPE_I)(Pesca_A)_2021'!T91</f>
        <v>(no reporta)</v>
      </c>
      <c r="AJ73" s="588"/>
      <c r="AK73" s="621" t="str">
        <f>'IB 5D2-(MYPE_I)(Pesca_A)_2021'!U91</f>
        <v>(no reporta)</v>
      </c>
      <c r="AL73" s="588"/>
      <c r="AM73" s="621" t="str">
        <f>'IB 5D2-(MYPE_I)(Pesca_A)_2021'!V91</f>
        <v>(no reporta)</v>
      </c>
      <c r="AN73" s="588"/>
      <c r="AO73" s="621" t="str">
        <f>'IB 5D2-(MYPE_I)(Pesca_A)_2021'!W91</f>
        <v>(no reporta)</v>
      </c>
      <c r="AP73" s="588"/>
      <c r="AQ73" s="621" t="str">
        <f>'IB 5D2-(MYPE_I)(Pesca_A)_2021'!X91</f>
        <v>(no reporta)</v>
      </c>
      <c r="AR73" s="588"/>
      <c r="AS73" s="621" t="str">
        <f>'IB 5D2-(MYPE_I)(Pesca_A)_2021'!Y91</f>
        <v>(no reporta)</v>
      </c>
      <c r="AT73" s="588"/>
      <c r="AU73" s="622">
        <f>'IB 5D2-(MYPE_I)(Pesca_A)_2021'!Z91</f>
        <v>40532515</v>
      </c>
      <c r="AV73" s="582">
        <f>AU73*'Fac Conv'!$C$159/'Fac Conv'!$C$125</f>
        <v>31980.154334999999</v>
      </c>
      <c r="AW73" s="622">
        <f>'IB 5D2-(MYPE_I)(Pesca_A)_2021'!AA91</f>
        <v>43251425</v>
      </c>
      <c r="AX73" s="582">
        <f>AW73*'Fac Conv'!$C$159/'Fac Conv'!$C$125</f>
        <v>34125.374324999997</v>
      </c>
      <c r="AY73" s="622">
        <f>'IB 5D2-(MYPE_I)(Pesca_A)_2021'!AB91</f>
        <v>43737099</v>
      </c>
      <c r="AZ73" s="582">
        <f>AY73*'Fac Conv'!$C$159/'Fac Conv'!$C$125</f>
        <v>34508.571110999997</v>
      </c>
      <c r="BA73" s="622">
        <f>'IB 5D2-(MYPE_I)(Pesca_A)_2021'!AC91</f>
        <v>53937438</v>
      </c>
      <c r="BB73" s="582">
        <f>BA73*'Fac Conv'!$C$159/'Fac Conv'!$C$125</f>
        <v>42556.638582</v>
      </c>
      <c r="BC73" s="622">
        <f>'IB 5D2-(MYPE_I)(Pesca_A)_2021'!AD91</f>
        <v>50013028</v>
      </c>
      <c r="BD73" s="582">
        <f>BC73*'Fac Conv'!$C$159/'Fac Conv'!$C$125</f>
        <v>39460.279091999997</v>
      </c>
      <c r="BE73" s="622">
        <f>'IB 5D2-(MYPE_I)(Pesca_A)_2021'!AE91</f>
        <v>44195912</v>
      </c>
      <c r="BF73" s="582">
        <f>BE73*'Fac Conv'!$C$159/'Fac Conv'!$C$125</f>
        <v>34870.574567999996</v>
      </c>
      <c r="BG73" s="622">
        <f>'IB 5D2-(MYPE_I)(Pesca_A)_2021'!AF91</f>
        <v>49672939</v>
      </c>
      <c r="BH73" s="582">
        <f>BG73*'Fac Conv'!$C$159/'Fac Conv'!$C$125</f>
        <v>39191.948871000001</v>
      </c>
      <c r="BI73" s="622">
        <f>'IB 5D2-(MYPE_I)(Pesca_A)_2021'!AG91</f>
        <v>72576374</v>
      </c>
      <c r="BJ73" s="582">
        <f>BI73*'Fac Conv'!$C$159/'Fac Conv'!$C$125</f>
        <v>57262.759085999998</v>
      </c>
      <c r="BK73" s="581">
        <f>'IB 5D2-(MYPE_I)(Pesca_A)_2021'!AH91</f>
        <v>58386658</v>
      </c>
      <c r="BL73" s="582">
        <f>BK73*'Fac Conv'!$C$159/'Fac Conv'!$C$125</f>
        <v>46067.073162000001</v>
      </c>
      <c r="BM73" s="581">
        <f>'IB 5D2-(MYPE_I)(Pesca_A)_2021'!AI91</f>
        <v>53137087</v>
      </c>
      <c r="BN73" s="582">
        <f>BM73*'Fac Conv'!$C$159/'Fac Conv'!$C$125</f>
        <v>41925.161642999999</v>
      </c>
      <c r="BO73" s="581">
        <f>'IB 5D2-(MYPE_I)(Pesca_A)_2021'!AJ91</f>
        <v>41984452</v>
      </c>
      <c r="BP73" s="582">
        <f>BO73*'Fac Conv'!$C$159/'Fac Conv'!$C$125</f>
        <v>33125.732627999998</v>
      </c>
      <c r="BQ73" s="264" t="s">
        <v>453</v>
      </c>
      <c r="BR73" s="263" t="str">
        <f>'Fac Conv'!$G$16</f>
        <v>Sustancias químicas orgánicas</v>
      </c>
      <c r="BS73" s="263">
        <f>VLOOKUP(BR73,'Fac Conv'!$G$10:$K$25,2,FALSE)</f>
        <v>67</v>
      </c>
      <c r="BT73" s="263">
        <f>VLOOKUP(BR73,'Fac Conv'!$G$10:$K$25,4,FALSE)</f>
        <v>400</v>
      </c>
    </row>
    <row r="74" spans="2:72" ht="13.9" customHeight="1">
      <c r="B74" s="767"/>
      <c r="C74" s="100" t="str">
        <f>'IB 5D2-(MYPE_I)(Pesca_A)_2021'!D92</f>
        <v xml:space="preserve">Acetileno                                                              </v>
      </c>
      <c r="D74" s="575" t="str">
        <f>'IB 5D2-(MYPE_I)(Pesca_A)_2021'!E92</f>
        <v>KG</v>
      </c>
      <c r="E74" s="588"/>
      <c r="F74" s="588"/>
      <c r="G74" s="678" t="str">
        <f>'IB 5D2-(MYPE_I)(Pesca_A)_2021'!F92</f>
        <v>(no reporta)</v>
      </c>
      <c r="H74" s="588"/>
      <c r="I74" s="577" t="str">
        <f>'IB 5D2-(MYPE_I)(Pesca_A)_2021'!G92</f>
        <v>(no reporta)</v>
      </c>
      <c r="J74" s="588"/>
      <c r="K74" s="577" t="str">
        <f>'IB 5D2-(MYPE_I)(Pesca_A)_2021'!H92</f>
        <v>(no reporta)</v>
      </c>
      <c r="L74" s="588"/>
      <c r="M74" s="619">
        <f>'IB 5D2-(MYPE_I)(Pesca_A)_2021'!I92</f>
        <v>368015.60499999998</v>
      </c>
      <c r="N74" s="597">
        <f>M74/'Fac Conv'!$C$123</f>
        <v>368.01560499999999</v>
      </c>
      <c r="O74" s="619">
        <f>'IB 5D2-(MYPE_I)(Pesca_A)_2021'!J92</f>
        <v>356233.66200000001</v>
      </c>
      <c r="P74" s="597">
        <f>O74/'Fac Conv'!$C$123</f>
        <v>356.23366200000004</v>
      </c>
      <c r="Q74" s="619">
        <f>'IB 5D2-(MYPE_I)(Pesca_A)_2021'!K92</f>
        <v>417085.12800000003</v>
      </c>
      <c r="R74" s="597">
        <f>Q74/'Fac Conv'!$C$123</f>
        <v>417.08512800000005</v>
      </c>
      <c r="S74" s="619">
        <f>'IB 5D2-(MYPE_I)(Pesca_A)_2021'!L92</f>
        <v>415110.65600000002</v>
      </c>
      <c r="T74" s="597">
        <f>S74/'Fac Conv'!$C$123</f>
        <v>415.11065600000001</v>
      </c>
      <c r="U74" s="619">
        <f>'IB 5D2-(MYPE_I)(Pesca_A)_2021'!M92</f>
        <v>415797.53200000001</v>
      </c>
      <c r="V74" s="597">
        <f>U74/'Fac Conv'!$C$123</f>
        <v>415.79753199999999</v>
      </c>
      <c r="W74" s="619">
        <f>'IB 5D2-(MYPE_I)(Pesca_A)_2021'!N92</f>
        <v>424618.61200000002</v>
      </c>
      <c r="X74" s="597">
        <f>W74/'Fac Conv'!$C$123</f>
        <v>424.61861200000004</v>
      </c>
      <c r="Y74" s="619">
        <f>'IB 5D2-(MYPE_I)(Pesca_A)_2021'!O92</f>
        <v>411793.10200000001</v>
      </c>
      <c r="Z74" s="597">
        <f>Y74/'Fac Conv'!$C$123</f>
        <v>411.79310200000003</v>
      </c>
      <c r="AA74" s="619">
        <f>'IB 5D2-(MYPE_I)(Pesca_A)_2021'!P92</f>
        <v>383229.51199999999</v>
      </c>
      <c r="AB74" s="597">
        <f>AA74/'Fac Conv'!$C$123</f>
        <v>383.229512</v>
      </c>
      <c r="AC74" s="619">
        <f>'IB 5D2-(MYPE_I)(Pesca_A)_2021'!Q92</f>
        <v>377414.6</v>
      </c>
      <c r="AD74" s="597">
        <f>AC74/'Fac Conv'!$C$123</f>
        <v>377.41459999999995</v>
      </c>
      <c r="AE74" s="619">
        <f>'IB 5D2-(MYPE_I)(Pesca_A)_2021'!R92</f>
        <v>370885.3</v>
      </c>
      <c r="AF74" s="597">
        <f>AE74/'Fac Conv'!$C$123</f>
        <v>370.88529999999997</v>
      </c>
      <c r="AG74" s="619">
        <f>'IB 5D2-(MYPE_I)(Pesca_A)_2021'!S92</f>
        <v>412876.1</v>
      </c>
      <c r="AH74" s="597">
        <f>AG74/'Fac Conv'!$C$123</f>
        <v>412.87609999999995</v>
      </c>
      <c r="AI74" s="619">
        <f>'IB 5D2-(MYPE_I)(Pesca_A)_2021'!T92</f>
        <v>454977.9</v>
      </c>
      <c r="AJ74" s="597">
        <f>AI74/'Fac Conv'!$C$123</f>
        <v>454.97790000000003</v>
      </c>
      <c r="AK74" s="619">
        <f>'IB 5D2-(MYPE_I)(Pesca_A)_2021'!U92</f>
        <v>493531.3</v>
      </c>
      <c r="AL74" s="597">
        <f>AK74/'Fac Conv'!$C$123</f>
        <v>493.53129999999999</v>
      </c>
      <c r="AM74" s="619">
        <f>'IB 5D2-(MYPE_I)(Pesca_A)_2021'!V92</f>
        <v>549376</v>
      </c>
      <c r="AN74" s="597">
        <f>AM74/'Fac Conv'!$C$123</f>
        <v>549.37599999999998</v>
      </c>
      <c r="AO74" s="619">
        <f>'IB 5D2-(MYPE_I)(Pesca_A)_2021'!W92</f>
        <v>463214.7</v>
      </c>
      <c r="AP74" s="597">
        <f>AO74/'Fac Conv'!$C$123</f>
        <v>463.21469999999999</v>
      </c>
      <c r="AQ74" s="619">
        <f>'IB 5D2-(MYPE_I)(Pesca_A)_2021'!X92</f>
        <v>480728.1</v>
      </c>
      <c r="AR74" s="597">
        <f>AQ74/'Fac Conv'!$C$123</f>
        <v>480.72809999999998</v>
      </c>
      <c r="AS74" s="619">
        <f>'IB 5D2-(MYPE_I)(Pesca_A)_2021'!Y92</f>
        <v>583565.80000000005</v>
      </c>
      <c r="AT74" s="597">
        <f>AS74/'Fac Conv'!$C$123</f>
        <v>583.56580000000008</v>
      </c>
      <c r="AU74" s="623">
        <f>'IB 5D2-(MYPE_I)(Pesca_A)_2021'!Z92</f>
        <v>520472</v>
      </c>
      <c r="AV74" s="597">
        <f>AU74/'Fac Conv'!$C$123</f>
        <v>520.47199999999998</v>
      </c>
      <c r="AW74" s="623">
        <f>'IB 5D2-(MYPE_I)(Pesca_A)_2021'!AA92</f>
        <v>527269</v>
      </c>
      <c r="AX74" s="597">
        <f>AW74/'Fac Conv'!$C$123</f>
        <v>527.26900000000001</v>
      </c>
      <c r="AY74" s="623">
        <f>'IB 5D2-(MYPE_I)(Pesca_A)_2021'!AB92</f>
        <v>495329</v>
      </c>
      <c r="AZ74" s="597">
        <f>AY74/'Fac Conv'!$C$123</f>
        <v>495.32900000000001</v>
      </c>
      <c r="BA74" s="623">
        <f>'IB 5D2-(MYPE_I)(Pesca_A)_2021'!AC92</f>
        <v>426249</v>
      </c>
      <c r="BB74" s="597">
        <f>BA74/'Fac Conv'!$C$123</f>
        <v>426.24900000000002</v>
      </c>
      <c r="BC74" s="623">
        <f>'IB 5D2-(MYPE_I)(Pesca_A)_2021'!AD92</f>
        <v>419917</v>
      </c>
      <c r="BD74" s="597">
        <f>BC74/'Fac Conv'!$C$123</f>
        <v>419.91699999999997</v>
      </c>
      <c r="BE74" s="623">
        <f>'IB 5D2-(MYPE_I)(Pesca_A)_2021'!AE92</f>
        <v>449642</v>
      </c>
      <c r="BF74" s="597">
        <f>BE74/'Fac Conv'!$C$123</f>
        <v>449.642</v>
      </c>
      <c r="BG74" s="623">
        <f>'IB 5D2-(MYPE_I)(Pesca_A)_2021'!AF92</f>
        <v>323708</v>
      </c>
      <c r="BH74" s="597">
        <f>BG74/'Fac Conv'!$C$123</f>
        <v>323.70800000000003</v>
      </c>
      <c r="BI74" s="623">
        <f>'IB 5D2-(MYPE_I)(Pesca_A)_2021'!AG92</f>
        <v>293034</v>
      </c>
      <c r="BJ74" s="597">
        <f>BI74/'Fac Conv'!$C$123</f>
        <v>293.03399999999999</v>
      </c>
      <c r="BK74" s="596">
        <f>'IB 5D2-(MYPE_I)(Pesca_A)_2021'!AH92</f>
        <v>287533</v>
      </c>
      <c r="BL74" s="597">
        <f>BK74/'Fac Conv'!$C$123</f>
        <v>287.53300000000002</v>
      </c>
      <c r="BM74" s="596">
        <f>'IB 5D2-(MYPE_I)(Pesca_A)_2021'!AI92</f>
        <v>338929</v>
      </c>
      <c r="BN74" s="597">
        <f>BM74/'Fac Conv'!$C$123</f>
        <v>338.92899999999997</v>
      </c>
      <c r="BO74" s="596">
        <f>'IB 5D2-(MYPE_I)(Pesca_A)_2021'!AJ92</f>
        <v>358976</v>
      </c>
      <c r="BP74" s="597">
        <f>BO74/'Fac Conv'!$C$123</f>
        <v>358.976</v>
      </c>
      <c r="BR74" s="263" t="str">
        <f>'Fac Conv'!$G$16</f>
        <v>Sustancias químicas orgánicas</v>
      </c>
      <c r="BS74" s="263">
        <f>VLOOKUP(BR74,'Fac Conv'!$G$10:$K$25,2,FALSE)</f>
        <v>67</v>
      </c>
      <c r="BT74" s="263">
        <f>VLOOKUP(BR74,'Fac Conv'!$G$10:$K$25,4,FALSE)</f>
        <v>400</v>
      </c>
    </row>
    <row r="75" spans="2:72" ht="13.9" customHeight="1">
      <c r="B75" s="765" t="s">
        <v>254</v>
      </c>
      <c r="C75" s="89" t="str">
        <f>'IB 5D2-(MYPE_I)(Pesca_A)_2021'!D103</f>
        <v>Detergente</v>
      </c>
      <c r="D75" s="515" t="str">
        <f>'IB 5D2-(MYPE_I)(Pesca_A)_2021'!E103</f>
        <v>TM/KG</v>
      </c>
      <c r="E75" s="588"/>
      <c r="F75" s="588"/>
      <c r="G75" s="676" t="str">
        <f>'IB 5D2-(MYPE_I)(Pesca_A)_2021'!F103</f>
        <v>(no reporta)</v>
      </c>
      <c r="H75" s="588"/>
      <c r="I75" s="103" t="str">
        <f>'IB 5D2-(MYPE_I)(Pesca_A)_2021'!G103</f>
        <v>(no reporta)</v>
      </c>
      <c r="J75" s="588"/>
      <c r="K75" s="103" t="str">
        <f>'IB 5D2-(MYPE_I)(Pesca_A)_2021'!H103</f>
        <v>(no reporta)</v>
      </c>
      <c r="L75" s="588"/>
      <c r="M75" s="618">
        <f>'IB 5D2-(MYPE_I)(Pesca_A)_2021'!I103</f>
        <v>63066.095999999998</v>
      </c>
      <c r="N75" s="584">
        <f>M75</f>
        <v>63066.095999999998</v>
      </c>
      <c r="O75" s="618">
        <f>'IB 5D2-(MYPE_I)(Pesca_A)_2021'!J103</f>
        <v>64904.095999999998</v>
      </c>
      <c r="P75" s="584">
        <f>O75</f>
        <v>64904.095999999998</v>
      </c>
      <c r="Q75" s="618">
        <f>'IB 5D2-(MYPE_I)(Pesca_A)_2021'!K103</f>
        <v>74858.572</v>
      </c>
      <c r="R75" s="584">
        <f>Q75</f>
        <v>74858.572</v>
      </c>
      <c r="S75" s="618">
        <f>'IB 5D2-(MYPE_I)(Pesca_A)_2021'!L103</f>
        <v>68285.793000000005</v>
      </c>
      <c r="T75" s="584">
        <f>S75</f>
        <v>68285.793000000005</v>
      </c>
      <c r="U75" s="618">
        <f>'IB 5D2-(MYPE_I)(Pesca_A)_2021'!M103</f>
        <v>79244.705000000002</v>
      </c>
      <c r="V75" s="584">
        <f>U75</f>
        <v>79244.705000000002</v>
      </c>
      <c r="W75" s="618">
        <f>'IB 5D2-(MYPE_I)(Pesca_A)_2021'!N103</f>
        <v>78118.578999999998</v>
      </c>
      <c r="X75" s="584">
        <f>W75</f>
        <v>78118.578999999998</v>
      </c>
      <c r="Y75" s="618">
        <f>'IB 5D2-(MYPE_I)(Pesca_A)_2021'!O103</f>
        <v>521501.56533999997</v>
      </c>
      <c r="Z75" s="584">
        <f>Y75</f>
        <v>521501.56533999997</v>
      </c>
      <c r="AA75" s="618">
        <f>'IB 5D2-(MYPE_I)(Pesca_A)_2021'!P103</f>
        <v>84824.67727</v>
      </c>
      <c r="AB75" s="584">
        <f>AA75</f>
        <v>84824.67727</v>
      </c>
      <c r="AC75" s="618">
        <f>'IB 5D2-(MYPE_I)(Pesca_A)_2021'!Q103</f>
        <v>78028600</v>
      </c>
      <c r="AD75" s="584">
        <f>AC75/'Fac Conv'!$C$123</f>
        <v>78028.600000000006</v>
      </c>
      <c r="AE75" s="618">
        <f>'IB 5D2-(MYPE_I)(Pesca_A)_2021'!R103</f>
        <v>82948600</v>
      </c>
      <c r="AF75" s="584">
        <f>AE75/'Fac Conv'!$C$123</f>
        <v>82948.600000000006</v>
      </c>
      <c r="AG75" s="618">
        <f>'IB 5D2-(MYPE_I)(Pesca_A)_2021'!S103</f>
        <v>77135000</v>
      </c>
      <c r="AH75" s="584">
        <f>AG75/'Fac Conv'!$C$123</f>
        <v>77135</v>
      </c>
      <c r="AI75" s="618">
        <f>'IB 5D2-(MYPE_I)(Pesca_A)_2021'!T103</f>
        <v>103885800</v>
      </c>
      <c r="AJ75" s="584">
        <f>AI75/'Fac Conv'!$C$123</f>
        <v>103885.8</v>
      </c>
      <c r="AK75" s="618">
        <f>'IB 5D2-(MYPE_I)(Pesca_A)_2021'!U103</f>
        <v>124540600</v>
      </c>
      <c r="AL75" s="584">
        <f>AK75/'Fac Conv'!$C$123</f>
        <v>124540.6</v>
      </c>
      <c r="AM75" s="618">
        <f>'IB 5D2-(MYPE_I)(Pesca_A)_2021'!V103</f>
        <v>148378700</v>
      </c>
      <c r="AN75" s="584">
        <f>AM75/'Fac Conv'!$C$123</f>
        <v>148378.70000000001</v>
      </c>
      <c r="AO75" s="618">
        <f>'IB 5D2-(MYPE_I)(Pesca_A)_2021'!W103</f>
        <v>147967400</v>
      </c>
      <c r="AP75" s="584">
        <f>AO75/'Fac Conv'!$C$123</f>
        <v>147967.4</v>
      </c>
      <c r="AQ75" s="618">
        <f>'IB 5D2-(MYPE_I)(Pesca_A)_2021'!X103</f>
        <v>169944900</v>
      </c>
      <c r="AR75" s="584">
        <f>AQ75/'Fac Conv'!$C$123</f>
        <v>169944.9</v>
      </c>
      <c r="AS75" s="618">
        <f>'IB 5D2-(MYPE_I)(Pesca_A)_2021'!Y103</f>
        <v>180373600</v>
      </c>
      <c r="AT75" s="584">
        <f>AS75/'Fac Conv'!$C$123</f>
        <v>180373.6</v>
      </c>
      <c r="AU75" s="618">
        <f>'IB 5D2-(MYPE_I)(Pesca_A)_2021'!Z103</f>
        <v>193710662</v>
      </c>
      <c r="AV75" s="584">
        <f>AU75/'Fac Conv'!$C$123</f>
        <v>193710.66200000001</v>
      </c>
      <c r="AW75" s="618">
        <f>'IB 5D2-(MYPE_I)(Pesca_A)_2021'!AA103</f>
        <v>201241122</v>
      </c>
      <c r="AX75" s="584">
        <f>AW75/'Fac Conv'!$C$123</f>
        <v>201241.122</v>
      </c>
      <c r="AY75" s="618">
        <f>'IB 5D2-(MYPE_I)(Pesca_A)_2021'!AB103</f>
        <v>204657226</v>
      </c>
      <c r="AZ75" s="584">
        <f>AY75/'Fac Conv'!$C$123</f>
        <v>204657.226</v>
      </c>
      <c r="BA75" s="618">
        <f>'IB 5D2-(MYPE_I)(Pesca_A)_2021'!AC103</f>
        <v>212220054</v>
      </c>
      <c r="BB75" s="584">
        <f>BA75/'Fac Conv'!$C$123</f>
        <v>212220.054</v>
      </c>
      <c r="BC75" s="618">
        <f>'IB 5D2-(MYPE_I)(Pesca_A)_2021'!AD103</f>
        <v>197308352</v>
      </c>
      <c r="BD75" s="584">
        <f>BC75/'Fac Conv'!$C$123</f>
        <v>197308.35200000001</v>
      </c>
      <c r="BE75" s="618">
        <f>'IB 5D2-(MYPE_I)(Pesca_A)_2021'!AE103</f>
        <v>190541462</v>
      </c>
      <c r="BF75" s="584">
        <f>BE75/'Fac Conv'!$C$123</f>
        <v>190541.462</v>
      </c>
      <c r="BG75" s="618">
        <f>'IB 5D2-(MYPE_I)(Pesca_A)_2021'!AF103</f>
        <v>201118272</v>
      </c>
      <c r="BH75" s="584">
        <f>BG75/'Fac Conv'!$C$123</f>
        <v>201118.272</v>
      </c>
      <c r="BI75" s="618">
        <f>'IB 5D2-(MYPE_I)(Pesca_A)_2021'!AG103</f>
        <v>212074189</v>
      </c>
      <c r="BJ75" s="584">
        <f>BI75/'Fac Conv'!$C$123</f>
        <v>212074.18900000001</v>
      </c>
      <c r="BK75" s="618">
        <f>'IB 5D2-(MYPE_I)(Pesca_A)_2021'!AH103</f>
        <v>212491691</v>
      </c>
      <c r="BL75" s="584">
        <f>BK75/'Fac Conv'!$C$123</f>
        <v>212491.69099999999</v>
      </c>
      <c r="BM75" s="583">
        <f>'IB 5D2-(MYPE_I)(Pesca_A)_2021'!AI103</f>
        <v>204497168</v>
      </c>
      <c r="BN75" s="584">
        <f>BM75/'Fac Conv'!$C$123</f>
        <v>204497.16800000001</v>
      </c>
      <c r="BO75" s="583">
        <f>'IB 5D2-(MYPE_I)(Pesca_A)_2021'!AJ103</f>
        <v>224716357</v>
      </c>
      <c r="BP75" s="584">
        <f>BO75/'Fac Conv'!$C$123</f>
        <v>224716.35699999999</v>
      </c>
      <c r="BR75" s="263" t="str">
        <f>'Fac Conv'!$G$20</f>
        <v>Jabón y detergentes</v>
      </c>
      <c r="BS75" s="263">
        <f t="shared" ref="BS75:BS81" si="147">(1+5)/2</f>
        <v>3</v>
      </c>
      <c r="BT75" s="263">
        <f t="shared" ref="BT75:BT81" si="148">(0.5+1.2)/2</f>
        <v>0.85</v>
      </c>
    </row>
    <row r="76" spans="2:72" ht="13.9" customHeight="1">
      <c r="B76" s="766"/>
      <c r="C76" s="89" t="str">
        <f>'IB 5D2-(MYPE_I)(Pesca_A)_2021'!D104</f>
        <v>Jabón para Lavar Ropa</v>
      </c>
      <c r="D76" s="515" t="str">
        <f>'IB 5D2-(MYPE_I)(Pesca_A)_2021'!E104</f>
        <v>TM/KG</v>
      </c>
      <c r="E76" s="588"/>
      <c r="F76" s="588"/>
      <c r="G76" s="677" t="str">
        <f>'IB 5D2-(MYPE_I)(Pesca_A)_2021'!F104</f>
        <v>(no reporta)</v>
      </c>
      <c r="H76" s="588"/>
      <c r="I76" s="576" t="str">
        <f>'IB 5D2-(MYPE_I)(Pesca_A)_2021'!G104</f>
        <v>(no reporta)</v>
      </c>
      <c r="J76" s="588"/>
      <c r="K76" s="576" t="str">
        <f>'IB 5D2-(MYPE_I)(Pesca_A)_2021'!H104</f>
        <v>(no reporta)</v>
      </c>
      <c r="L76" s="588"/>
      <c r="M76" s="618">
        <f>'IB 5D2-(MYPE_I)(Pesca_A)_2021'!I104</f>
        <v>36765.830999999998</v>
      </c>
      <c r="N76" s="584">
        <f>M76</f>
        <v>36765.830999999998</v>
      </c>
      <c r="O76" s="618">
        <f>'IB 5D2-(MYPE_I)(Pesca_A)_2021'!J104</f>
        <v>39601.160000000003</v>
      </c>
      <c r="P76" s="584">
        <f>O76</f>
        <v>39601.160000000003</v>
      </c>
      <c r="Q76" s="618">
        <f>'IB 5D2-(MYPE_I)(Pesca_A)_2021'!K104</f>
        <v>48539.398000000001</v>
      </c>
      <c r="R76" s="584">
        <f>Q76</f>
        <v>48539.398000000001</v>
      </c>
      <c r="S76" s="618">
        <f>'IB 5D2-(MYPE_I)(Pesca_A)_2021'!L104</f>
        <v>35578.228999999999</v>
      </c>
      <c r="T76" s="584">
        <f>S76</f>
        <v>35578.228999999999</v>
      </c>
      <c r="U76" s="618">
        <f>'IB 5D2-(MYPE_I)(Pesca_A)_2021'!M104</f>
        <v>38577.474999999999</v>
      </c>
      <c r="V76" s="584">
        <f>U76</f>
        <v>38577.474999999999</v>
      </c>
      <c r="W76" s="618">
        <f>'IB 5D2-(MYPE_I)(Pesca_A)_2021'!N104</f>
        <v>32644.753000000001</v>
      </c>
      <c r="X76" s="584">
        <f>W76</f>
        <v>32644.753000000001</v>
      </c>
      <c r="Y76" s="618">
        <f>'IB 5D2-(MYPE_I)(Pesca_A)_2021'!O104</f>
        <v>234839.864</v>
      </c>
      <c r="Z76" s="584">
        <f>Y76</f>
        <v>234839.864</v>
      </c>
      <c r="AA76" s="618">
        <f>'IB 5D2-(MYPE_I)(Pesca_A)_2021'!P104</f>
        <v>35836.949999999997</v>
      </c>
      <c r="AB76" s="584">
        <f>AA76</f>
        <v>35836.949999999997</v>
      </c>
      <c r="AC76" s="618">
        <f>'IB 5D2-(MYPE_I)(Pesca_A)_2021'!Q104</f>
        <v>31773500</v>
      </c>
      <c r="AD76" s="584">
        <f>AC76/'Fac Conv'!$C$123</f>
        <v>31773.5</v>
      </c>
      <c r="AE76" s="618">
        <f>'IB 5D2-(MYPE_I)(Pesca_A)_2021'!R104</f>
        <v>33505800.000000004</v>
      </c>
      <c r="AF76" s="584">
        <f>AE76/'Fac Conv'!$C$123</f>
        <v>33505.800000000003</v>
      </c>
      <c r="AG76" s="618">
        <f>'IB 5D2-(MYPE_I)(Pesca_A)_2021'!S104</f>
        <v>33291699.999999996</v>
      </c>
      <c r="AH76" s="584">
        <f>AG76/'Fac Conv'!$C$123</f>
        <v>33291.699999999997</v>
      </c>
      <c r="AI76" s="618">
        <f>'IB 5D2-(MYPE_I)(Pesca_A)_2021'!T104</f>
        <v>33570000</v>
      </c>
      <c r="AJ76" s="584">
        <f>AI76/'Fac Conv'!$C$123</f>
        <v>33570</v>
      </c>
      <c r="AK76" s="618">
        <f>'IB 5D2-(MYPE_I)(Pesca_A)_2021'!U104</f>
        <v>33285500</v>
      </c>
      <c r="AL76" s="584">
        <f>AK76/'Fac Conv'!$C$123</f>
        <v>33285.5</v>
      </c>
      <c r="AM76" s="618">
        <f>'IB 5D2-(MYPE_I)(Pesca_A)_2021'!V104</f>
        <v>34028200</v>
      </c>
      <c r="AN76" s="584">
        <f>AM76/'Fac Conv'!$C$123</f>
        <v>34028.199999999997</v>
      </c>
      <c r="AO76" s="618">
        <f>'IB 5D2-(MYPE_I)(Pesca_A)_2021'!W104</f>
        <v>35886200</v>
      </c>
      <c r="AP76" s="584">
        <f>AO76/'Fac Conv'!$C$123</f>
        <v>35886.199999999997</v>
      </c>
      <c r="AQ76" s="618">
        <f>'IB 5D2-(MYPE_I)(Pesca_A)_2021'!X104</f>
        <v>34024900</v>
      </c>
      <c r="AR76" s="584">
        <f>AQ76/'Fac Conv'!$C$123</f>
        <v>34024.9</v>
      </c>
      <c r="AS76" s="618">
        <f>'IB 5D2-(MYPE_I)(Pesca_A)_2021'!Y104</f>
        <v>34547200</v>
      </c>
      <c r="AT76" s="584">
        <f>AS76/'Fac Conv'!$C$123</f>
        <v>34547.199999999997</v>
      </c>
      <c r="AU76" s="618">
        <f>'IB 5D2-(MYPE_I)(Pesca_A)_2021'!Z104</f>
        <v>32351400</v>
      </c>
      <c r="AV76" s="584">
        <f>AU76/'Fac Conv'!$C$123</f>
        <v>32351.4</v>
      </c>
      <c r="AW76" s="618">
        <f>'IB 5D2-(MYPE_I)(Pesca_A)_2021'!AA104</f>
        <v>32111092</v>
      </c>
      <c r="AX76" s="584">
        <f>AW76/'Fac Conv'!$C$123</f>
        <v>32111.092000000001</v>
      </c>
      <c r="AY76" s="618">
        <f>'IB 5D2-(MYPE_I)(Pesca_A)_2021'!AB104</f>
        <v>34645806</v>
      </c>
      <c r="AZ76" s="584">
        <f>AY76/'Fac Conv'!$C$123</f>
        <v>34645.805999999997</v>
      </c>
      <c r="BA76" s="618">
        <f>'IB 5D2-(MYPE_I)(Pesca_A)_2021'!AC104</f>
        <v>34675462</v>
      </c>
      <c r="BB76" s="584">
        <f>BA76/'Fac Conv'!$C$123</f>
        <v>34675.462</v>
      </c>
      <c r="BC76" s="618">
        <f>'IB 5D2-(MYPE_I)(Pesca_A)_2021'!AD104</f>
        <v>35303018</v>
      </c>
      <c r="BD76" s="584">
        <f>BC76/'Fac Conv'!$C$123</f>
        <v>35303.017999999996</v>
      </c>
      <c r="BE76" s="618">
        <f>'IB 5D2-(MYPE_I)(Pesca_A)_2021'!AE104</f>
        <v>33775746</v>
      </c>
      <c r="BF76" s="584">
        <f>BE76/'Fac Conv'!$C$123</f>
        <v>33775.745999999999</v>
      </c>
      <c r="BG76" s="618">
        <f>'IB 5D2-(MYPE_I)(Pesca_A)_2021'!AF104</f>
        <v>33186762</v>
      </c>
      <c r="BH76" s="584">
        <f>BG76/'Fac Conv'!$C$123</f>
        <v>33186.762000000002</v>
      </c>
      <c r="BI76" s="618">
        <f>'IB 5D2-(MYPE_I)(Pesca_A)_2021'!AG104</f>
        <v>33363884</v>
      </c>
      <c r="BJ76" s="584">
        <f>BI76/'Fac Conv'!$C$123</f>
        <v>33363.883999999998</v>
      </c>
      <c r="BK76" s="618">
        <f>'IB 5D2-(MYPE_I)(Pesca_A)_2021'!AH104</f>
        <v>39643627</v>
      </c>
      <c r="BL76" s="584">
        <f>BK76/'Fac Conv'!$C$123</f>
        <v>39643.627</v>
      </c>
      <c r="BM76" s="583">
        <f>'IB 5D2-(MYPE_I)(Pesca_A)_2021'!AI104</f>
        <v>24528980</v>
      </c>
      <c r="BN76" s="584">
        <f>BM76/'Fac Conv'!$C$123</f>
        <v>24528.98</v>
      </c>
      <c r="BO76" s="583">
        <f>'IB 5D2-(MYPE_I)(Pesca_A)_2021'!AJ104</f>
        <v>25501716</v>
      </c>
      <c r="BP76" s="584">
        <f>BO76/'Fac Conv'!$C$123</f>
        <v>25501.716</v>
      </c>
      <c r="BR76" s="263" t="str">
        <f>'Fac Conv'!$G$20</f>
        <v>Jabón y detergentes</v>
      </c>
      <c r="BS76" s="263">
        <f t="shared" si="147"/>
        <v>3</v>
      </c>
      <c r="BT76" s="263">
        <f t="shared" si="148"/>
        <v>0.85</v>
      </c>
    </row>
    <row r="77" spans="2:72" ht="13.9" customHeight="1">
      <c r="B77" s="766"/>
      <c r="C77" s="87" t="str">
        <f>'IB 5D2-(MYPE_I)(Pesca_A)_2021'!D105</f>
        <v>Lavavajillas</v>
      </c>
      <c r="D77" s="515" t="str">
        <f>'IB 5D2-(MYPE_I)(Pesca_A)_2021'!E105</f>
        <v>KG</v>
      </c>
      <c r="E77" s="588"/>
      <c r="F77" s="588"/>
      <c r="G77" s="677" t="str">
        <f>'IB 5D2-(MYPE_I)(Pesca_A)_2021'!F105</f>
        <v>(no reporta)</v>
      </c>
      <c r="H77" s="588"/>
      <c r="I77" s="576" t="str">
        <f>'IB 5D2-(MYPE_I)(Pesca_A)_2021'!G105</f>
        <v>(no reporta)</v>
      </c>
      <c r="J77" s="588"/>
      <c r="K77" s="576" t="str">
        <f>'IB 5D2-(MYPE_I)(Pesca_A)_2021'!H105</f>
        <v>(no reporta)</v>
      </c>
      <c r="L77" s="588"/>
      <c r="M77" s="576" t="str">
        <f>'IB 5D2-(MYPE_I)(Pesca_A)_2021'!I105</f>
        <v>(no reporta)</v>
      </c>
      <c r="N77" s="588"/>
      <c r="O77" s="576" t="str">
        <f>'IB 5D2-(MYPE_I)(Pesca_A)_2021'!J105</f>
        <v>(no reporta)</v>
      </c>
      <c r="P77" s="588"/>
      <c r="Q77" s="576" t="str">
        <f>'IB 5D2-(MYPE_I)(Pesca_A)_2021'!K105</f>
        <v>(no reporta)</v>
      </c>
      <c r="R77" s="588"/>
      <c r="S77" s="576" t="str">
        <f>'IB 5D2-(MYPE_I)(Pesca_A)_2021'!L105</f>
        <v>(no reporta)</v>
      </c>
      <c r="T77" s="588"/>
      <c r="U77" s="576" t="str">
        <f>'IB 5D2-(MYPE_I)(Pesca_A)_2021'!M105</f>
        <v>(no reporta)</v>
      </c>
      <c r="V77" s="588"/>
      <c r="W77" s="576" t="str">
        <f>'IB 5D2-(MYPE_I)(Pesca_A)_2021'!N105</f>
        <v>(no reporta)</v>
      </c>
      <c r="X77" s="588"/>
      <c r="Y77" s="576" t="str">
        <f>'IB 5D2-(MYPE_I)(Pesca_A)_2021'!O105</f>
        <v>(no reporta)</v>
      </c>
      <c r="Z77" s="588"/>
      <c r="AA77" s="576" t="str">
        <f>'IB 5D2-(MYPE_I)(Pesca_A)_2021'!P105</f>
        <v>(no reporta)</v>
      </c>
      <c r="AB77" s="588"/>
      <c r="AC77" s="576" t="str">
        <f>'IB 5D2-(MYPE_I)(Pesca_A)_2021'!Q105</f>
        <v>(no reporta)</v>
      </c>
      <c r="AD77" s="588"/>
      <c r="AE77" s="576" t="str">
        <f>'IB 5D2-(MYPE_I)(Pesca_A)_2021'!R105</f>
        <v>(no reporta)</v>
      </c>
      <c r="AF77" s="588"/>
      <c r="AG77" s="576" t="str">
        <f>'IB 5D2-(MYPE_I)(Pesca_A)_2021'!S105</f>
        <v>(no reporta)</v>
      </c>
      <c r="AH77" s="588"/>
      <c r="AI77" s="576" t="str">
        <f>'IB 5D2-(MYPE_I)(Pesca_A)_2021'!T105</f>
        <v>(no reporta)</v>
      </c>
      <c r="AJ77" s="588"/>
      <c r="AK77" s="576" t="str">
        <f>'IB 5D2-(MYPE_I)(Pesca_A)_2021'!U105</f>
        <v>(no reporta)</v>
      </c>
      <c r="AL77" s="588"/>
      <c r="AM77" s="576" t="str">
        <f>'IB 5D2-(MYPE_I)(Pesca_A)_2021'!V105</f>
        <v>(no reporta)</v>
      </c>
      <c r="AN77" s="588"/>
      <c r="AO77" s="576" t="str">
        <f>'IB 5D2-(MYPE_I)(Pesca_A)_2021'!W105</f>
        <v>(no reporta)</v>
      </c>
      <c r="AP77" s="588"/>
      <c r="AQ77" s="576" t="str">
        <f>'IB 5D2-(MYPE_I)(Pesca_A)_2021'!X105</f>
        <v>(no reporta)</v>
      </c>
      <c r="AR77" s="588"/>
      <c r="AS77" s="576" t="str">
        <f>'IB 5D2-(MYPE_I)(Pesca_A)_2021'!Y105</f>
        <v>(no reporta)</v>
      </c>
      <c r="AT77" s="588"/>
      <c r="AU77" s="618">
        <f>'IB 5D2-(MYPE_I)(Pesca_A)_2021'!Z105</f>
        <v>28321530</v>
      </c>
      <c r="AV77" s="584">
        <f>AU77/'Fac Conv'!$C$123</f>
        <v>28321.53</v>
      </c>
      <c r="AW77" s="618">
        <f>'IB 5D2-(MYPE_I)(Pesca_A)_2021'!AA105</f>
        <v>34995862</v>
      </c>
      <c r="AX77" s="584">
        <f>AW77/'Fac Conv'!$C$123</f>
        <v>34995.862000000001</v>
      </c>
      <c r="AY77" s="618">
        <f>'IB 5D2-(MYPE_I)(Pesca_A)_2021'!AB105</f>
        <v>32290309</v>
      </c>
      <c r="AZ77" s="584">
        <f>AY77/'Fac Conv'!$C$123</f>
        <v>32290.309000000001</v>
      </c>
      <c r="BA77" s="618">
        <f>'IB 5D2-(MYPE_I)(Pesca_A)_2021'!AC105</f>
        <v>31279958</v>
      </c>
      <c r="BB77" s="584">
        <f>BA77/'Fac Conv'!$C$123</f>
        <v>31279.957999999999</v>
      </c>
      <c r="BC77" s="618">
        <f>'IB 5D2-(MYPE_I)(Pesca_A)_2021'!AD105</f>
        <v>36545375</v>
      </c>
      <c r="BD77" s="584">
        <f>BC77/'Fac Conv'!$C$123</f>
        <v>36545.375</v>
      </c>
      <c r="BE77" s="618">
        <f>'IB 5D2-(MYPE_I)(Pesca_A)_2021'!AE105</f>
        <v>35096304</v>
      </c>
      <c r="BF77" s="584">
        <f>BE77/'Fac Conv'!$C$123</f>
        <v>35096.303999999996</v>
      </c>
      <c r="BG77" s="618">
        <f>'IB 5D2-(MYPE_I)(Pesca_A)_2021'!AF105</f>
        <v>42279519</v>
      </c>
      <c r="BH77" s="584">
        <f>BG77/'Fac Conv'!$C$123</f>
        <v>42279.519</v>
      </c>
      <c r="BI77" s="618">
        <f>'IB 5D2-(MYPE_I)(Pesca_A)_2021'!AG105</f>
        <v>35415188</v>
      </c>
      <c r="BJ77" s="584">
        <f>BI77/'Fac Conv'!$C$123</f>
        <v>35415.188000000002</v>
      </c>
      <c r="BK77" s="618">
        <f>'IB 5D2-(MYPE_I)(Pesca_A)_2021'!AH105</f>
        <v>39969865</v>
      </c>
      <c r="BL77" s="584">
        <f>BK77/'Fac Conv'!$C$123</f>
        <v>39969.864999999998</v>
      </c>
      <c r="BM77" s="583">
        <f>'IB 5D2-(MYPE_I)(Pesca_A)_2021'!AI105</f>
        <v>37797831</v>
      </c>
      <c r="BN77" s="584">
        <f>BM77/'Fac Conv'!$C$123</f>
        <v>37797.830999999998</v>
      </c>
      <c r="BO77" s="583">
        <f>'IB 5D2-(MYPE_I)(Pesca_A)_2021'!AJ105</f>
        <v>34981861</v>
      </c>
      <c r="BP77" s="584">
        <f>BO77/'Fac Conv'!$C$123</f>
        <v>34981.860999999997</v>
      </c>
      <c r="BR77" s="263" t="str">
        <f>'Fac Conv'!$G$20</f>
        <v>Jabón y detergentes</v>
      </c>
      <c r="BS77" s="263">
        <f t="shared" si="147"/>
        <v>3</v>
      </c>
      <c r="BT77" s="263">
        <f t="shared" si="148"/>
        <v>0.85</v>
      </c>
    </row>
    <row r="78" spans="2:72" ht="13.9" customHeight="1">
      <c r="B78" s="766"/>
      <c r="C78" s="87" t="str">
        <f>'IB 5D2-(MYPE_I)(Pesca_A)_2021'!D106</f>
        <v>Desengrasante</v>
      </c>
      <c r="D78" s="515" t="str">
        <f>'IB 5D2-(MYPE_I)(Pesca_A)_2021'!E106</f>
        <v>LT</v>
      </c>
      <c r="E78" s="588"/>
      <c r="F78" s="588"/>
      <c r="G78" s="677" t="str">
        <f>'IB 5D2-(MYPE_I)(Pesca_A)_2021'!F106</f>
        <v>(no reporta)</v>
      </c>
      <c r="H78" s="588"/>
      <c r="I78" s="576" t="str">
        <f>'IB 5D2-(MYPE_I)(Pesca_A)_2021'!G106</f>
        <v>(no reporta)</v>
      </c>
      <c r="J78" s="588"/>
      <c r="K78" s="576" t="str">
        <f>'IB 5D2-(MYPE_I)(Pesca_A)_2021'!H106</f>
        <v>(no reporta)</v>
      </c>
      <c r="L78" s="588"/>
      <c r="M78" s="576" t="str">
        <f>'IB 5D2-(MYPE_I)(Pesca_A)_2021'!I106</f>
        <v>(no reporta)</v>
      </c>
      <c r="N78" s="588"/>
      <c r="O78" s="576" t="str">
        <f>'IB 5D2-(MYPE_I)(Pesca_A)_2021'!J106</f>
        <v>(no reporta)</v>
      </c>
      <c r="P78" s="588"/>
      <c r="Q78" s="576" t="str">
        <f>'IB 5D2-(MYPE_I)(Pesca_A)_2021'!K106</f>
        <v>(no reporta)</v>
      </c>
      <c r="R78" s="588"/>
      <c r="S78" s="576" t="str">
        <f>'IB 5D2-(MYPE_I)(Pesca_A)_2021'!L106</f>
        <v>(no reporta)</v>
      </c>
      <c r="T78" s="588"/>
      <c r="U78" s="576" t="str">
        <f>'IB 5D2-(MYPE_I)(Pesca_A)_2021'!M106</f>
        <v>(no reporta)</v>
      </c>
      <c r="V78" s="588"/>
      <c r="W78" s="576" t="str">
        <f>'IB 5D2-(MYPE_I)(Pesca_A)_2021'!N106</f>
        <v>(no reporta)</v>
      </c>
      <c r="X78" s="588"/>
      <c r="Y78" s="576" t="str">
        <f>'IB 5D2-(MYPE_I)(Pesca_A)_2021'!O106</f>
        <v>(no reporta)</v>
      </c>
      <c r="Z78" s="588"/>
      <c r="AA78" s="576" t="str">
        <f>'IB 5D2-(MYPE_I)(Pesca_A)_2021'!P106</f>
        <v>(no reporta)</v>
      </c>
      <c r="AB78" s="588"/>
      <c r="AC78" s="576" t="str">
        <f>'IB 5D2-(MYPE_I)(Pesca_A)_2021'!Q106</f>
        <v>(no reporta)</v>
      </c>
      <c r="AD78" s="588"/>
      <c r="AE78" s="576" t="str">
        <f>'IB 5D2-(MYPE_I)(Pesca_A)_2021'!R106</f>
        <v>(no reporta)</v>
      </c>
      <c r="AF78" s="588"/>
      <c r="AG78" s="576" t="str">
        <f>'IB 5D2-(MYPE_I)(Pesca_A)_2021'!S106</f>
        <v>(no reporta)</v>
      </c>
      <c r="AH78" s="588"/>
      <c r="AI78" s="576" t="str">
        <f>'IB 5D2-(MYPE_I)(Pesca_A)_2021'!T106</f>
        <v>(no reporta)</v>
      </c>
      <c r="AJ78" s="588"/>
      <c r="AK78" s="576" t="str">
        <f>'IB 5D2-(MYPE_I)(Pesca_A)_2021'!U106</f>
        <v>(no reporta)</v>
      </c>
      <c r="AL78" s="588"/>
      <c r="AM78" s="576" t="str">
        <f>'IB 5D2-(MYPE_I)(Pesca_A)_2021'!V106</f>
        <v>(no reporta)</v>
      </c>
      <c r="AN78" s="588"/>
      <c r="AO78" s="576" t="str">
        <f>'IB 5D2-(MYPE_I)(Pesca_A)_2021'!W106</f>
        <v>(no reporta)</v>
      </c>
      <c r="AP78" s="588"/>
      <c r="AQ78" s="576" t="str">
        <f>'IB 5D2-(MYPE_I)(Pesca_A)_2021'!X106</f>
        <v>(no reporta)</v>
      </c>
      <c r="AR78" s="588"/>
      <c r="AS78" s="576" t="str">
        <f>'IB 5D2-(MYPE_I)(Pesca_A)_2021'!Y106</f>
        <v>(no reporta)</v>
      </c>
      <c r="AT78" s="588"/>
      <c r="AU78" s="618">
        <f>'IB 5D2-(MYPE_I)(Pesca_A)_2021'!Z106</f>
        <v>198091</v>
      </c>
      <c r="AV78" s="584">
        <f>AU78*'Fac Conv'!$C$151/'Fac Conv'!$C$123</f>
        <v>198.09100000000001</v>
      </c>
      <c r="AW78" s="618">
        <f>'IB 5D2-(MYPE_I)(Pesca_A)_2021'!AA106</f>
        <v>200438</v>
      </c>
      <c r="AX78" s="584">
        <f>AW78*'Fac Conv'!$C$151/'Fac Conv'!$C$123</f>
        <v>200.43799999999999</v>
      </c>
      <c r="AY78" s="618">
        <f>'IB 5D2-(MYPE_I)(Pesca_A)_2021'!AB106</f>
        <v>252328</v>
      </c>
      <c r="AZ78" s="584">
        <f>AY78*'Fac Conv'!$C$151/'Fac Conv'!$C$123</f>
        <v>252.328</v>
      </c>
      <c r="BA78" s="618">
        <f>'IB 5D2-(MYPE_I)(Pesca_A)_2021'!AC106</f>
        <v>312657</v>
      </c>
      <c r="BB78" s="584">
        <f>BA78*'Fac Conv'!$C$151/'Fac Conv'!$C$123</f>
        <v>312.65699999999998</v>
      </c>
      <c r="BC78" s="618">
        <f>'IB 5D2-(MYPE_I)(Pesca_A)_2021'!AD106</f>
        <v>254086</v>
      </c>
      <c r="BD78" s="584">
        <f>BC78*'Fac Conv'!$C$151/'Fac Conv'!$C$123</f>
        <v>254.08600000000001</v>
      </c>
      <c r="BE78" s="618">
        <f>'IB 5D2-(MYPE_I)(Pesca_A)_2021'!AE106</f>
        <v>310536</v>
      </c>
      <c r="BF78" s="584">
        <f>BE78*'Fac Conv'!$C$151/'Fac Conv'!$C$123</f>
        <v>310.536</v>
      </c>
      <c r="BG78" s="618">
        <f>'IB 5D2-(MYPE_I)(Pesca_A)_2021'!AF106</f>
        <v>286998</v>
      </c>
      <c r="BH78" s="584">
        <f>BG78*'Fac Conv'!$C$151/'Fac Conv'!$C$123</f>
        <v>286.99799999999999</v>
      </c>
      <c r="BI78" s="618">
        <f>'IB 5D2-(MYPE_I)(Pesca_A)_2021'!AG106</f>
        <v>282964</v>
      </c>
      <c r="BJ78" s="584">
        <f>BI78*'Fac Conv'!$C$151/'Fac Conv'!$C$123</f>
        <v>282.964</v>
      </c>
      <c r="BK78" s="618">
        <f>'IB 5D2-(MYPE_I)(Pesca_A)_2021'!AH106</f>
        <v>307009</v>
      </c>
      <c r="BL78" s="584">
        <f>BK78*'Fac Conv'!$C$151/'Fac Conv'!$C$123</f>
        <v>307.00900000000001</v>
      </c>
      <c r="BM78" s="583">
        <f>'IB 5D2-(MYPE_I)(Pesca_A)_2021'!AI106</f>
        <v>394714</v>
      </c>
      <c r="BN78" s="584">
        <f>BM78*'Fac Conv'!$C$151/'Fac Conv'!$C$123</f>
        <v>394.714</v>
      </c>
      <c r="BO78" s="583">
        <f>'IB 5D2-(MYPE_I)(Pesca_A)_2021'!AJ106</f>
        <v>454596</v>
      </c>
      <c r="BP78" s="584">
        <f>BO78*'Fac Conv'!$C$151/'Fac Conv'!$C$123</f>
        <v>454.596</v>
      </c>
      <c r="BQ78" s="264" t="s">
        <v>451</v>
      </c>
      <c r="BR78" s="263" t="str">
        <f>'Fac Conv'!$G$20</f>
        <v>Jabón y detergentes</v>
      </c>
      <c r="BS78" s="263">
        <f t="shared" si="147"/>
        <v>3</v>
      </c>
      <c r="BT78" s="263">
        <f t="shared" si="148"/>
        <v>0.85</v>
      </c>
    </row>
    <row r="79" spans="2:72" ht="13.9" customHeight="1">
      <c r="B79" s="766"/>
      <c r="C79" s="87" t="str">
        <f>'IB 5D2-(MYPE_I)(Pesca_A)_2021'!D107</f>
        <v>Limpiador</v>
      </c>
      <c r="D79" s="515" t="str">
        <f>'IB 5D2-(MYPE_I)(Pesca_A)_2021'!E107</f>
        <v>LT</v>
      </c>
      <c r="E79" s="588"/>
      <c r="F79" s="588"/>
      <c r="G79" s="677" t="str">
        <f>'IB 5D2-(MYPE_I)(Pesca_A)_2021'!F107</f>
        <v>(no reporta)</v>
      </c>
      <c r="H79" s="588"/>
      <c r="I79" s="576" t="str">
        <f>'IB 5D2-(MYPE_I)(Pesca_A)_2021'!G107</f>
        <v>(no reporta)</v>
      </c>
      <c r="J79" s="588"/>
      <c r="K79" s="576" t="str">
        <f>'IB 5D2-(MYPE_I)(Pesca_A)_2021'!H107</f>
        <v>(no reporta)</v>
      </c>
      <c r="L79" s="588"/>
      <c r="M79" s="576" t="str">
        <f>'IB 5D2-(MYPE_I)(Pesca_A)_2021'!I107</f>
        <v>(no reporta)</v>
      </c>
      <c r="N79" s="588"/>
      <c r="O79" s="576" t="str">
        <f>'IB 5D2-(MYPE_I)(Pesca_A)_2021'!J107</f>
        <v>(no reporta)</v>
      </c>
      <c r="P79" s="588"/>
      <c r="Q79" s="576" t="str">
        <f>'IB 5D2-(MYPE_I)(Pesca_A)_2021'!K107</f>
        <v>(no reporta)</v>
      </c>
      <c r="R79" s="588"/>
      <c r="S79" s="576" t="str">
        <f>'IB 5D2-(MYPE_I)(Pesca_A)_2021'!L107</f>
        <v>(no reporta)</v>
      </c>
      <c r="T79" s="588"/>
      <c r="U79" s="576" t="str">
        <f>'IB 5D2-(MYPE_I)(Pesca_A)_2021'!M107</f>
        <v>(no reporta)</v>
      </c>
      <c r="V79" s="588"/>
      <c r="W79" s="576" t="str">
        <f>'IB 5D2-(MYPE_I)(Pesca_A)_2021'!N107</f>
        <v>(no reporta)</v>
      </c>
      <c r="X79" s="588"/>
      <c r="Y79" s="576" t="str">
        <f>'IB 5D2-(MYPE_I)(Pesca_A)_2021'!O107</f>
        <v>(no reporta)</v>
      </c>
      <c r="Z79" s="588"/>
      <c r="AA79" s="576" t="str">
        <f>'IB 5D2-(MYPE_I)(Pesca_A)_2021'!P107</f>
        <v>(no reporta)</v>
      </c>
      <c r="AB79" s="588"/>
      <c r="AC79" s="576" t="str">
        <f>'IB 5D2-(MYPE_I)(Pesca_A)_2021'!Q107</f>
        <v>(no reporta)</v>
      </c>
      <c r="AD79" s="588"/>
      <c r="AE79" s="576" t="str">
        <f>'IB 5D2-(MYPE_I)(Pesca_A)_2021'!R107</f>
        <v>(no reporta)</v>
      </c>
      <c r="AF79" s="588"/>
      <c r="AG79" s="576" t="str">
        <f>'IB 5D2-(MYPE_I)(Pesca_A)_2021'!S107</f>
        <v>(no reporta)</v>
      </c>
      <c r="AH79" s="588"/>
      <c r="AI79" s="576" t="str">
        <f>'IB 5D2-(MYPE_I)(Pesca_A)_2021'!T107</f>
        <v>(no reporta)</v>
      </c>
      <c r="AJ79" s="588"/>
      <c r="AK79" s="576" t="str">
        <f>'IB 5D2-(MYPE_I)(Pesca_A)_2021'!U107</f>
        <v>(no reporta)</v>
      </c>
      <c r="AL79" s="588"/>
      <c r="AM79" s="576" t="str">
        <f>'IB 5D2-(MYPE_I)(Pesca_A)_2021'!V107</f>
        <v>(no reporta)</v>
      </c>
      <c r="AN79" s="588"/>
      <c r="AO79" s="576" t="str">
        <f>'IB 5D2-(MYPE_I)(Pesca_A)_2021'!W107</f>
        <v>(no reporta)</v>
      </c>
      <c r="AP79" s="588"/>
      <c r="AQ79" s="576" t="str">
        <f>'IB 5D2-(MYPE_I)(Pesca_A)_2021'!X107</f>
        <v>(no reporta)</v>
      </c>
      <c r="AR79" s="588"/>
      <c r="AS79" s="576" t="str">
        <f>'IB 5D2-(MYPE_I)(Pesca_A)_2021'!Y107</f>
        <v>(no reporta)</v>
      </c>
      <c r="AT79" s="588"/>
      <c r="AU79" s="618">
        <f>'IB 5D2-(MYPE_I)(Pesca_A)_2021'!Z107</f>
        <v>16263678</v>
      </c>
      <c r="AV79" s="584">
        <f>AU79*'Fac Conv'!$C$151/'Fac Conv'!$C$123</f>
        <v>16263.678</v>
      </c>
      <c r="AW79" s="618">
        <f>'IB 5D2-(MYPE_I)(Pesca_A)_2021'!AA107</f>
        <v>23118487</v>
      </c>
      <c r="AX79" s="584">
        <f>AW79*'Fac Conv'!$C$151/'Fac Conv'!$C$123</f>
        <v>23118.487000000001</v>
      </c>
      <c r="AY79" s="618">
        <f>'IB 5D2-(MYPE_I)(Pesca_A)_2021'!AB107</f>
        <v>20765230</v>
      </c>
      <c r="AZ79" s="584">
        <f>AY79*'Fac Conv'!$C$151/'Fac Conv'!$C$123</f>
        <v>20765.23</v>
      </c>
      <c r="BA79" s="618">
        <f>'IB 5D2-(MYPE_I)(Pesca_A)_2021'!AC107</f>
        <v>21428399</v>
      </c>
      <c r="BB79" s="584">
        <f>BA79*'Fac Conv'!$C$151/'Fac Conv'!$C$123</f>
        <v>21428.399000000001</v>
      </c>
      <c r="BC79" s="618">
        <f>'IB 5D2-(MYPE_I)(Pesca_A)_2021'!AD107</f>
        <v>22959432</v>
      </c>
      <c r="BD79" s="584">
        <f>BC79*'Fac Conv'!$C$151/'Fac Conv'!$C$123</f>
        <v>22959.432000000001</v>
      </c>
      <c r="BE79" s="618">
        <f>'IB 5D2-(MYPE_I)(Pesca_A)_2021'!AE107</f>
        <v>25737188</v>
      </c>
      <c r="BF79" s="584">
        <f>BE79*'Fac Conv'!$C$151/'Fac Conv'!$C$123</f>
        <v>25737.187999999998</v>
      </c>
      <c r="BG79" s="618">
        <f>'IB 5D2-(MYPE_I)(Pesca_A)_2021'!AF107</f>
        <v>26692938</v>
      </c>
      <c r="BH79" s="584">
        <f>BG79*'Fac Conv'!$C$151/'Fac Conv'!$C$123</f>
        <v>26692.937999999998</v>
      </c>
      <c r="BI79" s="618">
        <f>'IB 5D2-(MYPE_I)(Pesca_A)_2021'!AG107</f>
        <v>30280863</v>
      </c>
      <c r="BJ79" s="584">
        <f>BI79*'Fac Conv'!$C$151/'Fac Conv'!$C$123</f>
        <v>30280.863000000001</v>
      </c>
      <c r="BK79" s="618">
        <f>'IB 5D2-(MYPE_I)(Pesca_A)_2021'!AH107</f>
        <v>30090617</v>
      </c>
      <c r="BL79" s="584">
        <f>BK79*'Fac Conv'!$C$151/'Fac Conv'!$C$123</f>
        <v>30090.616999999998</v>
      </c>
      <c r="BM79" s="583">
        <f>'IB 5D2-(MYPE_I)(Pesca_A)_2021'!AI107</f>
        <v>37335416</v>
      </c>
      <c r="BN79" s="584">
        <f>BM79*'Fac Conv'!$C$151/'Fac Conv'!$C$123</f>
        <v>37335.415999999997</v>
      </c>
      <c r="BO79" s="583">
        <f>'IB 5D2-(MYPE_I)(Pesca_A)_2021'!AJ107</f>
        <v>34211373</v>
      </c>
      <c r="BP79" s="584">
        <f>BO79*'Fac Conv'!$C$151/'Fac Conv'!$C$123</f>
        <v>34211.373</v>
      </c>
      <c r="BQ79" s="264" t="s">
        <v>451</v>
      </c>
      <c r="BR79" s="263" t="str">
        <f>'Fac Conv'!$G$20</f>
        <v>Jabón y detergentes</v>
      </c>
      <c r="BS79" s="263">
        <f t="shared" si="147"/>
        <v>3</v>
      </c>
      <c r="BT79" s="263">
        <f t="shared" si="148"/>
        <v>0.85</v>
      </c>
    </row>
    <row r="80" spans="2:72" ht="13.9" customHeight="1">
      <c r="B80" s="766"/>
      <c r="C80" s="87" t="str">
        <f>'IB 5D2-(MYPE_I)(Pesca_A)_2021'!D108</f>
        <v>Shampoo (también como champú)</v>
      </c>
      <c r="D80" s="515" t="str">
        <f>'IB 5D2-(MYPE_I)(Pesca_A)_2021'!E108</f>
        <v>TM/LT</v>
      </c>
      <c r="E80" s="588"/>
      <c r="F80" s="588"/>
      <c r="G80" s="677" t="str">
        <f>'IB 5D2-(MYPE_I)(Pesca_A)_2021'!F108</f>
        <v>(no reporta)</v>
      </c>
      <c r="H80" s="588"/>
      <c r="I80" s="576" t="str">
        <f>'IB 5D2-(MYPE_I)(Pesca_A)_2021'!G108</f>
        <v>(no reporta)</v>
      </c>
      <c r="J80" s="588"/>
      <c r="K80" s="576" t="str">
        <f>'IB 5D2-(MYPE_I)(Pesca_A)_2021'!H108</f>
        <v>(no reporta)</v>
      </c>
      <c r="L80" s="588"/>
      <c r="M80" s="618">
        <f>'IB 5D2-(MYPE_I)(Pesca_A)_2021'!I108</f>
        <v>5182.0410000000002</v>
      </c>
      <c r="N80" s="584">
        <f>M80</f>
        <v>5182.0410000000002</v>
      </c>
      <c r="O80" s="618">
        <f>'IB 5D2-(MYPE_I)(Pesca_A)_2021'!J108</f>
        <v>5483.0559999999996</v>
      </c>
      <c r="P80" s="584">
        <f>O80</f>
        <v>5483.0559999999996</v>
      </c>
      <c r="Q80" s="618">
        <f>'IB 5D2-(MYPE_I)(Pesca_A)_2021'!K108</f>
        <v>5871.5370000000003</v>
      </c>
      <c r="R80" s="584">
        <f>Q80</f>
        <v>5871.5370000000003</v>
      </c>
      <c r="S80" s="618">
        <f>'IB 5D2-(MYPE_I)(Pesca_A)_2021'!L108</f>
        <v>4627.7110000000002</v>
      </c>
      <c r="T80" s="584">
        <f>S80</f>
        <v>4627.7110000000002</v>
      </c>
      <c r="U80" s="618">
        <f>'IB 5D2-(MYPE_I)(Pesca_A)_2021'!M108</f>
        <v>5493.0079999999998</v>
      </c>
      <c r="V80" s="584">
        <f>U80</f>
        <v>5493.0079999999998</v>
      </c>
      <c r="W80" s="618">
        <f>'IB 5D2-(MYPE_I)(Pesca_A)_2021'!N108</f>
        <v>6355.69</v>
      </c>
      <c r="X80" s="584">
        <f>W80</f>
        <v>6355.69</v>
      </c>
      <c r="Y80" s="618">
        <f>'IB 5D2-(MYPE_I)(Pesca_A)_2021'!O108</f>
        <v>4486.6457209999999</v>
      </c>
      <c r="Z80" s="584">
        <f>Y80</f>
        <v>4486.6457209999999</v>
      </c>
      <c r="AA80" s="618">
        <f>'IB 5D2-(MYPE_I)(Pesca_A)_2021'!P108</f>
        <v>3830.1481359999998</v>
      </c>
      <c r="AB80" s="584">
        <f>AA80</f>
        <v>3830.1481359999998</v>
      </c>
      <c r="AC80" s="618">
        <f>'IB 5D2-(MYPE_I)(Pesca_A)_2021'!Q108</f>
        <v>4457400</v>
      </c>
      <c r="AD80" s="584">
        <f>AC80*'Fac Conv'!$C$151/'Fac Conv'!$C$123</f>
        <v>4457.3999999999996</v>
      </c>
      <c r="AE80" s="618">
        <f>'IB 5D2-(MYPE_I)(Pesca_A)_2021'!R108</f>
        <v>4920000</v>
      </c>
      <c r="AF80" s="584">
        <f>AE80*'Fac Conv'!$C$151/'Fac Conv'!$C$123</f>
        <v>4920</v>
      </c>
      <c r="AG80" s="618">
        <f>'IB 5D2-(MYPE_I)(Pesca_A)_2021'!S108</f>
        <v>5079500</v>
      </c>
      <c r="AH80" s="584">
        <f>AG80*'Fac Conv'!$C$151/'Fac Conv'!$C$123</f>
        <v>5079.5</v>
      </c>
      <c r="AI80" s="618">
        <f>'IB 5D2-(MYPE_I)(Pesca_A)_2021'!T108</f>
        <v>6986200</v>
      </c>
      <c r="AJ80" s="584">
        <f>AI80*'Fac Conv'!$C$151/'Fac Conv'!$C$123</f>
        <v>6986.2</v>
      </c>
      <c r="AK80" s="618">
        <f>'IB 5D2-(MYPE_I)(Pesca_A)_2021'!U108</f>
        <v>9447300</v>
      </c>
      <c r="AL80" s="584">
        <f>AK80*'Fac Conv'!$C$151/'Fac Conv'!$C$123</f>
        <v>9447.2999999999993</v>
      </c>
      <c r="AM80" s="618">
        <f>'IB 5D2-(MYPE_I)(Pesca_A)_2021'!V108</f>
        <v>17374000</v>
      </c>
      <c r="AN80" s="584">
        <f>AM80*'Fac Conv'!$C$151/'Fac Conv'!$C$123</f>
        <v>17374</v>
      </c>
      <c r="AO80" s="618">
        <f>'IB 5D2-(MYPE_I)(Pesca_A)_2021'!W108</f>
        <v>9858100</v>
      </c>
      <c r="AP80" s="584">
        <f>AO80*'Fac Conv'!$C$151/'Fac Conv'!$C$123</f>
        <v>9858.1</v>
      </c>
      <c r="AQ80" s="618">
        <f>'IB 5D2-(MYPE_I)(Pesca_A)_2021'!X108</f>
        <v>7679200</v>
      </c>
      <c r="AR80" s="584">
        <f>AQ80*'Fac Conv'!$C$151/'Fac Conv'!$C$123</f>
        <v>7679.2</v>
      </c>
      <c r="AS80" s="618">
        <f>'IB 5D2-(MYPE_I)(Pesca_A)_2021'!Y108</f>
        <v>6942900</v>
      </c>
      <c r="AT80" s="584">
        <f>AS80*'Fac Conv'!$C$151/'Fac Conv'!$C$123</f>
        <v>6942.9</v>
      </c>
      <c r="AU80" s="618">
        <f>'IB 5D2-(MYPE_I)(Pesca_A)_2021'!Z108</f>
        <v>1136851</v>
      </c>
      <c r="AV80" s="584">
        <f>AU80*'Fac Conv'!$C$151/'Fac Conv'!$C$123</f>
        <v>1136.8510000000001</v>
      </c>
      <c r="AW80" s="618">
        <f>'IB 5D2-(MYPE_I)(Pesca_A)_2021'!AA108</f>
        <v>2618356</v>
      </c>
      <c r="AX80" s="584">
        <f>AW80*'Fac Conv'!$C$151/'Fac Conv'!$C$123</f>
        <v>2618.3560000000002</v>
      </c>
      <c r="AY80" s="618">
        <f>'IB 5D2-(MYPE_I)(Pesca_A)_2021'!AB108</f>
        <v>1684057</v>
      </c>
      <c r="AZ80" s="584">
        <f>AY80*'Fac Conv'!$C$151/'Fac Conv'!$C$123</f>
        <v>1684.057</v>
      </c>
      <c r="BA80" s="618">
        <f>'IB 5D2-(MYPE_I)(Pesca_A)_2021'!AC108</f>
        <v>1548484</v>
      </c>
      <c r="BB80" s="584">
        <f>BA80*'Fac Conv'!$C$151/'Fac Conv'!$C$123</f>
        <v>1548.4839999999999</v>
      </c>
      <c r="BC80" s="618">
        <f>'IB 5D2-(MYPE_I)(Pesca_A)_2021'!AD108</f>
        <v>1889645</v>
      </c>
      <c r="BD80" s="584">
        <f>BC80*'Fac Conv'!$C$151/'Fac Conv'!$C$123</f>
        <v>1889.645</v>
      </c>
      <c r="BE80" s="618">
        <f>'IB 5D2-(MYPE_I)(Pesca_A)_2021'!AE108</f>
        <v>1940067</v>
      </c>
      <c r="BF80" s="584">
        <f>BE80*'Fac Conv'!$C$151/'Fac Conv'!$C$123</f>
        <v>1940.067</v>
      </c>
      <c r="BG80" s="618">
        <f>'IB 5D2-(MYPE_I)(Pesca_A)_2021'!AF108</f>
        <v>1125876</v>
      </c>
      <c r="BH80" s="584">
        <f>BG80*'Fac Conv'!$C$151/'Fac Conv'!$C$123</f>
        <v>1125.876</v>
      </c>
      <c r="BI80" s="618">
        <f>'IB 5D2-(MYPE_I)(Pesca_A)_2021'!AG108</f>
        <v>1294828</v>
      </c>
      <c r="BJ80" s="584">
        <f>BI80*'Fac Conv'!$C$151/'Fac Conv'!$C$123</f>
        <v>1294.828</v>
      </c>
      <c r="BK80" s="618">
        <f>'IB 5D2-(MYPE_I)(Pesca_A)_2021'!AH108</f>
        <v>743918</v>
      </c>
      <c r="BL80" s="584">
        <f>BK80*'Fac Conv'!$C$151/'Fac Conv'!$C$123</f>
        <v>743.91800000000001</v>
      </c>
      <c r="BM80" s="583">
        <f>'IB 5D2-(MYPE_I)(Pesca_A)_2021'!AI108</f>
        <v>411267</v>
      </c>
      <c r="BN80" s="584">
        <f>BM80*'Fac Conv'!$C$151/'Fac Conv'!$C$123</f>
        <v>411.267</v>
      </c>
      <c r="BO80" s="583">
        <f>'IB 5D2-(MYPE_I)(Pesca_A)_2021'!AJ108</f>
        <v>140913</v>
      </c>
      <c r="BP80" s="584">
        <f>BO80*'Fac Conv'!$C$151/'Fac Conv'!$C$123</f>
        <v>140.91300000000001</v>
      </c>
      <c r="BQ80" s="264" t="s">
        <v>451</v>
      </c>
      <c r="BR80" s="263" t="str">
        <f>'Fac Conv'!$G$20</f>
        <v>Jabón y detergentes</v>
      </c>
      <c r="BS80" s="263">
        <f t="shared" si="147"/>
        <v>3</v>
      </c>
      <c r="BT80" s="263">
        <f t="shared" si="148"/>
        <v>0.85</v>
      </c>
    </row>
    <row r="81" spans="2:72" ht="13.9" customHeight="1">
      <c r="B81" s="767"/>
      <c r="C81" s="100" t="str">
        <f>'IB 5D2-(MYPE_I)(Pesca_A)_2021'!D109</f>
        <v>Jabón de Tocador</v>
      </c>
      <c r="D81" s="516" t="str">
        <f>'IB 5D2-(MYPE_I)(Pesca_A)_2021'!E109</f>
        <v>TM/LT</v>
      </c>
      <c r="E81" s="588"/>
      <c r="F81" s="588"/>
      <c r="G81" s="678" t="str">
        <f>'IB 5D2-(MYPE_I)(Pesca_A)_2021'!F109</f>
        <v>(no reporta)</v>
      </c>
      <c r="H81" s="588"/>
      <c r="I81" s="577" t="str">
        <f>'IB 5D2-(MYPE_I)(Pesca_A)_2021'!G109</f>
        <v>(no reporta)</v>
      </c>
      <c r="J81" s="588"/>
      <c r="K81" s="577" t="str">
        <f>'IB 5D2-(MYPE_I)(Pesca_A)_2021'!H109</f>
        <v>(no reporta)</v>
      </c>
      <c r="L81" s="588"/>
      <c r="M81" s="620">
        <f>'IB 5D2-(MYPE_I)(Pesca_A)_2021'!I109</f>
        <v>4455.9189999999999</v>
      </c>
      <c r="N81" s="598">
        <f>M81</f>
        <v>4455.9189999999999</v>
      </c>
      <c r="O81" s="620">
        <f>'IB 5D2-(MYPE_I)(Pesca_A)_2021'!J109</f>
        <v>4709.2839999999997</v>
      </c>
      <c r="P81" s="598">
        <f>O81</f>
        <v>4709.2839999999997</v>
      </c>
      <c r="Q81" s="620">
        <f>'IB 5D2-(MYPE_I)(Pesca_A)_2021'!K109</f>
        <v>6248.6689999999999</v>
      </c>
      <c r="R81" s="598">
        <f>Q81</f>
        <v>6248.6689999999999</v>
      </c>
      <c r="S81" s="620">
        <f>'IB 5D2-(MYPE_I)(Pesca_A)_2021'!L109</f>
        <v>5395.8829999999998</v>
      </c>
      <c r="T81" s="598">
        <f>S81</f>
        <v>5395.8829999999998</v>
      </c>
      <c r="U81" s="620">
        <f>'IB 5D2-(MYPE_I)(Pesca_A)_2021'!M109</f>
        <v>4998.2190000000001</v>
      </c>
      <c r="V81" s="598">
        <f>U81</f>
        <v>4998.2190000000001</v>
      </c>
      <c r="W81" s="620">
        <f>'IB 5D2-(MYPE_I)(Pesca_A)_2021'!N109</f>
        <v>3576.8879999999999</v>
      </c>
      <c r="X81" s="598">
        <f>W81</f>
        <v>3576.8879999999999</v>
      </c>
      <c r="Y81" s="620">
        <f>'IB 5D2-(MYPE_I)(Pesca_A)_2021'!O109</f>
        <v>24157.044000000002</v>
      </c>
      <c r="Z81" s="598">
        <f>Y81</f>
        <v>24157.044000000002</v>
      </c>
      <c r="AA81" s="620">
        <f>'IB 5D2-(MYPE_I)(Pesca_A)_2021'!P109</f>
        <v>3261.88</v>
      </c>
      <c r="AB81" s="598">
        <f>AA81</f>
        <v>3261.88</v>
      </c>
      <c r="AC81" s="620">
        <f>'IB 5D2-(MYPE_I)(Pesca_A)_2021'!Q109</f>
        <v>2308000</v>
      </c>
      <c r="AD81" s="598">
        <f>AC81*'Fac Conv'!$C$151/'Fac Conv'!$C$123</f>
        <v>2308</v>
      </c>
      <c r="AE81" s="620">
        <f>'IB 5D2-(MYPE_I)(Pesca_A)_2021'!R109</f>
        <v>3966000</v>
      </c>
      <c r="AF81" s="598">
        <f>AE81*'Fac Conv'!$C$151/'Fac Conv'!$C$123</f>
        <v>3966</v>
      </c>
      <c r="AG81" s="620">
        <f>'IB 5D2-(MYPE_I)(Pesca_A)_2021'!S109</f>
        <v>3305300</v>
      </c>
      <c r="AH81" s="598">
        <f>AG81*'Fac Conv'!$C$151/'Fac Conv'!$C$123</f>
        <v>3305.3</v>
      </c>
      <c r="AI81" s="620">
        <f>'IB 5D2-(MYPE_I)(Pesca_A)_2021'!T109</f>
        <v>3838100</v>
      </c>
      <c r="AJ81" s="598">
        <f>AI81*'Fac Conv'!$C$151/'Fac Conv'!$C$123</f>
        <v>3838.1</v>
      </c>
      <c r="AK81" s="620">
        <f>'IB 5D2-(MYPE_I)(Pesca_A)_2021'!U109</f>
        <v>4718000</v>
      </c>
      <c r="AL81" s="598">
        <f>AK81*'Fac Conv'!$C$151/'Fac Conv'!$C$123</f>
        <v>4718</v>
      </c>
      <c r="AM81" s="620">
        <f>'IB 5D2-(MYPE_I)(Pesca_A)_2021'!V109</f>
        <v>5522700</v>
      </c>
      <c r="AN81" s="598">
        <f>AM81*'Fac Conv'!$C$151/'Fac Conv'!$C$123</f>
        <v>5522.7</v>
      </c>
      <c r="AO81" s="620">
        <f>'IB 5D2-(MYPE_I)(Pesca_A)_2021'!W109</f>
        <v>6583000</v>
      </c>
      <c r="AP81" s="598">
        <f>AO81*'Fac Conv'!$C$151/'Fac Conv'!$C$123</f>
        <v>6583</v>
      </c>
      <c r="AQ81" s="620">
        <f>'IB 5D2-(MYPE_I)(Pesca_A)_2021'!X109</f>
        <v>6973000</v>
      </c>
      <c r="AR81" s="598">
        <f>AQ81*'Fac Conv'!$C$151/'Fac Conv'!$C$123</f>
        <v>6973</v>
      </c>
      <c r="AS81" s="620">
        <f>'IB 5D2-(MYPE_I)(Pesca_A)_2021'!Y109</f>
        <v>7366900</v>
      </c>
      <c r="AT81" s="598">
        <f>AS81*'Fac Conv'!$C$151/'Fac Conv'!$C$123</f>
        <v>7366.9</v>
      </c>
      <c r="AU81" s="620">
        <f>'IB 5D2-(MYPE_I)(Pesca_A)_2021'!Z109</f>
        <v>14133753</v>
      </c>
      <c r="AV81" s="598">
        <f>AU81*'Fac Conv'!$C$151/'Fac Conv'!$C$123</f>
        <v>14133.753000000001</v>
      </c>
      <c r="AW81" s="620">
        <f>'IB 5D2-(MYPE_I)(Pesca_A)_2021'!AA109</f>
        <v>15279432</v>
      </c>
      <c r="AX81" s="598">
        <f>AW81*'Fac Conv'!$C$151/'Fac Conv'!$C$123</f>
        <v>15279.432000000001</v>
      </c>
      <c r="AY81" s="620">
        <f>'IB 5D2-(MYPE_I)(Pesca_A)_2021'!AB109</f>
        <v>12675435</v>
      </c>
      <c r="AZ81" s="598">
        <f>AY81*'Fac Conv'!$C$151/'Fac Conv'!$C$123</f>
        <v>12675.434999999999</v>
      </c>
      <c r="BA81" s="620">
        <f>'IB 5D2-(MYPE_I)(Pesca_A)_2021'!AC109</f>
        <v>19307183</v>
      </c>
      <c r="BB81" s="598">
        <f>BA81*'Fac Conv'!$C$151/'Fac Conv'!$C$123</f>
        <v>19307.183000000001</v>
      </c>
      <c r="BC81" s="620">
        <f>'IB 5D2-(MYPE_I)(Pesca_A)_2021'!AD109</f>
        <v>16983514</v>
      </c>
      <c r="BD81" s="598">
        <f>BC81*'Fac Conv'!$C$151/'Fac Conv'!$C$123</f>
        <v>16983.513999999999</v>
      </c>
      <c r="BE81" s="620">
        <f>'IB 5D2-(MYPE_I)(Pesca_A)_2021'!AE109</f>
        <v>16505000</v>
      </c>
      <c r="BF81" s="598">
        <f>BE81*'Fac Conv'!$C$151/'Fac Conv'!$C$123</f>
        <v>16505</v>
      </c>
      <c r="BG81" s="620">
        <f>'IB 5D2-(MYPE_I)(Pesca_A)_2021'!AF109</f>
        <v>15620657</v>
      </c>
      <c r="BH81" s="598">
        <f>BG81*'Fac Conv'!$C$151/'Fac Conv'!$C$123</f>
        <v>15620.656999999999</v>
      </c>
      <c r="BI81" s="620">
        <f>'IB 5D2-(MYPE_I)(Pesca_A)_2021'!AG109</f>
        <v>15462042</v>
      </c>
      <c r="BJ81" s="598">
        <f>BI81*'Fac Conv'!$C$151/'Fac Conv'!$C$123</f>
        <v>15462.041999999999</v>
      </c>
      <c r="BK81" s="620">
        <f>'IB 5D2-(MYPE_I)(Pesca_A)_2021'!AH109</f>
        <v>23784884</v>
      </c>
      <c r="BL81" s="598">
        <f>BK81*'Fac Conv'!$C$151/'Fac Conv'!$C$123</f>
        <v>23784.883999999998</v>
      </c>
      <c r="BM81" s="596">
        <f>'IB 5D2-(MYPE_I)(Pesca_A)_2021'!AI109</f>
        <v>16021133</v>
      </c>
      <c r="BN81" s="598">
        <f>BM81*'Fac Conv'!$C$151/'Fac Conv'!$C$123</f>
        <v>16021.133</v>
      </c>
      <c r="BO81" s="596">
        <f>'IB 5D2-(MYPE_I)(Pesca_A)_2021'!AJ109</f>
        <v>22495421</v>
      </c>
      <c r="BP81" s="598">
        <f>BO81*'Fac Conv'!$C$151/'Fac Conv'!$C$123</f>
        <v>22495.420999999998</v>
      </c>
      <c r="BQ81" s="264" t="s">
        <v>451</v>
      </c>
      <c r="BR81" s="263" t="str">
        <f>'Fac Conv'!$G$20</f>
        <v>Jabón y detergentes</v>
      </c>
      <c r="BS81" s="263">
        <f t="shared" si="147"/>
        <v>3</v>
      </c>
      <c r="BT81" s="263">
        <f t="shared" si="148"/>
        <v>0.85</v>
      </c>
    </row>
    <row r="82" spans="2:72" ht="13.9" customHeight="1">
      <c r="B82" s="765" t="s">
        <v>455</v>
      </c>
      <c r="C82" s="91" t="str">
        <f>'IB 5D2-(MYPE_I)(Pesca_A)_2021'!D110</f>
        <v>Producción de llantas (autos, camionetas)</v>
      </c>
      <c r="D82" s="103" t="str">
        <f>'IB 5D2-(MYPE_I)(Pesca_A)_2021'!E110</f>
        <v>unidad</v>
      </c>
      <c r="E82" s="588"/>
      <c r="F82" s="588"/>
      <c r="G82" s="680" t="str">
        <f>'IB 5D2-(MYPE_I)(Pesca_A)_2021'!F110</f>
        <v>(no reporta)</v>
      </c>
      <c r="H82" s="588"/>
      <c r="I82" s="579" t="str">
        <f>'IB 5D2-(MYPE_I)(Pesca_A)_2021'!G110</f>
        <v>(no reporta)</v>
      </c>
      <c r="J82" s="588"/>
      <c r="K82" s="579" t="str">
        <f>'IB 5D2-(MYPE_I)(Pesca_A)_2021'!H110</f>
        <v>(no reporta)</v>
      </c>
      <c r="L82" s="588"/>
      <c r="M82" s="624">
        <f>'IB 5D2-(MYPE_I)(Pesca_A)_2021'!I110</f>
        <v>622833</v>
      </c>
      <c r="N82" s="588"/>
      <c r="O82" s="624">
        <f>'IB 5D2-(MYPE_I)(Pesca_A)_2021'!J110</f>
        <v>637139</v>
      </c>
      <c r="P82" s="588"/>
      <c r="Q82" s="624">
        <f>'IB 5D2-(MYPE_I)(Pesca_A)_2021'!K110</f>
        <v>701451</v>
      </c>
      <c r="R82" s="588"/>
      <c r="S82" s="624">
        <f>'IB 5D2-(MYPE_I)(Pesca_A)_2021'!L110</f>
        <v>864910</v>
      </c>
      <c r="T82" s="588"/>
      <c r="U82" s="624">
        <f>'IB 5D2-(MYPE_I)(Pesca_A)_2021'!M110</f>
        <v>927577</v>
      </c>
      <c r="V82" s="588"/>
      <c r="W82" s="624">
        <f>'IB 5D2-(MYPE_I)(Pesca_A)_2021'!N110</f>
        <v>1056815</v>
      </c>
      <c r="X82" s="588"/>
      <c r="Y82" s="624">
        <f>'IB 5D2-(MYPE_I)(Pesca_A)_2021'!O110</f>
        <v>1207527</v>
      </c>
      <c r="Z82" s="588"/>
      <c r="AA82" s="624">
        <f>'IB 5D2-(MYPE_I)(Pesca_A)_2021'!P110</f>
        <v>1366135</v>
      </c>
      <c r="AB82" s="588"/>
      <c r="AC82" s="624" t="str">
        <f>'IB 5D2-(MYPE_I)(Pesca_A)_2021'!Q110</f>
        <v>(no reporta)</v>
      </c>
      <c r="AD82" s="588"/>
      <c r="AE82" s="624" t="str">
        <f>'IB 5D2-(MYPE_I)(Pesca_A)_2021'!R110</f>
        <v>(no reporta)</v>
      </c>
      <c r="AF82" s="588"/>
      <c r="AG82" s="624" t="str">
        <f>'IB 5D2-(MYPE_I)(Pesca_A)_2021'!S110</f>
        <v>(no reporta)</v>
      </c>
      <c r="AH82" s="588"/>
      <c r="AI82" s="624" t="str">
        <f>'IB 5D2-(MYPE_I)(Pesca_A)_2021'!T110</f>
        <v>(no reporta)</v>
      </c>
      <c r="AJ82" s="588"/>
      <c r="AK82" s="624" t="str">
        <f>'IB 5D2-(MYPE_I)(Pesca_A)_2021'!U110</f>
        <v>(no reporta)</v>
      </c>
      <c r="AL82" s="588"/>
      <c r="AM82" s="624" t="str">
        <f>'IB 5D2-(MYPE_I)(Pesca_A)_2021'!V110</f>
        <v>(no reporta)</v>
      </c>
      <c r="AN82" s="588"/>
      <c r="AO82" s="624" t="str">
        <f>'IB 5D2-(MYPE_I)(Pesca_A)_2021'!W110</f>
        <v>(no reporta)</v>
      </c>
      <c r="AP82" s="588"/>
      <c r="AQ82" s="624" t="str">
        <f>'IB 5D2-(MYPE_I)(Pesca_A)_2021'!X110</f>
        <v>(no reporta)</v>
      </c>
      <c r="AR82" s="588"/>
      <c r="AS82" s="624" t="str">
        <f>'IB 5D2-(MYPE_I)(Pesca_A)_2021'!Y110</f>
        <v>(no reporta)</v>
      </c>
      <c r="AT82" s="588"/>
      <c r="AU82" s="624" t="str">
        <f>'IB 5D2-(MYPE_I)(Pesca_A)_2021'!Z110</f>
        <v>(no reporta)</v>
      </c>
      <c r="AV82" s="588"/>
      <c r="AW82" s="624" t="str">
        <f>'IB 5D2-(MYPE_I)(Pesca_A)_2021'!AA110</f>
        <v>(no reporta)</v>
      </c>
      <c r="AX82" s="588"/>
      <c r="AY82" s="624" t="str">
        <f>'IB 5D2-(MYPE_I)(Pesca_A)_2021'!AB110</f>
        <v>(no reporta)</v>
      </c>
      <c r="AZ82" s="588"/>
      <c r="BA82" s="624" t="str">
        <f>'IB 5D2-(MYPE_I)(Pesca_A)_2021'!AC110</f>
        <v>(no reporta)</v>
      </c>
      <c r="BB82" s="588"/>
      <c r="BC82" s="624" t="str">
        <f>'IB 5D2-(MYPE_I)(Pesca_A)_2021'!AD110</f>
        <v>(no reporta)</v>
      </c>
      <c r="BD82" s="588"/>
      <c r="BE82" s="624" t="str">
        <f>'IB 5D2-(MYPE_I)(Pesca_A)_2021'!AE110</f>
        <v>(no reporta)</v>
      </c>
      <c r="BF82" s="588"/>
      <c r="BG82" s="624" t="str">
        <f>'IB 5D2-(MYPE_I)(Pesca_A)_2021'!AF110</f>
        <v>(no reporta)</v>
      </c>
      <c r="BH82" s="588"/>
      <c r="BI82" s="624" t="str">
        <f>'IB 5D2-(MYPE_I)(Pesca_A)_2021'!AG110</f>
        <v>(no reporta)</v>
      </c>
      <c r="BJ82" s="588"/>
      <c r="BK82" s="587" t="str">
        <f>'IB 5D2-(MYPE_I)(Pesca_A)_2021'!AH110</f>
        <v>(no reporta)</v>
      </c>
      <c r="BL82" s="599"/>
      <c r="BM82" s="587" t="str">
        <f>'IB 5D2-(MYPE_I)(Pesca_A)_2021'!AI110</f>
        <v>(no reporta)</v>
      </c>
      <c r="BN82" s="599"/>
      <c r="BO82" s="587" t="str">
        <f>'IB 5D2-(MYPE_I)(Pesca_A)_2021'!AJ110</f>
        <v>(no reporta)</v>
      </c>
      <c r="BP82" s="599"/>
      <c r="BQ82" s="264" t="s">
        <v>454</v>
      </c>
      <c r="BR82" s="263" t="str">
        <f>'Fac Conv'!$G$18</f>
        <v>Plásticos y resinas</v>
      </c>
      <c r="BS82" s="263">
        <f>VLOOKUP(BR82,'Fac Conv'!$G$10:$K$25,2,FALSE)</f>
        <v>0.6</v>
      </c>
      <c r="BT82" s="263">
        <f>VLOOKUP(BR82,'Fac Conv'!$G$10:$K$25,4,FALSE)</f>
        <v>1.2</v>
      </c>
    </row>
    <row r="83" spans="2:72" ht="13.9" customHeight="1">
      <c r="B83" s="766"/>
      <c r="C83" s="91" t="str">
        <f>'IB 5D2-(MYPE_I)(Pesca_A)_2021'!D111</f>
        <v>Producción de llantas (tractor y fuera de carretera)</v>
      </c>
      <c r="D83" s="92" t="str">
        <f>'IB 5D2-(MYPE_I)(Pesca_A)_2021'!E111</f>
        <v>unidad</v>
      </c>
      <c r="E83" s="588"/>
      <c r="F83" s="588"/>
      <c r="G83" s="677" t="str">
        <f>'IB 5D2-(MYPE_I)(Pesca_A)_2021'!F111</f>
        <v>(no reporta)</v>
      </c>
      <c r="H83" s="588"/>
      <c r="I83" s="576" t="str">
        <f>'IB 5D2-(MYPE_I)(Pesca_A)_2021'!G111</f>
        <v>(no reporta)</v>
      </c>
      <c r="J83" s="588"/>
      <c r="K83" s="576" t="str">
        <f>'IB 5D2-(MYPE_I)(Pesca_A)_2021'!H111</f>
        <v>(no reporta)</v>
      </c>
      <c r="L83" s="588"/>
      <c r="M83" s="587">
        <f>'IB 5D2-(MYPE_I)(Pesca_A)_2021'!I111</f>
        <v>462</v>
      </c>
      <c r="N83" s="588"/>
      <c r="O83" s="587">
        <f>'IB 5D2-(MYPE_I)(Pesca_A)_2021'!J111</f>
        <v>2548</v>
      </c>
      <c r="P83" s="588"/>
      <c r="Q83" s="587">
        <f>'IB 5D2-(MYPE_I)(Pesca_A)_2021'!K111</f>
        <v>6291</v>
      </c>
      <c r="R83" s="588"/>
      <c r="S83" s="587">
        <f>'IB 5D2-(MYPE_I)(Pesca_A)_2021'!L111</f>
        <v>4639</v>
      </c>
      <c r="T83" s="588"/>
      <c r="U83" s="587">
        <f>'IB 5D2-(MYPE_I)(Pesca_A)_2021'!M111</f>
        <v>5818</v>
      </c>
      <c r="V83" s="588"/>
      <c r="W83" s="587">
        <f>'IB 5D2-(MYPE_I)(Pesca_A)_2021'!N111</f>
        <v>6508</v>
      </c>
      <c r="X83" s="588"/>
      <c r="Y83" s="587">
        <f>'IB 5D2-(MYPE_I)(Pesca_A)_2021'!O111</f>
        <v>3689</v>
      </c>
      <c r="Z83" s="588"/>
      <c r="AA83" s="587">
        <f>'IB 5D2-(MYPE_I)(Pesca_A)_2021'!P111</f>
        <v>4229</v>
      </c>
      <c r="AB83" s="588"/>
      <c r="AC83" s="587" t="str">
        <f>'IB 5D2-(MYPE_I)(Pesca_A)_2021'!Q111</f>
        <v>(no reporta)</v>
      </c>
      <c r="AD83" s="588"/>
      <c r="AE83" s="587" t="str">
        <f>'IB 5D2-(MYPE_I)(Pesca_A)_2021'!R111</f>
        <v>(no reporta)</v>
      </c>
      <c r="AF83" s="588"/>
      <c r="AG83" s="587" t="str">
        <f>'IB 5D2-(MYPE_I)(Pesca_A)_2021'!S111</f>
        <v>(no reporta)</v>
      </c>
      <c r="AH83" s="588"/>
      <c r="AI83" s="587" t="str">
        <f>'IB 5D2-(MYPE_I)(Pesca_A)_2021'!T111</f>
        <v>(no reporta)</v>
      </c>
      <c r="AJ83" s="588"/>
      <c r="AK83" s="587" t="str">
        <f>'IB 5D2-(MYPE_I)(Pesca_A)_2021'!U111</f>
        <v>(no reporta)</v>
      </c>
      <c r="AL83" s="588"/>
      <c r="AM83" s="587" t="str">
        <f>'IB 5D2-(MYPE_I)(Pesca_A)_2021'!V111</f>
        <v>(no reporta)</v>
      </c>
      <c r="AN83" s="588"/>
      <c r="AO83" s="587" t="str">
        <f>'IB 5D2-(MYPE_I)(Pesca_A)_2021'!W111</f>
        <v>(no reporta)</v>
      </c>
      <c r="AP83" s="588"/>
      <c r="AQ83" s="587" t="str">
        <f>'IB 5D2-(MYPE_I)(Pesca_A)_2021'!X111</f>
        <v>(no reporta)</v>
      </c>
      <c r="AR83" s="588"/>
      <c r="AS83" s="587" t="str">
        <f>'IB 5D2-(MYPE_I)(Pesca_A)_2021'!Y111</f>
        <v>(no reporta)</v>
      </c>
      <c r="AT83" s="588"/>
      <c r="AU83" s="587" t="str">
        <f>'IB 5D2-(MYPE_I)(Pesca_A)_2021'!Z111</f>
        <v>(no reporta)</v>
      </c>
      <c r="AV83" s="588"/>
      <c r="AW83" s="576" t="str">
        <f>'IB 5D2-(MYPE_I)(Pesca_A)_2021'!AA111</f>
        <v>(no reporta)</v>
      </c>
      <c r="AX83" s="588"/>
      <c r="AY83" s="576" t="str">
        <f>'IB 5D2-(MYPE_I)(Pesca_A)_2021'!AB111</f>
        <v>(no reporta)</v>
      </c>
      <c r="AZ83" s="588"/>
      <c r="BA83" s="576" t="str">
        <f>'IB 5D2-(MYPE_I)(Pesca_A)_2021'!AC111</f>
        <v>(no reporta)</v>
      </c>
      <c r="BB83" s="588"/>
      <c r="BC83" s="576" t="str">
        <f>'IB 5D2-(MYPE_I)(Pesca_A)_2021'!AD111</f>
        <v>(no reporta)</v>
      </c>
      <c r="BD83" s="588"/>
      <c r="BE83" s="624" t="str">
        <f>'IB 5D2-(MYPE_I)(Pesca_A)_2021'!AE111</f>
        <v>(no reporta)</v>
      </c>
      <c r="BF83" s="588"/>
      <c r="BG83" s="624" t="str">
        <f>'IB 5D2-(MYPE_I)(Pesca_A)_2021'!AF111</f>
        <v>(no reporta)</v>
      </c>
      <c r="BH83" s="588"/>
      <c r="BI83" s="624" t="str">
        <f>'IB 5D2-(MYPE_I)(Pesca_A)_2021'!AG111</f>
        <v>(no reporta)</v>
      </c>
      <c r="BJ83" s="588"/>
      <c r="BK83" s="587" t="str">
        <f>'IB 5D2-(MYPE_I)(Pesca_A)_2021'!AH111</f>
        <v>(no reporta)</v>
      </c>
      <c r="BL83" s="588"/>
      <c r="BM83" s="587" t="str">
        <f>'IB 5D2-(MYPE_I)(Pesca_A)_2021'!AI111</f>
        <v>(no reporta)</v>
      </c>
      <c r="BN83" s="588"/>
      <c r="BO83" s="587" t="str">
        <f>'IB 5D2-(MYPE_I)(Pesca_A)_2021'!AJ111</f>
        <v>(no reporta)</v>
      </c>
      <c r="BP83" s="588"/>
      <c r="BQ83" s="264" t="s">
        <v>454</v>
      </c>
      <c r="BR83" s="263" t="str">
        <f>'Fac Conv'!$G$18</f>
        <v>Plásticos y resinas</v>
      </c>
      <c r="BS83" s="263">
        <f>VLOOKUP(BR83,'Fac Conv'!$G$10:$K$25,2,FALSE)</f>
        <v>0.6</v>
      </c>
      <c r="BT83" s="263">
        <f>VLOOKUP(BR83,'Fac Conv'!$G$10:$K$25,4,FALSE)</f>
        <v>1.2</v>
      </c>
    </row>
    <row r="84" spans="2:72" ht="13.9" customHeight="1">
      <c r="B84" s="766"/>
      <c r="C84" s="91" t="str">
        <f>'IB 5D2-(MYPE_I)(Pesca_A)_2021'!D112</f>
        <v>Producción de llantas (camión)</v>
      </c>
      <c r="D84" s="92" t="str">
        <f>'IB 5D2-(MYPE_I)(Pesca_A)_2021'!E112</f>
        <v>unidad</v>
      </c>
      <c r="E84" s="588"/>
      <c r="F84" s="588"/>
      <c r="G84" s="677" t="str">
        <f>'IB 5D2-(MYPE_I)(Pesca_A)_2021'!F112</f>
        <v>(no reporta)</v>
      </c>
      <c r="H84" s="588"/>
      <c r="I84" s="576" t="str">
        <f>'IB 5D2-(MYPE_I)(Pesca_A)_2021'!G112</f>
        <v>(no reporta)</v>
      </c>
      <c r="J84" s="588"/>
      <c r="K84" s="576" t="str">
        <f>'IB 5D2-(MYPE_I)(Pesca_A)_2021'!H112</f>
        <v>(no reporta)</v>
      </c>
      <c r="L84" s="588"/>
      <c r="M84" s="587">
        <f>'IB 5D2-(MYPE_I)(Pesca_A)_2021'!I112</f>
        <v>190471</v>
      </c>
      <c r="N84" s="588"/>
      <c r="O84" s="587">
        <f>'IB 5D2-(MYPE_I)(Pesca_A)_2021'!J112</f>
        <v>159509</v>
      </c>
      <c r="P84" s="588"/>
      <c r="Q84" s="587">
        <f>'IB 5D2-(MYPE_I)(Pesca_A)_2021'!K112</f>
        <v>166775</v>
      </c>
      <c r="R84" s="588"/>
      <c r="S84" s="587">
        <f>'IB 5D2-(MYPE_I)(Pesca_A)_2021'!L112</f>
        <v>167818</v>
      </c>
      <c r="T84" s="588"/>
      <c r="U84" s="587">
        <f>'IB 5D2-(MYPE_I)(Pesca_A)_2021'!M112</f>
        <v>133353</v>
      </c>
      <c r="V84" s="588"/>
      <c r="W84" s="587">
        <f>'IB 5D2-(MYPE_I)(Pesca_A)_2021'!N112</f>
        <v>144541</v>
      </c>
      <c r="X84" s="588"/>
      <c r="Y84" s="587">
        <f>'IB 5D2-(MYPE_I)(Pesca_A)_2021'!O112</f>
        <v>140187</v>
      </c>
      <c r="Z84" s="588"/>
      <c r="AA84" s="587">
        <f>'IB 5D2-(MYPE_I)(Pesca_A)_2021'!P112</f>
        <v>136408</v>
      </c>
      <c r="AB84" s="588"/>
      <c r="AC84" s="587" t="str">
        <f>'IB 5D2-(MYPE_I)(Pesca_A)_2021'!Q112</f>
        <v>(no reporta)</v>
      </c>
      <c r="AD84" s="588"/>
      <c r="AE84" s="587" t="str">
        <f>'IB 5D2-(MYPE_I)(Pesca_A)_2021'!R112</f>
        <v>(no reporta)</v>
      </c>
      <c r="AF84" s="588"/>
      <c r="AG84" s="587" t="str">
        <f>'IB 5D2-(MYPE_I)(Pesca_A)_2021'!S112</f>
        <v>(no reporta)</v>
      </c>
      <c r="AH84" s="588"/>
      <c r="AI84" s="587" t="str">
        <f>'IB 5D2-(MYPE_I)(Pesca_A)_2021'!T112</f>
        <v>(no reporta)</v>
      </c>
      <c r="AJ84" s="588"/>
      <c r="AK84" s="587" t="str">
        <f>'IB 5D2-(MYPE_I)(Pesca_A)_2021'!U112</f>
        <v>(no reporta)</v>
      </c>
      <c r="AL84" s="588"/>
      <c r="AM84" s="587" t="str">
        <f>'IB 5D2-(MYPE_I)(Pesca_A)_2021'!V112</f>
        <v>(no reporta)</v>
      </c>
      <c r="AN84" s="588"/>
      <c r="AO84" s="587" t="str">
        <f>'IB 5D2-(MYPE_I)(Pesca_A)_2021'!W112</f>
        <v>(no reporta)</v>
      </c>
      <c r="AP84" s="588"/>
      <c r="AQ84" s="587" t="str">
        <f>'IB 5D2-(MYPE_I)(Pesca_A)_2021'!X112</f>
        <v>(no reporta)</v>
      </c>
      <c r="AR84" s="588"/>
      <c r="AS84" s="587" t="str">
        <f>'IB 5D2-(MYPE_I)(Pesca_A)_2021'!Y112</f>
        <v>(no reporta)</v>
      </c>
      <c r="AT84" s="588"/>
      <c r="AU84" s="587" t="str">
        <f>'IB 5D2-(MYPE_I)(Pesca_A)_2021'!Z112</f>
        <v>(no reporta)</v>
      </c>
      <c r="AV84" s="588"/>
      <c r="AW84" s="576" t="str">
        <f>'IB 5D2-(MYPE_I)(Pesca_A)_2021'!AA112</f>
        <v>(no reporta)</v>
      </c>
      <c r="AX84" s="588"/>
      <c r="AY84" s="576" t="str">
        <f>'IB 5D2-(MYPE_I)(Pesca_A)_2021'!AB112</f>
        <v>(no reporta)</v>
      </c>
      <c r="AZ84" s="588"/>
      <c r="BA84" s="576" t="str">
        <f>'IB 5D2-(MYPE_I)(Pesca_A)_2021'!AC112</f>
        <v>(no reporta)</v>
      </c>
      <c r="BB84" s="588"/>
      <c r="BC84" s="576" t="str">
        <f>'IB 5D2-(MYPE_I)(Pesca_A)_2021'!AD112</f>
        <v>(no reporta)</v>
      </c>
      <c r="BD84" s="588"/>
      <c r="BE84" s="624" t="str">
        <f>'IB 5D2-(MYPE_I)(Pesca_A)_2021'!AE112</f>
        <v>(no reporta)</v>
      </c>
      <c r="BF84" s="588"/>
      <c r="BG84" s="624" t="str">
        <f>'IB 5D2-(MYPE_I)(Pesca_A)_2021'!AF112</f>
        <v>(no reporta)</v>
      </c>
      <c r="BH84" s="588"/>
      <c r="BI84" s="576" t="str">
        <f>'IB 5D2-(MYPE_I)(Pesca_A)_2021'!AG112</f>
        <v>(no reporta)</v>
      </c>
      <c r="BJ84" s="588"/>
      <c r="BK84" s="587" t="str">
        <f>'IB 5D2-(MYPE_I)(Pesca_A)_2021'!AH112</f>
        <v>(no reporta)</v>
      </c>
      <c r="BL84" s="588"/>
      <c r="BM84" s="587" t="str">
        <f>'IB 5D2-(MYPE_I)(Pesca_A)_2021'!AI112</f>
        <v>(no reporta)</v>
      </c>
      <c r="BN84" s="588"/>
      <c r="BO84" s="587" t="str">
        <f>'IB 5D2-(MYPE_I)(Pesca_A)_2021'!AJ112</f>
        <v>(no reporta)</v>
      </c>
      <c r="BP84" s="588"/>
      <c r="BQ84" s="264" t="s">
        <v>454</v>
      </c>
      <c r="BR84" s="263" t="str">
        <f>'Fac Conv'!$G$18</f>
        <v>Plásticos y resinas</v>
      </c>
      <c r="BS84" s="263">
        <f>VLOOKUP(BR84,'Fac Conv'!$G$10:$K$25,2,FALSE)</f>
        <v>0.6</v>
      </c>
      <c r="BT84" s="263">
        <f>VLOOKUP(BR84,'Fac Conv'!$G$10:$K$25,4,FALSE)</f>
        <v>1.2</v>
      </c>
    </row>
    <row r="85" spans="2:72" ht="13.9" customHeight="1">
      <c r="B85" s="766"/>
      <c r="C85" s="91" t="str">
        <f>'IB 5D2-(MYPE_I)(Pesca_A)_2021'!D113</f>
        <v>Polietileno (Consumo de)</v>
      </c>
      <c r="D85" s="92" t="str">
        <f>'IB 5D2-(MYPE_I)(Pesca_A)_2021'!E113</f>
        <v>KG</v>
      </c>
      <c r="E85" s="588"/>
      <c r="F85" s="588"/>
      <c r="G85" s="677" t="str">
        <f>'IB 5D2-(MYPE_I)(Pesca_A)_2021'!F113</f>
        <v>(no reporta)</v>
      </c>
      <c r="H85" s="588"/>
      <c r="I85" s="576" t="str">
        <f>'IB 5D2-(MYPE_I)(Pesca_A)_2021'!G113</f>
        <v>(no reporta)</v>
      </c>
      <c r="J85" s="588"/>
      <c r="K85" s="576" t="str">
        <f>'IB 5D2-(MYPE_I)(Pesca_A)_2021'!H113</f>
        <v>(no reporta)</v>
      </c>
      <c r="L85" s="588"/>
      <c r="M85" s="587">
        <f>'IB 5D2-(MYPE_I)(Pesca_A)_2021'!I113</f>
        <v>26762206.5</v>
      </c>
      <c r="N85" s="588"/>
      <c r="O85" s="587">
        <f>'IB 5D2-(MYPE_I)(Pesca_A)_2021'!J113</f>
        <v>31307097.171999998</v>
      </c>
      <c r="P85" s="588"/>
      <c r="Q85" s="587">
        <f>'IB 5D2-(MYPE_I)(Pesca_A)_2021'!K113</f>
        <v>30335210.227000002</v>
      </c>
      <c r="R85" s="588"/>
      <c r="S85" s="587">
        <f>'IB 5D2-(MYPE_I)(Pesca_A)_2021'!L113</f>
        <v>30431558.112</v>
      </c>
      <c r="T85" s="588"/>
      <c r="U85" s="587">
        <f>'IB 5D2-(MYPE_I)(Pesca_A)_2021'!M113</f>
        <v>31013305.566</v>
      </c>
      <c r="V85" s="588"/>
      <c r="W85" s="587">
        <f>'IB 5D2-(MYPE_I)(Pesca_A)_2021'!N113</f>
        <v>28092858.114</v>
      </c>
      <c r="X85" s="588"/>
      <c r="Y85" s="587">
        <f>'IB 5D2-(MYPE_I)(Pesca_A)_2021'!O113</f>
        <v>27154091.074000001</v>
      </c>
      <c r="Z85" s="588"/>
      <c r="AA85" s="587">
        <f>'IB 5D2-(MYPE_I)(Pesca_A)_2021'!P113</f>
        <v>27490333.125999998</v>
      </c>
      <c r="AB85" s="588"/>
      <c r="AC85" s="587">
        <f>'IB 5D2-(MYPE_I)(Pesca_A)_2021'!Q113</f>
        <v>28798600.100000001</v>
      </c>
      <c r="AD85" s="588"/>
      <c r="AE85" s="587">
        <f>'IB 5D2-(MYPE_I)(Pesca_A)_2021'!R113</f>
        <v>26350236.600000001</v>
      </c>
      <c r="AF85" s="588"/>
      <c r="AG85" s="587">
        <f>'IB 5D2-(MYPE_I)(Pesca_A)_2021'!S113</f>
        <v>29808368.600000001</v>
      </c>
      <c r="AH85" s="588"/>
      <c r="AI85" s="587">
        <f>'IB 5D2-(MYPE_I)(Pesca_A)_2021'!T113</f>
        <v>29428297.300000001</v>
      </c>
      <c r="AJ85" s="588"/>
      <c r="AK85" s="587">
        <f>'IB 5D2-(MYPE_I)(Pesca_A)_2021'!U113</f>
        <v>33990117.700000003</v>
      </c>
      <c r="AL85" s="588"/>
      <c r="AM85" s="587">
        <f>'IB 5D2-(MYPE_I)(Pesca_A)_2021'!V113</f>
        <v>36653816.100000001</v>
      </c>
      <c r="AN85" s="588"/>
      <c r="AO85" s="587">
        <f>'IB 5D2-(MYPE_I)(Pesca_A)_2021'!W113</f>
        <v>34949014.5</v>
      </c>
      <c r="AP85" s="588"/>
      <c r="AQ85" s="587">
        <f>'IB 5D2-(MYPE_I)(Pesca_A)_2021'!X113</f>
        <v>42688121.700000003</v>
      </c>
      <c r="AR85" s="588"/>
      <c r="AS85" s="587">
        <f>'IB 5D2-(MYPE_I)(Pesca_A)_2021'!Y113</f>
        <v>46939342.100000001</v>
      </c>
      <c r="AT85" s="588"/>
      <c r="AU85" s="587" t="str">
        <f>'IB 5D2-(MYPE_I)(Pesca_A)_2021'!Z113</f>
        <v>(no reporta)</v>
      </c>
      <c r="AV85" s="588"/>
      <c r="AW85" s="576" t="str">
        <f>'IB 5D2-(MYPE_I)(Pesca_A)_2021'!AA113</f>
        <v>(no reporta)</v>
      </c>
      <c r="AX85" s="588"/>
      <c r="AY85" s="576" t="str">
        <f>'IB 5D2-(MYPE_I)(Pesca_A)_2021'!AB113</f>
        <v>(no reporta)</v>
      </c>
      <c r="AZ85" s="588"/>
      <c r="BA85" s="576" t="str">
        <f>'IB 5D2-(MYPE_I)(Pesca_A)_2021'!AC113</f>
        <v>(no reporta)</v>
      </c>
      <c r="BB85" s="588"/>
      <c r="BC85" s="576" t="str">
        <f>'IB 5D2-(MYPE_I)(Pesca_A)_2021'!AD113</f>
        <v>(no reporta)</v>
      </c>
      <c r="BD85" s="588"/>
      <c r="BE85" s="624" t="str">
        <f>'IB 5D2-(MYPE_I)(Pesca_A)_2021'!AE113</f>
        <v>(no reporta)</v>
      </c>
      <c r="BF85" s="588"/>
      <c r="BG85" s="624" t="str">
        <f>'IB 5D2-(MYPE_I)(Pesca_A)_2021'!AF113</f>
        <v>(no reporta)</v>
      </c>
      <c r="BH85" s="588"/>
      <c r="BI85" s="576" t="str">
        <f>'IB 5D2-(MYPE_I)(Pesca_A)_2021'!AG113</f>
        <v>(no reporta)</v>
      </c>
      <c r="BJ85" s="588"/>
      <c r="BK85" s="587" t="str">
        <f>'IB 5D2-(MYPE_I)(Pesca_A)_2021'!AH113</f>
        <v>(no reporta)</v>
      </c>
      <c r="BL85" s="588"/>
      <c r="BM85" s="587" t="str">
        <f>'IB 5D2-(MYPE_I)(Pesca_A)_2021'!AI113</f>
        <v>(no reporta)</v>
      </c>
      <c r="BN85" s="588"/>
      <c r="BO85" s="587" t="str">
        <f>'IB 5D2-(MYPE_I)(Pesca_A)_2021'!AJ113</f>
        <v>(no reporta)</v>
      </c>
      <c r="BP85" s="588"/>
      <c r="BQ85" s="264" t="s">
        <v>708</v>
      </c>
      <c r="BR85" s="263" t="str">
        <f>'Fac Conv'!$G$18</f>
        <v>Plásticos y resinas</v>
      </c>
      <c r="BS85" s="263">
        <f>VLOOKUP(BR85,'Fac Conv'!$G$10:$K$25,2,FALSE)</f>
        <v>0.6</v>
      </c>
      <c r="BT85" s="263">
        <f>VLOOKUP(BR85,'Fac Conv'!$G$10:$K$25,4,FALSE)</f>
        <v>1.2</v>
      </c>
    </row>
    <row r="86" spans="2:72" ht="13.9" customHeight="1">
      <c r="B86" s="766"/>
      <c r="C86" s="91" t="str">
        <f>'IB 5D2-(MYPE_I)(Pesca_A)_2021'!D114</f>
        <v>Poliestireno (Consumo de)</v>
      </c>
      <c r="D86" s="92" t="str">
        <f>'IB 5D2-(MYPE_I)(Pesca_A)_2021'!E114</f>
        <v>KG</v>
      </c>
      <c r="E86" s="588"/>
      <c r="F86" s="588"/>
      <c r="G86" s="677" t="str">
        <f>'IB 5D2-(MYPE_I)(Pesca_A)_2021'!F114</f>
        <v>(no reporta)</v>
      </c>
      <c r="H86" s="588"/>
      <c r="I86" s="576" t="str">
        <f>'IB 5D2-(MYPE_I)(Pesca_A)_2021'!G114</f>
        <v>(no reporta)</v>
      </c>
      <c r="J86" s="588"/>
      <c r="K86" s="576" t="str">
        <f>'IB 5D2-(MYPE_I)(Pesca_A)_2021'!H114</f>
        <v>(no reporta)</v>
      </c>
      <c r="L86" s="588"/>
      <c r="M86" s="587">
        <f>'IB 5D2-(MYPE_I)(Pesca_A)_2021'!I114</f>
        <v>2679714.35</v>
      </c>
      <c r="N86" s="588"/>
      <c r="O86" s="587">
        <f>'IB 5D2-(MYPE_I)(Pesca_A)_2021'!J114</f>
        <v>2890157.32</v>
      </c>
      <c r="P86" s="588"/>
      <c r="Q86" s="587">
        <f>'IB 5D2-(MYPE_I)(Pesca_A)_2021'!K114</f>
        <v>3204637.77</v>
      </c>
      <c r="R86" s="588"/>
      <c r="S86" s="587">
        <f>'IB 5D2-(MYPE_I)(Pesca_A)_2021'!L114</f>
        <v>2480794.17</v>
      </c>
      <c r="T86" s="588"/>
      <c r="U86" s="587">
        <f>'IB 5D2-(MYPE_I)(Pesca_A)_2021'!M114</f>
        <v>1941441.36</v>
      </c>
      <c r="V86" s="588"/>
      <c r="W86" s="587">
        <f>'IB 5D2-(MYPE_I)(Pesca_A)_2021'!N114</f>
        <v>2192458.983</v>
      </c>
      <c r="X86" s="588"/>
      <c r="Y86" s="587">
        <f>'IB 5D2-(MYPE_I)(Pesca_A)_2021'!O114</f>
        <v>2219383.67</v>
      </c>
      <c r="Z86" s="588"/>
      <c r="AA86" s="587">
        <f>'IB 5D2-(MYPE_I)(Pesca_A)_2021'!P114</f>
        <v>2141746.7910000002</v>
      </c>
      <c r="AB86" s="588"/>
      <c r="AC86" s="587">
        <f>'IB 5D2-(MYPE_I)(Pesca_A)_2021'!Q114</f>
        <v>2090328.4</v>
      </c>
      <c r="AD86" s="588"/>
      <c r="AE86" s="587">
        <f>'IB 5D2-(MYPE_I)(Pesca_A)_2021'!R114</f>
        <v>1386099</v>
      </c>
      <c r="AF86" s="588"/>
      <c r="AG86" s="587">
        <f>'IB 5D2-(MYPE_I)(Pesca_A)_2021'!S114</f>
        <v>1014303.7</v>
      </c>
      <c r="AH86" s="588"/>
      <c r="AI86" s="587">
        <f>'IB 5D2-(MYPE_I)(Pesca_A)_2021'!T114</f>
        <v>742189.1</v>
      </c>
      <c r="AJ86" s="588"/>
      <c r="AK86" s="587">
        <f>'IB 5D2-(MYPE_I)(Pesca_A)_2021'!U114</f>
        <v>1491880</v>
      </c>
      <c r="AL86" s="588"/>
      <c r="AM86" s="587">
        <f>'IB 5D2-(MYPE_I)(Pesca_A)_2021'!V114</f>
        <v>1827728.5</v>
      </c>
      <c r="AN86" s="588"/>
      <c r="AO86" s="587">
        <f>'IB 5D2-(MYPE_I)(Pesca_A)_2021'!W114</f>
        <v>904332.9</v>
      </c>
      <c r="AP86" s="588"/>
      <c r="AQ86" s="587">
        <f>'IB 5D2-(MYPE_I)(Pesca_A)_2021'!X114</f>
        <v>1083703.5</v>
      </c>
      <c r="AR86" s="588"/>
      <c r="AS86" s="587">
        <f>'IB 5D2-(MYPE_I)(Pesca_A)_2021'!Y114</f>
        <v>1310017</v>
      </c>
      <c r="AT86" s="588"/>
      <c r="AU86" s="587" t="str">
        <f>'IB 5D2-(MYPE_I)(Pesca_A)_2021'!Z114</f>
        <v>(no reporta)</v>
      </c>
      <c r="AV86" s="588"/>
      <c r="AW86" s="576" t="str">
        <f>'IB 5D2-(MYPE_I)(Pesca_A)_2021'!AA114</f>
        <v>(no reporta)</v>
      </c>
      <c r="AX86" s="588"/>
      <c r="AY86" s="576" t="str">
        <f>'IB 5D2-(MYPE_I)(Pesca_A)_2021'!AB114</f>
        <v>(no reporta)</v>
      </c>
      <c r="AZ86" s="588"/>
      <c r="BA86" s="576" t="str">
        <f>'IB 5D2-(MYPE_I)(Pesca_A)_2021'!AC114</f>
        <v>(no reporta)</v>
      </c>
      <c r="BB86" s="588"/>
      <c r="BC86" s="576" t="str">
        <f>'IB 5D2-(MYPE_I)(Pesca_A)_2021'!AD114</f>
        <v>(no reporta)</v>
      </c>
      <c r="BD86" s="588"/>
      <c r="BE86" s="624" t="str">
        <f>'IB 5D2-(MYPE_I)(Pesca_A)_2021'!AE114</f>
        <v>(no reporta)</v>
      </c>
      <c r="BF86" s="588"/>
      <c r="BG86" s="624" t="str">
        <f>'IB 5D2-(MYPE_I)(Pesca_A)_2021'!AF114</f>
        <v>(no reporta)</v>
      </c>
      <c r="BH86" s="588"/>
      <c r="BI86" s="576" t="str">
        <f>'IB 5D2-(MYPE_I)(Pesca_A)_2021'!AG114</f>
        <v>(no reporta)</v>
      </c>
      <c r="BJ86" s="588"/>
      <c r="BK86" s="587" t="str">
        <f>'IB 5D2-(MYPE_I)(Pesca_A)_2021'!AH114</f>
        <v>(no reporta)</v>
      </c>
      <c r="BL86" s="588"/>
      <c r="BM86" s="587" t="str">
        <f>'IB 5D2-(MYPE_I)(Pesca_A)_2021'!AI114</f>
        <v>(no reporta)</v>
      </c>
      <c r="BN86" s="588"/>
      <c r="BO86" s="587" t="str">
        <f>'IB 5D2-(MYPE_I)(Pesca_A)_2021'!AJ114</f>
        <v>(no reporta)</v>
      </c>
      <c r="BP86" s="588"/>
      <c r="BQ86" s="264" t="s">
        <v>708</v>
      </c>
      <c r="BR86" s="263" t="str">
        <f>'Fac Conv'!$G$18</f>
        <v>Plásticos y resinas</v>
      </c>
      <c r="BS86" s="263">
        <f>VLOOKUP(BR86,'Fac Conv'!$G$10:$K$25,2,FALSE)</f>
        <v>0.6</v>
      </c>
      <c r="BT86" s="263">
        <f>VLOOKUP(BR86,'Fac Conv'!$G$10:$K$25,4,FALSE)</f>
        <v>1.2</v>
      </c>
    </row>
    <row r="87" spans="2:72" ht="13.9" customHeight="1">
      <c r="B87" s="766"/>
      <c r="C87" s="91" t="str">
        <f>'IB 5D2-(MYPE_I)(Pesca_A)_2021'!D115</f>
        <v>Polipropileno (Consumo de)</v>
      </c>
      <c r="D87" s="92" t="str">
        <f>'IB 5D2-(MYPE_I)(Pesca_A)_2021'!E115</f>
        <v>KG</v>
      </c>
      <c r="E87" s="588"/>
      <c r="F87" s="588"/>
      <c r="G87" s="677" t="str">
        <f>'IB 5D2-(MYPE_I)(Pesca_A)_2021'!F115</f>
        <v>(no reporta)</v>
      </c>
      <c r="H87" s="588"/>
      <c r="I87" s="576" t="str">
        <f>'IB 5D2-(MYPE_I)(Pesca_A)_2021'!G115</f>
        <v>(no reporta)</v>
      </c>
      <c r="J87" s="588"/>
      <c r="K87" s="576" t="str">
        <f>'IB 5D2-(MYPE_I)(Pesca_A)_2021'!H115</f>
        <v>(no reporta)</v>
      </c>
      <c r="L87" s="588"/>
      <c r="M87" s="587">
        <f>'IB 5D2-(MYPE_I)(Pesca_A)_2021'!I115</f>
        <v>15992745.300000001</v>
      </c>
      <c r="N87" s="588"/>
      <c r="O87" s="587">
        <f>'IB 5D2-(MYPE_I)(Pesca_A)_2021'!J115</f>
        <v>14895208.550000001</v>
      </c>
      <c r="P87" s="588"/>
      <c r="Q87" s="587">
        <f>'IB 5D2-(MYPE_I)(Pesca_A)_2021'!K115</f>
        <v>18476188.420000002</v>
      </c>
      <c r="R87" s="588"/>
      <c r="S87" s="587">
        <f>'IB 5D2-(MYPE_I)(Pesca_A)_2021'!L115</f>
        <v>20847479.201000001</v>
      </c>
      <c r="T87" s="588"/>
      <c r="U87" s="587">
        <f>'IB 5D2-(MYPE_I)(Pesca_A)_2021'!M115</f>
        <v>23048920.75</v>
      </c>
      <c r="V87" s="588"/>
      <c r="W87" s="587">
        <f>'IB 5D2-(MYPE_I)(Pesca_A)_2021'!N115</f>
        <v>27151608.965</v>
      </c>
      <c r="X87" s="588"/>
      <c r="Y87" s="587">
        <f>'IB 5D2-(MYPE_I)(Pesca_A)_2021'!O115</f>
        <v>28998252.960999999</v>
      </c>
      <c r="Z87" s="588"/>
      <c r="AA87" s="587">
        <f>'IB 5D2-(MYPE_I)(Pesca_A)_2021'!P115</f>
        <v>28483743.302000001</v>
      </c>
      <c r="AB87" s="588"/>
      <c r="AC87" s="587">
        <f>'IB 5D2-(MYPE_I)(Pesca_A)_2021'!Q115</f>
        <v>29410548.199999999</v>
      </c>
      <c r="AD87" s="588"/>
      <c r="AE87" s="587">
        <f>'IB 5D2-(MYPE_I)(Pesca_A)_2021'!R115</f>
        <v>34794949.899999999</v>
      </c>
      <c r="AF87" s="588"/>
      <c r="AG87" s="587">
        <f>'IB 5D2-(MYPE_I)(Pesca_A)_2021'!S115</f>
        <v>36883408.600000001</v>
      </c>
      <c r="AH87" s="588"/>
      <c r="AI87" s="587">
        <f>'IB 5D2-(MYPE_I)(Pesca_A)_2021'!T115</f>
        <v>40675983.299999997</v>
      </c>
      <c r="AJ87" s="588"/>
      <c r="AK87" s="587">
        <f>'IB 5D2-(MYPE_I)(Pesca_A)_2021'!U115</f>
        <v>43502411.799999997</v>
      </c>
      <c r="AL87" s="588"/>
      <c r="AM87" s="587">
        <f>'IB 5D2-(MYPE_I)(Pesca_A)_2021'!V115</f>
        <v>46589022.5</v>
      </c>
      <c r="AN87" s="588"/>
      <c r="AO87" s="587">
        <f>'IB 5D2-(MYPE_I)(Pesca_A)_2021'!W115</f>
        <v>37151824.799999997</v>
      </c>
      <c r="AP87" s="588"/>
      <c r="AQ87" s="587">
        <f>'IB 5D2-(MYPE_I)(Pesca_A)_2021'!X115</f>
        <v>40956920.100000001</v>
      </c>
      <c r="AR87" s="588"/>
      <c r="AS87" s="587">
        <f>'IB 5D2-(MYPE_I)(Pesca_A)_2021'!Y115</f>
        <v>42196003.100000001</v>
      </c>
      <c r="AT87" s="588"/>
      <c r="AU87" s="587" t="str">
        <f>'IB 5D2-(MYPE_I)(Pesca_A)_2021'!Z115</f>
        <v>(no reporta)</v>
      </c>
      <c r="AV87" s="588"/>
      <c r="AW87" s="576" t="str">
        <f>'IB 5D2-(MYPE_I)(Pesca_A)_2021'!AA115</f>
        <v>(no reporta)</v>
      </c>
      <c r="AX87" s="588"/>
      <c r="AY87" s="576" t="str">
        <f>'IB 5D2-(MYPE_I)(Pesca_A)_2021'!AB115</f>
        <v>(no reporta)</v>
      </c>
      <c r="AZ87" s="588"/>
      <c r="BA87" s="576" t="str">
        <f>'IB 5D2-(MYPE_I)(Pesca_A)_2021'!AC115</f>
        <v>(no reporta)</v>
      </c>
      <c r="BB87" s="588"/>
      <c r="BC87" s="576" t="str">
        <f>'IB 5D2-(MYPE_I)(Pesca_A)_2021'!AD115</f>
        <v>(no reporta)</v>
      </c>
      <c r="BD87" s="588"/>
      <c r="BE87" s="624" t="str">
        <f>'IB 5D2-(MYPE_I)(Pesca_A)_2021'!AE115</f>
        <v>(no reporta)</v>
      </c>
      <c r="BF87" s="588"/>
      <c r="BG87" s="624" t="str">
        <f>'IB 5D2-(MYPE_I)(Pesca_A)_2021'!AF115</f>
        <v>(no reporta)</v>
      </c>
      <c r="BH87" s="588"/>
      <c r="BI87" s="576" t="str">
        <f>'IB 5D2-(MYPE_I)(Pesca_A)_2021'!AG115</f>
        <v>(no reporta)</v>
      </c>
      <c r="BJ87" s="588"/>
      <c r="BK87" s="587" t="str">
        <f>'IB 5D2-(MYPE_I)(Pesca_A)_2021'!AH115</f>
        <v>(no reporta)</v>
      </c>
      <c r="BL87" s="588"/>
      <c r="BM87" s="587" t="str">
        <f>'IB 5D2-(MYPE_I)(Pesca_A)_2021'!AI115</f>
        <v>(no reporta)</v>
      </c>
      <c r="BN87" s="588"/>
      <c r="BO87" s="587" t="str">
        <f>'IB 5D2-(MYPE_I)(Pesca_A)_2021'!AJ115</f>
        <v>(no reporta)</v>
      </c>
      <c r="BP87" s="588"/>
      <c r="BQ87" s="264" t="s">
        <v>708</v>
      </c>
      <c r="BR87" s="263" t="str">
        <f>'Fac Conv'!$G$18</f>
        <v>Plásticos y resinas</v>
      </c>
      <c r="BS87" s="263">
        <f>VLOOKUP(BR87,'Fac Conv'!$G$10:$K$25,2,FALSE)</f>
        <v>0.6</v>
      </c>
      <c r="BT87" s="263">
        <f>VLOOKUP(BR87,'Fac Conv'!$G$10:$K$25,4,FALSE)</f>
        <v>1.2</v>
      </c>
    </row>
    <row r="88" spans="2:72" ht="13.9" customHeight="1">
      <c r="B88" s="766"/>
      <c r="C88" s="91" t="str">
        <f>'IB 5D2-(MYPE_I)(Pesca_A)_2021'!D116</f>
        <v>P V C (Consumo de)</v>
      </c>
      <c r="D88" s="92" t="str">
        <f>'IB 5D2-(MYPE_I)(Pesca_A)_2021'!E116</f>
        <v>KG</v>
      </c>
      <c r="E88" s="588"/>
      <c r="F88" s="588"/>
      <c r="G88" s="677" t="str">
        <f>'IB 5D2-(MYPE_I)(Pesca_A)_2021'!F116</f>
        <v>(no reporta)</v>
      </c>
      <c r="H88" s="588"/>
      <c r="I88" s="576" t="str">
        <f>'IB 5D2-(MYPE_I)(Pesca_A)_2021'!G116</f>
        <v>(no reporta)</v>
      </c>
      <c r="J88" s="588"/>
      <c r="K88" s="576" t="str">
        <f>'IB 5D2-(MYPE_I)(Pesca_A)_2021'!H116</f>
        <v>(no reporta)</v>
      </c>
      <c r="L88" s="588"/>
      <c r="M88" s="587">
        <f>'IB 5D2-(MYPE_I)(Pesca_A)_2021'!I116</f>
        <v>27174980.109999999</v>
      </c>
      <c r="N88" s="588"/>
      <c r="O88" s="587">
        <f>'IB 5D2-(MYPE_I)(Pesca_A)_2021'!J116</f>
        <v>28831933.489999998</v>
      </c>
      <c r="P88" s="588"/>
      <c r="Q88" s="587">
        <f>'IB 5D2-(MYPE_I)(Pesca_A)_2021'!K116</f>
        <v>29755013.460000001</v>
      </c>
      <c r="R88" s="588"/>
      <c r="S88" s="587">
        <f>'IB 5D2-(MYPE_I)(Pesca_A)_2021'!L116</f>
        <v>32730854.420000002</v>
      </c>
      <c r="T88" s="588"/>
      <c r="U88" s="587">
        <f>'IB 5D2-(MYPE_I)(Pesca_A)_2021'!M116</f>
        <v>26004815.574000001</v>
      </c>
      <c r="V88" s="588"/>
      <c r="W88" s="587">
        <f>'IB 5D2-(MYPE_I)(Pesca_A)_2021'!N116</f>
        <v>21364251.079999998</v>
      </c>
      <c r="X88" s="588"/>
      <c r="Y88" s="587">
        <f>'IB 5D2-(MYPE_I)(Pesca_A)_2021'!O116</f>
        <v>20540433.359000001</v>
      </c>
      <c r="Z88" s="588"/>
      <c r="AA88" s="587">
        <f>'IB 5D2-(MYPE_I)(Pesca_A)_2021'!P116</f>
        <v>23462929.877999999</v>
      </c>
      <c r="AB88" s="588"/>
      <c r="AC88" s="587">
        <f>'IB 5D2-(MYPE_I)(Pesca_A)_2021'!Q116</f>
        <v>22548581.600000001</v>
      </c>
      <c r="AD88" s="588"/>
      <c r="AE88" s="587">
        <f>'IB 5D2-(MYPE_I)(Pesca_A)_2021'!R116</f>
        <v>27457322.100000001</v>
      </c>
      <c r="AF88" s="588"/>
      <c r="AG88" s="587">
        <f>'IB 5D2-(MYPE_I)(Pesca_A)_2021'!S116</f>
        <v>30489345.100000001</v>
      </c>
      <c r="AH88" s="588"/>
      <c r="AI88" s="587">
        <f>'IB 5D2-(MYPE_I)(Pesca_A)_2021'!T116</f>
        <v>42600199</v>
      </c>
      <c r="AJ88" s="588"/>
      <c r="AK88" s="587">
        <f>'IB 5D2-(MYPE_I)(Pesca_A)_2021'!U116</f>
        <v>50379509.5</v>
      </c>
      <c r="AL88" s="588"/>
      <c r="AM88" s="587">
        <f>'IB 5D2-(MYPE_I)(Pesca_A)_2021'!V116</f>
        <v>50714240.100000001</v>
      </c>
      <c r="AN88" s="588"/>
      <c r="AO88" s="587">
        <f>'IB 5D2-(MYPE_I)(Pesca_A)_2021'!W116</f>
        <v>69437689.599999994</v>
      </c>
      <c r="AP88" s="588"/>
      <c r="AQ88" s="587">
        <f>'IB 5D2-(MYPE_I)(Pesca_A)_2021'!X116</f>
        <v>69919305.400000006</v>
      </c>
      <c r="AR88" s="588"/>
      <c r="AS88" s="587">
        <f>'IB 5D2-(MYPE_I)(Pesca_A)_2021'!Y116</f>
        <v>77955797.200000003</v>
      </c>
      <c r="AT88" s="588"/>
      <c r="AU88" s="587" t="str">
        <f>'IB 5D2-(MYPE_I)(Pesca_A)_2021'!Z116</f>
        <v>(no reporta)</v>
      </c>
      <c r="AV88" s="588"/>
      <c r="AW88" s="576" t="str">
        <f>'IB 5D2-(MYPE_I)(Pesca_A)_2021'!AA116</f>
        <v>(no reporta)</v>
      </c>
      <c r="AX88" s="588"/>
      <c r="AY88" s="576" t="str">
        <f>'IB 5D2-(MYPE_I)(Pesca_A)_2021'!AB116</f>
        <v>(no reporta)</v>
      </c>
      <c r="AZ88" s="588"/>
      <c r="BA88" s="576" t="str">
        <f>'IB 5D2-(MYPE_I)(Pesca_A)_2021'!AC116</f>
        <v>(no reporta)</v>
      </c>
      <c r="BB88" s="588"/>
      <c r="BC88" s="576" t="str">
        <f>'IB 5D2-(MYPE_I)(Pesca_A)_2021'!AD116</f>
        <v>(no reporta)</v>
      </c>
      <c r="BD88" s="588"/>
      <c r="BE88" s="624" t="str">
        <f>'IB 5D2-(MYPE_I)(Pesca_A)_2021'!AE116</f>
        <v>(no reporta)</v>
      </c>
      <c r="BF88" s="588"/>
      <c r="BG88" s="624" t="str">
        <f>'IB 5D2-(MYPE_I)(Pesca_A)_2021'!AF116</f>
        <v>(no reporta)</v>
      </c>
      <c r="BH88" s="588"/>
      <c r="BI88" s="576" t="str">
        <f>'IB 5D2-(MYPE_I)(Pesca_A)_2021'!AG116</f>
        <v>(no reporta)</v>
      </c>
      <c r="BJ88" s="588"/>
      <c r="BK88" s="587" t="str">
        <f>'IB 5D2-(MYPE_I)(Pesca_A)_2021'!AH116</f>
        <v>(no reporta)</v>
      </c>
      <c r="BL88" s="588"/>
      <c r="BM88" s="587" t="str">
        <f>'IB 5D2-(MYPE_I)(Pesca_A)_2021'!AI116</f>
        <v>(no reporta)</v>
      </c>
      <c r="BN88" s="588"/>
      <c r="BO88" s="587" t="str">
        <f>'IB 5D2-(MYPE_I)(Pesca_A)_2021'!AJ116</f>
        <v>(no reporta)</v>
      </c>
      <c r="BP88" s="588"/>
      <c r="BQ88" s="264" t="s">
        <v>708</v>
      </c>
      <c r="BR88" s="263" t="str">
        <f>'Fac Conv'!$G$18</f>
        <v>Plásticos y resinas</v>
      </c>
      <c r="BS88" s="263">
        <f>VLOOKUP(BR88,'Fac Conv'!$G$10:$K$25,2,FALSE)</f>
        <v>0.6</v>
      </c>
      <c r="BT88" s="263">
        <f>VLOOKUP(BR88,'Fac Conv'!$G$10:$K$25,4,FALSE)</f>
        <v>1.2</v>
      </c>
    </row>
    <row r="89" spans="2:72" ht="13.9" customHeight="1">
      <c r="B89" s="766"/>
      <c r="C89" s="91" t="str">
        <f>'IB 5D2-(MYPE_I)(Pesca_A)_2021'!D117</f>
        <v>Plastificantes D O P (Consumo de)</v>
      </c>
      <c r="D89" s="92" t="str">
        <f>'IB 5D2-(MYPE_I)(Pesca_A)_2021'!E117</f>
        <v>KG</v>
      </c>
      <c r="E89" s="588"/>
      <c r="F89" s="588"/>
      <c r="G89" s="677" t="str">
        <f>'IB 5D2-(MYPE_I)(Pesca_A)_2021'!F117</f>
        <v>(no reporta)</v>
      </c>
      <c r="H89" s="588"/>
      <c r="I89" s="576" t="str">
        <f>'IB 5D2-(MYPE_I)(Pesca_A)_2021'!G117</f>
        <v>(no reporta)</v>
      </c>
      <c r="J89" s="588"/>
      <c r="K89" s="576" t="str">
        <f>'IB 5D2-(MYPE_I)(Pesca_A)_2021'!H117</f>
        <v>(no reporta)</v>
      </c>
      <c r="L89" s="588"/>
      <c r="M89" s="587">
        <f>'IB 5D2-(MYPE_I)(Pesca_A)_2021'!I117</f>
        <v>2112652</v>
      </c>
      <c r="N89" s="588"/>
      <c r="O89" s="587">
        <f>'IB 5D2-(MYPE_I)(Pesca_A)_2021'!J117</f>
        <v>2408731</v>
      </c>
      <c r="P89" s="588"/>
      <c r="Q89" s="587">
        <f>'IB 5D2-(MYPE_I)(Pesca_A)_2021'!K117</f>
        <v>1829971.11</v>
      </c>
      <c r="R89" s="588"/>
      <c r="S89" s="587">
        <f>'IB 5D2-(MYPE_I)(Pesca_A)_2021'!L117</f>
        <v>2235938.91</v>
      </c>
      <c r="T89" s="588"/>
      <c r="U89" s="587">
        <f>'IB 5D2-(MYPE_I)(Pesca_A)_2021'!M117</f>
        <v>2028152.61</v>
      </c>
      <c r="V89" s="588"/>
      <c r="W89" s="587">
        <f>'IB 5D2-(MYPE_I)(Pesca_A)_2021'!N117</f>
        <v>1236683</v>
      </c>
      <c r="X89" s="588"/>
      <c r="Y89" s="587">
        <f>'IB 5D2-(MYPE_I)(Pesca_A)_2021'!O117</f>
        <v>1791185.5</v>
      </c>
      <c r="Z89" s="588"/>
      <c r="AA89" s="587">
        <f>'IB 5D2-(MYPE_I)(Pesca_A)_2021'!P117</f>
        <v>1891518</v>
      </c>
      <c r="AB89" s="588"/>
      <c r="AC89" s="587">
        <f>'IB 5D2-(MYPE_I)(Pesca_A)_2021'!Q117</f>
        <v>1905347</v>
      </c>
      <c r="AD89" s="588"/>
      <c r="AE89" s="587">
        <f>'IB 5D2-(MYPE_I)(Pesca_A)_2021'!R117</f>
        <v>2120755</v>
      </c>
      <c r="AF89" s="588"/>
      <c r="AG89" s="587">
        <f>'IB 5D2-(MYPE_I)(Pesca_A)_2021'!S117</f>
        <v>2052589</v>
      </c>
      <c r="AH89" s="588"/>
      <c r="AI89" s="587">
        <f>'IB 5D2-(MYPE_I)(Pesca_A)_2021'!T117</f>
        <v>2504157</v>
      </c>
      <c r="AJ89" s="588"/>
      <c r="AK89" s="587">
        <f>'IB 5D2-(MYPE_I)(Pesca_A)_2021'!U117</f>
        <v>2455645.1</v>
      </c>
      <c r="AL89" s="588"/>
      <c r="AM89" s="587">
        <f>'IB 5D2-(MYPE_I)(Pesca_A)_2021'!V117</f>
        <v>2575083.7999999998</v>
      </c>
      <c r="AN89" s="588"/>
      <c r="AO89" s="587">
        <f>'IB 5D2-(MYPE_I)(Pesca_A)_2021'!W117</f>
        <v>2478429</v>
      </c>
      <c r="AP89" s="588"/>
      <c r="AQ89" s="587">
        <f>'IB 5D2-(MYPE_I)(Pesca_A)_2021'!X117</f>
        <v>3016367</v>
      </c>
      <c r="AR89" s="588"/>
      <c r="AS89" s="587">
        <f>'IB 5D2-(MYPE_I)(Pesca_A)_2021'!Y117</f>
        <v>3221831.8</v>
      </c>
      <c r="AT89" s="588"/>
      <c r="AU89" s="587" t="str">
        <f>'IB 5D2-(MYPE_I)(Pesca_A)_2021'!Z117</f>
        <v>(no reporta)</v>
      </c>
      <c r="AV89" s="588"/>
      <c r="AW89" s="576" t="str">
        <f>'IB 5D2-(MYPE_I)(Pesca_A)_2021'!AA117</f>
        <v>(no reporta)</v>
      </c>
      <c r="AX89" s="588"/>
      <c r="AY89" s="576" t="str">
        <f>'IB 5D2-(MYPE_I)(Pesca_A)_2021'!AB117</f>
        <v>(no reporta)</v>
      </c>
      <c r="AZ89" s="588"/>
      <c r="BA89" s="576" t="str">
        <f>'IB 5D2-(MYPE_I)(Pesca_A)_2021'!AC117</f>
        <v>(no reporta)</v>
      </c>
      <c r="BB89" s="588"/>
      <c r="BC89" s="576" t="str">
        <f>'IB 5D2-(MYPE_I)(Pesca_A)_2021'!AD117</f>
        <v>(no reporta)</v>
      </c>
      <c r="BD89" s="588"/>
      <c r="BE89" s="624" t="str">
        <f>'IB 5D2-(MYPE_I)(Pesca_A)_2021'!AE117</f>
        <v>(no reporta)</v>
      </c>
      <c r="BF89" s="588"/>
      <c r="BG89" s="624" t="str">
        <f>'IB 5D2-(MYPE_I)(Pesca_A)_2021'!AF117</f>
        <v>(no reporta)</v>
      </c>
      <c r="BH89" s="588"/>
      <c r="BI89" s="576" t="str">
        <f>'IB 5D2-(MYPE_I)(Pesca_A)_2021'!AG117</f>
        <v>(no reporta)</v>
      </c>
      <c r="BJ89" s="588"/>
      <c r="BK89" s="587" t="str">
        <f>'IB 5D2-(MYPE_I)(Pesca_A)_2021'!AH117</f>
        <v>(no reporta)</v>
      </c>
      <c r="BL89" s="588"/>
      <c r="BM89" s="587" t="str">
        <f>'IB 5D2-(MYPE_I)(Pesca_A)_2021'!AI117</f>
        <v>(no reporta)</v>
      </c>
      <c r="BN89" s="588"/>
      <c r="BO89" s="587" t="str">
        <f>'IB 5D2-(MYPE_I)(Pesca_A)_2021'!AJ117</f>
        <v>(no reporta)</v>
      </c>
      <c r="BP89" s="588"/>
      <c r="BQ89" s="264" t="s">
        <v>708</v>
      </c>
      <c r="BR89" s="263" t="str">
        <f>'Fac Conv'!$G$18</f>
        <v>Plásticos y resinas</v>
      </c>
      <c r="BS89" s="263">
        <f>VLOOKUP(BR89,'Fac Conv'!$G$10:$K$25,2,FALSE)</f>
        <v>0.6</v>
      </c>
      <c r="BT89" s="263">
        <f>VLOOKUP(BR89,'Fac Conv'!$G$10:$K$25,4,FALSE)</f>
        <v>1.2</v>
      </c>
    </row>
    <row r="90" spans="2:72" ht="13.9" customHeight="1">
      <c r="B90" s="766"/>
      <c r="C90" s="91" t="str">
        <f>'IB 5D2-(MYPE_I)(Pesca_A)_2021'!D118</f>
        <v>Masterbatch (Consumo de)</v>
      </c>
      <c r="D90" s="92" t="str">
        <f>'IB 5D2-(MYPE_I)(Pesca_A)_2021'!E118</f>
        <v>KG</v>
      </c>
      <c r="E90" s="588"/>
      <c r="F90" s="588"/>
      <c r="G90" s="677" t="str">
        <f>'IB 5D2-(MYPE_I)(Pesca_A)_2021'!F118</f>
        <v>(no reporta)</v>
      </c>
      <c r="H90" s="588"/>
      <c r="I90" s="576" t="str">
        <f>'IB 5D2-(MYPE_I)(Pesca_A)_2021'!G118</f>
        <v>(no reporta)</v>
      </c>
      <c r="J90" s="588"/>
      <c r="K90" s="576" t="str">
        <f>'IB 5D2-(MYPE_I)(Pesca_A)_2021'!H118</f>
        <v>(no reporta)</v>
      </c>
      <c r="L90" s="588"/>
      <c r="M90" s="587">
        <f>'IB 5D2-(MYPE_I)(Pesca_A)_2021'!I118</f>
        <v>1090051.08</v>
      </c>
      <c r="N90" s="588"/>
      <c r="O90" s="587">
        <f>'IB 5D2-(MYPE_I)(Pesca_A)_2021'!J118</f>
        <v>2007714.72</v>
      </c>
      <c r="P90" s="588"/>
      <c r="Q90" s="587">
        <f>'IB 5D2-(MYPE_I)(Pesca_A)_2021'!K118</f>
        <v>663943.90599999996</v>
      </c>
      <c r="R90" s="588"/>
      <c r="S90" s="587">
        <f>'IB 5D2-(MYPE_I)(Pesca_A)_2021'!L118</f>
        <v>764663.48400000005</v>
      </c>
      <c r="T90" s="588"/>
      <c r="U90" s="587">
        <f>'IB 5D2-(MYPE_I)(Pesca_A)_2021'!M118</f>
        <v>811402.04099999997</v>
      </c>
      <c r="V90" s="588"/>
      <c r="W90" s="587">
        <f>'IB 5D2-(MYPE_I)(Pesca_A)_2021'!N118</f>
        <v>915039.67200000002</v>
      </c>
      <c r="X90" s="588"/>
      <c r="Y90" s="587">
        <f>'IB 5D2-(MYPE_I)(Pesca_A)_2021'!O118</f>
        <v>1022401.513</v>
      </c>
      <c r="Z90" s="588"/>
      <c r="AA90" s="587">
        <f>'IB 5D2-(MYPE_I)(Pesca_A)_2021'!P118</f>
        <v>1073916.693</v>
      </c>
      <c r="AB90" s="588"/>
      <c r="AC90" s="587">
        <f>'IB 5D2-(MYPE_I)(Pesca_A)_2021'!Q118</f>
        <v>1128853.8</v>
      </c>
      <c r="AD90" s="588"/>
      <c r="AE90" s="587">
        <f>'IB 5D2-(MYPE_I)(Pesca_A)_2021'!R118</f>
        <v>1006129.7</v>
      </c>
      <c r="AF90" s="588"/>
      <c r="AG90" s="587">
        <f>'IB 5D2-(MYPE_I)(Pesca_A)_2021'!S118</f>
        <v>989719.9</v>
      </c>
      <c r="AH90" s="588"/>
      <c r="AI90" s="587">
        <f>'IB 5D2-(MYPE_I)(Pesca_A)_2021'!T118</f>
        <v>914854.40000000002</v>
      </c>
      <c r="AJ90" s="588"/>
      <c r="AK90" s="587">
        <f>'IB 5D2-(MYPE_I)(Pesca_A)_2021'!U118</f>
        <v>933325.5</v>
      </c>
      <c r="AL90" s="588"/>
      <c r="AM90" s="587">
        <f>'IB 5D2-(MYPE_I)(Pesca_A)_2021'!V118</f>
        <v>1128175</v>
      </c>
      <c r="AN90" s="588"/>
      <c r="AO90" s="587">
        <f>'IB 5D2-(MYPE_I)(Pesca_A)_2021'!W118</f>
        <v>1193546</v>
      </c>
      <c r="AP90" s="588"/>
      <c r="AQ90" s="587">
        <f>'IB 5D2-(MYPE_I)(Pesca_A)_2021'!X118</f>
        <v>1465874.8</v>
      </c>
      <c r="AR90" s="588"/>
      <c r="AS90" s="587">
        <f>'IB 5D2-(MYPE_I)(Pesca_A)_2021'!Y118</f>
        <v>1210183.3999999999</v>
      </c>
      <c r="AT90" s="588"/>
      <c r="AU90" s="587" t="str">
        <f>'IB 5D2-(MYPE_I)(Pesca_A)_2021'!Z118</f>
        <v>(no reporta)</v>
      </c>
      <c r="AV90" s="588"/>
      <c r="AW90" s="576" t="str">
        <f>'IB 5D2-(MYPE_I)(Pesca_A)_2021'!AA118</f>
        <v>(no reporta)</v>
      </c>
      <c r="AX90" s="588"/>
      <c r="AY90" s="576" t="str">
        <f>'IB 5D2-(MYPE_I)(Pesca_A)_2021'!AB118</f>
        <v>(no reporta)</v>
      </c>
      <c r="AZ90" s="588"/>
      <c r="BA90" s="576" t="str">
        <f>'IB 5D2-(MYPE_I)(Pesca_A)_2021'!AC118</f>
        <v>(no reporta)</v>
      </c>
      <c r="BB90" s="588"/>
      <c r="BC90" s="576" t="str">
        <f>'IB 5D2-(MYPE_I)(Pesca_A)_2021'!AD118</f>
        <v>(no reporta)</v>
      </c>
      <c r="BD90" s="588"/>
      <c r="BE90" s="576" t="str">
        <f>'IB 5D2-(MYPE_I)(Pesca_A)_2021'!AE118</f>
        <v>(no reporta)</v>
      </c>
      <c r="BF90" s="588"/>
      <c r="BG90" s="624" t="str">
        <f>'IB 5D2-(MYPE_I)(Pesca_A)_2021'!AF118</f>
        <v>(no reporta)</v>
      </c>
      <c r="BH90" s="588"/>
      <c r="BI90" s="576" t="str">
        <f>'IB 5D2-(MYPE_I)(Pesca_A)_2021'!AG118</f>
        <v>(no reporta)</v>
      </c>
      <c r="BJ90" s="588"/>
      <c r="BK90" s="587" t="str">
        <f>'IB 5D2-(MYPE_I)(Pesca_A)_2021'!AH118</f>
        <v>(no reporta)</v>
      </c>
      <c r="BL90" s="588"/>
      <c r="BM90" s="587" t="str">
        <f>'IB 5D2-(MYPE_I)(Pesca_A)_2021'!AI118</f>
        <v>(no reporta)</v>
      </c>
      <c r="BN90" s="588"/>
      <c r="BO90" s="587" t="str">
        <f>'IB 5D2-(MYPE_I)(Pesca_A)_2021'!AJ118</f>
        <v>(no reporta)</v>
      </c>
      <c r="BP90" s="588"/>
      <c r="BQ90" s="264" t="s">
        <v>708</v>
      </c>
      <c r="BR90" s="263" t="str">
        <f>'Fac Conv'!$G$18</f>
        <v>Plásticos y resinas</v>
      </c>
      <c r="BS90" s="263">
        <f>VLOOKUP(BR90,'Fac Conv'!$G$10:$K$25,2,FALSE)</f>
        <v>0.6</v>
      </c>
      <c r="BT90" s="263">
        <f>VLOOKUP(BR90,'Fac Conv'!$G$10:$K$25,4,FALSE)</f>
        <v>1.2</v>
      </c>
    </row>
    <row r="91" spans="2:72" ht="13.9" customHeight="1">
      <c r="B91" s="766"/>
      <c r="C91" s="91" t="str">
        <f>'IB 5D2-(MYPE_I)(Pesca_A)_2021'!D119</f>
        <v>Resina Pet para Envases (Consumo de)</v>
      </c>
      <c r="D91" s="92" t="str">
        <f>'IB 5D2-(MYPE_I)(Pesca_A)_2021'!E119</f>
        <v>KG</v>
      </c>
      <c r="E91" s="588"/>
      <c r="F91" s="588"/>
      <c r="G91" s="677" t="str">
        <f>'IB 5D2-(MYPE_I)(Pesca_A)_2021'!F119</f>
        <v>(no reporta)</v>
      </c>
      <c r="H91" s="588"/>
      <c r="I91" s="576" t="str">
        <f>'IB 5D2-(MYPE_I)(Pesca_A)_2021'!G119</f>
        <v>(no reporta)</v>
      </c>
      <c r="J91" s="588"/>
      <c r="K91" s="576" t="str">
        <f>'IB 5D2-(MYPE_I)(Pesca_A)_2021'!H119</f>
        <v>(no reporta)</v>
      </c>
      <c r="L91" s="588"/>
      <c r="M91" s="587">
        <f>'IB 5D2-(MYPE_I)(Pesca_A)_2021'!I119</f>
        <v>625104</v>
      </c>
      <c r="N91" s="588"/>
      <c r="O91" s="587">
        <f>'IB 5D2-(MYPE_I)(Pesca_A)_2021'!J119</f>
        <v>4129306.628</v>
      </c>
      <c r="P91" s="588"/>
      <c r="Q91" s="587">
        <f>'IB 5D2-(MYPE_I)(Pesca_A)_2021'!K119</f>
        <v>5535932.5980000002</v>
      </c>
      <c r="R91" s="588"/>
      <c r="S91" s="587">
        <f>'IB 5D2-(MYPE_I)(Pesca_A)_2021'!L119</f>
        <v>9613339.0120000001</v>
      </c>
      <c r="T91" s="588"/>
      <c r="U91" s="587">
        <f>'IB 5D2-(MYPE_I)(Pesca_A)_2021'!M119</f>
        <v>23427948.011999998</v>
      </c>
      <c r="V91" s="588"/>
      <c r="W91" s="587">
        <f>'IB 5D2-(MYPE_I)(Pesca_A)_2021'!N119</f>
        <v>34675891.811999999</v>
      </c>
      <c r="X91" s="588"/>
      <c r="Y91" s="587">
        <f>'IB 5D2-(MYPE_I)(Pesca_A)_2021'!O119</f>
        <v>47401241.722000003</v>
      </c>
      <c r="Z91" s="588"/>
      <c r="AA91" s="587">
        <f>'IB 5D2-(MYPE_I)(Pesca_A)_2021'!P119</f>
        <v>55223228.667000003</v>
      </c>
      <c r="AB91" s="588"/>
      <c r="AC91" s="587">
        <f>'IB 5D2-(MYPE_I)(Pesca_A)_2021'!Q119</f>
        <v>59105273.200000003</v>
      </c>
      <c r="AD91" s="588"/>
      <c r="AE91" s="587">
        <f>'IB 5D2-(MYPE_I)(Pesca_A)_2021'!R119</f>
        <v>64021878.600000001</v>
      </c>
      <c r="AF91" s="588"/>
      <c r="AG91" s="587">
        <f>'IB 5D2-(MYPE_I)(Pesca_A)_2021'!S119</f>
        <v>67239056.299999997</v>
      </c>
      <c r="AH91" s="588"/>
      <c r="AI91" s="587">
        <f>'IB 5D2-(MYPE_I)(Pesca_A)_2021'!T119</f>
        <v>70097262</v>
      </c>
      <c r="AJ91" s="588"/>
      <c r="AK91" s="587">
        <f>'IB 5D2-(MYPE_I)(Pesca_A)_2021'!U119</f>
        <v>76296977.200000003</v>
      </c>
      <c r="AL91" s="588"/>
      <c r="AM91" s="587">
        <f>'IB 5D2-(MYPE_I)(Pesca_A)_2021'!V119</f>
        <v>77880668</v>
      </c>
      <c r="AN91" s="588"/>
      <c r="AO91" s="587">
        <f>'IB 5D2-(MYPE_I)(Pesca_A)_2021'!W119</f>
        <v>78815112.400000006</v>
      </c>
      <c r="AP91" s="588"/>
      <c r="AQ91" s="587">
        <f>'IB 5D2-(MYPE_I)(Pesca_A)_2021'!X119</f>
        <v>84830154.099999994</v>
      </c>
      <c r="AR91" s="588"/>
      <c r="AS91" s="587">
        <f>'IB 5D2-(MYPE_I)(Pesca_A)_2021'!Y119</f>
        <v>87963680.700000003</v>
      </c>
      <c r="AT91" s="588"/>
      <c r="AU91" s="587" t="str">
        <f>'IB 5D2-(MYPE_I)(Pesca_A)_2021'!Z119</f>
        <v>(no reporta)</v>
      </c>
      <c r="AV91" s="588"/>
      <c r="AW91" s="576" t="str">
        <f>'IB 5D2-(MYPE_I)(Pesca_A)_2021'!AA119</f>
        <v>(no reporta)</v>
      </c>
      <c r="AX91" s="588"/>
      <c r="AY91" s="576" t="str">
        <f>'IB 5D2-(MYPE_I)(Pesca_A)_2021'!AB119</f>
        <v>(no reporta)</v>
      </c>
      <c r="AZ91" s="588"/>
      <c r="BA91" s="576" t="str">
        <f>'IB 5D2-(MYPE_I)(Pesca_A)_2021'!AC119</f>
        <v>(no reporta)</v>
      </c>
      <c r="BB91" s="588"/>
      <c r="BC91" s="576" t="str">
        <f>'IB 5D2-(MYPE_I)(Pesca_A)_2021'!AD119</f>
        <v>(no reporta)</v>
      </c>
      <c r="BD91" s="588"/>
      <c r="BE91" s="576" t="str">
        <f>'IB 5D2-(MYPE_I)(Pesca_A)_2021'!AE119</f>
        <v>(no reporta)</v>
      </c>
      <c r="BF91" s="588"/>
      <c r="BG91" s="624" t="str">
        <f>'IB 5D2-(MYPE_I)(Pesca_A)_2021'!AF119</f>
        <v>(no reporta)</v>
      </c>
      <c r="BH91" s="588"/>
      <c r="BI91" s="576" t="str">
        <f>'IB 5D2-(MYPE_I)(Pesca_A)_2021'!AG119</f>
        <v>(no reporta)</v>
      </c>
      <c r="BJ91" s="588"/>
      <c r="BK91" s="587" t="str">
        <f>'IB 5D2-(MYPE_I)(Pesca_A)_2021'!AH119</f>
        <v>(no reporta)</v>
      </c>
      <c r="BL91" s="588"/>
      <c r="BM91" s="587" t="str">
        <f>'IB 5D2-(MYPE_I)(Pesca_A)_2021'!AI119</f>
        <v>(no reporta)</v>
      </c>
      <c r="BN91" s="588"/>
      <c r="BO91" s="587" t="str">
        <f>'IB 5D2-(MYPE_I)(Pesca_A)_2021'!AJ119</f>
        <v>(no reporta)</v>
      </c>
      <c r="BP91" s="588"/>
      <c r="BQ91" s="264" t="s">
        <v>708</v>
      </c>
      <c r="BR91" s="263" t="str">
        <f>'Fac Conv'!$G$18</f>
        <v>Plásticos y resinas</v>
      </c>
      <c r="BS91" s="263">
        <f>VLOOKUP(BR91,'Fac Conv'!$G$10:$K$25,2,FALSE)</f>
        <v>0.6</v>
      </c>
      <c r="BT91" s="263">
        <f>VLOOKUP(BR91,'Fac Conv'!$G$10:$K$25,4,FALSE)</f>
        <v>1.2</v>
      </c>
    </row>
    <row r="92" spans="2:72" ht="13.9" customHeight="1">
      <c r="B92" s="767"/>
      <c r="C92" s="96" t="str">
        <f>'IB 5D2-(MYPE_I)(Pesca_A)_2021'!D120</f>
        <v>sulfato tribásico de plomo (Consumo de)</v>
      </c>
      <c r="D92" s="97" t="str">
        <f>'IB 5D2-(MYPE_I)(Pesca_A)_2021'!E120</f>
        <v>KG</v>
      </c>
      <c r="E92" s="588"/>
      <c r="F92" s="588"/>
      <c r="G92" s="678" t="str">
        <f>'IB 5D2-(MYPE_I)(Pesca_A)_2021'!F120</f>
        <v>(no reporta)</v>
      </c>
      <c r="H92" s="588"/>
      <c r="I92" s="577" t="str">
        <f>'IB 5D2-(MYPE_I)(Pesca_A)_2021'!G120</f>
        <v>(no reporta)</v>
      </c>
      <c r="J92" s="588"/>
      <c r="K92" s="577" t="str">
        <f>'IB 5D2-(MYPE_I)(Pesca_A)_2021'!H120</f>
        <v>(no reporta)</v>
      </c>
      <c r="L92" s="588"/>
      <c r="M92" s="594">
        <f>'IB 5D2-(MYPE_I)(Pesca_A)_2021'!I120</f>
        <v>130529.64</v>
      </c>
      <c r="N92" s="588"/>
      <c r="O92" s="594">
        <f>'IB 5D2-(MYPE_I)(Pesca_A)_2021'!J120</f>
        <v>142822</v>
      </c>
      <c r="P92" s="588"/>
      <c r="Q92" s="594">
        <f>'IB 5D2-(MYPE_I)(Pesca_A)_2021'!K120</f>
        <v>104856.23</v>
      </c>
      <c r="R92" s="588"/>
      <c r="S92" s="594">
        <f>'IB 5D2-(MYPE_I)(Pesca_A)_2021'!L120</f>
        <v>74977.539999999994</v>
      </c>
      <c r="T92" s="588"/>
      <c r="U92" s="594">
        <f>'IB 5D2-(MYPE_I)(Pesca_A)_2021'!M120</f>
        <v>59367.040000000001</v>
      </c>
      <c r="V92" s="588"/>
      <c r="W92" s="594">
        <f>'IB 5D2-(MYPE_I)(Pesca_A)_2021'!N120</f>
        <v>20368</v>
      </c>
      <c r="X92" s="588"/>
      <c r="Y92" s="594">
        <f>'IB 5D2-(MYPE_I)(Pesca_A)_2021'!O120</f>
        <v>19264.5</v>
      </c>
      <c r="Z92" s="588"/>
      <c r="AA92" s="594">
        <f>'IB 5D2-(MYPE_I)(Pesca_A)_2021'!P120</f>
        <v>25016.452000000001</v>
      </c>
      <c r="AB92" s="588"/>
      <c r="AC92" s="594" t="str">
        <f>'IB 5D2-(MYPE_I)(Pesca_A)_2021'!Q120</f>
        <v>(no reporta)</v>
      </c>
      <c r="AD92" s="588"/>
      <c r="AE92" s="594" t="str">
        <f>'IB 5D2-(MYPE_I)(Pesca_A)_2021'!R120</f>
        <v>(no reporta)</v>
      </c>
      <c r="AF92" s="588"/>
      <c r="AG92" s="594" t="str">
        <f>'IB 5D2-(MYPE_I)(Pesca_A)_2021'!S120</f>
        <v>(no reporta)</v>
      </c>
      <c r="AH92" s="588"/>
      <c r="AI92" s="594" t="str">
        <f>'IB 5D2-(MYPE_I)(Pesca_A)_2021'!T120</f>
        <v>(no reporta)</v>
      </c>
      <c r="AJ92" s="588"/>
      <c r="AK92" s="594" t="str">
        <f>'IB 5D2-(MYPE_I)(Pesca_A)_2021'!U120</f>
        <v>(no reporta)</v>
      </c>
      <c r="AL92" s="588"/>
      <c r="AM92" s="594" t="str">
        <f>'IB 5D2-(MYPE_I)(Pesca_A)_2021'!V120</f>
        <v>(no reporta)</v>
      </c>
      <c r="AN92" s="588"/>
      <c r="AO92" s="594" t="str">
        <f>'IB 5D2-(MYPE_I)(Pesca_A)_2021'!W120</f>
        <v>(no reporta)</v>
      </c>
      <c r="AP92" s="588"/>
      <c r="AQ92" s="594" t="str">
        <f>'IB 5D2-(MYPE_I)(Pesca_A)_2021'!X120</f>
        <v>(no reporta)</v>
      </c>
      <c r="AR92" s="588"/>
      <c r="AS92" s="594" t="str">
        <f>'IB 5D2-(MYPE_I)(Pesca_A)_2021'!Y120</f>
        <v>(no reporta)</v>
      </c>
      <c r="AT92" s="588"/>
      <c r="AU92" s="594" t="str">
        <f>'IB 5D2-(MYPE_I)(Pesca_A)_2021'!Z120</f>
        <v>(no reporta)</v>
      </c>
      <c r="AV92" s="588"/>
      <c r="AW92" s="577" t="str">
        <f>'IB 5D2-(MYPE_I)(Pesca_A)_2021'!AA120</f>
        <v>(no reporta)</v>
      </c>
      <c r="AX92" s="588"/>
      <c r="AY92" s="577" t="str">
        <f>'IB 5D2-(MYPE_I)(Pesca_A)_2021'!AB120</f>
        <v>(no reporta)</v>
      </c>
      <c r="AZ92" s="588"/>
      <c r="BA92" s="577" t="str">
        <f>'IB 5D2-(MYPE_I)(Pesca_A)_2021'!AC120</f>
        <v>(no reporta)</v>
      </c>
      <c r="BB92" s="588"/>
      <c r="BC92" s="577" t="str">
        <f>'IB 5D2-(MYPE_I)(Pesca_A)_2021'!AD120</f>
        <v>(no reporta)</v>
      </c>
      <c r="BD92" s="588"/>
      <c r="BE92" s="577" t="str">
        <f>'IB 5D2-(MYPE_I)(Pesca_A)_2021'!AE120</f>
        <v>(no reporta)</v>
      </c>
      <c r="BF92" s="588"/>
      <c r="BG92" s="624" t="str">
        <f>'IB 5D2-(MYPE_I)(Pesca_A)_2021'!AF120</f>
        <v>(no reporta)</v>
      </c>
      <c r="BH92" s="588"/>
      <c r="BI92" s="577" t="str">
        <f>'IB 5D2-(MYPE_I)(Pesca_A)_2021'!AG120</f>
        <v>(no reporta)</v>
      </c>
      <c r="BJ92" s="588"/>
      <c r="BK92" s="594" t="str">
        <f>'IB 5D2-(MYPE_I)(Pesca_A)_2021'!AH120</f>
        <v>(no reporta)</v>
      </c>
      <c r="BL92" s="588"/>
      <c r="BM92" s="594" t="str">
        <f>'IB 5D2-(MYPE_I)(Pesca_A)_2021'!AI120</f>
        <v>(no reporta)</v>
      </c>
      <c r="BN92" s="588"/>
      <c r="BO92" s="594" t="str">
        <f>'IB 5D2-(MYPE_I)(Pesca_A)_2021'!AJ120</f>
        <v>(no reporta)</v>
      </c>
      <c r="BP92" s="588"/>
      <c r="BQ92" s="264" t="s">
        <v>708</v>
      </c>
      <c r="BR92" s="263" t="str">
        <f>'Fac Conv'!$G$18</f>
        <v>Plásticos y resinas</v>
      </c>
      <c r="BS92" s="263">
        <f>VLOOKUP(BR92,'Fac Conv'!$G$10:$K$25,2,FALSE)</f>
        <v>0.6</v>
      </c>
      <c r="BT92" s="263">
        <f>VLOOKUP(BR92,'Fac Conv'!$G$10:$K$25,4,FALSE)</f>
        <v>1.2</v>
      </c>
    </row>
    <row r="93" spans="2:72" s="12" customFormat="1" ht="27.75" customHeight="1">
      <c r="B93" s="765" t="s">
        <v>288</v>
      </c>
      <c r="C93" s="625" t="str">
        <f>'IB 5D2-(MYPE_I)(Pesca_A)_2021'!D137</f>
        <v>Producción de Enlatado (también como transformación de la pesca marítima para enlatado)</v>
      </c>
      <c r="D93" s="626" t="str">
        <f>'IB 5D2-(MYPE_I)(Pesca_A)_2021'!E137</f>
        <v>ML.TM/'TM</v>
      </c>
      <c r="E93" s="671">
        <f>$H$93</f>
        <v>34500</v>
      </c>
      <c r="F93" s="671">
        <f>$H$93</f>
        <v>34500</v>
      </c>
      <c r="G93" s="681">
        <f>'IB 5D2-(MYPE_I)(Pesca_A)_2021'!F137</f>
        <v>34.5</v>
      </c>
      <c r="H93" s="655">
        <f>G93*'Fac Conv'!$C$126</f>
        <v>34500</v>
      </c>
      <c r="I93" s="627">
        <f>'IB 5D2-(MYPE_I)(Pesca_A)_2021'!G137</f>
        <v>35.700000000000003</v>
      </c>
      <c r="J93" s="655">
        <f>I93*'Fac Conv'!$C$126</f>
        <v>35700</v>
      </c>
      <c r="K93" s="627">
        <f>'IB 5D2-(MYPE_I)(Pesca_A)_2021'!H137</f>
        <v>49.7</v>
      </c>
      <c r="L93" s="655">
        <f>K93*'Fac Conv'!$C$126</f>
        <v>49700</v>
      </c>
      <c r="M93" s="627">
        <f>'IB 5D2-(MYPE_I)(Pesca_A)_2021'!I137</f>
        <v>57.4</v>
      </c>
      <c r="N93" s="655">
        <f>M93*'Fac Conv'!$C$126</f>
        <v>57400</v>
      </c>
      <c r="O93" s="627">
        <f>'IB 5D2-(MYPE_I)(Pesca_A)_2021'!J137</f>
        <v>59.415999999999997</v>
      </c>
      <c r="P93" s="655">
        <f>O93*'Fac Conv'!$C$126</f>
        <v>59416</v>
      </c>
      <c r="Q93" s="627">
        <f>'IB 5D2-(MYPE_I)(Pesca_A)_2021'!K137</f>
        <v>124.849</v>
      </c>
      <c r="R93" s="655">
        <f>Q93*'Fac Conv'!$C$126</f>
        <v>124849</v>
      </c>
      <c r="S93" s="627">
        <f>'IB 5D2-(MYPE_I)(Pesca_A)_2021'!L137</f>
        <v>54.527000000000001</v>
      </c>
      <c r="T93" s="655">
        <f>S93*'Fac Conv'!$C$126</f>
        <v>54527</v>
      </c>
      <c r="U93" s="627">
        <f>'IB 5D2-(MYPE_I)(Pesca_A)_2021'!M137</f>
        <v>63.622999999999998</v>
      </c>
      <c r="V93" s="655">
        <f>U93*'Fac Conv'!$C$126</f>
        <v>63623</v>
      </c>
      <c r="W93" s="627">
        <f>'IB 5D2-(MYPE_I)(Pesca_A)_2021'!N137</f>
        <v>77.228999999999999</v>
      </c>
      <c r="X93" s="655">
        <f>W93*'Fac Conv'!$C$126</f>
        <v>77229</v>
      </c>
      <c r="Y93" s="627">
        <f>'IB 5D2-(MYPE_I)(Pesca_A)_2021'!O137</f>
        <v>81.55</v>
      </c>
      <c r="Z93" s="655">
        <f>Y93*'Fac Conv'!$C$126</f>
        <v>81550</v>
      </c>
      <c r="AA93" s="627">
        <f>'IB 5D2-(MYPE_I)(Pesca_A)_2021'!P137</f>
        <v>35.328000000000003</v>
      </c>
      <c r="AB93" s="655">
        <f>AA93*'Fac Conv'!$C$126</f>
        <v>35328</v>
      </c>
      <c r="AC93" s="627">
        <f>'IB 5D2-(MYPE_I)(Pesca_A)_2021'!Q137</f>
        <v>91578</v>
      </c>
      <c r="AD93" s="655">
        <f>AC93</f>
        <v>91578</v>
      </c>
      <c r="AE93" s="627">
        <f>'IB 5D2-(MYPE_I)(Pesca_A)_2021'!R137</f>
        <v>45360</v>
      </c>
      <c r="AF93" s="655">
        <f>AE93</f>
        <v>45360</v>
      </c>
      <c r="AG93" s="627">
        <f>'IB 5D2-(MYPE_I)(Pesca_A)_2021'!S137</f>
        <v>55502</v>
      </c>
      <c r="AH93" s="655">
        <f>AG93</f>
        <v>55502</v>
      </c>
      <c r="AI93" s="627">
        <f>'IB 5D2-(MYPE_I)(Pesca_A)_2021'!T137</f>
        <v>107411</v>
      </c>
      <c r="AJ93" s="655">
        <f>AI93</f>
        <v>107411</v>
      </c>
      <c r="AK93" s="627">
        <f>'IB 5D2-(MYPE_I)(Pesca_A)_2021'!U137</f>
        <v>84140</v>
      </c>
      <c r="AL93" s="655">
        <f>AK93</f>
        <v>84140</v>
      </c>
      <c r="AM93" s="627">
        <f>'IB 5D2-(MYPE_I)(Pesca_A)_2021'!V137</f>
        <v>105165</v>
      </c>
      <c r="AN93" s="655">
        <f>AM93</f>
        <v>105165</v>
      </c>
      <c r="AO93" s="627">
        <f>'IB 5D2-(MYPE_I)(Pesca_A)_2021'!W137</f>
        <v>89157</v>
      </c>
      <c r="AP93" s="655">
        <f>AO93</f>
        <v>89157</v>
      </c>
      <c r="AQ93" s="627">
        <f>'IB 5D2-(MYPE_I)(Pesca_A)_2021'!X137</f>
        <v>77799</v>
      </c>
      <c r="AR93" s="655">
        <f>AQ93</f>
        <v>77799</v>
      </c>
      <c r="AS93" s="627">
        <f>'IB 5D2-(MYPE_I)(Pesca_A)_2021'!Y137</f>
        <v>126659</v>
      </c>
      <c r="AT93" s="655">
        <f>AS93</f>
        <v>126659</v>
      </c>
      <c r="AU93" s="627">
        <f>'IB 5D2-(MYPE_I)(Pesca_A)_2021'!Z137</f>
        <v>70487</v>
      </c>
      <c r="AV93" s="655">
        <f>AU93</f>
        <v>70487</v>
      </c>
      <c r="AW93" s="627">
        <f>'IB 5D2-(MYPE_I)(Pesca_A)_2021'!AA137</f>
        <v>76406</v>
      </c>
      <c r="AX93" s="655">
        <f>AW93</f>
        <v>76406</v>
      </c>
      <c r="AY93" s="627">
        <f>'IB 5D2-(MYPE_I)(Pesca_A)_2021'!AB137</f>
        <v>56622</v>
      </c>
      <c r="AZ93" s="655">
        <f>AY93</f>
        <v>56622</v>
      </c>
      <c r="BA93" s="627">
        <f>'IB 5D2-(MYPE_I)(Pesca_A)_2021'!AC137</f>
        <v>57837</v>
      </c>
      <c r="BB93" s="655">
        <f>BA93</f>
        <v>57837</v>
      </c>
      <c r="BC93" s="627">
        <f>'IB 5D2-(MYPE_I)(Pesca_A)_2021'!AD137</f>
        <v>63788</v>
      </c>
      <c r="BD93" s="655">
        <f>BC93</f>
        <v>63788</v>
      </c>
      <c r="BE93" s="627">
        <f>'IB 5D2-(MYPE_I)(Pesca_A)_2021'!AE137</f>
        <v>57227</v>
      </c>
      <c r="BF93" s="655">
        <f>BE93</f>
        <v>57227</v>
      </c>
      <c r="BG93" s="627">
        <f>'IB 5D2-(MYPE_I)(Pesca_A)_2021'!AF137</f>
        <v>64622</v>
      </c>
      <c r="BH93" s="655">
        <f>BG93</f>
        <v>64622</v>
      </c>
      <c r="BI93" s="627">
        <f>'IB 5D2-(MYPE_I)(Pesca_A)_2021'!AG137</f>
        <v>84990</v>
      </c>
      <c r="BJ93" s="655">
        <f>BI93</f>
        <v>84990</v>
      </c>
      <c r="BK93" s="628">
        <f>'IB 5D2-(MYPE_I)(Pesca_A)_2021'!AH137</f>
        <v>100362</v>
      </c>
      <c r="BL93" s="629">
        <f>BK93</f>
        <v>100362</v>
      </c>
      <c r="BM93" s="628">
        <f>'IB 5D2-(MYPE_I)(Pesca_A)_2021'!AI137</f>
        <v>98203</v>
      </c>
      <c r="BN93" s="629">
        <f>BM93</f>
        <v>98203</v>
      </c>
      <c r="BO93" s="630">
        <f>'IB 5D2-(MYPE_I)(Pesca_A)_2021'!AJ137</f>
        <v>97488</v>
      </c>
      <c r="BP93" s="629">
        <f>BO93</f>
        <v>97488</v>
      </c>
      <c r="BQ93" s="631"/>
      <c r="BR93" s="632" t="str">
        <f>'Fac Conv'!$G$14</f>
        <v>Elaboración de pescado</v>
      </c>
      <c r="BS93" s="632">
        <f>(8+18)/2</f>
        <v>13</v>
      </c>
      <c r="BT93" s="632">
        <f>VLOOKUP(BR93,'Fac Conv'!$G$10:$K$25,4,FALSE)</f>
        <v>18</v>
      </c>
    </row>
    <row r="94" spans="2:72" s="12" customFormat="1" ht="26.25" customHeight="1">
      <c r="B94" s="766"/>
      <c r="C94" s="633" t="str">
        <f>'IB 5D2-(MYPE_I)(Pesca_A)_2021'!D138</f>
        <v>Producción de Congelado (también como transformación de la pesca marítima para congelado)</v>
      </c>
      <c r="D94" s="634" t="str">
        <f>'IB 5D2-(MYPE_I)(Pesca_A)_2021'!E138</f>
        <v>ML.TM/TM</v>
      </c>
      <c r="E94" s="672">
        <f>$H$94</f>
        <v>90500</v>
      </c>
      <c r="F94" s="672">
        <f>$H$94</f>
        <v>90500</v>
      </c>
      <c r="G94" s="682">
        <f>'IB 5D2-(MYPE_I)(Pesca_A)_2021'!F138</f>
        <v>90.5</v>
      </c>
      <c r="H94" s="657">
        <f>G94*'Fac Conv'!$C$126</f>
        <v>90500</v>
      </c>
      <c r="I94" s="656">
        <f>'IB 5D2-(MYPE_I)(Pesca_A)_2021'!G138</f>
        <v>134.80000000000001</v>
      </c>
      <c r="J94" s="657">
        <f>I94*'Fac Conv'!$C$126</f>
        <v>134800</v>
      </c>
      <c r="K94" s="656">
        <f>'IB 5D2-(MYPE_I)(Pesca_A)_2021'!H138</f>
        <v>171.8</v>
      </c>
      <c r="L94" s="657">
        <f>K94*'Fac Conv'!$C$126</f>
        <v>171800</v>
      </c>
      <c r="M94" s="656">
        <f>'IB 5D2-(MYPE_I)(Pesca_A)_2021'!I138</f>
        <v>128.6</v>
      </c>
      <c r="N94" s="657">
        <f>M94*'Fac Conv'!$C$126</f>
        <v>128600</v>
      </c>
      <c r="O94" s="656">
        <f>'IB 5D2-(MYPE_I)(Pesca_A)_2021'!J138</f>
        <v>84.132999999999996</v>
      </c>
      <c r="P94" s="657">
        <f>O94*'Fac Conv'!$C$126</f>
        <v>84133</v>
      </c>
      <c r="Q94" s="656">
        <f>'IB 5D2-(MYPE_I)(Pesca_A)_2021'!K138</f>
        <v>80.600999999999999</v>
      </c>
      <c r="R94" s="657">
        <f>Q94*'Fac Conv'!$C$126</f>
        <v>80601</v>
      </c>
      <c r="S94" s="656">
        <f>'IB 5D2-(MYPE_I)(Pesca_A)_2021'!L138</f>
        <v>49.061</v>
      </c>
      <c r="T94" s="657">
        <f>S94*'Fac Conv'!$C$126</f>
        <v>49061</v>
      </c>
      <c r="U94" s="656">
        <f>'IB 5D2-(MYPE_I)(Pesca_A)_2021'!M138</f>
        <v>48.429000000000002</v>
      </c>
      <c r="V94" s="657">
        <f>U94*'Fac Conv'!$C$126</f>
        <v>48429</v>
      </c>
      <c r="W94" s="656">
        <f>'IB 5D2-(MYPE_I)(Pesca_A)_2021'!N138</f>
        <v>62.96</v>
      </c>
      <c r="X94" s="657">
        <f>W94*'Fac Conv'!$C$126</f>
        <v>62960</v>
      </c>
      <c r="Y94" s="656">
        <f>'IB 5D2-(MYPE_I)(Pesca_A)_2021'!O138</f>
        <v>83.313000000000002</v>
      </c>
      <c r="Z94" s="657">
        <f>Y94*'Fac Conv'!$C$126</f>
        <v>83313</v>
      </c>
      <c r="AA94" s="656">
        <f>'IB 5D2-(MYPE_I)(Pesca_A)_2021'!P138</f>
        <v>85.69</v>
      </c>
      <c r="AB94" s="657">
        <f>AA94*'Fac Conv'!$C$126</f>
        <v>85690</v>
      </c>
      <c r="AC94" s="656">
        <f>'IB 5D2-(MYPE_I)(Pesca_A)_2021'!Q138</f>
        <v>99383</v>
      </c>
      <c r="AD94" s="657">
        <f t="shared" ref="AD94:AF97" si="149">AC94</f>
        <v>99383</v>
      </c>
      <c r="AE94" s="656">
        <f>'IB 5D2-(MYPE_I)(Pesca_A)_2021'!R138</f>
        <v>143624</v>
      </c>
      <c r="AF94" s="657">
        <f t="shared" si="149"/>
        <v>143624</v>
      </c>
      <c r="AG94" s="656">
        <f>'IB 5D2-(MYPE_I)(Pesca_A)_2021'!S138</f>
        <v>144831</v>
      </c>
      <c r="AH94" s="657">
        <f t="shared" ref="AH94" si="150">AG94</f>
        <v>144831</v>
      </c>
      <c r="AI94" s="656">
        <f>'IB 5D2-(MYPE_I)(Pesca_A)_2021'!T138</f>
        <v>227656</v>
      </c>
      <c r="AJ94" s="657">
        <f t="shared" ref="AJ94" si="151">AI94</f>
        <v>227656</v>
      </c>
      <c r="AK94" s="656">
        <f>'IB 5D2-(MYPE_I)(Pesca_A)_2021'!U138</f>
        <v>269018</v>
      </c>
      <c r="AL94" s="657">
        <f t="shared" ref="AL94" si="152">AK94</f>
        <v>269018</v>
      </c>
      <c r="AM94" s="656">
        <f>'IB 5D2-(MYPE_I)(Pesca_A)_2021'!V138</f>
        <v>312287</v>
      </c>
      <c r="AN94" s="657">
        <f t="shared" ref="AN94" si="153">AM94</f>
        <v>312287</v>
      </c>
      <c r="AO94" s="656">
        <f>'IB 5D2-(MYPE_I)(Pesca_A)_2021'!W138</f>
        <v>254917</v>
      </c>
      <c r="AP94" s="657">
        <f t="shared" ref="AP94" si="154">AO94</f>
        <v>254917</v>
      </c>
      <c r="AQ94" s="656">
        <f>'IB 5D2-(MYPE_I)(Pesca_A)_2021'!X138</f>
        <v>222146</v>
      </c>
      <c r="AR94" s="657">
        <f t="shared" ref="AR94" si="155">AQ94</f>
        <v>222146</v>
      </c>
      <c r="AS94" s="656">
        <f>'IB 5D2-(MYPE_I)(Pesca_A)_2021'!Y138</f>
        <v>357668</v>
      </c>
      <c r="AT94" s="657">
        <f t="shared" ref="AT94" si="156">AS94</f>
        <v>357668</v>
      </c>
      <c r="AU94" s="656">
        <f>'IB 5D2-(MYPE_I)(Pesca_A)_2021'!Z138</f>
        <v>381442</v>
      </c>
      <c r="AV94" s="657">
        <f t="shared" ref="AV94" si="157">AU94</f>
        <v>381442</v>
      </c>
      <c r="AW94" s="656">
        <f>'IB 5D2-(MYPE_I)(Pesca_A)_2021'!AA138</f>
        <v>342849</v>
      </c>
      <c r="AX94" s="657">
        <f t="shared" ref="AX94:AZ94" si="158">AW94</f>
        <v>342849</v>
      </c>
      <c r="AY94" s="656">
        <f>'IB 5D2-(MYPE_I)(Pesca_A)_2021'!AB138</f>
        <v>391582</v>
      </c>
      <c r="AZ94" s="657">
        <f t="shared" si="158"/>
        <v>391582</v>
      </c>
      <c r="BA94" s="656">
        <f>'IB 5D2-(MYPE_I)(Pesca_A)_2021'!AC138</f>
        <v>333178</v>
      </c>
      <c r="BB94" s="657">
        <f t="shared" ref="BB94" si="159">BA94</f>
        <v>333178</v>
      </c>
      <c r="BC94" s="656">
        <f>'IB 5D2-(MYPE_I)(Pesca_A)_2021'!AD138</f>
        <v>275244</v>
      </c>
      <c r="BD94" s="657">
        <f t="shared" ref="BD94" si="160">BC94</f>
        <v>275244</v>
      </c>
      <c r="BE94" s="656">
        <f>'IB 5D2-(MYPE_I)(Pesca_A)_2021'!AE138</f>
        <v>279717</v>
      </c>
      <c r="BF94" s="657">
        <f t="shared" ref="BF94" si="161">BE94</f>
        <v>279717</v>
      </c>
      <c r="BG94" s="656">
        <f>'IB 5D2-(MYPE_I)(Pesca_A)_2021'!AF138</f>
        <v>319116</v>
      </c>
      <c r="BH94" s="657">
        <f t="shared" ref="BH94" si="162">BG94</f>
        <v>319116</v>
      </c>
      <c r="BI94" s="656">
        <f>'IB 5D2-(MYPE_I)(Pesca_A)_2021'!AG138</f>
        <v>479679</v>
      </c>
      <c r="BJ94" s="657">
        <f t="shared" ref="BJ94" si="163">BI94</f>
        <v>479679</v>
      </c>
      <c r="BK94" s="635">
        <f>'IB 5D2-(MYPE_I)(Pesca_A)_2021'!AH138</f>
        <v>453492</v>
      </c>
      <c r="BL94" s="636">
        <f>BK94</f>
        <v>453492</v>
      </c>
      <c r="BM94" s="635">
        <f>'IB 5D2-(MYPE_I)(Pesca_A)_2021'!AI138</f>
        <v>486507</v>
      </c>
      <c r="BN94" s="636">
        <f>BM94</f>
        <v>486507</v>
      </c>
      <c r="BO94" s="637">
        <f>'IB 5D2-(MYPE_I)(Pesca_A)_2021'!AJ138</f>
        <v>450492</v>
      </c>
      <c r="BP94" s="636">
        <f>BO94</f>
        <v>450492</v>
      </c>
      <c r="BQ94" s="631"/>
      <c r="BR94" s="632" t="str">
        <f>'Fac Conv'!$G$14</f>
        <v>Elaboración de pescado</v>
      </c>
      <c r="BS94" s="632">
        <f>(8+18)/2</f>
        <v>13</v>
      </c>
      <c r="BT94" s="632">
        <f>VLOOKUP(BR94,'Fac Conv'!$G$10:$K$25,4,FALSE)</f>
        <v>18</v>
      </c>
    </row>
    <row r="95" spans="2:72" s="12" customFormat="1" ht="27" customHeight="1">
      <c r="B95" s="766"/>
      <c r="C95" s="633" t="str">
        <f>'IB 5D2-(MYPE_I)(Pesca_A)_2021'!D139</f>
        <v>Producción de Curado (transformación de la pesca marítima para curado)</v>
      </c>
      <c r="D95" s="634" t="str">
        <f>'IB 5D2-(MYPE_I)(Pesca_A)_2021'!E139</f>
        <v>ML.TM/TM</v>
      </c>
      <c r="E95" s="672">
        <f>$H$95</f>
        <v>5300</v>
      </c>
      <c r="F95" s="672">
        <f>$H$95</f>
        <v>5300</v>
      </c>
      <c r="G95" s="682">
        <f>'IB 5D2-(MYPE_I)(Pesca_A)_2021'!F139</f>
        <v>5.3</v>
      </c>
      <c r="H95" s="657">
        <f>G95*'Fac Conv'!$C$126</f>
        <v>5300</v>
      </c>
      <c r="I95" s="656">
        <f>'IB 5D2-(MYPE_I)(Pesca_A)_2021'!G139</f>
        <v>7.7</v>
      </c>
      <c r="J95" s="657">
        <f>I95*'Fac Conv'!$C$126</f>
        <v>7700</v>
      </c>
      <c r="K95" s="656">
        <f>'IB 5D2-(MYPE_I)(Pesca_A)_2021'!H139</f>
        <v>8.6999999999999993</v>
      </c>
      <c r="L95" s="657">
        <f>K95*'Fac Conv'!$C$126</f>
        <v>8700</v>
      </c>
      <c r="M95" s="656">
        <f>'IB 5D2-(MYPE_I)(Pesca_A)_2021'!I139</f>
        <v>12.6</v>
      </c>
      <c r="N95" s="657">
        <f>M95*'Fac Conv'!$C$126</f>
        <v>12600</v>
      </c>
      <c r="O95" s="656">
        <f>'IB 5D2-(MYPE_I)(Pesca_A)_2021'!J139</f>
        <v>14.877000000000001</v>
      </c>
      <c r="P95" s="657">
        <f>O95*'Fac Conv'!$C$126</f>
        <v>14877</v>
      </c>
      <c r="Q95" s="656">
        <f>'IB 5D2-(MYPE_I)(Pesca_A)_2021'!K139</f>
        <v>11.025</v>
      </c>
      <c r="R95" s="657">
        <f>Q95*'Fac Conv'!$C$126</f>
        <v>11025</v>
      </c>
      <c r="S95" s="656">
        <f>'IB 5D2-(MYPE_I)(Pesca_A)_2021'!L139</f>
        <v>9.3330000000000002</v>
      </c>
      <c r="T95" s="657">
        <f>S95*'Fac Conv'!$C$126</f>
        <v>9333</v>
      </c>
      <c r="U95" s="656">
        <f>'IB 5D2-(MYPE_I)(Pesca_A)_2021'!M139</f>
        <v>14.457000000000001</v>
      </c>
      <c r="V95" s="657">
        <f>U95*'Fac Conv'!$C$126</f>
        <v>14457</v>
      </c>
      <c r="W95" s="656">
        <f>'IB 5D2-(MYPE_I)(Pesca_A)_2021'!N139</f>
        <v>15.250999999999999</v>
      </c>
      <c r="X95" s="657">
        <f>W95*'Fac Conv'!$C$126</f>
        <v>15251</v>
      </c>
      <c r="Y95" s="656">
        <f>'IB 5D2-(MYPE_I)(Pesca_A)_2021'!O139</f>
        <v>20.038</v>
      </c>
      <c r="Z95" s="657">
        <f>Y95*'Fac Conv'!$C$126</f>
        <v>20038</v>
      </c>
      <c r="AA95" s="656">
        <f>'IB 5D2-(MYPE_I)(Pesca_A)_2021'!P139</f>
        <v>14.648999999999999</v>
      </c>
      <c r="AB95" s="657">
        <f>AA95*'Fac Conv'!$C$126</f>
        <v>14649</v>
      </c>
      <c r="AC95" s="656">
        <f>'IB 5D2-(MYPE_I)(Pesca_A)_2021'!Q139</f>
        <v>15596</v>
      </c>
      <c r="AD95" s="657">
        <f t="shared" si="149"/>
        <v>15596</v>
      </c>
      <c r="AE95" s="656">
        <f>'IB 5D2-(MYPE_I)(Pesca_A)_2021'!R139</f>
        <v>15023</v>
      </c>
      <c r="AF95" s="657">
        <f t="shared" si="149"/>
        <v>15023</v>
      </c>
      <c r="AG95" s="656">
        <f>'IB 5D2-(MYPE_I)(Pesca_A)_2021'!S139</f>
        <v>13692</v>
      </c>
      <c r="AH95" s="657">
        <f t="shared" ref="AH95" si="164">AG95</f>
        <v>13692</v>
      </c>
      <c r="AI95" s="656">
        <f>'IB 5D2-(MYPE_I)(Pesca_A)_2021'!T139</f>
        <v>15219</v>
      </c>
      <c r="AJ95" s="657">
        <f t="shared" ref="AJ95" si="165">AI95</f>
        <v>15219</v>
      </c>
      <c r="AK95" s="656">
        <f>'IB 5D2-(MYPE_I)(Pesca_A)_2021'!U139</f>
        <v>12103</v>
      </c>
      <c r="AL95" s="657">
        <f t="shared" ref="AL95" si="166">AK95</f>
        <v>12103</v>
      </c>
      <c r="AM95" s="656">
        <f>'IB 5D2-(MYPE_I)(Pesca_A)_2021'!V139</f>
        <v>13017</v>
      </c>
      <c r="AN95" s="657">
        <f t="shared" ref="AN95" si="167">AM95</f>
        <v>13017</v>
      </c>
      <c r="AO95" s="656">
        <f>'IB 5D2-(MYPE_I)(Pesca_A)_2021'!W139</f>
        <v>10169</v>
      </c>
      <c r="AP95" s="657">
        <f t="shared" ref="AP95" si="168">AO95</f>
        <v>10169</v>
      </c>
      <c r="AQ95" s="656">
        <f>'IB 5D2-(MYPE_I)(Pesca_A)_2021'!X139</f>
        <v>10719</v>
      </c>
      <c r="AR95" s="657">
        <f t="shared" ref="AR95" si="169">AQ95</f>
        <v>10719</v>
      </c>
      <c r="AS95" s="656">
        <f>'IB 5D2-(MYPE_I)(Pesca_A)_2021'!Y139</f>
        <v>8413</v>
      </c>
      <c r="AT95" s="657">
        <f t="shared" ref="AT95" si="170">AS95</f>
        <v>8413</v>
      </c>
      <c r="AU95" s="656">
        <f>'IB 5D2-(MYPE_I)(Pesca_A)_2021'!Z139</f>
        <v>8458</v>
      </c>
      <c r="AV95" s="657">
        <f t="shared" ref="AV95" si="171">AU95</f>
        <v>8458</v>
      </c>
      <c r="AW95" s="656">
        <f>'IB 5D2-(MYPE_I)(Pesca_A)_2021'!AA139</f>
        <v>23255</v>
      </c>
      <c r="AX95" s="657">
        <f t="shared" ref="AX95:AZ95" si="172">AW95</f>
        <v>23255</v>
      </c>
      <c r="AY95" s="656">
        <f>'IB 5D2-(MYPE_I)(Pesca_A)_2021'!AB139</f>
        <v>24723</v>
      </c>
      <c r="AZ95" s="657">
        <f t="shared" si="172"/>
        <v>24723</v>
      </c>
      <c r="BA95" s="656">
        <f>'IB 5D2-(MYPE_I)(Pesca_A)_2021'!AC139</f>
        <v>28221</v>
      </c>
      <c r="BB95" s="657">
        <f t="shared" ref="BB95" si="173">BA95</f>
        <v>28221</v>
      </c>
      <c r="BC95" s="656">
        <f>'IB 5D2-(MYPE_I)(Pesca_A)_2021'!AD139</f>
        <v>21002</v>
      </c>
      <c r="BD95" s="657">
        <f t="shared" ref="BD95" si="174">BC95</f>
        <v>21002</v>
      </c>
      <c r="BE95" s="656">
        <f>'IB 5D2-(MYPE_I)(Pesca_A)_2021'!AE139</f>
        <v>20951</v>
      </c>
      <c r="BF95" s="657">
        <f t="shared" ref="BF95" si="175">BE95</f>
        <v>20951</v>
      </c>
      <c r="BG95" s="656">
        <f>'IB 5D2-(MYPE_I)(Pesca_A)_2021'!AF139</f>
        <v>28169</v>
      </c>
      <c r="BH95" s="657">
        <f t="shared" ref="BH95" si="176">BG95</f>
        <v>28169</v>
      </c>
      <c r="BI95" s="656">
        <f>'IB 5D2-(MYPE_I)(Pesca_A)_2021'!AG139</f>
        <v>30946</v>
      </c>
      <c r="BJ95" s="657">
        <f t="shared" ref="BJ95" si="177">BI95</f>
        <v>30946</v>
      </c>
      <c r="BK95" s="635">
        <f>'IB 5D2-(MYPE_I)(Pesca_A)_2021'!AH139</f>
        <v>25856</v>
      </c>
      <c r="BL95" s="636">
        <f>BK95</f>
        <v>25856</v>
      </c>
      <c r="BM95" s="635">
        <f>'IB 5D2-(MYPE_I)(Pesca_A)_2021'!AI139</f>
        <v>37124</v>
      </c>
      <c r="BN95" s="636">
        <f>BM95</f>
        <v>37124</v>
      </c>
      <c r="BO95" s="637">
        <f>'IB 5D2-(MYPE_I)(Pesca_A)_2021'!AJ139</f>
        <v>34374</v>
      </c>
      <c r="BP95" s="636">
        <f>BO95</f>
        <v>34374</v>
      </c>
      <c r="BQ95" s="631"/>
      <c r="BR95" s="632" t="str">
        <f>'Fac Conv'!$G$14</f>
        <v>Elaboración de pescado</v>
      </c>
      <c r="BS95" s="632">
        <f>(8+18)/2</f>
        <v>13</v>
      </c>
      <c r="BT95" s="632">
        <f>VLOOKUP(BR95,'Fac Conv'!$G$10:$K$25,4,FALSE)</f>
        <v>18</v>
      </c>
    </row>
    <row r="96" spans="2:72" s="12" customFormat="1" ht="27" customHeight="1">
      <c r="B96" s="766"/>
      <c r="C96" s="633" t="str">
        <f>'IB 5D2-(MYPE_I)(Pesca_A)_2021'!D140</f>
        <v>Producción de Harina (también como transformación de la pesca marítima para harina de pescado)</v>
      </c>
      <c r="D96" s="634" t="str">
        <f>'IB 5D2-(MYPE_I)(Pesca_A)_2021'!E140</f>
        <v>ML.TM/TM</v>
      </c>
      <c r="E96" s="672">
        <f>$H$96</f>
        <v>1441800</v>
      </c>
      <c r="F96" s="672">
        <f>$H$96</f>
        <v>1441800</v>
      </c>
      <c r="G96" s="682">
        <f>'IB 5D2-(MYPE_I)(Pesca_A)_2021'!F140</f>
        <v>1441.8</v>
      </c>
      <c r="H96" s="657">
        <f>G96*'Fac Conv'!$C$126</f>
        <v>1441800</v>
      </c>
      <c r="I96" s="656">
        <f>'IB 5D2-(MYPE_I)(Pesca_A)_2021'!G140</f>
        <v>1768.8</v>
      </c>
      <c r="J96" s="657">
        <f>I96*'Fac Conv'!$C$126</f>
        <v>1768800</v>
      </c>
      <c r="K96" s="656">
        <f>'IB 5D2-(MYPE_I)(Pesca_A)_2021'!H140</f>
        <v>2417.1999999999998</v>
      </c>
      <c r="L96" s="657">
        <f>K96*'Fac Conv'!$C$126</f>
        <v>2417200</v>
      </c>
      <c r="M96" s="656">
        <f>'IB 5D2-(MYPE_I)(Pesca_A)_2021'!I140</f>
        <v>1789.2</v>
      </c>
      <c r="N96" s="657">
        <f>M96*'Fac Conv'!$C$126</f>
        <v>1789200</v>
      </c>
      <c r="O96" s="656">
        <f>'IB 5D2-(MYPE_I)(Pesca_A)_2021'!J140</f>
        <v>1924.953</v>
      </c>
      <c r="P96" s="657">
        <f>O96*'Fac Conv'!$C$126</f>
        <v>1924953</v>
      </c>
      <c r="Q96" s="656">
        <f>'IB 5D2-(MYPE_I)(Pesca_A)_2021'!K140</f>
        <v>1597.134</v>
      </c>
      <c r="R96" s="657">
        <f>Q96*'Fac Conv'!$C$126</f>
        <v>1597134</v>
      </c>
      <c r="S96" s="656">
        <f>'IB 5D2-(MYPE_I)(Pesca_A)_2021'!L140</f>
        <v>832.04300000000001</v>
      </c>
      <c r="T96" s="657">
        <f>S96*'Fac Conv'!$C$126</f>
        <v>832043</v>
      </c>
      <c r="U96" s="656">
        <f>'IB 5D2-(MYPE_I)(Pesca_A)_2021'!M140</f>
        <v>1769.5319999999999</v>
      </c>
      <c r="V96" s="657">
        <f>U96*'Fac Conv'!$C$126</f>
        <v>1769532</v>
      </c>
      <c r="W96" s="656">
        <f>'IB 5D2-(MYPE_I)(Pesca_A)_2021'!N140</f>
        <v>2241.529</v>
      </c>
      <c r="X96" s="657">
        <f>W96*'Fac Conv'!$C$126</f>
        <v>2241529</v>
      </c>
      <c r="Y96" s="656">
        <f>'IB 5D2-(MYPE_I)(Pesca_A)_2021'!O140</f>
        <v>1635.4269999999999</v>
      </c>
      <c r="Z96" s="657">
        <f>Y96*'Fac Conv'!$C$126</f>
        <v>1635427</v>
      </c>
      <c r="AA96" s="656">
        <f>'IB 5D2-(MYPE_I)(Pesca_A)_2021'!P140</f>
        <v>1839.2090000000001</v>
      </c>
      <c r="AB96" s="657">
        <f>AA96*'Fac Conv'!$C$126</f>
        <v>1839209</v>
      </c>
      <c r="AC96" s="656">
        <f>'IB 5D2-(MYPE_I)(Pesca_A)_2021'!Q140</f>
        <v>1224484</v>
      </c>
      <c r="AD96" s="657">
        <f t="shared" si="149"/>
        <v>1224484</v>
      </c>
      <c r="AE96" s="656">
        <f>'IB 5D2-(MYPE_I)(Pesca_A)_2021'!R140</f>
        <v>1971449</v>
      </c>
      <c r="AF96" s="657">
        <f t="shared" si="149"/>
        <v>1971449</v>
      </c>
      <c r="AG96" s="656">
        <f>'IB 5D2-(MYPE_I)(Pesca_A)_2021'!S140</f>
        <v>1930727</v>
      </c>
      <c r="AH96" s="657">
        <f t="shared" ref="AH96" si="178">AG96</f>
        <v>1930727</v>
      </c>
      <c r="AI96" s="656">
        <f>'IB 5D2-(MYPE_I)(Pesca_A)_2021'!T140</f>
        <v>1342391</v>
      </c>
      <c r="AJ96" s="657">
        <f t="shared" ref="AJ96" si="179">AI96</f>
        <v>1342391</v>
      </c>
      <c r="AK96" s="656">
        <f>'IB 5D2-(MYPE_I)(Pesca_A)_2021'!U140</f>
        <v>1399047</v>
      </c>
      <c r="AL96" s="657">
        <f t="shared" ref="AL96" si="180">AK96</f>
        <v>1399047</v>
      </c>
      <c r="AM96" s="656">
        <f>'IB 5D2-(MYPE_I)(Pesca_A)_2021'!V140</f>
        <v>1414728</v>
      </c>
      <c r="AN96" s="657">
        <f t="shared" ref="AN96" si="181">AM96</f>
        <v>1414728</v>
      </c>
      <c r="AO96" s="656">
        <f>'IB 5D2-(MYPE_I)(Pesca_A)_2021'!W140</f>
        <v>1348460</v>
      </c>
      <c r="AP96" s="657">
        <f t="shared" ref="AP96" si="182">AO96</f>
        <v>1348460</v>
      </c>
      <c r="AQ96" s="656">
        <f>'IB 5D2-(MYPE_I)(Pesca_A)_2021'!X140</f>
        <v>787436</v>
      </c>
      <c r="AR96" s="657">
        <f t="shared" ref="AR96" si="183">AQ96</f>
        <v>787436</v>
      </c>
      <c r="AS96" s="656">
        <f>'IB 5D2-(MYPE_I)(Pesca_A)_2021'!Y140</f>
        <v>1637705</v>
      </c>
      <c r="AT96" s="657">
        <f t="shared" ref="AT96" si="184">AS96</f>
        <v>1637705</v>
      </c>
      <c r="AU96" s="656">
        <f>'IB 5D2-(MYPE_I)(Pesca_A)_2021'!Z140</f>
        <v>853602</v>
      </c>
      <c r="AV96" s="657">
        <f t="shared" ref="AV96" si="185">AU96</f>
        <v>853602</v>
      </c>
      <c r="AW96" s="656">
        <f>'IB 5D2-(MYPE_I)(Pesca_A)_2021'!AA140</f>
        <v>1114185</v>
      </c>
      <c r="AX96" s="657">
        <f t="shared" ref="AX96:AZ96" si="186">AW96</f>
        <v>1114185</v>
      </c>
      <c r="AY96" s="656">
        <f>'IB 5D2-(MYPE_I)(Pesca_A)_2021'!AB140</f>
        <v>526478</v>
      </c>
      <c r="AZ96" s="657">
        <f t="shared" si="186"/>
        <v>526478</v>
      </c>
      <c r="BA96" s="656">
        <f>'IB 5D2-(MYPE_I)(Pesca_A)_2021'!AC140</f>
        <v>852421</v>
      </c>
      <c r="BB96" s="657">
        <f t="shared" ref="BB96" si="187">BA96</f>
        <v>852421</v>
      </c>
      <c r="BC96" s="656">
        <f>'IB 5D2-(MYPE_I)(Pesca_A)_2021'!AD140</f>
        <v>653036</v>
      </c>
      <c r="BD96" s="657">
        <f t="shared" ref="BD96" si="188">BC96</f>
        <v>653036</v>
      </c>
      <c r="BE96" s="656">
        <f>'IB 5D2-(MYPE_I)(Pesca_A)_2021'!AE140</f>
        <v>759919</v>
      </c>
      <c r="BF96" s="657">
        <f t="shared" ref="BF96" si="189">BE96</f>
        <v>759919</v>
      </c>
      <c r="BG96" s="656">
        <f>'IB 5D2-(MYPE_I)(Pesca_A)_2021'!AF140</f>
        <v>1431933</v>
      </c>
      <c r="BH96" s="657">
        <f t="shared" ref="BH96" si="190">BG96</f>
        <v>1431933</v>
      </c>
      <c r="BI96" s="656">
        <f>'IB 5D2-(MYPE_I)(Pesca_A)_2021'!AG140</f>
        <v>810530</v>
      </c>
      <c r="BJ96" s="657">
        <f t="shared" ref="BJ96" si="191">BI96</f>
        <v>810530</v>
      </c>
      <c r="BK96" s="635">
        <f>'IB 5D2-(MYPE_I)(Pesca_A)_2021'!AH140</f>
        <v>1048514</v>
      </c>
      <c r="BL96" s="636">
        <f>BK96</f>
        <v>1048514</v>
      </c>
      <c r="BM96" s="635">
        <f>'IB 5D2-(MYPE_I)(Pesca_A)_2021'!AI140</f>
        <v>1252414</v>
      </c>
      <c r="BN96" s="636">
        <f>BM96</f>
        <v>1252414</v>
      </c>
      <c r="BO96" s="637">
        <f>'IB 5D2-(MYPE_I)(Pesca_A)_2021'!AJ140</f>
        <v>976405</v>
      </c>
      <c r="BP96" s="636">
        <f>BO96</f>
        <v>976405</v>
      </c>
      <c r="BQ96" s="631"/>
      <c r="BR96" s="632" t="str">
        <f>'Fac Conv'!$G$14</f>
        <v>Elaboración de pescado</v>
      </c>
      <c r="BS96" s="632">
        <f>(8+18)/2</f>
        <v>13</v>
      </c>
      <c r="BT96" s="632">
        <f>VLOOKUP(BR96,'Fac Conv'!$G$10:$K$25,4,FALSE)</f>
        <v>18</v>
      </c>
    </row>
    <row r="97" spans="2:76" s="12" customFormat="1" ht="39.75" customHeight="1" thickBot="1">
      <c r="B97" s="767"/>
      <c r="C97" s="638" t="str">
        <f>'IB 5D2-(MYPE_I)(Pesca_A)_2021'!D141</f>
        <v>Producción de Aceite crudo (también como transformación de la pesca marítima para aceite crudo de pescado)</v>
      </c>
      <c r="D97" s="639" t="str">
        <f>'IB 5D2-(MYPE_I)(Pesca_A)_2021'!E141</f>
        <v>ML.TM/TM</v>
      </c>
      <c r="E97" s="673">
        <f>$H$97</f>
        <v>161400</v>
      </c>
      <c r="F97" s="673">
        <f>$H$97</f>
        <v>161400</v>
      </c>
      <c r="G97" s="683">
        <f>'IB 5D2-(MYPE_I)(Pesca_A)_2021'!F141</f>
        <v>161.4</v>
      </c>
      <c r="H97" s="659">
        <f>G97*'Fac Conv'!$C$126</f>
        <v>161400</v>
      </c>
      <c r="I97" s="658">
        <f>'IB 5D2-(MYPE_I)(Pesca_A)_2021'!G141</f>
        <v>250.1</v>
      </c>
      <c r="J97" s="659">
        <f>I97*'Fac Conv'!$C$126</f>
        <v>250100</v>
      </c>
      <c r="K97" s="658">
        <f>'IB 5D2-(MYPE_I)(Pesca_A)_2021'!H141</f>
        <v>486.3</v>
      </c>
      <c r="L97" s="659">
        <f>K97*'Fac Conv'!$C$126</f>
        <v>486300</v>
      </c>
      <c r="M97" s="658">
        <f>'IB 5D2-(MYPE_I)(Pesca_A)_2021'!I141</f>
        <v>373.9</v>
      </c>
      <c r="N97" s="659">
        <f>M97*'Fac Conv'!$C$126</f>
        <v>373900</v>
      </c>
      <c r="O97" s="658">
        <f>'IB 5D2-(MYPE_I)(Pesca_A)_2021'!J141</f>
        <v>422.548</v>
      </c>
      <c r="P97" s="659">
        <f>O97*'Fac Conv'!$C$126</f>
        <v>422548</v>
      </c>
      <c r="Q97" s="658">
        <f>'IB 5D2-(MYPE_I)(Pesca_A)_2021'!K141</f>
        <v>330.04199999999997</v>
      </c>
      <c r="R97" s="659">
        <f>Q97*'Fac Conv'!$C$126</f>
        <v>330042</v>
      </c>
      <c r="S97" s="658">
        <f>'IB 5D2-(MYPE_I)(Pesca_A)_2021'!L141</f>
        <v>122.956</v>
      </c>
      <c r="T97" s="659">
        <f>S97*'Fac Conv'!$C$126</f>
        <v>122956</v>
      </c>
      <c r="U97" s="658">
        <f>'IB 5D2-(MYPE_I)(Pesca_A)_2021'!M141</f>
        <v>514.81799999999998</v>
      </c>
      <c r="V97" s="659">
        <f>U97*'Fac Conv'!$C$126</f>
        <v>514818</v>
      </c>
      <c r="W97" s="658">
        <f>'IB 5D2-(MYPE_I)(Pesca_A)_2021'!N141</f>
        <v>587.31200000000001</v>
      </c>
      <c r="X97" s="659">
        <f>W97*'Fac Conv'!$C$126</f>
        <v>587312</v>
      </c>
      <c r="Y97" s="658">
        <f>'IB 5D2-(MYPE_I)(Pesca_A)_2021'!O141</f>
        <v>302.875</v>
      </c>
      <c r="Z97" s="659">
        <f>Y97*'Fac Conv'!$C$126</f>
        <v>302875</v>
      </c>
      <c r="AA97" s="658">
        <f>'IB 5D2-(MYPE_I)(Pesca_A)_2021'!P141</f>
        <v>188.94900000000001</v>
      </c>
      <c r="AB97" s="659">
        <f>AA97*'Fac Conv'!$C$126</f>
        <v>188949</v>
      </c>
      <c r="AC97" s="658">
        <f>'IB 5D2-(MYPE_I)(Pesca_A)_2021'!Q141</f>
        <v>206154</v>
      </c>
      <c r="AD97" s="659">
        <f t="shared" si="149"/>
        <v>206154</v>
      </c>
      <c r="AE97" s="658">
        <f>'IB 5D2-(MYPE_I)(Pesca_A)_2021'!R141</f>
        <v>349821</v>
      </c>
      <c r="AF97" s="659">
        <f t="shared" si="149"/>
        <v>349821</v>
      </c>
      <c r="AG97" s="658">
        <f>'IB 5D2-(MYPE_I)(Pesca_A)_2021'!S141</f>
        <v>290422</v>
      </c>
      <c r="AH97" s="659">
        <f t="shared" ref="AH97" si="192">AG97</f>
        <v>290422</v>
      </c>
      <c r="AI97" s="658">
        <f>'IB 5D2-(MYPE_I)(Pesca_A)_2021'!T141</f>
        <v>279802</v>
      </c>
      <c r="AJ97" s="659">
        <f t="shared" ref="AJ97" si="193">AI97</f>
        <v>279802</v>
      </c>
      <c r="AK97" s="658">
        <f>'IB 5D2-(MYPE_I)(Pesca_A)_2021'!U141</f>
        <v>309824</v>
      </c>
      <c r="AL97" s="659">
        <f t="shared" ref="AL97" si="194">AK97</f>
        <v>309824</v>
      </c>
      <c r="AM97" s="658">
        <f>'IB 5D2-(MYPE_I)(Pesca_A)_2021'!V141</f>
        <v>293025</v>
      </c>
      <c r="AN97" s="659">
        <f t="shared" ref="AN97" si="195">AM97</f>
        <v>293025</v>
      </c>
      <c r="AO97" s="658">
        <f>'IB 5D2-(MYPE_I)(Pesca_A)_2021'!W141</f>
        <v>287575</v>
      </c>
      <c r="AP97" s="659">
        <f t="shared" ref="AP97" si="196">AO97</f>
        <v>287575</v>
      </c>
      <c r="AQ97" s="658">
        <f>'IB 5D2-(MYPE_I)(Pesca_A)_2021'!X141</f>
        <v>174088</v>
      </c>
      <c r="AR97" s="659">
        <f t="shared" ref="AR97" si="197">AQ97</f>
        <v>174088</v>
      </c>
      <c r="AS97" s="658">
        <f>'IB 5D2-(MYPE_I)(Pesca_A)_2021'!Y141</f>
        <v>335744</v>
      </c>
      <c r="AT97" s="659">
        <f t="shared" ref="AT97" si="198">AS97</f>
        <v>335744</v>
      </c>
      <c r="AU97" s="658">
        <f>'IB 5D2-(MYPE_I)(Pesca_A)_2021'!Z141</f>
        <v>196396</v>
      </c>
      <c r="AV97" s="659">
        <f t="shared" ref="AV97" si="199">AU97</f>
        <v>196396</v>
      </c>
      <c r="AW97" s="658">
        <f>'IB 5D2-(MYPE_I)(Pesca_A)_2021'!AA141</f>
        <v>175196</v>
      </c>
      <c r="AX97" s="659">
        <f t="shared" ref="AX97:AZ97" si="200">AW97</f>
        <v>175196</v>
      </c>
      <c r="AY97" s="658">
        <f>'IB 5D2-(MYPE_I)(Pesca_A)_2021'!AB141</f>
        <v>102698</v>
      </c>
      <c r="AZ97" s="659">
        <f t="shared" si="200"/>
        <v>102698</v>
      </c>
      <c r="BA97" s="658">
        <f>'IB 5D2-(MYPE_I)(Pesca_A)_2021'!AC141</f>
        <v>94524</v>
      </c>
      <c r="BB97" s="659">
        <f t="shared" ref="BB97" si="201">BA97</f>
        <v>94524</v>
      </c>
      <c r="BC97" s="658">
        <f>'IB 5D2-(MYPE_I)(Pesca_A)_2021'!AD141</f>
        <v>103018</v>
      </c>
      <c r="BD97" s="659">
        <f t="shared" ref="BD97" si="202">BC97</f>
        <v>103018</v>
      </c>
      <c r="BE97" s="658">
        <f>'IB 5D2-(MYPE_I)(Pesca_A)_2021'!AE141</f>
        <v>84637</v>
      </c>
      <c r="BF97" s="659">
        <f t="shared" ref="BF97" si="203">BE97</f>
        <v>84637</v>
      </c>
      <c r="BG97" s="658">
        <f>'IB 5D2-(MYPE_I)(Pesca_A)_2021'!AF141</f>
        <v>268018</v>
      </c>
      <c r="BH97" s="659">
        <f t="shared" ref="BH97" si="204">BG97</f>
        <v>268018</v>
      </c>
      <c r="BI97" s="658">
        <f>'IB 5D2-(MYPE_I)(Pesca_A)_2021'!AG141</f>
        <v>105008</v>
      </c>
      <c r="BJ97" s="659">
        <f t="shared" ref="BJ97" si="205">BI97</f>
        <v>105008</v>
      </c>
      <c r="BK97" s="640">
        <f>'IB 5D2-(MYPE_I)(Pesca_A)_2021'!AH141</f>
        <v>169408</v>
      </c>
      <c r="BL97" s="641">
        <f>BK97</f>
        <v>169408</v>
      </c>
      <c r="BM97" s="640">
        <f>'IB 5D2-(MYPE_I)(Pesca_A)_2021'!AI141</f>
        <v>155298</v>
      </c>
      <c r="BN97" s="641">
        <f>BM97</f>
        <v>155298</v>
      </c>
      <c r="BO97" s="642">
        <f>'IB 5D2-(MYPE_I)(Pesca_A)_2021'!AJ141</f>
        <v>81752</v>
      </c>
      <c r="BP97" s="641">
        <f>BO97</f>
        <v>81752</v>
      </c>
      <c r="BQ97" s="631"/>
      <c r="BR97" s="632" t="str">
        <f>'Fac Conv'!$G$14</f>
        <v>Elaboración de pescado</v>
      </c>
      <c r="BS97" s="632">
        <f>(8+18)/2</f>
        <v>13</v>
      </c>
      <c r="BT97" s="632">
        <f>VLOOKUP(BR97,'Fac Conv'!$G$10:$K$25,4,FALSE)</f>
        <v>18</v>
      </c>
    </row>
    <row r="98" spans="2:76" ht="31.5" customHeight="1">
      <c r="BD98" s="116"/>
      <c r="BF98" s="116"/>
      <c r="BH98" s="116"/>
      <c r="BJ98" s="116"/>
      <c r="BL98" s="116"/>
      <c r="BM98" s="116"/>
      <c r="BN98" s="116"/>
      <c r="BO98" s="116"/>
      <c r="BP98" s="116"/>
      <c r="BR98" s="786" t="s">
        <v>356</v>
      </c>
      <c r="BS98" s="786"/>
      <c r="BT98" s="786"/>
    </row>
    <row r="99" spans="2:76" ht="15.75" customHeight="1">
      <c r="BR99" s="712" t="s">
        <v>456</v>
      </c>
      <c r="BS99" s="712"/>
      <c r="BT99" s="712"/>
      <c r="BU99" s="123"/>
      <c r="BV99" s="123"/>
      <c r="BW99" s="123"/>
      <c r="BX99" s="123"/>
    </row>
    <row r="100" spans="2:76" ht="13.9" customHeight="1">
      <c r="BK100" s="4"/>
      <c r="BR100" s="123"/>
      <c r="BS100" s="123"/>
      <c r="BT100" s="123"/>
      <c r="BU100" s="123"/>
      <c r="BV100" s="123"/>
      <c r="BW100" s="123"/>
      <c r="BX100" s="123"/>
    </row>
    <row r="101" spans="2:76" ht="13.9" customHeight="1">
      <c r="D101" s="4"/>
      <c r="E101" s="660"/>
      <c r="F101" s="660"/>
      <c r="G101" s="660"/>
      <c r="H101" s="660"/>
      <c r="I101" s="660"/>
      <c r="J101" s="660"/>
      <c r="K101" s="660"/>
      <c r="L101" s="660"/>
      <c r="M101" s="660"/>
      <c r="N101" s="660"/>
      <c r="O101" s="660"/>
      <c r="P101" s="660"/>
      <c r="Q101" s="660"/>
      <c r="R101" s="660"/>
      <c r="S101" s="660"/>
      <c r="T101" s="4"/>
      <c r="U101" s="660"/>
      <c r="V101" s="660"/>
      <c r="W101" s="660"/>
      <c r="X101" s="660"/>
      <c r="Y101" s="660"/>
      <c r="Z101" s="660"/>
      <c r="AA101" s="660"/>
      <c r="AB101" s="660"/>
      <c r="AC101" s="660"/>
      <c r="AD101" s="660"/>
      <c r="AE101" s="4"/>
      <c r="AF101" s="660"/>
      <c r="AG101" s="660"/>
      <c r="AH101" s="660"/>
      <c r="AI101" s="660"/>
      <c r="AJ101" s="660"/>
      <c r="AK101" s="660"/>
      <c r="AL101" s="660"/>
      <c r="AM101" s="660"/>
      <c r="AN101" s="660"/>
      <c r="AO101" s="660"/>
      <c r="AP101" s="660"/>
      <c r="AQ101" s="660"/>
      <c r="AR101" s="660"/>
      <c r="AS101" s="660"/>
      <c r="AT101" s="660"/>
      <c r="AU101" s="660"/>
      <c r="AV101" s="660"/>
      <c r="AW101" s="4"/>
      <c r="AX101" s="660"/>
      <c r="AY101" s="660"/>
      <c r="AZ101" s="660"/>
      <c r="BA101" s="660"/>
      <c r="BB101" s="660"/>
      <c r="BC101" s="660"/>
      <c r="BD101" s="660"/>
      <c r="BE101" s="660"/>
      <c r="BF101" s="660"/>
      <c r="BG101" s="660"/>
      <c r="BH101" s="660"/>
      <c r="BI101" s="660"/>
      <c r="BJ101" s="660" t="s">
        <v>457</v>
      </c>
      <c r="BK101" s="660"/>
      <c r="BL101" s="660"/>
      <c r="BM101" s="660"/>
      <c r="BN101" s="660"/>
      <c r="BO101" s="660"/>
      <c r="BP101" s="660"/>
      <c r="BQ101" s="660"/>
      <c r="BR101" s="123"/>
      <c r="BS101" s="123"/>
      <c r="BT101" s="123"/>
      <c r="BU101" s="123"/>
      <c r="BV101" s="123"/>
      <c r="BW101" s="123"/>
      <c r="BX101" s="123"/>
    </row>
    <row r="102" spans="2:76" ht="6.75" customHeight="1">
      <c r="D102" s="4"/>
      <c r="T102" s="4"/>
      <c r="AE102" s="4"/>
      <c r="AW102" s="4"/>
      <c r="BL102" s="267"/>
      <c r="BM102" s="267"/>
      <c r="BN102" s="267"/>
      <c r="BO102" s="267"/>
      <c r="BP102" s="267"/>
      <c r="BQ102" s="267"/>
      <c r="BR102" s="267"/>
      <c r="BS102" s="267"/>
    </row>
    <row r="103" spans="2:76" ht="12.75">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110"/>
      <c r="BK103" s="4" t="s">
        <v>458</v>
      </c>
      <c r="BQ103" s="4"/>
    </row>
    <row r="104" spans="2:76" ht="12.75">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111"/>
      <c r="BK104" s="4" t="s">
        <v>459</v>
      </c>
      <c r="BQ104" s="4"/>
    </row>
    <row r="105" spans="2:76" ht="12.75">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17"/>
      <c r="BK105" s="4" t="s">
        <v>460</v>
      </c>
      <c r="BQ105" s="4"/>
    </row>
    <row r="106" spans="2:76" ht="56.25" customHeight="1">
      <c r="B106" s="784" t="s">
        <v>461</v>
      </c>
      <c r="C106" s="784"/>
      <c r="D106" s="78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R106" s="14"/>
    </row>
    <row r="107" spans="2:76" ht="42" customHeight="1">
      <c r="B107" s="784" t="s">
        <v>462</v>
      </c>
      <c r="C107" s="784"/>
      <c r="D107" s="78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row>
    <row r="108" spans="2:76" ht="41.25" customHeight="1">
      <c r="B108" s="784" t="s">
        <v>463</v>
      </c>
      <c r="C108" s="784"/>
      <c r="D108" s="78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row>
    <row r="109" spans="2:76" ht="12.75">
      <c r="B109" s="784" t="s">
        <v>464</v>
      </c>
      <c r="C109" s="784"/>
      <c r="D109" s="78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row>
    <row r="110" spans="2:76" ht="12.75">
      <c r="B110" s="784" t="s">
        <v>465</v>
      </c>
      <c r="C110" s="784"/>
      <c r="D110" s="78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row>
    <row r="111" spans="2:76" ht="42.75" customHeight="1">
      <c r="B111" s="784" t="s">
        <v>466</v>
      </c>
      <c r="C111" s="784"/>
      <c r="D111" s="78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row>
    <row r="112" spans="2:76" ht="13.9" customHeight="1">
      <c r="B112" s="784" t="s">
        <v>467</v>
      </c>
      <c r="C112" s="784"/>
      <c r="D112" s="78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row>
    <row r="113" spans="5:62" ht="13.9" customHeight="1">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row>
  </sheetData>
  <mergeCells count="49">
    <mergeCell ref="BR99:BT99"/>
    <mergeCell ref="B9:BL9"/>
    <mergeCell ref="B13:B48"/>
    <mergeCell ref="B49:B53"/>
    <mergeCell ref="B54:B69"/>
    <mergeCell ref="B70:B72"/>
    <mergeCell ref="BK11:BL11"/>
    <mergeCell ref="BM11:BN11"/>
    <mergeCell ref="BO11:BP11"/>
    <mergeCell ref="B73:B74"/>
    <mergeCell ref="B75:B81"/>
    <mergeCell ref="B82:B92"/>
    <mergeCell ref="B93:B97"/>
    <mergeCell ref="BR98:BT98"/>
    <mergeCell ref="BA11:BB11"/>
    <mergeCell ref="BC11:BD11"/>
    <mergeCell ref="B111:D111"/>
    <mergeCell ref="B112:D112"/>
    <mergeCell ref="B106:D106"/>
    <mergeCell ref="B107:D107"/>
    <mergeCell ref="B108:D108"/>
    <mergeCell ref="B109:D109"/>
    <mergeCell ref="B110:D110"/>
    <mergeCell ref="BE11:BF11"/>
    <mergeCell ref="BG11:BH11"/>
    <mergeCell ref="BI11:BJ11"/>
    <mergeCell ref="AS11:AT11"/>
    <mergeCell ref="AU11:AV11"/>
    <mergeCell ref="AW11:AX11"/>
    <mergeCell ref="AY11:AZ11"/>
    <mergeCell ref="AK11:AL11"/>
    <mergeCell ref="AM11:AN11"/>
    <mergeCell ref="AO11:AP11"/>
    <mergeCell ref="AQ11:AR11"/>
    <mergeCell ref="Y11:Z11"/>
    <mergeCell ref="AA11:AB11"/>
    <mergeCell ref="AC11:AD11"/>
    <mergeCell ref="AE11:AF11"/>
    <mergeCell ref="AG11:AH11"/>
    <mergeCell ref="Q11:R11"/>
    <mergeCell ref="S11:T11"/>
    <mergeCell ref="U11:V11"/>
    <mergeCell ref="W11:X11"/>
    <mergeCell ref="AI11:AJ11"/>
    <mergeCell ref="M11:N11"/>
    <mergeCell ref="G11:H11"/>
    <mergeCell ref="I11:J11"/>
    <mergeCell ref="K11:L11"/>
    <mergeCell ref="O11:P11"/>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E75B6"/>
  </sheetPr>
  <dimension ref="A1:S106"/>
  <sheetViews>
    <sheetView showGridLines="0" topLeftCell="A40" zoomScale="85" zoomScaleNormal="85" workbookViewId="0">
      <selection activeCell="J11" sqref="J11:J12"/>
    </sheetView>
  </sheetViews>
  <sheetFormatPr baseColWidth="10" defaultColWidth="11" defaultRowHeight="12.75"/>
  <cols>
    <col min="1" max="1" width="4.7109375" style="191" customWidth="1"/>
    <col min="2" max="2" width="13.42578125" style="191" customWidth="1"/>
    <col min="3" max="3" width="14.28515625" style="192" customWidth="1"/>
    <col min="4" max="4" width="15.5703125" style="193" customWidth="1"/>
    <col min="5" max="5" width="19.42578125" style="193" customWidth="1"/>
    <col min="6" max="6" width="17.7109375" style="191" customWidth="1"/>
    <col min="7" max="7" width="15.42578125" style="191" customWidth="1"/>
    <col min="8" max="8" width="14.28515625" style="191" customWidth="1"/>
    <col min="9" max="9" width="10.140625" style="191" customWidth="1"/>
    <col min="10" max="10" width="19.28515625" style="191" customWidth="1"/>
    <col min="11" max="14" width="14.28515625" style="191" customWidth="1"/>
    <col min="15" max="15" width="14.85546875" style="191" customWidth="1"/>
    <col min="16" max="16" width="15.42578125" style="191" customWidth="1"/>
    <col min="17" max="19" width="14.28515625" style="191" customWidth="1"/>
    <col min="20" max="16384" width="11" style="191"/>
  </cols>
  <sheetData>
    <row r="1" spans="2:14" s="174" customFormat="1">
      <c r="B1" s="174" t="s">
        <v>148</v>
      </c>
      <c r="C1" s="182"/>
      <c r="D1" s="179"/>
      <c r="E1" s="176"/>
      <c r="G1" s="169"/>
      <c r="H1" s="186"/>
      <c r="J1" s="186"/>
      <c r="K1" s="186"/>
      <c r="L1" s="186"/>
      <c r="M1" s="186"/>
    </row>
    <row r="2" spans="2:14" s="170" customFormat="1" ht="24.75" customHeight="1">
      <c r="B2" s="754" t="s">
        <v>468</v>
      </c>
      <c r="C2" s="754"/>
      <c r="D2" s="180"/>
      <c r="E2" s="177"/>
      <c r="G2" s="171"/>
      <c r="H2" s="185"/>
      <c r="J2" s="185"/>
      <c r="K2" s="185"/>
      <c r="L2" s="185"/>
      <c r="M2" s="185"/>
    </row>
    <row r="3" spans="2:14" s="172" customFormat="1">
      <c r="B3" s="119"/>
      <c r="C3" s="183"/>
      <c r="D3" s="181"/>
      <c r="E3" s="178"/>
      <c r="G3" s="173"/>
      <c r="H3" s="119"/>
      <c r="J3" s="119"/>
      <c r="K3" s="119"/>
      <c r="L3" s="119"/>
      <c r="M3" s="119"/>
    </row>
    <row r="4" spans="2:14" s="172" customFormat="1">
      <c r="B4" s="797" t="s">
        <v>469</v>
      </c>
      <c r="C4" s="797"/>
      <c r="D4" s="797"/>
      <c r="E4" s="797"/>
      <c r="F4" s="797"/>
      <c r="G4" s="797"/>
      <c r="H4" s="797"/>
      <c r="I4" s="797"/>
      <c r="J4" s="119"/>
      <c r="K4" s="119"/>
      <c r="L4" s="119"/>
      <c r="M4" s="119"/>
    </row>
    <row r="5" spans="2:14" s="172" customFormat="1"/>
    <row r="6" spans="2:14" s="172" customFormat="1" ht="12.75" customHeight="1">
      <c r="B6" s="806" t="s">
        <v>470</v>
      </c>
      <c r="C6" s="806"/>
      <c r="D6" s="806"/>
      <c r="E6" s="806"/>
      <c r="F6" s="806"/>
      <c r="G6" s="806"/>
      <c r="H6" s="806"/>
      <c r="I6" s="806"/>
      <c r="J6" s="806"/>
      <c r="K6" s="806"/>
      <c r="L6" s="806"/>
      <c r="M6" s="806"/>
      <c r="N6" s="806"/>
    </row>
    <row r="7" spans="2:14" s="172" customFormat="1">
      <c r="B7" s="806"/>
      <c r="C7" s="806"/>
      <c r="D7" s="806"/>
      <c r="E7" s="806"/>
      <c r="F7" s="806"/>
      <c r="G7" s="806"/>
      <c r="H7" s="806"/>
      <c r="I7" s="806"/>
      <c r="J7" s="806"/>
      <c r="K7" s="806"/>
      <c r="L7" s="806"/>
      <c r="M7" s="806"/>
      <c r="N7" s="806"/>
    </row>
    <row r="8" spans="2:14" s="172" customFormat="1">
      <c r="B8" s="186"/>
      <c r="C8" s="186"/>
      <c r="D8" s="186"/>
      <c r="E8" s="186"/>
      <c r="F8" s="186"/>
      <c r="G8" s="186"/>
      <c r="H8" s="186"/>
      <c r="I8" s="186"/>
      <c r="J8" s="186"/>
      <c r="K8" s="186"/>
      <c r="L8" s="186"/>
      <c r="M8" s="186"/>
      <c r="N8" s="186"/>
    </row>
    <row r="9" spans="2:14" s="172" customFormat="1" ht="30" customHeight="1">
      <c r="B9" s="798" t="s">
        <v>308</v>
      </c>
      <c r="C9" s="798"/>
      <c r="D9" s="798" t="s">
        <v>309</v>
      </c>
      <c r="E9" s="798"/>
      <c r="F9" s="788" t="s">
        <v>471</v>
      </c>
      <c r="G9" s="788"/>
      <c r="H9" s="788"/>
      <c r="I9" s="788"/>
      <c r="J9" s="214" t="s">
        <v>472</v>
      </c>
      <c r="N9" s="189"/>
    </row>
    <row r="10" spans="2:14" s="172" customFormat="1" ht="12.75" customHeight="1">
      <c r="B10" s="792" t="str">
        <f>'IB 5D2 - Tipos de tratamiento'!B14</f>
        <v>Refinado de alcohol</v>
      </c>
      <c r="C10" s="792"/>
      <c r="D10" s="792" t="str">
        <f>'IB 5D2 - Tipos de tratamiento'!C14</f>
        <v>Se desconoce</v>
      </c>
      <c r="E10" s="792"/>
      <c r="F10" s="789" t="s">
        <v>473</v>
      </c>
      <c r="G10" s="789"/>
      <c r="H10" s="789"/>
      <c r="I10" s="789"/>
      <c r="J10" s="222" t="s">
        <v>474</v>
      </c>
    </row>
    <row r="11" spans="2:14" s="172" customFormat="1" ht="12.75" customHeight="1">
      <c r="B11" s="799" t="str">
        <f>'IB 5D2 - Tipos de tratamiento'!B15</f>
        <v>Malta y cerveza</v>
      </c>
      <c r="C11" s="799"/>
      <c r="D11" s="799" t="str">
        <f>'IB 5D2 - Tipos de tratamiento'!C15</f>
        <v>Tratamiento biológico</v>
      </c>
      <c r="E11" s="799"/>
      <c r="F11" s="800" t="s">
        <v>475</v>
      </c>
      <c r="G11" s="800"/>
      <c r="H11" s="800"/>
      <c r="I11" s="800"/>
      <c r="J11" s="216">
        <f>'Fac Conv'!$E$102</f>
        <v>7.4999999999999997E-2</v>
      </c>
    </row>
    <row r="12" spans="2:14" s="172" customFormat="1" ht="12.75" customHeight="1">
      <c r="B12" s="799" t="str">
        <f>'IB 5D2 - Tipos de tratamiento'!B16</f>
        <v>Carnes y Aves</v>
      </c>
      <c r="C12" s="799"/>
      <c r="D12" s="799" t="str">
        <f>'IB 5D2 - Tipos de tratamiento'!C16</f>
        <v>Tratamiento biológico</v>
      </c>
      <c r="E12" s="799"/>
      <c r="F12" s="800" t="s">
        <v>475</v>
      </c>
      <c r="G12" s="800"/>
      <c r="H12" s="800"/>
      <c r="I12" s="800"/>
      <c r="J12" s="216">
        <f>'Fac Conv'!$E$102</f>
        <v>7.4999999999999997E-2</v>
      </c>
      <c r="N12" s="191"/>
    </row>
    <row r="13" spans="2:14" s="172" customFormat="1" ht="12.75" customHeight="1">
      <c r="B13" s="792" t="str">
        <f>'IB 5D2 - Tipos de tratamiento'!B17</f>
        <v>Hortalizas, frutas y jugos</v>
      </c>
      <c r="C13" s="792"/>
      <c r="D13" s="792" t="str">
        <f>'IB 5D2 - Tipos de tratamiento'!C17</f>
        <v>Se desconoce</v>
      </c>
      <c r="E13" s="792"/>
      <c r="F13" s="789" t="s">
        <v>473</v>
      </c>
      <c r="G13" s="789"/>
      <c r="H13" s="789"/>
      <c r="I13" s="789"/>
      <c r="J13" s="222" t="s">
        <v>474</v>
      </c>
      <c r="N13" s="191"/>
    </row>
    <row r="14" spans="2:14" s="172" customFormat="1" ht="12.75" customHeight="1">
      <c r="B14" s="799" t="str">
        <f>'IB 5D2 - Tipos de tratamiento'!B18</f>
        <v>Aceites vegetales</v>
      </c>
      <c r="C14" s="799"/>
      <c r="D14" s="799" t="str">
        <f>'IB 5D2 - Tipos de tratamiento'!C18</f>
        <v>Tratamiento biológico</v>
      </c>
      <c r="E14" s="799"/>
      <c r="F14" s="800" t="s">
        <v>475</v>
      </c>
      <c r="G14" s="800"/>
      <c r="H14" s="800"/>
      <c r="I14" s="800"/>
      <c r="J14" s="216">
        <f>'Fac Conv'!$E$102</f>
        <v>7.4999999999999997E-2</v>
      </c>
      <c r="N14" s="191"/>
    </row>
    <row r="15" spans="2:14" s="172" customFormat="1" ht="12.75" customHeight="1">
      <c r="B15" s="799" t="str">
        <f>'IB 5D2 - Tipos de tratamiento'!B19</f>
        <v>Productos lácteos</v>
      </c>
      <c r="C15" s="799"/>
      <c r="D15" s="799" t="str">
        <f>'IB 5D2 - Tipos de tratamiento'!C19</f>
        <v>Tratamiento biológico</v>
      </c>
      <c r="E15" s="799"/>
      <c r="F15" s="800" t="s">
        <v>475</v>
      </c>
      <c r="G15" s="800"/>
      <c r="H15" s="800"/>
      <c r="I15" s="800"/>
      <c r="J15" s="216">
        <f>'Fac Conv'!$E$102</f>
        <v>7.4999999999999997E-2</v>
      </c>
      <c r="N15" s="191"/>
    </row>
    <row r="16" spans="2:14" s="172" customFormat="1" ht="12.75" customHeight="1">
      <c r="B16" s="792" t="str">
        <f>'IB 5D2 - Tipos de tratamiento'!B20</f>
        <v>Refinación de azúcar</v>
      </c>
      <c r="C16" s="792"/>
      <c r="D16" s="792" t="str">
        <f>'IB 5D2 - Tipos de tratamiento'!C20</f>
        <v>Se desconoce</v>
      </c>
      <c r="E16" s="792"/>
      <c r="F16" s="789" t="s">
        <v>473</v>
      </c>
      <c r="G16" s="789"/>
      <c r="H16" s="789"/>
      <c r="I16" s="789"/>
      <c r="J16" s="222" t="s">
        <v>474</v>
      </c>
      <c r="N16" s="191"/>
    </row>
    <row r="17" spans="2:19" s="172" customFormat="1" ht="12.75" customHeight="1">
      <c r="B17" s="792" t="str">
        <f>'IB 5D2 - Tipos de tratamiento'!B21</f>
        <v>Vinos y vinagres</v>
      </c>
      <c r="C17" s="792"/>
      <c r="D17" s="792" t="str">
        <f>'IB 5D2 - Tipos de tratamiento'!C21</f>
        <v>Se desconoce</v>
      </c>
      <c r="E17" s="792"/>
      <c r="F17" s="789" t="s">
        <v>473</v>
      </c>
      <c r="G17" s="789"/>
      <c r="H17" s="789"/>
      <c r="I17" s="789"/>
      <c r="J17" s="222" t="s">
        <v>474</v>
      </c>
      <c r="N17" s="191"/>
    </row>
    <row r="18" spans="2:19" s="172" customFormat="1" ht="12.75" customHeight="1">
      <c r="B18" s="808" t="str">
        <f>'IB 5D2 - Tipos de tratamiento'!B22</f>
        <v>Pulpa y papel (combinados)</v>
      </c>
      <c r="C18" s="808"/>
      <c r="D18" s="808" t="s">
        <v>320</v>
      </c>
      <c r="E18" s="808"/>
      <c r="F18" s="787" t="s">
        <v>476</v>
      </c>
      <c r="G18" s="787"/>
      <c r="H18" s="787"/>
      <c r="I18" s="787"/>
      <c r="J18" s="217">
        <f>'Fac Conv'!$E$100</f>
        <v>2.5000000000000001E-2</v>
      </c>
      <c r="N18" s="191"/>
    </row>
    <row r="19" spans="2:19" s="172" customFormat="1" ht="12.75" customHeight="1">
      <c r="B19" s="792" t="str">
        <f>'IB 5D2 - Tipos de tratamiento'!B23</f>
        <v>Refinerías de petróleo</v>
      </c>
      <c r="C19" s="792"/>
      <c r="D19" s="792" t="str">
        <f>'IB 5D2 - Tipos de tratamiento'!C23</f>
        <v>Se desconoce</v>
      </c>
      <c r="E19" s="792"/>
      <c r="F19" s="789" t="s">
        <v>473</v>
      </c>
      <c r="G19" s="789"/>
      <c r="H19" s="789"/>
      <c r="I19" s="789"/>
      <c r="J19" s="222" t="s">
        <v>474</v>
      </c>
      <c r="N19" s="191"/>
    </row>
    <row r="20" spans="2:19" s="172" customFormat="1" ht="12.75" customHeight="1">
      <c r="B20" s="792" t="str">
        <f>'IB 5D2 - Tipos de tratamiento'!B24</f>
        <v>Sustancias químicas orgánicas</v>
      </c>
      <c r="C20" s="792"/>
      <c r="D20" s="792" t="str">
        <f>'IB 5D2 - Tipos de tratamiento'!C24</f>
        <v>Se desconoce</v>
      </c>
      <c r="E20" s="792"/>
      <c r="F20" s="789" t="s">
        <v>473</v>
      </c>
      <c r="G20" s="789"/>
      <c r="H20" s="789"/>
      <c r="I20" s="789"/>
      <c r="J20" s="222" t="s">
        <v>474</v>
      </c>
      <c r="N20" s="191"/>
    </row>
    <row r="21" spans="2:19" s="172" customFormat="1" ht="12.75" customHeight="1">
      <c r="B21" s="792" t="str">
        <f>'IB 5D2 - Tipos de tratamiento'!B25</f>
        <v>Jabón y detergentes</v>
      </c>
      <c r="C21" s="792"/>
      <c r="D21" s="792" t="str">
        <f>'IB 5D2 - Tipos de tratamiento'!C25</f>
        <v>Se desconoce</v>
      </c>
      <c r="E21" s="792"/>
      <c r="F21" s="789" t="s">
        <v>473</v>
      </c>
      <c r="G21" s="789"/>
      <c r="H21" s="789"/>
      <c r="I21" s="789"/>
      <c r="J21" s="222" t="s">
        <v>474</v>
      </c>
      <c r="N21" s="191"/>
    </row>
    <row r="22" spans="2:19" s="172" customFormat="1" ht="12.75" customHeight="1">
      <c r="B22" s="808" t="str">
        <f>'IB 5D2 - Tipos de tratamiento'!B26</f>
        <v>Elaboración de pescado</v>
      </c>
      <c r="C22" s="808"/>
      <c r="D22" s="808" t="str">
        <f>'IB 5D2 - Tipos de tratamiento'!C26</f>
        <v>Físico químico</v>
      </c>
      <c r="E22" s="808"/>
      <c r="F22" s="787" t="s">
        <v>476</v>
      </c>
      <c r="G22" s="787"/>
      <c r="H22" s="787"/>
      <c r="I22" s="787"/>
      <c r="J22" s="217">
        <f>'Fac Conv'!$E$100</f>
        <v>2.5000000000000001E-2</v>
      </c>
      <c r="N22" s="191"/>
    </row>
    <row r="23" spans="2:19" s="172" customFormat="1">
      <c r="B23" s="191" t="s">
        <v>477</v>
      </c>
      <c r="C23" s="191"/>
      <c r="D23" s="191"/>
      <c r="E23" s="178"/>
      <c r="G23" s="173"/>
      <c r="H23" s="119"/>
      <c r="J23" s="119"/>
      <c r="K23" s="119"/>
      <c r="L23" s="119"/>
      <c r="M23" s="119"/>
    </row>
    <row r="24" spans="2:19" s="172" customFormat="1">
      <c r="B24" s="191" t="s">
        <v>478</v>
      </c>
      <c r="C24" s="191"/>
      <c r="D24" s="191"/>
      <c r="E24" s="178"/>
      <c r="G24" s="173"/>
      <c r="H24" s="119"/>
      <c r="J24" s="119"/>
      <c r="K24" s="119"/>
      <c r="L24" s="119"/>
      <c r="M24" s="119"/>
    </row>
    <row r="25" spans="2:19" s="172" customFormat="1">
      <c r="K25" s="187" t="s">
        <v>479</v>
      </c>
      <c r="L25" s="187"/>
      <c r="M25" s="187"/>
      <c r="N25" s="187"/>
      <c r="O25" s="187"/>
      <c r="P25" s="187"/>
      <c r="Q25" s="187"/>
      <c r="R25" s="187"/>
      <c r="S25" s="187"/>
    </row>
    <row r="26" spans="2:19" s="189" customFormat="1">
      <c r="H26" s="174"/>
    </row>
    <row r="27" spans="2:19" s="189" customFormat="1">
      <c r="H27" s="174"/>
      <c r="K27" s="188" t="s">
        <v>480</v>
      </c>
      <c r="L27" s="188"/>
      <c r="M27" s="188"/>
      <c r="N27" s="188"/>
      <c r="O27" s="188"/>
      <c r="P27" s="188"/>
      <c r="Q27" s="188"/>
      <c r="R27" s="188"/>
      <c r="S27" s="188"/>
    </row>
    <row r="28" spans="2:19" s="189" customFormat="1">
      <c r="H28" s="174"/>
      <c r="K28" s="807" t="s">
        <v>481</v>
      </c>
      <c r="L28" s="807"/>
      <c r="M28" s="807"/>
      <c r="N28" s="807"/>
      <c r="O28" s="807"/>
      <c r="P28" s="807"/>
      <c r="Q28" s="807"/>
      <c r="R28" s="807"/>
      <c r="S28" s="807"/>
    </row>
    <row r="29" spans="2:19" s="189" customFormat="1">
      <c r="B29" s="797" t="s">
        <v>482</v>
      </c>
      <c r="C29" s="797"/>
      <c r="D29" s="797"/>
      <c r="E29" s="797"/>
      <c r="F29" s="797"/>
      <c r="G29" s="797"/>
      <c r="H29" s="797"/>
      <c r="I29" s="797"/>
      <c r="K29" s="807"/>
      <c r="L29" s="807"/>
      <c r="M29" s="807"/>
      <c r="N29" s="807"/>
      <c r="O29" s="807"/>
      <c r="P29" s="807"/>
      <c r="Q29" s="807"/>
      <c r="R29" s="807"/>
      <c r="S29" s="807"/>
    </row>
    <row r="30" spans="2:19" s="190" customFormat="1">
      <c r="K30" s="807"/>
      <c r="L30" s="807"/>
      <c r="M30" s="807"/>
      <c r="N30" s="807"/>
      <c r="O30" s="807"/>
      <c r="P30" s="807"/>
      <c r="Q30" s="807"/>
      <c r="R30" s="807"/>
      <c r="S30" s="807"/>
    </row>
    <row r="31" spans="2:19" ht="27" customHeight="1" thickBot="1">
      <c r="B31" s="191" t="s">
        <v>674</v>
      </c>
      <c r="K31" s="801" t="s">
        <v>483</v>
      </c>
      <c r="L31" s="801"/>
      <c r="M31" s="801"/>
      <c r="N31" s="801"/>
      <c r="O31" s="801"/>
      <c r="P31" s="801"/>
      <c r="Q31" s="801"/>
      <c r="R31" s="801"/>
      <c r="S31" s="801"/>
    </row>
    <row r="32" spans="2:19" ht="78" customHeight="1">
      <c r="B32" s="194" t="s">
        <v>484</v>
      </c>
      <c r="C32" s="605" t="s">
        <v>485</v>
      </c>
      <c r="D32" s="605" t="str">
        <f>'IB 5D2 - Tipos de tratamiento'!D38</f>
        <v xml:space="preserve">Bien operadas: Laguna anaeróbica poco profunda </v>
      </c>
      <c r="E32" s="605" t="str">
        <f>'IB 5D2 - Tipos de tratamiento'!E38</f>
        <v>Planta de tratamiento centralizado aeróbico - Bien operada</v>
      </c>
      <c r="F32" s="605" t="str">
        <f>'IB 5D2 - Tipos de tratamiento'!F38</f>
        <v>Planta de tratamiento centralizado aeróbico. Mal operada. Sobrecargada.</v>
      </c>
      <c r="G32" s="605" t="str">
        <f>'IB 5D2 - Tipos de tratamiento'!G38</f>
        <v>Laguna anaeróbica profunda (y otros tratamientos anaeróbicos de similar FCM)</v>
      </c>
      <c r="H32" s="201" t="str">
        <f>'IB 5D2 - Tipos de tratamiento'!H38</f>
        <v>Sistema séptico</v>
      </c>
      <c r="I32" s="804" t="s">
        <v>486</v>
      </c>
      <c r="K32" s="203" t="str">
        <f>B32</f>
        <v>Tipo de tratamiento</v>
      </c>
      <c r="L32" s="195" t="s">
        <v>487</v>
      </c>
      <c r="M32" s="200" t="s">
        <v>583</v>
      </c>
      <c r="N32" s="200" t="s">
        <v>580</v>
      </c>
      <c r="O32" s="200" t="s">
        <v>581</v>
      </c>
      <c r="P32" s="196" t="s">
        <v>582</v>
      </c>
      <c r="Q32" s="661" t="s">
        <v>486</v>
      </c>
      <c r="R32" s="802" t="s">
        <v>488</v>
      </c>
      <c r="S32" s="802" t="s">
        <v>489</v>
      </c>
    </row>
    <row r="33" spans="2:19" ht="40.5" customHeight="1">
      <c r="B33" s="194" t="s">
        <v>488</v>
      </c>
      <c r="C33" s="605">
        <f>$E$91</f>
        <v>0.1</v>
      </c>
      <c r="D33" s="204">
        <f>$E$98</f>
        <v>0.2</v>
      </c>
      <c r="E33" s="605">
        <f>$E$94</f>
        <v>0</v>
      </c>
      <c r="F33" s="605">
        <f>$E$95</f>
        <v>0.3</v>
      </c>
      <c r="G33" s="204">
        <f>$E$99</f>
        <v>0.8</v>
      </c>
      <c r="H33" s="333">
        <f>E100</f>
        <v>0.5</v>
      </c>
      <c r="I33" s="805"/>
      <c r="K33" s="203" t="s">
        <v>488</v>
      </c>
      <c r="L33" s="197">
        <f>$H$74</f>
        <v>0.1</v>
      </c>
      <c r="M33" s="605">
        <f>$H$79</f>
        <v>0.2</v>
      </c>
      <c r="N33" s="605">
        <f>$H$75</f>
        <v>0</v>
      </c>
      <c r="O33" s="605">
        <f>$H$76</f>
        <v>0.3</v>
      </c>
      <c r="P33" s="205">
        <f>$H$80</f>
        <v>0.8</v>
      </c>
      <c r="Q33" s="662"/>
      <c r="R33" s="803"/>
      <c r="S33" s="803"/>
    </row>
    <row r="34" spans="2:19">
      <c r="B34" s="198" t="str">
        <f>'IB 5D2 - Tipos de tratamiento'!B38</f>
        <v>Año</v>
      </c>
      <c r="C34" s="207"/>
      <c r="D34" s="207"/>
      <c r="E34" s="207"/>
      <c r="F34" s="207"/>
      <c r="G34" s="207"/>
      <c r="H34" s="209"/>
      <c r="I34" s="210"/>
      <c r="K34" s="211" t="str">
        <f t="shared" ref="K34:K44" si="0">B34</f>
        <v>Año</v>
      </c>
      <c r="L34" s="206"/>
      <c r="M34" s="207"/>
      <c r="N34" s="207"/>
      <c r="O34" s="207"/>
      <c r="P34" s="208"/>
      <c r="Q34" s="212"/>
      <c r="R34" s="213"/>
      <c r="S34" s="604"/>
    </row>
    <row r="35" spans="2:19">
      <c r="B35" s="198">
        <f>'IB 5D2 - Tipos de tratamiento'!B39</f>
        <v>1990</v>
      </c>
      <c r="C35" s="207">
        <f>'IB 5D2 - Tipos de tratamiento'!C39</f>
        <v>0</v>
      </c>
      <c r="D35" s="207">
        <f>'IB 5D2 - Tipos de tratamiento'!D39</f>
        <v>1.8791000050062331E-2</v>
      </c>
      <c r="E35" s="207">
        <f>'IB 5D2 - Tipos de tratamiento'!E39</f>
        <v>1.7571173842189789E-2</v>
      </c>
      <c r="F35" s="207">
        <f>'IB 5D2 - Tipos de tratamiento'!F39</f>
        <v>1.0709279958521202E-2</v>
      </c>
      <c r="G35" s="207">
        <f>'IB 5D2 - Tipos de tratamiento'!G39</f>
        <v>2.9936273612663628E-2</v>
      </c>
      <c r="H35" s="207">
        <f>'IB 5D2 - Tipos de tratamiento'!H39</f>
        <v>5.6250322995923148E-3</v>
      </c>
      <c r="I35" s="210">
        <f t="shared" ref="I35:I65" si="1">SUM(C35:H35)</f>
        <v>8.2632759763029265E-2</v>
      </c>
      <c r="K35" s="211">
        <f t="shared" si="0"/>
        <v>1990</v>
      </c>
      <c r="L35" s="206">
        <f t="shared" ref="L35:L44" si="2">(C35+H35)/($I35)</f>
        <v>6.80726665274589E-2</v>
      </c>
      <c r="M35" s="207">
        <f t="shared" ref="M35:M44" si="3">D35/($I35)</f>
        <v>0.22740375734696949</v>
      </c>
      <c r="N35" s="207">
        <f t="shared" ref="N35:N45" si="4">E35/($I35)</f>
        <v>0.21264174030468858</v>
      </c>
      <c r="O35" s="207">
        <f t="shared" ref="O35:O44" si="5">F35/($I35)</f>
        <v>0.12960089907722824</v>
      </c>
      <c r="P35" s="208">
        <f t="shared" ref="P35:P44" si="6">G35/($I35)</f>
        <v>0.3622809367436548</v>
      </c>
      <c r="Q35" s="212">
        <f t="shared" ref="Q35:Q44" si="7">SUM(L35:P35)</f>
        <v>1</v>
      </c>
      <c r="R35" s="213">
        <f>SUMPRODUCT($L$33:$P$33,L35:P35)</f>
        <v>0.38099303724023215</v>
      </c>
      <c r="S35" s="604">
        <f>R35*'Fac Conv'!$C$117</f>
        <v>9.5248259310058037E-2</v>
      </c>
    </row>
    <row r="36" spans="2:19">
      <c r="B36" s="198">
        <f>'IB 5D2 - Tipos de tratamiento'!B40</f>
        <v>1991</v>
      </c>
      <c r="C36" s="207">
        <f>'IB 5D2 - Tipos de tratamiento'!C40</f>
        <v>0</v>
      </c>
      <c r="D36" s="207">
        <f>'IB 5D2 - Tipos de tratamiento'!D40</f>
        <v>1.9960440645316969E-2</v>
      </c>
      <c r="E36" s="207">
        <f>'IB 5D2 - Tipos de tratamiento'!E40</f>
        <v>1.866469967597132E-2</v>
      </c>
      <c r="F36" s="207">
        <f>'IB 5D2 - Tipos de tratamiento'!F40</f>
        <v>1.1375762141272307E-2</v>
      </c>
      <c r="G36" s="207">
        <f>'IB 5D2 - Tipos de tratamiento'!G40</f>
        <v>3.1799330051385896E-2</v>
      </c>
      <c r="H36" s="207">
        <f>'IB 5D2 - Tipos de tratamiento'!H40</f>
        <v>5.9751010081888012E-3</v>
      </c>
      <c r="I36" s="210">
        <f t="shared" si="1"/>
        <v>8.7775333522135304E-2</v>
      </c>
      <c r="K36" s="211">
        <f t="shared" si="0"/>
        <v>1991</v>
      </c>
      <c r="L36" s="206">
        <f t="shared" si="2"/>
        <v>6.80726665274589E-2</v>
      </c>
      <c r="M36" s="207">
        <f t="shared" si="3"/>
        <v>0.22740375734696944</v>
      </c>
      <c r="N36" s="207">
        <f t="shared" si="4"/>
        <v>0.21264174030468858</v>
      </c>
      <c r="O36" s="207">
        <f t="shared" si="5"/>
        <v>0.12960089907722824</v>
      </c>
      <c r="P36" s="208">
        <f t="shared" si="6"/>
        <v>0.36228093674365475</v>
      </c>
      <c r="Q36" s="212">
        <f t="shared" si="7"/>
        <v>1</v>
      </c>
      <c r="R36" s="213">
        <f t="shared" ref="R36:R44" si="8">SUMPRODUCT($L$33:$P$33,L36:P36)</f>
        <v>0.38099303724023204</v>
      </c>
      <c r="S36" s="604">
        <f>R36*'Fac Conv'!$C$117</f>
        <v>9.5248259310058009E-2</v>
      </c>
    </row>
    <row r="37" spans="2:19">
      <c r="B37" s="198">
        <f>'IB 5D2 - Tipos de tratamiento'!B41</f>
        <v>1992</v>
      </c>
      <c r="C37" s="207">
        <f>'IB 5D2 - Tipos de tratamiento'!C41</f>
        <v>0</v>
      </c>
      <c r="D37" s="207">
        <f>'IB 5D2 - Tipos de tratamiento'!D41</f>
        <v>2.1168917965302615E-2</v>
      </c>
      <c r="E37" s="207">
        <f>'IB 5D2 - Tipos de tratamiento'!E41</f>
        <v>1.9794728147965332E-2</v>
      </c>
      <c r="F37" s="207">
        <f>'IB 5D2 - Tipos de tratamiento'!F41</f>
        <v>1.2064491953883144E-2</v>
      </c>
      <c r="G37" s="207">
        <f>'IB 5D2 - Tipos de tratamiento'!G41</f>
        <v>3.3724576584801172E-2</v>
      </c>
      <c r="H37" s="207">
        <f>'IB 5D2 - Tipos de tratamiento'!H41</f>
        <v>6.3368552490559041E-3</v>
      </c>
      <c r="I37" s="210">
        <f t="shared" si="1"/>
        <v>9.3089569901008154E-2</v>
      </c>
      <c r="K37" s="211">
        <f t="shared" si="0"/>
        <v>1992</v>
      </c>
      <c r="L37" s="206">
        <f t="shared" si="2"/>
        <v>6.8072666527458914E-2</v>
      </c>
      <c r="M37" s="207">
        <f t="shared" si="3"/>
        <v>0.22740375734696952</v>
      </c>
      <c r="N37" s="207">
        <f t="shared" si="4"/>
        <v>0.2126417403046886</v>
      </c>
      <c r="O37" s="207">
        <f t="shared" si="5"/>
        <v>0.12960089907722827</v>
      </c>
      <c r="P37" s="208">
        <f t="shared" si="6"/>
        <v>0.36228093674365486</v>
      </c>
      <c r="Q37" s="212">
        <f t="shared" si="7"/>
        <v>1.0000000000000002</v>
      </c>
      <c r="R37" s="213">
        <f t="shared" si="8"/>
        <v>0.3809930372402322</v>
      </c>
      <c r="S37" s="604">
        <f>R37*'Fac Conv'!$C$117</f>
        <v>9.524825931005805E-2</v>
      </c>
    </row>
    <row r="38" spans="2:19">
      <c r="B38" s="198">
        <f>'IB 5D2 - Tipos de tratamiento'!B42</f>
        <v>1993</v>
      </c>
      <c r="C38" s="207">
        <f>'IB 5D2 - Tipos de tratamiento'!C42</f>
        <v>0</v>
      </c>
      <c r="D38" s="207">
        <f>'IB 5D2 - Tipos de tratamiento'!D42</f>
        <v>2.2417058945578348E-2</v>
      </c>
      <c r="E38" s="207">
        <f>'IB 5D2 - Tipos de tratamiento'!E42</f>
        <v>2.0961845495927521E-2</v>
      </c>
      <c r="F38" s="207">
        <f>'IB 5D2 - Tipos de tratamiento'!F42</f>
        <v>1.2775826696571922E-2</v>
      </c>
      <c r="G38" s="207">
        <f>'IB 5D2 - Tipos de tratamiento'!G42</f>
        <v>3.5713011995006413E-2</v>
      </c>
      <c r="H38" s="207">
        <f>'IB 5D2 - Tipos de tratamiento'!H42</f>
        <v>6.7104826935661024E-3</v>
      </c>
      <c r="I38" s="210">
        <f t="shared" si="1"/>
        <v>9.8578225826650309E-2</v>
      </c>
      <c r="K38" s="211">
        <f t="shared" si="0"/>
        <v>1993</v>
      </c>
      <c r="L38" s="206">
        <f t="shared" si="2"/>
        <v>6.80726665274589E-2</v>
      </c>
      <c r="M38" s="207">
        <f t="shared" si="3"/>
        <v>0.22740375734696949</v>
      </c>
      <c r="N38" s="207">
        <f t="shared" si="4"/>
        <v>0.2126417403046886</v>
      </c>
      <c r="O38" s="207">
        <f t="shared" si="5"/>
        <v>0.12960089907722824</v>
      </c>
      <c r="P38" s="208">
        <f t="shared" si="6"/>
        <v>0.36228093674365475</v>
      </c>
      <c r="Q38" s="212">
        <f t="shared" si="7"/>
        <v>1</v>
      </c>
      <c r="R38" s="213">
        <f t="shared" si="8"/>
        <v>0.38099303724023204</v>
      </c>
      <c r="S38" s="604">
        <f>R38*'Fac Conv'!$C$117</f>
        <v>9.5248259310058009E-2</v>
      </c>
    </row>
    <row r="39" spans="2:19">
      <c r="B39" s="198">
        <f>'IB 5D2 - Tipos de tratamiento'!B43</f>
        <v>1994</v>
      </c>
      <c r="C39" s="207">
        <f>'IB 5D2 - Tipos de tratamiento'!C43</f>
        <v>0</v>
      </c>
      <c r="D39" s="207">
        <f>'IB 5D2 - Tipos de tratamiento'!D43</f>
        <v>2.4358617687495299E-2</v>
      </c>
      <c r="E39" s="207">
        <f>'IB 5D2 - Tipos de tratamiento'!E43</f>
        <v>2.2777367080098501E-2</v>
      </c>
      <c r="F39" s="207">
        <f>'IB 5D2 - Tipos de tratamiento'!F43</f>
        <v>1.3882350887285972E-2</v>
      </c>
      <c r="G39" s="207">
        <f>'IB 5D2 - Tipos de tratamiento'!G43</f>
        <v>3.8806143471683312E-2</v>
      </c>
      <c r="H39" s="207">
        <f>'IB 5D2 - Tipos de tratamiento'!H43</f>
        <v>7.2916827683754508E-3</v>
      </c>
      <c r="I39" s="210">
        <f t="shared" si="1"/>
        <v>0.10711616189493854</v>
      </c>
      <c r="K39" s="211">
        <f t="shared" si="0"/>
        <v>1994</v>
      </c>
      <c r="L39" s="206">
        <f t="shared" si="2"/>
        <v>6.80726665274589E-2</v>
      </c>
      <c r="M39" s="207">
        <f t="shared" si="3"/>
        <v>0.22740375734696944</v>
      </c>
      <c r="N39" s="207">
        <f t="shared" si="4"/>
        <v>0.21264174030468858</v>
      </c>
      <c r="O39" s="207">
        <f t="shared" si="5"/>
        <v>0.12960089907722824</v>
      </c>
      <c r="P39" s="208">
        <f t="shared" si="6"/>
        <v>0.36228093674365475</v>
      </c>
      <c r="Q39" s="212">
        <f t="shared" si="7"/>
        <v>1</v>
      </c>
      <c r="R39" s="213">
        <f t="shared" si="8"/>
        <v>0.38099303724023204</v>
      </c>
      <c r="S39" s="604">
        <f>R39*'Fac Conv'!$C$117</f>
        <v>9.5248259310058009E-2</v>
      </c>
    </row>
    <row r="40" spans="2:19">
      <c r="B40" s="198">
        <f>'IB 5D2 - Tipos de tratamiento'!B44</f>
        <v>1995</v>
      </c>
      <c r="C40" s="207">
        <f>'IB 5D2 - Tipos de tratamiento'!C44</f>
        <v>0</v>
      </c>
      <c r="D40" s="207">
        <f>'IB 5D2 - Tipos de tratamiento'!D44</f>
        <v>2.6403558631345952E-2</v>
      </c>
      <c r="E40" s="207">
        <f>'IB 5D2 - Tipos de tratamiento'!E44</f>
        <v>2.4689559764132483E-2</v>
      </c>
      <c r="F40" s="207">
        <f>'IB 5D2 - Tipos de tratamiento'!F44</f>
        <v>1.5047794185034595E-2</v>
      </c>
      <c r="G40" s="207">
        <f>'IB 5D2 - Tipos de tratamiento'!G44</f>
        <v>4.2063974957700923E-2</v>
      </c>
      <c r="H40" s="207">
        <f>'IB 5D2 - Tipos de tratamiento'!H44</f>
        <v>7.9038300106336144E-3</v>
      </c>
      <c r="I40" s="210">
        <f t="shared" si="1"/>
        <v>0.11610871754884756</v>
      </c>
      <c r="K40" s="211">
        <f t="shared" si="0"/>
        <v>1995</v>
      </c>
      <c r="L40" s="206">
        <f t="shared" si="2"/>
        <v>6.8072666527458886E-2</v>
      </c>
      <c r="M40" s="207">
        <f t="shared" si="3"/>
        <v>0.22740375734696952</v>
      </c>
      <c r="N40" s="207">
        <f t="shared" si="4"/>
        <v>0.2126417403046886</v>
      </c>
      <c r="O40" s="207">
        <f t="shared" si="5"/>
        <v>0.12960089907722827</v>
      </c>
      <c r="P40" s="208">
        <f t="shared" si="6"/>
        <v>0.36228093674365475</v>
      </c>
      <c r="Q40" s="212">
        <f t="shared" si="7"/>
        <v>1</v>
      </c>
      <c r="R40" s="213">
        <f t="shared" si="8"/>
        <v>0.38099303724023209</v>
      </c>
      <c r="S40" s="604">
        <f>R40*'Fac Conv'!$C$117</f>
        <v>9.5248259310058023E-2</v>
      </c>
    </row>
    <row r="41" spans="2:19">
      <c r="B41" s="198">
        <f>'IB 5D2 - Tipos de tratamiento'!B45</f>
        <v>1996</v>
      </c>
      <c r="C41" s="207">
        <f>'IB 5D2 - Tipos de tratamiento'!C45</f>
        <v>0</v>
      </c>
      <c r="D41" s="207">
        <f>'IB 5D2 - Tipos de tratamiento'!D45</f>
        <v>2.8568024396976026E-2</v>
      </c>
      <c r="E41" s="207">
        <f>'IB 5D2 - Tipos de tratamiento'!E45</f>
        <v>2.6713518262457766E-2</v>
      </c>
      <c r="F41" s="207">
        <f>'IB 5D2 - Tipos de tratamiento'!F45</f>
        <v>1.6281356517162338E-2</v>
      </c>
      <c r="G41" s="207">
        <f>'IB 5D2 - Tipos de tratamiento'!G45</f>
        <v>4.5512223545456656E-2</v>
      </c>
      <c r="H41" s="207">
        <f>'IB 5D2 - Tipos de tratamiento'!H45</f>
        <v>8.5517566675754626E-3</v>
      </c>
      <c r="I41" s="210">
        <f t="shared" si="1"/>
        <v>0.12562687938962824</v>
      </c>
      <c r="K41" s="211">
        <f t="shared" si="0"/>
        <v>1996</v>
      </c>
      <c r="L41" s="206">
        <f t="shared" si="2"/>
        <v>6.80726665274589E-2</v>
      </c>
      <c r="M41" s="207">
        <f t="shared" si="3"/>
        <v>0.22740375734696952</v>
      </c>
      <c r="N41" s="207">
        <f t="shared" si="4"/>
        <v>0.2126417403046886</v>
      </c>
      <c r="O41" s="207">
        <f t="shared" si="5"/>
        <v>0.12960089907722827</v>
      </c>
      <c r="P41" s="208">
        <f t="shared" si="6"/>
        <v>0.36228093674365475</v>
      </c>
      <c r="Q41" s="212">
        <f t="shared" si="7"/>
        <v>1</v>
      </c>
      <c r="R41" s="213">
        <f t="shared" si="8"/>
        <v>0.38099303724023209</v>
      </c>
      <c r="S41" s="604">
        <f>R41*'Fac Conv'!$C$117</f>
        <v>9.5248259310058023E-2</v>
      </c>
    </row>
    <row r="42" spans="2:19">
      <c r="B42" s="198">
        <f>'IB 5D2 - Tipos de tratamiento'!B46</f>
        <v>1997</v>
      </c>
      <c r="C42" s="207">
        <f>'IB 5D2 - Tipos de tratamiento'!C46</f>
        <v>0</v>
      </c>
      <c r="D42" s="207">
        <f>'IB 5D2 - Tipos de tratamiento'!D46</f>
        <v>3.0856550711836055E-2</v>
      </c>
      <c r="E42" s="207">
        <f>'IB 5D2 - Tipos de tratamiento'!E46</f>
        <v>2.8853483863740287E-2</v>
      </c>
      <c r="F42" s="207">
        <f>'IB 5D2 - Tipos de tratamiento'!F46</f>
        <v>1.7585622864508633E-2</v>
      </c>
      <c r="G42" s="207">
        <f>'IB 5D2 - Tipos de tratamiento'!G46</f>
        <v>4.9158115182352455E-2</v>
      </c>
      <c r="H42" s="207">
        <f>'IB 5D2 - Tipos de tratamiento'!H46</f>
        <v>9.2368204962838211E-3</v>
      </c>
      <c r="I42" s="210">
        <f t="shared" si="1"/>
        <v>0.13569059311872128</v>
      </c>
      <c r="K42" s="211">
        <f t="shared" si="0"/>
        <v>1997</v>
      </c>
      <c r="L42" s="206">
        <f t="shared" si="2"/>
        <v>6.8072666527458886E-2</v>
      </c>
      <c r="M42" s="207">
        <f t="shared" si="3"/>
        <v>0.22740375734696944</v>
      </c>
      <c r="N42" s="207">
        <f t="shared" si="4"/>
        <v>0.21264174030468852</v>
      </c>
      <c r="O42" s="207">
        <f t="shared" si="5"/>
        <v>0.12960089907722822</v>
      </c>
      <c r="P42" s="208">
        <f t="shared" si="6"/>
        <v>0.36228093674365475</v>
      </c>
      <c r="Q42" s="212">
        <f t="shared" si="7"/>
        <v>0.99999999999999978</v>
      </c>
      <c r="R42" s="213">
        <f t="shared" si="8"/>
        <v>0.38099303724023204</v>
      </c>
      <c r="S42" s="604">
        <f>R42*'Fac Conv'!$C$117</f>
        <v>9.5248259310058009E-2</v>
      </c>
    </row>
    <row r="43" spans="2:19">
      <c r="B43" s="198">
        <f>'IB 5D2 - Tipos de tratamiento'!B47</f>
        <v>1998</v>
      </c>
      <c r="C43" s="207">
        <f>'IB 5D2 - Tipos de tratamiento'!C47</f>
        <v>0</v>
      </c>
      <c r="D43" s="207">
        <f>'IB 5D2 - Tipos de tratamiento'!D47</f>
        <v>3.325051342535934E-2</v>
      </c>
      <c r="E43" s="207">
        <f>'IB 5D2 - Tipos de tratamiento'!E47</f>
        <v>3.1092041412512074E-2</v>
      </c>
      <c r="F43" s="207">
        <f>'IB 5D2 - Tipos de tratamiento'!F47</f>
        <v>1.89499790372019E-2</v>
      </c>
      <c r="G43" s="207">
        <f>'IB 5D2 - Tipos de tratamiento'!G47</f>
        <v>5.2971979405630448E-2</v>
      </c>
      <c r="H43" s="207">
        <f>'IB 5D2 - Tipos de tratamiento'!H47</f>
        <v>9.9534464103763209E-3</v>
      </c>
      <c r="I43" s="210">
        <f t="shared" si="1"/>
        <v>0.14621795969108009</v>
      </c>
      <c r="K43" s="211">
        <f t="shared" si="0"/>
        <v>1998</v>
      </c>
      <c r="L43" s="206">
        <f t="shared" si="2"/>
        <v>6.8072666527458886E-2</v>
      </c>
      <c r="M43" s="207">
        <f t="shared" si="3"/>
        <v>0.22740375734696947</v>
      </c>
      <c r="N43" s="207">
        <f t="shared" si="4"/>
        <v>0.21264174030468858</v>
      </c>
      <c r="O43" s="207">
        <f t="shared" si="5"/>
        <v>0.12960089907722824</v>
      </c>
      <c r="P43" s="208">
        <f t="shared" si="6"/>
        <v>0.36228093674365475</v>
      </c>
      <c r="Q43" s="212">
        <f t="shared" si="7"/>
        <v>1</v>
      </c>
      <c r="R43" s="213">
        <f t="shared" si="8"/>
        <v>0.38099303724023204</v>
      </c>
      <c r="S43" s="604">
        <f>R43*'Fac Conv'!$C$117</f>
        <v>9.5248259310058009E-2</v>
      </c>
    </row>
    <row r="44" spans="2:19">
      <c r="B44" s="198">
        <f>'IB 5D2 - Tipos de tratamiento'!B48</f>
        <v>1999</v>
      </c>
      <c r="C44" s="207">
        <f>'IB 5D2 - Tipos de tratamiento'!C48</f>
        <v>0</v>
      </c>
      <c r="D44" s="207">
        <f>'IB 5D2 - Tipos de tratamiento'!D48</f>
        <v>3.5726022607756806E-2</v>
      </c>
      <c r="E44" s="207">
        <f>'IB 5D2 - Tipos de tratamiento'!E48</f>
        <v>3.3406851804506026E-2</v>
      </c>
      <c r="F44" s="207">
        <f>'IB 5D2 - Tipos de tratamiento'!F48</f>
        <v>2.0360809796797181E-2</v>
      </c>
      <c r="G44" s="207">
        <f>'IB 5D2 - Tipos de tratamiento'!G48</f>
        <v>5.691575674677659E-2</v>
      </c>
      <c r="H44" s="207">
        <f>'IB 5D2 - Tipos de tratamiento'!H48</f>
        <v>1.0694483027470945E-2</v>
      </c>
      <c r="I44" s="210">
        <f t="shared" si="1"/>
        <v>0.15710392398330755</v>
      </c>
      <c r="K44" s="211">
        <f t="shared" si="0"/>
        <v>1999</v>
      </c>
      <c r="L44" s="206">
        <f t="shared" si="2"/>
        <v>6.8072666527458886E-2</v>
      </c>
      <c r="M44" s="207">
        <f t="shared" si="3"/>
        <v>0.22740375734696947</v>
      </c>
      <c r="N44" s="207">
        <f t="shared" si="4"/>
        <v>0.2126417403046886</v>
      </c>
      <c r="O44" s="207">
        <f t="shared" si="5"/>
        <v>0.12960089907722824</v>
      </c>
      <c r="P44" s="208">
        <f t="shared" si="6"/>
        <v>0.36228093674365475</v>
      </c>
      <c r="Q44" s="212">
        <f t="shared" si="7"/>
        <v>1</v>
      </c>
      <c r="R44" s="213">
        <f t="shared" si="8"/>
        <v>0.38099303724023204</v>
      </c>
      <c r="S44" s="604">
        <f>R44*'Fac Conv'!$C$117</f>
        <v>9.5248259310058009E-2</v>
      </c>
    </row>
    <row r="45" spans="2:19">
      <c r="B45" s="198">
        <f>'IB 5D2 - Tipos de tratamiento'!B49</f>
        <v>2000</v>
      </c>
      <c r="C45" s="207">
        <f>'IB 5D2 - Tipos de tratamiento'!C49</f>
        <v>0</v>
      </c>
      <c r="D45" s="207">
        <f>'IB 5D2 - Tipos de tratamiento'!D49</f>
        <v>3.7664300331538531E-2</v>
      </c>
      <c r="E45" s="207">
        <f>'IB 5D2 - Tipos de tratamiento'!E49</f>
        <v>3.5219305359307625E-2</v>
      </c>
      <c r="F45" s="207">
        <f>'IB 5D2 - Tipos de tratamiento'!F49</f>
        <v>2.1465464084809642E-2</v>
      </c>
      <c r="G45" s="207">
        <f>'IB 5D2 - Tipos de tratamiento'!G49</f>
        <v>6.0003661175592131E-2</v>
      </c>
      <c r="H45" s="207">
        <f>'IB 5D2 - Tipos de tratamiento'!H49</f>
        <v>1.1274700938854345E-2</v>
      </c>
      <c r="I45" s="210">
        <f t="shared" si="1"/>
        <v>0.16562743189010229</v>
      </c>
      <c r="K45" s="211">
        <f t="shared" ref="K45:K67" si="9">B45</f>
        <v>2000</v>
      </c>
      <c r="L45" s="206">
        <f t="shared" ref="L45:L67" si="10">(C45+H45)/($I45)</f>
        <v>6.80726665274589E-2</v>
      </c>
      <c r="M45" s="207">
        <f t="shared" ref="M45:M67" si="11">D45/($I45)</f>
        <v>0.22740375734696944</v>
      </c>
      <c r="N45" s="207">
        <f t="shared" si="4"/>
        <v>0.21264174030468858</v>
      </c>
      <c r="O45" s="207">
        <f t="shared" ref="O45:O67" si="12">F45/($I45)</f>
        <v>0.12960089907722824</v>
      </c>
      <c r="P45" s="208">
        <f t="shared" ref="P45:P67" si="13">G45/($I45)</f>
        <v>0.36228093674365475</v>
      </c>
      <c r="Q45" s="212">
        <f t="shared" ref="Q45:Q67" si="14">SUM(L45:P45)</f>
        <v>1</v>
      </c>
      <c r="R45" s="213">
        <f t="shared" ref="R45:R67" si="15">SUMPRODUCT($L$33:$P$33,L45:P45)</f>
        <v>0.38099303724023204</v>
      </c>
      <c r="S45" s="604">
        <f>R45*'Fac Conv'!$C$117</f>
        <v>9.5248259310058009E-2</v>
      </c>
    </row>
    <row r="46" spans="2:19">
      <c r="B46" s="198">
        <f>'IB 5D2 - Tipos de tratamiento'!B50</f>
        <v>2001</v>
      </c>
      <c r="C46" s="207">
        <f>'IB 5D2 - Tipos de tratamiento'!C50</f>
        <v>0</v>
      </c>
      <c r="D46" s="207">
        <f>'IB 5D2 - Tipos de tratamiento'!D50</f>
        <v>4.0653228308540422E-2</v>
      </c>
      <c r="E46" s="207">
        <f>'IB 5D2 - Tipos de tratamiento'!E50</f>
        <v>3.801420573426189E-2</v>
      </c>
      <c r="F46" s="207">
        <f>'IB 5D2 - Tipos de tratamiento'!F50</f>
        <v>2.3168900112497986E-2</v>
      </c>
      <c r="G46" s="207">
        <f>'IB 5D2 - Tipos de tratamiento'!G50</f>
        <v>6.4765375054028157E-2</v>
      </c>
      <c r="H46" s="207">
        <f>'IB 5D2 - Tipos de tratamiento'!H50</f>
        <v>1.2169428008568496E-2</v>
      </c>
      <c r="I46" s="210">
        <f t="shared" si="1"/>
        <v>0.17877113721789695</v>
      </c>
      <c r="K46" s="211">
        <f t="shared" si="9"/>
        <v>2001</v>
      </c>
      <c r="L46" s="206">
        <f t="shared" si="10"/>
        <v>6.80726665274589E-2</v>
      </c>
      <c r="M46" s="207">
        <f t="shared" si="11"/>
        <v>0.22740375734696949</v>
      </c>
      <c r="N46" s="207">
        <f t="shared" ref="N46:N67" si="16">E46/($I46)</f>
        <v>0.21264174030468858</v>
      </c>
      <c r="O46" s="207">
        <f t="shared" si="12"/>
        <v>0.12960089907722824</v>
      </c>
      <c r="P46" s="208">
        <f t="shared" si="13"/>
        <v>0.3622809367436548</v>
      </c>
      <c r="Q46" s="212">
        <f t="shared" si="14"/>
        <v>1</v>
      </c>
      <c r="R46" s="213">
        <f t="shared" si="15"/>
        <v>0.38099303724023215</v>
      </c>
      <c r="S46" s="604">
        <f>R46*'Fac Conv'!$C$117</f>
        <v>9.5248259310058037E-2</v>
      </c>
    </row>
    <row r="47" spans="2:19">
      <c r="B47" s="198">
        <f>'IB 5D2 - Tipos de tratamiento'!B51</f>
        <v>2002</v>
      </c>
      <c r="C47" s="207">
        <f>'IB 5D2 - Tipos de tratamiento'!C51</f>
        <v>0</v>
      </c>
      <c r="D47" s="207">
        <f>'IB 5D2 - Tipos de tratamiento'!D51</f>
        <v>4.205084521014852E-2</v>
      </c>
      <c r="E47" s="207">
        <f>'IB 5D2 - Tipos de tratamiento'!E51</f>
        <v>3.9321095706988864E-2</v>
      </c>
      <c r="F47" s="207">
        <f>'IB 5D2 - Tipos de tratamiento'!F51</f>
        <v>2.3965423481887918E-2</v>
      </c>
      <c r="G47" s="207">
        <f>'IB 5D2 - Tipos de tratamiento'!G51</f>
        <v>6.6991943190942413E-2</v>
      </c>
      <c r="H47" s="207">
        <f>'IB 5D2 - Tipos de tratamiento'!H51</f>
        <v>1.2587800644035313E-2</v>
      </c>
      <c r="I47" s="210">
        <f t="shared" si="1"/>
        <v>0.18491710823400304</v>
      </c>
      <c r="K47" s="211">
        <f t="shared" si="9"/>
        <v>2002</v>
      </c>
      <c r="L47" s="206">
        <f t="shared" si="10"/>
        <v>6.80726665274589E-2</v>
      </c>
      <c r="M47" s="207">
        <f t="shared" si="11"/>
        <v>0.22740375734696949</v>
      </c>
      <c r="N47" s="207">
        <f t="shared" si="16"/>
        <v>0.21264174030468858</v>
      </c>
      <c r="O47" s="207">
        <f t="shared" si="12"/>
        <v>0.12960089907722824</v>
      </c>
      <c r="P47" s="208">
        <f t="shared" si="13"/>
        <v>0.36228093674365475</v>
      </c>
      <c r="Q47" s="212">
        <f t="shared" si="14"/>
        <v>1</v>
      </c>
      <c r="R47" s="213">
        <f t="shared" si="15"/>
        <v>0.38099303724023204</v>
      </c>
      <c r="S47" s="604">
        <f>R47*'Fac Conv'!$C$117</f>
        <v>9.5248259310058009E-2</v>
      </c>
    </row>
    <row r="48" spans="2:19">
      <c r="B48" s="198">
        <f>'IB 5D2 - Tipos de tratamiento'!B52</f>
        <v>2003</v>
      </c>
      <c r="C48" s="207">
        <f>'IB 5D2 - Tipos de tratamiento'!C52</f>
        <v>0</v>
      </c>
      <c r="D48" s="207">
        <f>'IB 5D2 - Tipos de tratamiento'!D52</f>
        <v>4.173800243029261E-2</v>
      </c>
      <c r="E48" s="207">
        <f>'IB 5D2 - Tipos de tratamiento'!E52</f>
        <v>3.9028561256694724E-2</v>
      </c>
      <c r="F48" s="207">
        <f>'IB 5D2 - Tipos de tratamiento'!F52</f>
        <v>2.3787129569719692E-2</v>
      </c>
      <c r="G48" s="207">
        <f>'IB 5D2 - Tipos de tratamiento'!G52</f>
        <v>6.6493547840478784E-2</v>
      </c>
      <c r="H48" s="207">
        <f>'IB 5D2 - Tipos de tratamiento'!H52</f>
        <v>1.249415204967123E-2</v>
      </c>
      <c r="I48" s="210">
        <f t="shared" si="1"/>
        <v>0.18354139314685705</v>
      </c>
      <c r="K48" s="211">
        <f t="shared" si="9"/>
        <v>2003</v>
      </c>
      <c r="L48" s="206">
        <f t="shared" si="10"/>
        <v>6.80726665274589E-2</v>
      </c>
      <c r="M48" s="207">
        <f t="shared" si="11"/>
        <v>0.22740375734696949</v>
      </c>
      <c r="N48" s="207">
        <f t="shared" si="16"/>
        <v>0.21264174030468858</v>
      </c>
      <c r="O48" s="207">
        <f t="shared" si="12"/>
        <v>0.12960089907722824</v>
      </c>
      <c r="P48" s="208">
        <f t="shared" si="13"/>
        <v>0.36228093674365475</v>
      </c>
      <c r="Q48" s="212">
        <f t="shared" si="14"/>
        <v>1</v>
      </c>
      <c r="R48" s="213">
        <f t="shared" si="15"/>
        <v>0.38099303724023204</v>
      </c>
      <c r="S48" s="604">
        <f>R48*'Fac Conv'!$C$117</f>
        <v>9.5248259310058009E-2</v>
      </c>
    </row>
    <row r="49" spans="2:19">
      <c r="B49" s="198">
        <f>'IB 5D2 - Tipos de tratamiento'!B53</f>
        <v>2004</v>
      </c>
      <c r="C49" s="207">
        <f>'IB 5D2 - Tipos de tratamiento'!C53</f>
        <v>0</v>
      </c>
      <c r="D49" s="207">
        <f>'IB 5D2 - Tipos de tratamiento'!D53</f>
        <v>4.4416952451532009E-2</v>
      </c>
      <c r="E49" s="207">
        <f>'IB 5D2 - Tipos de tratamiento'!E53</f>
        <v>4.1533606034105566E-2</v>
      </c>
      <c r="F49" s="207">
        <f>'IB 5D2 - Tipos de tratamiento'!F53</f>
        <v>2.5313904392555365E-2</v>
      </c>
      <c r="G49" s="207">
        <f>'IB 5D2 - Tipos de tratamiento'!G53</f>
        <v>7.0761430370243766E-2</v>
      </c>
      <c r="H49" s="207">
        <f>'IB 5D2 - Tipos de tratamiento'!H53</f>
        <v>1.3296088101947231E-2</v>
      </c>
      <c r="I49" s="210">
        <f t="shared" si="1"/>
        <v>0.19532198135038395</v>
      </c>
      <c r="K49" s="211">
        <f t="shared" si="9"/>
        <v>2004</v>
      </c>
      <c r="L49" s="206">
        <f t="shared" si="10"/>
        <v>6.8072666527458886E-2</v>
      </c>
      <c r="M49" s="207">
        <f t="shared" si="11"/>
        <v>0.22740375734696947</v>
      </c>
      <c r="N49" s="207">
        <f t="shared" si="16"/>
        <v>0.21264174030468855</v>
      </c>
      <c r="O49" s="207">
        <f t="shared" si="12"/>
        <v>0.12960089907722824</v>
      </c>
      <c r="P49" s="208">
        <f t="shared" si="13"/>
        <v>0.3622809367436548</v>
      </c>
      <c r="Q49" s="212">
        <f t="shared" si="14"/>
        <v>1</v>
      </c>
      <c r="R49" s="213">
        <f t="shared" si="15"/>
        <v>0.38099303724023215</v>
      </c>
      <c r="S49" s="604">
        <f>R49*'Fac Conv'!$C$117</f>
        <v>9.5248259310058037E-2</v>
      </c>
    </row>
    <row r="50" spans="2:19">
      <c r="B50" s="198">
        <f>'IB 5D2 - Tipos de tratamiento'!B54</f>
        <v>2005</v>
      </c>
      <c r="C50" s="207">
        <f>'IB 5D2 - Tipos de tratamiento'!C54</f>
        <v>0</v>
      </c>
      <c r="D50" s="207">
        <f>'IB 5D2 - Tipos de tratamiento'!D54</f>
        <v>4.6463739963956106E-2</v>
      </c>
      <c r="E50" s="207">
        <f>'IB 5D2 - Tipos de tratamiento'!E54</f>
        <v>4.3447525415884709E-2</v>
      </c>
      <c r="F50" s="207">
        <f>'IB 5D2 - Tipos de tratamiento'!F54</f>
        <v>2.6480400078136627E-2</v>
      </c>
      <c r="G50" s="207">
        <f>'IB 5D2 - Tipos de tratamiento'!G54</f>
        <v>7.4022203657225255E-2</v>
      </c>
      <c r="H50" s="207">
        <f>'IB 5D2 - Tipos de tratamiento'!H54</f>
        <v>1.3908788109244055E-2</v>
      </c>
      <c r="I50" s="210">
        <f t="shared" si="1"/>
        <v>0.20432265722444676</v>
      </c>
      <c r="K50" s="211">
        <f t="shared" si="9"/>
        <v>2005</v>
      </c>
      <c r="L50" s="206">
        <f t="shared" si="10"/>
        <v>6.80726665274589E-2</v>
      </c>
      <c r="M50" s="207">
        <f t="shared" si="11"/>
        <v>0.22740375734696947</v>
      </c>
      <c r="N50" s="207">
        <f t="shared" si="16"/>
        <v>0.21264174030468858</v>
      </c>
      <c r="O50" s="207">
        <f t="shared" si="12"/>
        <v>0.12960089907722824</v>
      </c>
      <c r="P50" s="208">
        <f t="shared" si="13"/>
        <v>0.3622809367436548</v>
      </c>
      <c r="Q50" s="212">
        <f t="shared" si="14"/>
        <v>1</v>
      </c>
      <c r="R50" s="213">
        <f t="shared" si="15"/>
        <v>0.38099303724023215</v>
      </c>
      <c r="S50" s="604">
        <f>R50*'Fac Conv'!$C$117</f>
        <v>9.5248259310058037E-2</v>
      </c>
    </row>
    <row r="51" spans="2:19">
      <c r="B51" s="198">
        <f>'IB 5D2 - Tipos de tratamiento'!B55</f>
        <v>2006</v>
      </c>
      <c r="C51" s="207">
        <f>'IB 5D2 - Tipos de tratamiento'!C55</f>
        <v>0</v>
      </c>
      <c r="D51" s="207">
        <f>'IB 5D2 - Tipos de tratamiento'!D55</f>
        <v>4.9322209076471293E-2</v>
      </c>
      <c r="E51" s="207">
        <f>'IB 5D2 - Tipos de tratamiento'!E55</f>
        <v>4.612043572213357E-2</v>
      </c>
      <c r="F51" s="207">
        <f>'IB 5D2 - Tipos de tratamiento'!F55</f>
        <v>2.8109485592327198E-2</v>
      </c>
      <c r="G51" s="207">
        <f>'IB 5D2 - Tipos de tratamiento'!G55</f>
        <v>7.857608121763314E-2</v>
      </c>
      <c r="H51" s="207">
        <f>'IB 5D2 - Tipos de tratamiento'!H55</f>
        <v>1.4764462689758546E-2</v>
      </c>
      <c r="I51" s="210">
        <f t="shared" si="1"/>
        <v>0.21689267429832373</v>
      </c>
      <c r="K51" s="211">
        <f t="shared" si="9"/>
        <v>2006</v>
      </c>
      <c r="L51" s="206">
        <f t="shared" si="10"/>
        <v>6.80726665274589E-2</v>
      </c>
      <c r="M51" s="207">
        <f t="shared" si="11"/>
        <v>0.22740375734696947</v>
      </c>
      <c r="N51" s="207">
        <f t="shared" si="16"/>
        <v>0.21264174030468863</v>
      </c>
      <c r="O51" s="207">
        <f t="shared" si="12"/>
        <v>0.12960089907722827</v>
      </c>
      <c r="P51" s="208">
        <f t="shared" si="13"/>
        <v>0.3622809367436548</v>
      </c>
      <c r="Q51" s="212">
        <f t="shared" si="14"/>
        <v>1</v>
      </c>
      <c r="R51" s="213">
        <f t="shared" si="15"/>
        <v>0.38099303724023215</v>
      </c>
      <c r="S51" s="604">
        <f>R51*'Fac Conv'!$C$117</f>
        <v>9.5248259310058037E-2</v>
      </c>
    </row>
    <row r="52" spans="2:19">
      <c r="B52" s="198">
        <f>'IB 5D2 - Tipos de tratamiento'!B56</f>
        <v>2007</v>
      </c>
      <c r="C52" s="207">
        <f>'IB 5D2 - Tipos de tratamiento'!C56</f>
        <v>0</v>
      </c>
      <c r="D52" s="207">
        <f>'IB 5D2 - Tipos de tratamiento'!D56</f>
        <v>5.1619063115844042E-2</v>
      </c>
      <c r="E52" s="207">
        <f>'IB 5D2 - Tipos de tratamiento'!E56</f>
        <v>4.8268188449951822E-2</v>
      </c>
      <c r="F52" s="207">
        <f>'IB 5D2 - Tipos de tratamiento'!F56</f>
        <v>2.9418498037964515E-2</v>
      </c>
      <c r="G52" s="207">
        <f>'IB 5D2 - Tipos de tratamiento'!G56</f>
        <v>8.2235239899333332E-2</v>
      </c>
      <c r="H52" s="207">
        <f>'IB 5D2 - Tipos de tratamiento'!H56</f>
        <v>1.5452019399060877E-2</v>
      </c>
      <c r="I52" s="210">
        <f t="shared" si="1"/>
        <v>0.22699300890215457</v>
      </c>
      <c r="K52" s="211">
        <f t="shared" si="9"/>
        <v>2007</v>
      </c>
      <c r="L52" s="206">
        <f t="shared" si="10"/>
        <v>6.80726665274589E-2</v>
      </c>
      <c r="M52" s="207">
        <f t="shared" si="11"/>
        <v>0.22740375734696949</v>
      </c>
      <c r="N52" s="207">
        <f t="shared" si="16"/>
        <v>0.2126417403046886</v>
      </c>
      <c r="O52" s="207">
        <f t="shared" si="12"/>
        <v>0.12960089907722827</v>
      </c>
      <c r="P52" s="208">
        <f t="shared" si="13"/>
        <v>0.3622809367436548</v>
      </c>
      <c r="Q52" s="212">
        <f t="shared" si="14"/>
        <v>1</v>
      </c>
      <c r="R52" s="213">
        <f t="shared" si="15"/>
        <v>0.38099303724023215</v>
      </c>
      <c r="S52" s="604">
        <f>R52*'Fac Conv'!$C$117</f>
        <v>9.5248259310058037E-2</v>
      </c>
    </row>
    <row r="53" spans="2:19">
      <c r="B53" s="198">
        <f>'IB 5D2 - Tipos de tratamiento'!B57</f>
        <v>2008</v>
      </c>
      <c r="C53" s="207">
        <f>'IB 5D2 - Tipos de tratamiento'!C57</f>
        <v>0</v>
      </c>
      <c r="D53" s="207">
        <f>'IB 5D2 - Tipos de tratamiento'!D57</f>
        <v>5.4799850180267597E-2</v>
      </c>
      <c r="E53" s="207">
        <f>'IB 5D2 - Tipos de tratamiento'!E57</f>
        <v>5.1242493293497886E-2</v>
      </c>
      <c r="F53" s="207">
        <f>'IB 5D2 - Tipos de tratamiento'!F57</f>
        <v>3.1231277510616454E-2</v>
      </c>
      <c r="G53" s="207">
        <f>'IB 5D2 - Tipos de tratamiento'!G57</f>
        <v>8.7302607873923313E-2</v>
      </c>
      <c r="H53" s="207">
        <f>'IB 5D2 - Tipos de tratamiento'!H57</f>
        <v>1.6404178939683545E-2</v>
      </c>
      <c r="I53" s="210">
        <f t="shared" si="1"/>
        <v>0.24098040779798879</v>
      </c>
      <c r="K53" s="211">
        <f t="shared" si="9"/>
        <v>2008</v>
      </c>
      <c r="L53" s="206">
        <f t="shared" si="10"/>
        <v>6.8072666527458886E-2</v>
      </c>
      <c r="M53" s="207">
        <f t="shared" si="11"/>
        <v>0.22740375734696949</v>
      </c>
      <c r="N53" s="207">
        <f t="shared" si="16"/>
        <v>0.21264174030468858</v>
      </c>
      <c r="O53" s="207">
        <f t="shared" si="12"/>
        <v>0.12960089907722824</v>
      </c>
      <c r="P53" s="208">
        <f t="shared" si="13"/>
        <v>0.3622809367436548</v>
      </c>
      <c r="Q53" s="212">
        <f t="shared" si="14"/>
        <v>1</v>
      </c>
      <c r="R53" s="213">
        <f t="shared" si="15"/>
        <v>0.38099303724023215</v>
      </c>
      <c r="S53" s="604">
        <f>R53*'Fac Conv'!$C$117</f>
        <v>9.5248259310058037E-2</v>
      </c>
    </row>
    <row r="54" spans="2:19">
      <c r="B54" s="198">
        <f>'IB 5D2 - Tipos de tratamiento'!B58</f>
        <v>2009</v>
      </c>
      <c r="C54" s="207">
        <f>'IB 5D2 - Tipos de tratamiento'!C58</f>
        <v>0</v>
      </c>
      <c r="D54" s="207">
        <f>'IB 5D2 - Tipos de tratamiento'!D58</f>
        <v>5.8398441467796568E-2</v>
      </c>
      <c r="E54" s="207">
        <f>'IB 5D2 - Tipos de tratamiento'!E58</f>
        <v>5.4607480411357608E-2</v>
      </c>
      <c r="F54" s="207">
        <f>'IB 5D2 - Tipos de tratamiento'!F58</f>
        <v>3.3282170036387865E-2</v>
      </c>
      <c r="G54" s="207">
        <f>'IB 5D2 - Tipos de tratamiento'!G58</f>
        <v>9.3035587125512284E-2</v>
      </c>
      <c r="H54" s="207">
        <f>'IB 5D2 - Tipos de tratamiento'!H58</f>
        <v>1.7481406983505237E-2</v>
      </c>
      <c r="I54" s="210">
        <f t="shared" si="1"/>
        <v>0.25680508602455959</v>
      </c>
      <c r="K54" s="211">
        <f t="shared" si="9"/>
        <v>2009</v>
      </c>
      <c r="L54" s="206">
        <f t="shared" si="10"/>
        <v>6.8072666527458886E-2</v>
      </c>
      <c r="M54" s="207">
        <f t="shared" si="11"/>
        <v>0.22740375734696947</v>
      </c>
      <c r="N54" s="207">
        <f t="shared" si="16"/>
        <v>0.21264174030468858</v>
      </c>
      <c r="O54" s="207">
        <f t="shared" si="12"/>
        <v>0.12960089907722824</v>
      </c>
      <c r="P54" s="208">
        <f t="shared" si="13"/>
        <v>0.36228093674365475</v>
      </c>
      <c r="Q54" s="212">
        <f t="shared" si="14"/>
        <v>1</v>
      </c>
      <c r="R54" s="213">
        <f t="shared" si="15"/>
        <v>0.38099303724023204</v>
      </c>
      <c r="S54" s="604">
        <f>R54*'Fac Conv'!$C$117</f>
        <v>9.5248259310058009E-2</v>
      </c>
    </row>
    <row r="55" spans="2:19">
      <c r="B55" s="198">
        <f>'IB 5D2 - Tipos de tratamiento'!B59</f>
        <v>2010</v>
      </c>
      <c r="C55" s="207">
        <f>'IB 5D2 - Tipos de tratamiento'!C59</f>
        <v>0</v>
      </c>
      <c r="D55" s="207">
        <f>'IB 5D2 - Tipos de tratamiento'!D59</f>
        <v>6.1867513880689409E-2</v>
      </c>
      <c r="E55" s="207">
        <f>'IB 5D2 - Tipos de tratamiento'!E59</f>
        <v>5.7851356430499157E-2</v>
      </c>
      <c r="F55" s="207">
        <f>'IB 5D2 - Tipos de tratamiento'!F59</f>
        <v>3.5259247763335597E-2</v>
      </c>
      <c r="G55" s="207">
        <f>'IB 5D2 - Tipos de tratamiento'!G59</f>
        <v>9.8562227573483485E-2</v>
      </c>
      <c r="H55" s="207">
        <f>'IB 5D2 - Tipos de tratamiento'!H59</f>
        <v>1.8519863921409516E-2</v>
      </c>
      <c r="I55" s="210">
        <f t="shared" si="1"/>
        <v>0.27206020956941718</v>
      </c>
      <c r="K55" s="211">
        <f t="shared" si="9"/>
        <v>2010</v>
      </c>
      <c r="L55" s="206">
        <f t="shared" si="10"/>
        <v>6.8072666527458886E-2</v>
      </c>
      <c r="M55" s="207">
        <f t="shared" si="11"/>
        <v>0.22740375734696949</v>
      </c>
      <c r="N55" s="207">
        <f t="shared" si="16"/>
        <v>0.21264174030468858</v>
      </c>
      <c r="O55" s="207">
        <f t="shared" si="12"/>
        <v>0.12960089907722822</v>
      </c>
      <c r="P55" s="208">
        <f t="shared" si="13"/>
        <v>0.36228093674365475</v>
      </c>
      <c r="Q55" s="212">
        <f t="shared" si="14"/>
        <v>1</v>
      </c>
      <c r="R55" s="213">
        <f t="shared" si="15"/>
        <v>0.38099303724023204</v>
      </c>
      <c r="S55" s="604">
        <f>R55*'Fac Conv'!$C$117</f>
        <v>9.5248259310058009E-2</v>
      </c>
    </row>
    <row r="56" spans="2:19">
      <c r="B56" s="198">
        <f>'IB 5D2 - Tipos de tratamiento'!B60</f>
        <v>2011</v>
      </c>
      <c r="C56" s="207">
        <f>'IB 5D2 - Tipos de tratamiento'!C60</f>
        <v>0</v>
      </c>
      <c r="D56" s="207">
        <f>'IB 5D2 - Tipos de tratamiento'!D60</f>
        <v>6.2782721632592103E-2</v>
      </c>
      <c r="E56" s="207">
        <f>'IB 5D2 - Tipos de tratamiento'!E60</f>
        <v>5.8707153060138829E-2</v>
      </c>
      <c r="F56" s="207">
        <f>'IB 5D2 - Tipos de tratamiento'!F60</f>
        <v>3.5780838738229057E-2</v>
      </c>
      <c r="G56" s="207">
        <f>'IB 5D2 - Tipos de tratamiento'!G60</f>
        <v>0.10002026118534009</v>
      </c>
      <c r="H56" s="207">
        <f>'IB 5D2 - Tipos de tratamiento'!H60</f>
        <v>1.8793828753061622E-2</v>
      </c>
      <c r="I56" s="210">
        <f t="shared" si="1"/>
        <v>0.2760848033693617</v>
      </c>
      <c r="K56" s="211">
        <f t="shared" si="9"/>
        <v>2011</v>
      </c>
      <c r="L56" s="206">
        <f t="shared" si="10"/>
        <v>6.80726665274589E-2</v>
      </c>
      <c r="M56" s="207">
        <f t="shared" si="11"/>
        <v>0.22740375734696947</v>
      </c>
      <c r="N56" s="207">
        <f t="shared" si="16"/>
        <v>0.2126417403046886</v>
      </c>
      <c r="O56" s="207">
        <f t="shared" si="12"/>
        <v>0.12960089907722827</v>
      </c>
      <c r="P56" s="208">
        <f t="shared" si="13"/>
        <v>0.36228093674365475</v>
      </c>
      <c r="Q56" s="212">
        <f t="shared" si="14"/>
        <v>1</v>
      </c>
      <c r="R56" s="213">
        <f t="shared" si="15"/>
        <v>0.38099303724023209</v>
      </c>
      <c r="S56" s="604">
        <f>R56*'Fac Conv'!$C$117</f>
        <v>9.5248259310058023E-2</v>
      </c>
    </row>
    <row r="57" spans="2:19">
      <c r="B57" s="198">
        <f>'IB 5D2 - Tipos de tratamiento'!B61</f>
        <v>2012</v>
      </c>
      <c r="C57" s="207">
        <f>'IB 5D2 - Tipos de tratamiento'!C61</f>
        <v>0</v>
      </c>
      <c r="D57" s="207">
        <f>'IB 5D2 - Tipos de tratamiento'!D61</f>
        <v>6.2242000212166984E-2</v>
      </c>
      <c r="E57" s="207">
        <f>'IB 5D2 - Tipos de tratamiento'!E61</f>
        <v>5.8201532813575409E-2</v>
      </c>
      <c r="F57" s="207">
        <f>'IB 5D2 - Tipos de tratamiento'!F61</f>
        <v>3.5472673283730917E-2</v>
      </c>
      <c r="G57" s="207">
        <f>'IB 5D2 - Tipos de tratamiento'!G61</f>
        <v>9.9158828353295536E-2</v>
      </c>
      <c r="H57" s="207">
        <f>'IB 5D2 - Tipos de tratamiento'!H61</f>
        <v>1.8631965337231195E-2</v>
      </c>
      <c r="I57" s="210">
        <f t="shared" si="1"/>
        <v>0.27370700000000003</v>
      </c>
      <c r="K57" s="211">
        <f t="shared" si="9"/>
        <v>2012</v>
      </c>
      <c r="L57" s="206">
        <f t="shared" si="10"/>
        <v>6.80726665274589E-2</v>
      </c>
      <c r="M57" s="207">
        <f t="shared" si="11"/>
        <v>0.22740375734696949</v>
      </c>
      <c r="N57" s="207">
        <f t="shared" si="16"/>
        <v>0.2126417403046886</v>
      </c>
      <c r="O57" s="207">
        <f t="shared" si="12"/>
        <v>0.12960089907722824</v>
      </c>
      <c r="P57" s="208">
        <f t="shared" si="13"/>
        <v>0.3622809367436548</v>
      </c>
      <c r="Q57" s="212">
        <f t="shared" si="14"/>
        <v>1</v>
      </c>
      <c r="R57" s="213">
        <f t="shared" si="15"/>
        <v>0.38099303724023215</v>
      </c>
      <c r="S57" s="604">
        <f>R57*'Fac Conv'!$C$117</f>
        <v>9.5248259310058037E-2</v>
      </c>
    </row>
    <row r="58" spans="2:19">
      <c r="B58" s="198">
        <f>'IB 5D2 - Tipos de tratamiento'!B62</f>
        <v>2013</v>
      </c>
      <c r="C58" s="207">
        <f>'IB 5D2 - Tipos de tratamiento'!C62</f>
        <v>4.0415036075999999E-2</v>
      </c>
      <c r="D58" s="207">
        <f>'IB 5D2 - Tipos de tratamiento'!D62</f>
        <v>7.8993416908804723E-2</v>
      </c>
      <c r="E58" s="207">
        <f>'IB 5D2 - Tipos de tratamiento'!E62</f>
        <v>7.3865523771768499E-2</v>
      </c>
      <c r="F58" s="207">
        <f>'IB 5D2 - Tipos de tratamiento'!F62</f>
        <v>4.5019563317694009E-2</v>
      </c>
      <c r="G58" s="207">
        <f>'IB 5D2 - Tipos de tratamiento'!G62</f>
        <v>0.1258458057517457</v>
      </c>
      <c r="H58" s="207">
        <f>'IB 5D2 - Tipos de tratamiento'!H62</f>
        <v>2.364645417398711E-2</v>
      </c>
      <c r="I58" s="210">
        <f t="shared" si="1"/>
        <v>0.38778580000000001</v>
      </c>
      <c r="K58" s="211">
        <f t="shared" si="9"/>
        <v>2013</v>
      </c>
      <c r="L58" s="206">
        <f t="shared" si="10"/>
        <v>0.16519813322196716</v>
      </c>
      <c r="M58" s="207">
        <f t="shared" si="11"/>
        <v>0.20370373775626832</v>
      </c>
      <c r="N58" s="207">
        <f t="shared" si="16"/>
        <v>0.19048021813013394</v>
      </c>
      <c r="O58" s="207">
        <f t="shared" si="12"/>
        <v>0.11609389337539953</v>
      </c>
      <c r="P58" s="208">
        <f t="shared" si="13"/>
        <v>0.32452401751623111</v>
      </c>
      <c r="Q58" s="212">
        <f t="shared" si="14"/>
        <v>1</v>
      </c>
      <c r="R58" s="213">
        <f t="shared" si="15"/>
        <v>0.3517079428990551</v>
      </c>
      <c r="S58" s="604">
        <f>R58*'Fac Conv'!$C$117</f>
        <v>8.7926985724763776E-2</v>
      </c>
    </row>
    <row r="59" spans="2:19">
      <c r="B59" s="198">
        <f>'IB 5D2 - Tipos de tratamiento'!B63</f>
        <v>2014</v>
      </c>
      <c r="C59" s="207">
        <f>'IB 5D2 - Tipos de tratamiento'!C63</f>
        <v>0.10667992550400003</v>
      </c>
      <c r="D59" s="207">
        <f>'IB 5D2 - Tipos de tratamiento'!D63</f>
        <v>9.2126190963086371E-2</v>
      </c>
      <c r="E59" s="207">
        <f>'IB 5D2 - Tipos de tratamiento'!E63</f>
        <v>8.6145777899979056E-2</v>
      </c>
      <c r="F59" s="207">
        <f>'IB 5D2 - Tipos de tratamiento'!F63</f>
        <v>5.2504133250353843E-2</v>
      </c>
      <c r="G59" s="207">
        <f>'IB 5D2 - Tipos de tratamiento'!G63</f>
        <v>0.14676785973156892</v>
      </c>
      <c r="H59" s="207">
        <f>'IB 5D2 - Tipos de tratamiento'!H63</f>
        <v>2.7577712651011978E-2</v>
      </c>
      <c r="I59" s="210">
        <f t="shared" si="1"/>
        <v>0.51180160000000019</v>
      </c>
      <c r="K59" s="211">
        <f t="shared" si="9"/>
        <v>2014</v>
      </c>
      <c r="L59" s="206">
        <f t="shared" si="10"/>
        <v>0.26232359991647536</v>
      </c>
      <c r="M59" s="207">
        <f t="shared" si="11"/>
        <v>0.18000371816556715</v>
      </c>
      <c r="N59" s="207">
        <f t="shared" si="16"/>
        <v>0.16831869595557933</v>
      </c>
      <c r="O59" s="207">
        <f t="shared" si="12"/>
        <v>0.10258688767357083</v>
      </c>
      <c r="P59" s="208">
        <f t="shared" si="13"/>
        <v>0.28676709828880736</v>
      </c>
      <c r="Q59" s="212">
        <f t="shared" si="14"/>
        <v>1</v>
      </c>
      <c r="R59" s="213">
        <f t="shared" si="15"/>
        <v>0.32242284855787812</v>
      </c>
      <c r="S59" s="604">
        <f>R59*'Fac Conv'!$C$117</f>
        <v>8.0605712139469529E-2</v>
      </c>
    </row>
    <row r="60" spans="2:19">
      <c r="B60" s="198">
        <f>'IB 5D2 - Tipos de tratamiento'!B64</f>
        <v>2015</v>
      </c>
      <c r="C60" s="207">
        <f>'IB 5D2 - Tipos de tratamiento'!C64</f>
        <v>0.17882451129599997</v>
      </c>
      <c r="D60" s="207">
        <f>'IB 5D2 - Tipos de tratamiento'!D64</f>
        <v>8.9397212663620898E-2</v>
      </c>
      <c r="E60" s="207">
        <f>'IB 5D2 - Tipos de tratamiento'!E64</f>
        <v>8.3593952452492432E-2</v>
      </c>
      <c r="F60" s="207">
        <f>'IB 5D2 - Tipos de tratamiento'!F64</f>
        <v>5.0948846542257217E-2</v>
      </c>
      <c r="G60" s="207">
        <f>'IB 5D2 - Tipos de tratamiento'!G64</f>
        <v>0.14242027626937054</v>
      </c>
      <c r="H60" s="207">
        <f>'IB 5D2 - Tipos de tratamiento'!H64</f>
        <v>2.6760800776258989E-2</v>
      </c>
      <c r="I60" s="210">
        <f t="shared" si="1"/>
        <v>0.57194560000000005</v>
      </c>
      <c r="K60" s="211">
        <f t="shared" si="9"/>
        <v>2015</v>
      </c>
      <c r="L60" s="206">
        <f t="shared" si="10"/>
        <v>0.35944906661098347</v>
      </c>
      <c r="M60" s="207">
        <f t="shared" si="11"/>
        <v>0.15630369857486601</v>
      </c>
      <c r="N60" s="207">
        <f t="shared" si="16"/>
        <v>0.14615717378102466</v>
      </c>
      <c r="O60" s="207">
        <f t="shared" si="12"/>
        <v>8.9079881971742089E-2</v>
      </c>
      <c r="P60" s="208">
        <f t="shared" si="13"/>
        <v>0.24901017906138367</v>
      </c>
      <c r="Q60" s="212">
        <f t="shared" si="14"/>
        <v>0.99999999999999989</v>
      </c>
      <c r="R60" s="213">
        <f t="shared" si="15"/>
        <v>0.29313775421670113</v>
      </c>
      <c r="S60" s="604">
        <f>R60*'Fac Conv'!$C$117</f>
        <v>7.3284438554175282E-2</v>
      </c>
    </row>
    <row r="61" spans="2:19">
      <c r="B61" s="198">
        <f>'IB 5D2 - Tipos de tratamiento'!B65</f>
        <v>2016</v>
      </c>
      <c r="C61" s="207">
        <f>'IB 5D2 - Tipos de tratamiento'!C65</f>
        <v>0.24469855488000006</v>
      </c>
      <c r="D61" s="207">
        <f>'IB 5D2 - Tipos de tratamiento'!D65</f>
        <v>7.783517707540917E-2</v>
      </c>
      <c r="E61" s="207">
        <f>'IB 5D2 - Tipos de tratamiento'!E65</f>
        <v>7.2782471597359372E-2</v>
      </c>
      <c r="F61" s="207">
        <f>'IB 5D2 - Tipos de tratamiento'!F65</f>
        <v>4.4359464621408669E-2</v>
      </c>
      <c r="G61" s="207">
        <f>'IB 5D2 - Tipos de tratamiento'!G65</f>
        <v>0.12400059344429853</v>
      </c>
      <c r="H61" s="207">
        <f>'IB 5D2 - Tipos de tratamiento'!H65</f>
        <v>2.3299738381524385E-2</v>
      </c>
      <c r="I61" s="210">
        <f t="shared" si="1"/>
        <v>0.58697600000000028</v>
      </c>
      <c r="K61" s="211">
        <f t="shared" si="9"/>
        <v>2016</v>
      </c>
      <c r="L61" s="206">
        <f t="shared" si="10"/>
        <v>0.4565745333054918</v>
      </c>
      <c r="M61" s="207">
        <f t="shared" si="11"/>
        <v>0.13260367898416484</v>
      </c>
      <c r="N61" s="207">
        <f t="shared" si="16"/>
        <v>0.12399565160647001</v>
      </c>
      <c r="O61" s="207">
        <f t="shared" si="12"/>
        <v>7.5572876269913339E-2</v>
      </c>
      <c r="P61" s="208">
        <f t="shared" si="13"/>
        <v>0.21125325983395996</v>
      </c>
      <c r="Q61" s="212">
        <f t="shared" si="14"/>
        <v>0.99999999999999989</v>
      </c>
      <c r="R61" s="213">
        <f t="shared" si="15"/>
        <v>0.26385265987552414</v>
      </c>
      <c r="S61" s="604">
        <f>R61*'Fac Conv'!$C$117</f>
        <v>6.5963164968881036E-2</v>
      </c>
    </row>
    <row r="62" spans="2:19">
      <c r="B62" s="198">
        <f>'IB 5D2 - Tipos de tratamiento'!B66</f>
        <v>2017</v>
      </c>
      <c r="C62" s="207">
        <f>'IB 5D2 - Tipos de tratamiento'!C66</f>
        <v>0.36489344859000006</v>
      </c>
      <c r="D62" s="207">
        <f>'IB 5D2 - Tipos de tratamiento'!D66</f>
        <v>7.6258360852334922E-2</v>
      </c>
      <c r="E62" s="207">
        <f>'IB 5D2 - Tipos de tratamiento'!E66</f>
        <v>7.1308015107603206E-2</v>
      </c>
      <c r="F62" s="207">
        <f>'IB 5D2 - Tipos de tratamiento'!F66</f>
        <v>4.3460812802396824E-2</v>
      </c>
      <c r="G62" s="207">
        <f>'IB 5D2 - Tipos de tratamiento'!G66</f>
        <v>0.12148853970766513</v>
      </c>
      <c r="H62" s="207">
        <f>'IB 5D2 - Tipos de tratamiento'!H66</f>
        <v>2.2827722940000055E-2</v>
      </c>
      <c r="I62" s="210">
        <f t="shared" si="1"/>
        <v>0.70023690000000016</v>
      </c>
      <c r="K62" s="211">
        <f t="shared" si="9"/>
        <v>2017</v>
      </c>
      <c r="L62" s="206">
        <f t="shared" si="10"/>
        <v>0.55370000000000008</v>
      </c>
      <c r="M62" s="207">
        <f t="shared" si="11"/>
        <v>0.10890365939346371</v>
      </c>
      <c r="N62" s="207">
        <f t="shared" si="16"/>
        <v>0.10183412943191539</v>
      </c>
      <c r="O62" s="207">
        <f t="shared" si="12"/>
        <v>6.2065870568084623E-2</v>
      </c>
      <c r="P62" s="208">
        <f t="shared" si="13"/>
        <v>0.17349634060653629</v>
      </c>
      <c r="Q62" s="212">
        <f t="shared" si="14"/>
        <v>1</v>
      </c>
      <c r="R62" s="213">
        <f t="shared" si="15"/>
        <v>0.23456756553434718</v>
      </c>
      <c r="S62" s="604">
        <f>R62*'Fac Conv'!$C$117</f>
        <v>5.8641891383586796E-2</v>
      </c>
    </row>
    <row r="63" spans="2:19">
      <c r="B63" s="198">
        <f>'IB 5D2 - Tipos de tratamiento'!B67</f>
        <v>2018</v>
      </c>
      <c r="C63" s="207">
        <f>'IB 5D2 - Tipos de tratamiento'!C67</f>
        <v>0.37226550240000006</v>
      </c>
      <c r="D63" s="207">
        <f>'IB 5D2 - Tipos de tratamiento'!D67</f>
        <v>7.7799031812140179E-2</v>
      </c>
      <c r="E63" s="207">
        <f>'IB 5D2 - Tipos de tratamiento'!E67</f>
        <v>7.2748672720089461E-2</v>
      </c>
      <c r="F63" s="207">
        <f>'IB 5D2 - Tipos de tratamiento'!F67</f>
        <v>4.4338864879910574E-2</v>
      </c>
      <c r="G63" s="207">
        <f>'IB 5D2 - Tipos de tratamiento'!G67</f>
        <v>0.12394300978785985</v>
      </c>
      <c r="H63" s="207">
        <f>'IB 5D2 - Tipos de tratamiento'!H67</f>
        <v>2.328891840000006E-2</v>
      </c>
      <c r="I63" s="210">
        <f t="shared" si="1"/>
        <v>0.71438400000000013</v>
      </c>
      <c r="K63" s="211">
        <f t="shared" si="9"/>
        <v>2018</v>
      </c>
      <c r="L63" s="206">
        <f t="shared" si="10"/>
        <v>0.55370000000000008</v>
      </c>
      <c r="M63" s="207">
        <f t="shared" si="11"/>
        <v>0.10890365939346369</v>
      </c>
      <c r="N63" s="207">
        <f t="shared" si="16"/>
        <v>0.1018341294319154</v>
      </c>
      <c r="O63" s="207">
        <f t="shared" si="12"/>
        <v>6.2065870568084623E-2</v>
      </c>
      <c r="P63" s="208">
        <f t="shared" si="13"/>
        <v>0.17349634060653629</v>
      </c>
      <c r="Q63" s="212">
        <f t="shared" si="14"/>
        <v>1</v>
      </c>
      <c r="R63" s="213">
        <f t="shared" si="15"/>
        <v>0.23456756553434718</v>
      </c>
      <c r="S63" s="604">
        <f>R63*'Fac Conv'!$C$117</f>
        <v>5.8641891383586796E-2</v>
      </c>
    </row>
    <row r="64" spans="2:19">
      <c r="B64" s="198">
        <f>'IB 5D2 - Tipos de tratamiento'!B68</f>
        <v>2019</v>
      </c>
      <c r="C64" s="207">
        <f>'IB 5D2 - Tipos de tratamiento'!C68</f>
        <v>0.38400896861966233</v>
      </c>
      <c r="D64" s="207">
        <f>'IB 5D2 - Tipos de tratamiento'!D68</f>
        <v>9.0176462034819146E-2</v>
      </c>
      <c r="E64" s="207">
        <f>'IB 5D2 - Tipos de tratamiento'!E68</f>
        <v>0.10108439226536964</v>
      </c>
      <c r="F64" s="207">
        <f>'IB 5D2 - Tipos de tratamiento'!F68</f>
        <v>5.0083347825506587E-2</v>
      </c>
      <c r="G64" s="207">
        <f>'IB 5D2 - Tipos de tratamiento'!G68</f>
        <v>7.9544311649667035E-2</v>
      </c>
      <c r="H64" s="207">
        <f>'IB 5D2 - Tipos de tratamiento'!H68</f>
        <v>1.8801760497541274E-4</v>
      </c>
      <c r="I64" s="210">
        <f t="shared" si="1"/>
        <v>0.70508550000000025</v>
      </c>
      <c r="K64" s="211">
        <f t="shared" si="9"/>
        <v>2019</v>
      </c>
      <c r="L64" s="206">
        <f t="shared" si="10"/>
        <v>0.54489418123708055</v>
      </c>
      <c r="M64" s="207">
        <f t="shared" si="11"/>
        <v>0.1278943646335361</v>
      </c>
      <c r="N64" s="207">
        <f t="shared" si="16"/>
        <v>0.14336472990207513</v>
      </c>
      <c r="O64" s="207">
        <f t="shared" si="12"/>
        <v>7.1031595211512033E-2</v>
      </c>
      <c r="P64" s="208">
        <f t="shared" si="13"/>
        <v>0.11281512901579596</v>
      </c>
      <c r="Q64" s="212">
        <f t="shared" si="14"/>
        <v>0.99999999999999978</v>
      </c>
      <c r="R64" s="213">
        <f t="shared" si="15"/>
        <v>0.19162987282650565</v>
      </c>
      <c r="S64" s="604">
        <f>R64*'Fac Conv'!$C$117</f>
        <v>4.7907468206626412E-2</v>
      </c>
    </row>
    <row r="65" spans="2:19">
      <c r="B65" s="198">
        <f>'IB 5D2 - Tipos de tratamiento'!B69</f>
        <v>2020</v>
      </c>
      <c r="C65" s="207">
        <f>'IB 5D2 - Tipos de tratamiento'!C69</f>
        <v>0.37593334064986483</v>
      </c>
      <c r="D65" s="207">
        <f>'IB 5D2 - Tipos de tratamiento'!D69</f>
        <v>8.828006997490602E-2</v>
      </c>
      <c r="E65" s="207">
        <f>'IB 5D2 - Tipos de tratamiento'!E69</f>
        <v>9.8958608723327651E-2</v>
      </c>
      <c r="F65" s="207">
        <f>'IB 5D2 - Tipos de tratamiento'!F69</f>
        <v>4.9030105538029334E-2</v>
      </c>
      <c r="G65" s="207">
        <f>'IB 5D2 - Tipos de tratamiento'!G69</f>
        <v>7.7871511479646618E-2</v>
      </c>
      <c r="H65" s="207">
        <f>'IB 5D2 - Tipos de tratamiento'!H69</f>
        <v>1.8406363422568891E-4</v>
      </c>
      <c r="I65" s="210">
        <f t="shared" si="1"/>
        <v>0.6902577000000002</v>
      </c>
      <c r="K65" s="211">
        <f t="shared" si="9"/>
        <v>2020</v>
      </c>
      <c r="L65" s="206">
        <f t="shared" si="10"/>
        <v>0.54489418123708055</v>
      </c>
      <c r="M65" s="207">
        <f t="shared" si="11"/>
        <v>0.12789436463353612</v>
      </c>
      <c r="N65" s="207">
        <f t="shared" si="16"/>
        <v>0.14336472990207516</v>
      </c>
      <c r="O65" s="207">
        <f t="shared" si="12"/>
        <v>7.1031595211512047E-2</v>
      </c>
      <c r="P65" s="208">
        <f t="shared" si="13"/>
        <v>0.11281512901579598</v>
      </c>
      <c r="Q65" s="212">
        <f t="shared" si="14"/>
        <v>0.99999999999999978</v>
      </c>
      <c r="R65" s="213">
        <f t="shared" si="15"/>
        <v>0.19162987282650568</v>
      </c>
      <c r="S65" s="604">
        <f>R65*'Fac Conv'!$C$117</f>
        <v>4.7907468206626419E-2</v>
      </c>
    </row>
    <row r="66" spans="2:19">
      <c r="B66" s="198">
        <f>'IB 5D2 - Tipos de tratamiento'!B70</f>
        <v>2021</v>
      </c>
      <c r="C66" s="207">
        <f>'IB 5D2 - Tipos de tratamiento'!C70</f>
        <v>0.37708266810941127</v>
      </c>
      <c r="D66" s="207">
        <f>'IB 5D2 - Tipos de tratamiento'!D70</f>
        <v>8.8549965452592153E-2</v>
      </c>
      <c r="E66" s="207">
        <f>'IB 5D2 - Tipos de tratamiento'!E70</f>
        <v>9.9261151312839968E-2</v>
      </c>
      <c r="F66" s="207">
        <f>'IB 5D2 - Tipos de tratamiento'!F70</f>
        <v>4.918000351340418E-2</v>
      </c>
      <c r="G66" s="207">
        <f>'IB 5D2 - Tipos de tratamiento'!G70</f>
        <v>7.8109585246408639E-2</v>
      </c>
      <c r="H66" s="207">
        <f>'IB 5D2 - Tipos de tratamiento'!H70</f>
        <v>1.8462636534380094E-4</v>
      </c>
      <c r="I66" s="210">
        <f>SUM(C66:H66)</f>
        <v>0.69236800000000009</v>
      </c>
      <c r="K66" s="211">
        <f t="shared" si="9"/>
        <v>2021</v>
      </c>
      <c r="L66" s="206">
        <f t="shared" si="10"/>
        <v>0.54489418123708055</v>
      </c>
      <c r="M66" s="207">
        <f t="shared" si="11"/>
        <v>0.12789436463353612</v>
      </c>
      <c r="N66" s="207">
        <f t="shared" si="16"/>
        <v>0.14336472990207513</v>
      </c>
      <c r="O66" s="207">
        <f t="shared" si="12"/>
        <v>7.1031595211512047E-2</v>
      </c>
      <c r="P66" s="208">
        <f t="shared" si="13"/>
        <v>0.11281512901579598</v>
      </c>
      <c r="Q66" s="212">
        <f t="shared" si="14"/>
        <v>0.99999999999999978</v>
      </c>
      <c r="R66" s="213">
        <f t="shared" si="15"/>
        <v>0.19162987282650568</v>
      </c>
      <c r="S66" s="604">
        <f>R66*'Fac Conv'!$C$117</f>
        <v>4.7907468206626419E-2</v>
      </c>
    </row>
    <row r="67" spans="2:19" ht="13.5" thickBot="1">
      <c r="B67" s="198">
        <f>'IB 5D2 - Tipos de tratamiento'!B71</f>
        <v>2022</v>
      </c>
      <c r="C67" s="207">
        <f>'IB 5D2 - Tipos de tratamiento'!C71</f>
        <v>0.39462196175141834</v>
      </c>
      <c r="D67" s="207">
        <f>'IB 5D2 - Tipos de tratamiento'!D71</f>
        <v>9.2668701150123489E-2</v>
      </c>
      <c r="E67" s="207">
        <f>'IB 5D2 - Tipos de tratamiento'!E71</f>
        <v>0.10387809774755238</v>
      </c>
      <c r="F67" s="207">
        <f>'IB 5D2 - Tipos de tratamiento'!F71</f>
        <v>5.146751921191476E-2</v>
      </c>
      <c r="G67" s="207">
        <f>'IB 5D2 - Tipos de tratamiento'!G71</f>
        <v>8.1742706224259151E-2</v>
      </c>
      <c r="H67" s="207">
        <f>'IB 5D2 - Tipos de tratamiento'!H71</f>
        <v>1.9321391473199454E-4</v>
      </c>
      <c r="I67" s="210">
        <f>SUM(C67:H67)</f>
        <v>0.72457220000000011</v>
      </c>
      <c r="K67" s="211">
        <f t="shared" si="9"/>
        <v>2022</v>
      </c>
      <c r="L67" s="663">
        <f t="shared" si="10"/>
        <v>0.54489418123708067</v>
      </c>
      <c r="M67" s="664">
        <f t="shared" si="11"/>
        <v>0.12789436463353615</v>
      </c>
      <c r="N67" s="664">
        <f t="shared" si="16"/>
        <v>0.14336472990207513</v>
      </c>
      <c r="O67" s="664">
        <f t="shared" si="12"/>
        <v>7.1031595211512047E-2</v>
      </c>
      <c r="P67" s="665">
        <f t="shared" si="13"/>
        <v>0.11281512901579599</v>
      </c>
      <c r="Q67" s="212">
        <f t="shared" si="14"/>
        <v>1</v>
      </c>
      <c r="R67" s="213">
        <f t="shared" si="15"/>
        <v>0.1916298728265057</v>
      </c>
      <c r="S67" s="604">
        <f>R67*'Fac Conv'!$C$117</f>
        <v>4.7907468206626426E-2</v>
      </c>
    </row>
    <row r="68" spans="2:19">
      <c r="B68" s="191" t="s">
        <v>712</v>
      </c>
    </row>
    <row r="70" spans="2:19" ht="12.75" customHeight="1">
      <c r="B70" s="797" t="s">
        <v>490</v>
      </c>
      <c r="C70" s="797"/>
      <c r="D70" s="797"/>
      <c r="E70" s="797"/>
      <c r="F70" s="797"/>
      <c r="G70" s="797"/>
      <c r="H70" s="797"/>
      <c r="I70" s="797"/>
      <c r="J70" s="187"/>
    </row>
    <row r="71" spans="2:19">
      <c r="C71" s="191"/>
      <c r="D71" s="191"/>
      <c r="E71" s="191"/>
    </row>
    <row r="72" spans="2:19" ht="12.75" customHeight="1">
      <c r="B72" s="794" t="s">
        <v>491</v>
      </c>
      <c r="C72" s="794"/>
      <c r="D72" s="794"/>
      <c r="E72" s="794"/>
      <c r="F72" s="794"/>
      <c r="G72" s="794"/>
      <c r="H72" s="794"/>
      <c r="I72" s="794"/>
      <c r="J72" s="794"/>
    </row>
    <row r="73" spans="2:19" ht="12.75" customHeight="1">
      <c r="B73" s="794" t="s">
        <v>492</v>
      </c>
      <c r="C73" s="794"/>
      <c r="D73" s="794"/>
      <c r="E73" s="794" t="s">
        <v>124</v>
      </c>
      <c r="F73" s="794"/>
      <c r="G73" s="794"/>
      <c r="H73" s="794" t="s">
        <v>493</v>
      </c>
      <c r="I73" s="794"/>
      <c r="J73" s="794"/>
      <c r="K73" s="123"/>
      <c r="L73" s="123"/>
      <c r="M73" s="123"/>
      <c r="N73" s="123"/>
      <c r="O73" s="123"/>
      <c r="P73" s="123"/>
    </row>
    <row r="74" spans="2:19" ht="12.75" customHeight="1">
      <c r="B74" s="793" t="s">
        <v>485</v>
      </c>
      <c r="C74" s="793"/>
      <c r="D74" s="793"/>
      <c r="E74" s="793" t="s">
        <v>494</v>
      </c>
      <c r="F74" s="793"/>
      <c r="G74" s="793"/>
      <c r="H74" s="795">
        <v>0.1</v>
      </c>
      <c r="I74" s="795"/>
      <c r="J74" s="795"/>
      <c r="K74" s="123"/>
      <c r="L74" s="123"/>
      <c r="M74" s="123"/>
      <c r="N74" s="123"/>
      <c r="O74" s="123"/>
      <c r="P74" s="123"/>
    </row>
    <row r="75" spans="2:19" ht="12.75" customHeight="1">
      <c r="B75" s="793" t="s">
        <v>495</v>
      </c>
      <c r="C75" s="793"/>
      <c r="D75" s="793"/>
      <c r="E75" s="793" t="s">
        <v>496</v>
      </c>
      <c r="F75" s="793"/>
      <c r="G75" s="793"/>
      <c r="H75" s="795">
        <v>0</v>
      </c>
      <c r="I75" s="795"/>
      <c r="J75" s="795"/>
      <c r="K75" s="123"/>
      <c r="L75" s="123"/>
      <c r="M75" s="123"/>
      <c r="N75" s="123"/>
      <c r="O75" s="123"/>
      <c r="P75" s="123"/>
    </row>
    <row r="76" spans="2:19" ht="12.75" customHeight="1">
      <c r="B76" s="793" t="s">
        <v>495</v>
      </c>
      <c r="C76" s="793"/>
      <c r="D76" s="793"/>
      <c r="E76" s="793" t="s">
        <v>497</v>
      </c>
      <c r="F76" s="793"/>
      <c r="G76" s="793"/>
      <c r="H76" s="795">
        <v>0.3</v>
      </c>
      <c r="I76" s="795"/>
      <c r="J76" s="795"/>
      <c r="K76" s="123"/>
      <c r="L76" s="123"/>
      <c r="M76" s="123"/>
      <c r="N76" s="123"/>
      <c r="O76" s="123"/>
      <c r="P76" s="123"/>
    </row>
    <row r="77" spans="2:19" ht="12.75" customHeight="1">
      <c r="B77" s="793" t="s">
        <v>379</v>
      </c>
      <c r="C77" s="793"/>
      <c r="D77" s="793"/>
      <c r="E77" s="793" t="s">
        <v>498</v>
      </c>
      <c r="F77" s="793"/>
      <c r="G77" s="793"/>
      <c r="H77" s="795">
        <v>0.8</v>
      </c>
      <c r="I77" s="795"/>
      <c r="J77" s="795"/>
      <c r="K77" s="123"/>
      <c r="L77" s="123"/>
      <c r="M77" s="123"/>
      <c r="N77" s="123"/>
      <c r="O77" s="123"/>
      <c r="P77" s="123"/>
    </row>
    <row r="78" spans="2:19" ht="12.75" customHeight="1">
      <c r="B78" s="793" t="s">
        <v>499</v>
      </c>
      <c r="C78" s="793"/>
      <c r="D78" s="793"/>
      <c r="E78" s="793" t="s">
        <v>498</v>
      </c>
      <c r="F78" s="793"/>
      <c r="G78" s="793"/>
      <c r="H78" s="795">
        <v>0.8</v>
      </c>
      <c r="I78" s="795"/>
      <c r="J78" s="795"/>
      <c r="K78" s="123"/>
      <c r="L78" s="123"/>
      <c r="M78" s="123"/>
      <c r="N78" s="123"/>
      <c r="O78" s="123"/>
      <c r="P78" s="123"/>
    </row>
    <row r="79" spans="2:19" ht="12.75" customHeight="1">
      <c r="B79" s="793" t="s">
        <v>328</v>
      </c>
      <c r="C79" s="793"/>
      <c r="D79" s="793"/>
      <c r="E79" s="793" t="s">
        <v>500</v>
      </c>
      <c r="F79" s="793"/>
      <c r="G79" s="793"/>
      <c r="H79" s="795">
        <v>0.2</v>
      </c>
      <c r="I79" s="795"/>
      <c r="J79" s="795"/>
      <c r="M79" s="123"/>
      <c r="N79" s="123"/>
      <c r="O79" s="123"/>
      <c r="P79" s="123"/>
    </row>
    <row r="80" spans="2:19" ht="12.75" customHeight="1">
      <c r="B80" s="793" t="s">
        <v>327</v>
      </c>
      <c r="C80" s="793"/>
      <c r="D80" s="793"/>
      <c r="E80" s="793" t="s">
        <v>501</v>
      </c>
      <c r="F80" s="793"/>
      <c r="G80" s="793"/>
      <c r="H80" s="795">
        <v>0.8</v>
      </c>
      <c r="I80" s="795"/>
      <c r="J80" s="795"/>
      <c r="M80" s="123"/>
      <c r="N80" s="123"/>
      <c r="O80" s="123"/>
      <c r="P80" s="123"/>
    </row>
    <row r="81" spans="2:17">
      <c r="B81" s="215" t="s">
        <v>599</v>
      </c>
      <c r="C81" s="202"/>
      <c r="D81" s="202"/>
      <c r="E81" s="202"/>
      <c r="F81" s="202"/>
      <c r="G81" s="202"/>
      <c r="I81" s="123"/>
      <c r="J81" s="123"/>
      <c r="M81" s="123"/>
      <c r="N81" s="123"/>
      <c r="O81" s="123"/>
      <c r="P81" s="123"/>
    </row>
    <row r="82" spans="2:17" ht="9" customHeight="1">
      <c r="B82" s="202"/>
      <c r="C82" s="202"/>
      <c r="D82" s="202"/>
      <c r="E82" s="202"/>
      <c r="F82" s="202"/>
      <c r="G82" s="202"/>
      <c r="I82" s="123"/>
      <c r="J82" s="123"/>
      <c r="M82" s="123"/>
      <c r="N82" s="123"/>
      <c r="O82" s="123"/>
      <c r="P82" s="123"/>
    </row>
    <row r="83" spans="2:17" ht="12.75" customHeight="1">
      <c r="B83" s="784" t="s">
        <v>502</v>
      </c>
      <c r="C83" s="784"/>
      <c r="D83" s="784"/>
      <c r="E83" s="784"/>
      <c r="F83" s="784"/>
      <c r="G83" s="784"/>
      <c r="H83" s="784"/>
      <c r="I83" s="784"/>
      <c r="J83" s="784"/>
      <c r="K83" s="123"/>
      <c r="N83" s="123"/>
      <c r="O83" s="123"/>
      <c r="P83" s="123"/>
      <c r="Q83" s="123"/>
    </row>
    <row r="84" spans="2:17">
      <c r="B84" s="784"/>
      <c r="C84" s="784"/>
      <c r="D84" s="784"/>
      <c r="E84" s="784"/>
      <c r="F84" s="784"/>
      <c r="G84" s="784"/>
      <c r="H84" s="784"/>
      <c r="I84" s="784"/>
      <c r="J84" s="784"/>
      <c r="K84" s="123"/>
      <c r="N84" s="123"/>
      <c r="O84" s="123"/>
      <c r="P84" s="123"/>
      <c r="Q84" s="123"/>
    </row>
    <row r="85" spans="2:17">
      <c r="B85" s="784"/>
      <c r="C85" s="784"/>
      <c r="D85" s="784"/>
      <c r="E85" s="784"/>
      <c r="F85" s="784"/>
      <c r="G85" s="784"/>
      <c r="H85" s="784"/>
      <c r="I85" s="784"/>
      <c r="J85" s="784"/>
      <c r="K85" s="123"/>
      <c r="N85" s="123"/>
      <c r="O85" s="123"/>
      <c r="P85" s="123"/>
      <c r="Q85" s="123"/>
    </row>
    <row r="86" spans="2:17">
      <c r="C86" s="191"/>
      <c r="D86" s="191"/>
      <c r="E86" s="191"/>
    </row>
    <row r="87" spans="2:17">
      <c r="C87" s="191"/>
      <c r="D87" s="191"/>
      <c r="E87" s="191"/>
    </row>
    <row r="88" spans="2:17" ht="12.75" customHeight="1">
      <c r="B88" s="797" t="s">
        <v>503</v>
      </c>
      <c r="C88" s="797"/>
      <c r="D88" s="797"/>
      <c r="E88" s="797"/>
      <c r="F88" s="797"/>
      <c r="G88" s="797"/>
      <c r="H88" s="797"/>
      <c r="I88" s="797"/>
      <c r="J88" s="187"/>
    </row>
    <row r="89" spans="2:17">
      <c r="C89" s="191"/>
      <c r="D89" s="191"/>
      <c r="E89" s="191"/>
    </row>
    <row r="90" spans="2:17">
      <c r="B90" s="796" t="s">
        <v>504</v>
      </c>
      <c r="C90" s="796"/>
      <c r="D90" s="796"/>
      <c r="E90" s="796" t="s">
        <v>505</v>
      </c>
      <c r="F90" s="796"/>
      <c r="G90" s="796"/>
      <c r="H90" s="199"/>
      <c r="I90" s="175"/>
      <c r="J90" s="175"/>
    </row>
    <row r="91" spans="2:17">
      <c r="B91" s="791" t="s">
        <v>506</v>
      </c>
      <c r="C91" s="791"/>
      <c r="D91" s="791"/>
      <c r="E91" s="790">
        <v>0.1</v>
      </c>
      <c r="F91" s="790"/>
      <c r="G91" s="790"/>
      <c r="J91" s="175"/>
      <c r="L91" s="215" t="s">
        <v>507</v>
      </c>
    </row>
    <row r="92" spans="2:17">
      <c r="B92" s="791" t="s">
        <v>508</v>
      </c>
      <c r="C92" s="791"/>
      <c r="D92" s="791"/>
      <c r="E92" s="790">
        <v>0.5</v>
      </c>
      <c r="F92" s="790"/>
      <c r="G92" s="790"/>
    </row>
    <row r="93" spans="2:17">
      <c r="B93" s="791" t="s">
        <v>509</v>
      </c>
      <c r="C93" s="791"/>
      <c r="D93" s="791"/>
      <c r="E93" s="790">
        <v>0</v>
      </c>
      <c r="F93" s="790"/>
      <c r="G93" s="790"/>
    </row>
    <row r="94" spans="2:17" ht="24.75" customHeight="1">
      <c r="B94" s="791" t="s">
        <v>377</v>
      </c>
      <c r="C94" s="791"/>
      <c r="D94" s="791"/>
      <c r="E94" s="790">
        <v>0</v>
      </c>
      <c r="F94" s="790"/>
      <c r="G94" s="790"/>
    </row>
    <row r="95" spans="2:17" ht="24.75" customHeight="1">
      <c r="B95" s="791" t="s">
        <v>378</v>
      </c>
      <c r="C95" s="791"/>
      <c r="D95" s="791"/>
      <c r="E95" s="790">
        <v>0.3</v>
      </c>
      <c r="F95" s="790"/>
      <c r="G95" s="790"/>
    </row>
    <row r="96" spans="2:17">
      <c r="B96" s="791" t="s">
        <v>379</v>
      </c>
      <c r="C96" s="791"/>
      <c r="D96" s="791"/>
      <c r="E96" s="790">
        <v>0.8</v>
      </c>
      <c r="F96" s="790"/>
      <c r="G96" s="790"/>
    </row>
    <row r="97" spans="1:10">
      <c r="B97" s="791" t="s">
        <v>380</v>
      </c>
      <c r="C97" s="791"/>
      <c r="D97" s="791"/>
      <c r="E97" s="790">
        <v>0.8</v>
      </c>
      <c r="F97" s="790"/>
      <c r="G97" s="790"/>
    </row>
    <row r="98" spans="1:10">
      <c r="B98" s="791" t="s">
        <v>328</v>
      </c>
      <c r="C98" s="791"/>
      <c r="D98" s="791"/>
      <c r="E98" s="790">
        <v>0.2</v>
      </c>
      <c r="F98" s="790"/>
      <c r="G98" s="790"/>
    </row>
    <row r="99" spans="1:10">
      <c r="B99" s="791" t="s">
        <v>327</v>
      </c>
      <c r="C99" s="791"/>
      <c r="D99" s="791"/>
      <c r="E99" s="790">
        <v>0.8</v>
      </c>
      <c r="F99" s="790"/>
      <c r="G99" s="790"/>
    </row>
    <row r="100" spans="1:10">
      <c r="B100" s="791" t="s">
        <v>329</v>
      </c>
      <c r="C100" s="791"/>
      <c r="D100" s="791"/>
      <c r="E100" s="790">
        <v>0.5</v>
      </c>
      <c r="F100" s="790"/>
      <c r="G100" s="790"/>
    </row>
    <row r="101" spans="1:10">
      <c r="B101" s="791" t="s">
        <v>510</v>
      </c>
      <c r="C101" s="791"/>
      <c r="D101" s="791"/>
      <c r="E101" s="790">
        <v>0.1</v>
      </c>
      <c r="F101" s="790"/>
      <c r="G101" s="790"/>
    </row>
    <row r="102" spans="1:10">
      <c r="B102" s="791" t="s">
        <v>511</v>
      </c>
      <c r="C102" s="791"/>
      <c r="D102" s="791"/>
      <c r="E102" s="790">
        <v>0.5</v>
      </c>
      <c r="F102" s="790"/>
      <c r="G102" s="790"/>
      <c r="J102" s="175"/>
    </row>
    <row r="103" spans="1:10" ht="24.75" customHeight="1">
      <c r="B103" s="791" t="s">
        <v>512</v>
      </c>
      <c r="C103" s="791"/>
      <c r="D103" s="791"/>
      <c r="E103" s="790">
        <v>0.7</v>
      </c>
      <c r="F103" s="790"/>
      <c r="G103" s="790"/>
      <c r="J103" s="175"/>
    </row>
    <row r="104" spans="1:10" ht="24.75" customHeight="1">
      <c r="B104" s="791" t="s">
        <v>513</v>
      </c>
      <c r="C104" s="791"/>
      <c r="D104" s="791"/>
      <c r="E104" s="790">
        <v>0.1</v>
      </c>
      <c r="F104" s="790"/>
      <c r="G104" s="790"/>
      <c r="J104" s="175"/>
    </row>
    <row r="105" spans="1:10">
      <c r="A105" s="215"/>
      <c r="B105" s="215" t="s">
        <v>514</v>
      </c>
      <c r="C105" s="215"/>
      <c r="D105" s="215"/>
      <c r="E105" s="215"/>
      <c r="F105" s="215"/>
      <c r="G105" s="215"/>
      <c r="H105" s="215"/>
      <c r="J105" s="175"/>
    </row>
    <row r="106" spans="1:10">
      <c r="C106" s="191"/>
      <c r="D106" s="191"/>
      <c r="E106" s="191"/>
    </row>
  </sheetData>
  <mergeCells count="109">
    <mergeCell ref="B2:C2"/>
    <mergeCell ref="K31:S31"/>
    <mergeCell ref="S32:S33"/>
    <mergeCell ref="R32:R33"/>
    <mergeCell ref="I32:I33"/>
    <mergeCell ref="B70:I70"/>
    <mergeCell ref="B88:I88"/>
    <mergeCell ref="B6:N7"/>
    <mergeCell ref="B29:I29"/>
    <mergeCell ref="K28:S30"/>
    <mergeCell ref="B21:C21"/>
    <mergeCell ref="B22:C22"/>
    <mergeCell ref="B16:C16"/>
    <mergeCell ref="B17:C17"/>
    <mergeCell ref="B18:C18"/>
    <mergeCell ref="B19:C19"/>
    <mergeCell ref="B20:C20"/>
    <mergeCell ref="D22:E22"/>
    <mergeCell ref="B72:J72"/>
    <mergeCell ref="F22:I22"/>
    <mergeCell ref="D20:E20"/>
    <mergeCell ref="D21:E21"/>
    <mergeCell ref="D18:E18"/>
    <mergeCell ref="D19:E19"/>
    <mergeCell ref="D16:E16"/>
    <mergeCell ref="B4:I4"/>
    <mergeCell ref="B9:C9"/>
    <mergeCell ref="B10:C10"/>
    <mergeCell ref="B11:C11"/>
    <mergeCell ref="B12:C12"/>
    <mergeCell ref="B13:C13"/>
    <mergeCell ref="B14:C14"/>
    <mergeCell ref="B15:C15"/>
    <mergeCell ref="D14:E14"/>
    <mergeCell ref="D15:E15"/>
    <mergeCell ref="D9:E9"/>
    <mergeCell ref="D10:E10"/>
    <mergeCell ref="D11:E11"/>
    <mergeCell ref="D12:E12"/>
    <mergeCell ref="D13:E13"/>
    <mergeCell ref="F11:I11"/>
    <mergeCell ref="F12:I12"/>
    <mergeCell ref="F14:I14"/>
    <mergeCell ref="F15:I15"/>
    <mergeCell ref="F19:I19"/>
    <mergeCell ref="B96:D96"/>
    <mergeCell ref="B97:D97"/>
    <mergeCell ref="B83:J85"/>
    <mergeCell ref="B90:D90"/>
    <mergeCell ref="E90:G90"/>
    <mergeCell ref="E91:G91"/>
    <mergeCell ref="E93:G93"/>
    <mergeCell ref="E94:G94"/>
    <mergeCell ref="E96:G96"/>
    <mergeCell ref="E97:G97"/>
    <mergeCell ref="H80:J80"/>
    <mergeCell ref="B73:D73"/>
    <mergeCell ref="B93:D93"/>
    <mergeCell ref="B94:D94"/>
    <mergeCell ref="B95:D95"/>
    <mergeCell ref="E73:G73"/>
    <mergeCell ref="E74:G74"/>
    <mergeCell ref="E75:G75"/>
    <mergeCell ref="E76:G76"/>
    <mergeCell ref="E77:G77"/>
    <mergeCell ref="E78:G78"/>
    <mergeCell ref="E79:G79"/>
    <mergeCell ref="B74:D74"/>
    <mergeCell ref="E95:G95"/>
    <mergeCell ref="F20:I20"/>
    <mergeCell ref="F21:I21"/>
    <mergeCell ref="B101:D101"/>
    <mergeCell ref="B98:D98"/>
    <mergeCell ref="B99:D99"/>
    <mergeCell ref="E104:G104"/>
    <mergeCell ref="B103:D103"/>
    <mergeCell ref="B104:D104"/>
    <mergeCell ref="E98:G98"/>
    <mergeCell ref="E99:G99"/>
    <mergeCell ref="E100:G100"/>
    <mergeCell ref="E101:G101"/>
    <mergeCell ref="E102:G102"/>
    <mergeCell ref="E103:G103"/>
    <mergeCell ref="B100:D100"/>
    <mergeCell ref="B102:D102"/>
    <mergeCell ref="F18:I18"/>
    <mergeCell ref="F9:I9"/>
    <mergeCell ref="F10:I10"/>
    <mergeCell ref="F13:I13"/>
    <mergeCell ref="F16:I16"/>
    <mergeCell ref="F17:I17"/>
    <mergeCell ref="E92:G92"/>
    <mergeCell ref="B91:D91"/>
    <mergeCell ref="B92:D92"/>
    <mergeCell ref="D17:E17"/>
    <mergeCell ref="B80:D80"/>
    <mergeCell ref="E80:G80"/>
    <mergeCell ref="H73:J73"/>
    <mergeCell ref="H74:J74"/>
    <mergeCell ref="H75:J75"/>
    <mergeCell ref="H76:J76"/>
    <mergeCell ref="H77:J77"/>
    <mergeCell ref="H78:J78"/>
    <mergeCell ref="H79:J79"/>
    <mergeCell ref="B75:D75"/>
    <mergeCell ref="B76:D76"/>
    <mergeCell ref="B78:D78"/>
    <mergeCell ref="B79:D79"/>
    <mergeCell ref="B77:D7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1">
    <tabColor rgb="FF548235"/>
  </sheetPr>
  <dimension ref="B1:U180"/>
  <sheetViews>
    <sheetView zoomScale="85" zoomScaleNormal="85" workbookViewId="0">
      <selection activeCell="K10" sqref="K10"/>
    </sheetView>
  </sheetViews>
  <sheetFormatPr baseColWidth="10" defaultColWidth="11.42578125" defaultRowHeight="13.9" customHeight="1"/>
  <cols>
    <col min="1" max="1" width="3.28515625" style="4" customWidth="1"/>
    <col min="2" max="2" width="94.7109375" style="14" customWidth="1"/>
    <col min="3" max="3" width="59" style="14" bestFit="1" customWidth="1"/>
    <col min="4" max="4" width="31.28515625" style="4" customWidth="1"/>
    <col min="5" max="5" width="17.5703125" style="4" customWidth="1"/>
    <col min="6" max="6" width="11.42578125" style="4" customWidth="1"/>
    <col min="7" max="7" width="31.42578125" style="4" customWidth="1"/>
    <col min="8" max="8" width="14" style="4" customWidth="1"/>
    <col min="9" max="10" width="9.5703125" style="4" customWidth="1"/>
    <col min="11" max="11" width="9.85546875" style="4" customWidth="1"/>
    <col min="12" max="13" width="6.7109375" style="4" customWidth="1"/>
    <col min="14" max="16384" width="11.42578125" style="4"/>
  </cols>
  <sheetData>
    <row r="1" spans="2:21" s="62" customFormat="1" ht="12.75">
      <c r="B1" s="62" t="s">
        <v>148</v>
      </c>
      <c r="D1" s="64"/>
      <c r="E1" s="65"/>
      <c r="F1" s="64"/>
      <c r="G1" s="64"/>
      <c r="H1" s="64"/>
      <c r="I1" s="64"/>
      <c r="J1" s="55"/>
      <c r="M1" s="55"/>
      <c r="N1" s="55"/>
      <c r="O1" s="55"/>
      <c r="R1" s="55"/>
      <c r="T1" s="55"/>
      <c r="U1" s="64"/>
    </row>
    <row r="2" spans="2:21" s="67" customFormat="1" ht="12.75">
      <c r="B2" s="67" t="s">
        <v>331</v>
      </c>
      <c r="D2" s="69"/>
      <c r="E2" s="70"/>
      <c r="F2" s="69"/>
      <c r="G2" s="69"/>
      <c r="H2" s="69"/>
      <c r="I2" s="69"/>
      <c r="J2" s="61"/>
      <c r="M2" s="61"/>
      <c r="N2" s="61"/>
      <c r="O2" s="61"/>
      <c r="R2" s="61"/>
      <c r="T2" s="61"/>
      <c r="U2" s="69"/>
    </row>
    <row r="3" spans="2:21" s="225" customFormat="1" ht="12.75">
      <c r="B3" s="228"/>
      <c r="C3" s="228"/>
      <c r="D3" s="228"/>
      <c r="E3" s="229"/>
      <c r="F3" s="228"/>
      <c r="G3" s="228"/>
      <c r="H3" s="228"/>
      <c r="I3" s="228"/>
      <c r="J3" s="226"/>
      <c r="M3" s="226"/>
      <c r="N3" s="226"/>
      <c r="O3" s="226"/>
      <c r="R3" s="226"/>
      <c r="T3" s="226"/>
      <c r="U3" s="228"/>
    </row>
    <row r="5" spans="2:21" ht="12.75">
      <c r="B5" s="815" t="s">
        <v>332</v>
      </c>
      <c r="C5" s="815"/>
      <c r="D5" s="815"/>
      <c r="E5" s="815"/>
      <c r="G5" s="13"/>
    </row>
    <row r="6" spans="2:21" ht="13.9" customHeight="1">
      <c r="D6" s="816"/>
      <c r="E6" s="816"/>
    </row>
    <row r="7" spans="2:21" ht="13.9" customHeight="1">
      <c r="B7" s="817" t="s">
        <v>333</v>
      </c>
      <c r="C7" s="818"/>
      <c r="D7" s="818"/>
      <c r="E7" s="821"/>
      <c r="G7" s="817" t="s">
        <v>334</v>
      </c>
      <c r="H7" s="818"/>
      <c r="I7" s="818"/>
      <c r="J7" s="818"/>
      <c r="K7" s="818"/>
      <c r="L7" s="818"/>
      <c r="M7" s="818"/>
      <c r="N7" s="241"/>
      <c r="O7" s="241"/>
    </row>
    <row r="8" spans="2:21" ht="27.75">
      <c r="B8" s="242" t="s">
        <v>16</v>
      </c>
      <c r="C8" s="242"/>
      <c r="D8" s="109" t="s">
        <v>719</v>
      </c>
      <c r="E8" s="109" t="s">
        <v>336</v>
      </c>
      <c r="G8" s="243" t="s">
        <v>337</v>
      </c>
      <c r="H8" s="243" t="s">
        <v>338</v>
      </c>
      <c r="I8" s="819" t="s">
        <v>339</v>
      </c>
      <c r="J8" s="820"/>
      <c r="K8" s="243" t="s">
        <v>340</v>
      </c>
      <c r="L8" s="819" t="s">
        <v>341</v>
      </c>
      <c r="M8" s="820"/>
      <c r="N8" s="123"/>
      <c r="O8" s="123"/>
    </row>
    <row r="9" spans="2:21" ht="13.9" customHeight="1">
      <c r="B9" s="218" t="s">
        <v>164</v>
      </c>
      <c r="C9" s="218" t="str">
        <f>$G$15</f>
        <v>Carnes y aves</v>
      </c>
      <c r="D9" s="244">
        <f>$H$15</f>
        <v>13</v>
      </c>
      <c r="E9" s="245">
        <f>$K$15</f>
        <v>4.0999999999999996</v>
      </c>
      <c r="G9" s="17"/>
      <c r="H9" s="690"/>
      <c r="I9" s="690"/>
      <c r="J9" s="690"/>
      <c r="K9" s="690"/>
      <c r="L9" s="690"/>
      <c r="M9" s="690"/>
      <c r="N9" s="18"/>
      <c r="O9" s="18"/>
    </row>
    <row r="10" spans="2:21" ht="13.9" customHeight="1">
      <c r="B10" s="218" t="s">
        <v>166</v>
      </c>
      <c r="C10" s="218" t="str">
        <f t="shared" ref="C10:C21" si="0">$G$15</f>
        <v>Carnes y aves</v>
      </c>
      <c r="D10" s="244">
        <f t="shared" ref="D10:D21" si="1">$H$15</f>
        <v>13</v>
      </c>
      <c r="E10" s="245">
        <f t="shared" ref="E10:E21" si="2">$K$15</f>
        <v>4.0999999999999996</v>
      </c>
      <c r="G10" s="239" t="s">
        <v>342</v>
      </c>
      <c r="H10" s="690">
        <v>24</v>
      </c>
      <c r="I10" s="691">
        <v>16</v>
      </c>
      <c r="J10" s="691">
        <v>32</v>
      </c>
      <c r="K10" s="690">
        <v>11</v>
      </c>
      <c r="L10" s="691">
        <v>5</v>
      </c>
      <c r="M10" s="691">
        <v>22</v>
      </c>
      <c r="N10" s="18"/>
      <c r="O10" s="18"/>
    </row>
    <row r="11" spans="2:21" ht="13.9" customHeight="1">
      <c r="B11" s="218" t="s">
        <v>167</v>
      </c>
      <c r="C11" s="218" t="str">
        <f t="shared" si="0"/>
        <v>Carnes y aves</v>
      </c>
      <c r="D11" s="244">
        <f t="shared" si="1"/>
        <v>13</v>
      </c>
      <c r="E11" s="245">
        <f t="shared" si="2"/>
        <v>4.0999999999999996</v>
      </c>
      <c r="G11" s="239" t="s">
        <v>343</v>
      </c>
      <c r="H11" s="690">
        <v>6.3</v>
      </c>
      <c r="I11" s="690">
        <v>5</v>
      </c>
      <c r="J11" s="690">
        <v>9</v>
      </c>
      <c r="K11" s="690">
        <v>2.9</v>
      </c>
      <c r="L11" s="691">
        <v>2</v>
      </c>
      <c r="M11" s="691">
        <v>7</v>
      </c>
      <c r="N11" s="18"/>
      <c r="O11" s="18"/>
    </row>
    <row r="12" spans="2:21" ht="13.9" customHeight="1">
      <c r="B12" s="218" t="s">
        <v>168</v>
      </c>
      <c r="C12" s="218" t="str">
        <f t="shared" si="0"/>
        <v>Carnes y aves</v>
      </c>
      <c r="D12" s="244">
        <f t="shared" si="1"/>
        <v>13</v>
      </c>
      <c r="E12" s="245">
        <f t="shared" si="2"/>
        <v>4.0999999999999996</v>
      </c>
      <c r="G12" s="239" t="s">
        <v>344</v>
      </c>
      <c r="H12" s="690" t="s">
        <v>345</v>
      </c>
      <c r="I12" s="690"/>
      <c r="J12" s="690"/>
      <c r="K12" s="691">
        <v>9</v>
      </c>
      <c r="L12" s="691">
        <v>3</v>
      </c>
      <c r="M12" s="691">
        <v>15</v>
      </c>
      <c r="N12" s="18"/>
      <c r="O12" s="18"/>
    </row>
    <row r="13" spans="2:21" ht="13.9" customHeight="1">
      <c r="B13" s="218" t="s">
        <v>169</v>
      </c>
      <c r="C13" s="218" t="str">
        <f t="shared" si="0"/>
        <v>Carnes y aves</v>
      </c>
      <c r="D13" s="244">
        <f t="shared" si="1"/>
        <v>13</v>
      </c>
      <c r="E13" s="245">
        <f t="shared" si="2"/>
        <v>4.0999999999999996</v>
      </c>
      <c r="G13" s="239" t="s">
        <v>316</v>
      </c>
      <c r="H13" s="691">
        <v>7</v>
      </c>
      <c r="I13" s="691">
        <v>3</v>
      </c>
      <c r="J13" s="691">
        <v>10</v>
      </c>
      <c r="K13" s="690">
        <v>2.7</v>
      </c>
      <c r="L13" s="690">
        <v>1.5</v>
      </c>
      <c r="M13" s="690">
        <v>5.2</v>
      </c>
      <c r="N13" s="18"/>
    </row>
    <row r="14" spans="2:21" ht="13.9" customHeight="1">
      <c r="B14" s="218" t="s">
        <v>170</v>
      </c>
      <c r="C14" s="218" t="str">
        <f t="shared" si="0"/>
        <v>Carnes y aves</v>
      </c>
      <c r="D14" s="244">
        <f t="shared" si="1"/>
        <v>13</v>
      </c>
      <c r="E14" s="245">
        <f t="shared" si="2"/>
        <v>4.0999999999999996</v>
      </c>
      <c r="G14" s="239" t="s">
        <v>324</v>
      </c>
      <c r="H14" s="690" t="s">
        <v>345</v>
      </c>
      <c r="I14" s="691">
        <v>8</v>
      </c>
      <c r="J14" s="691">
        <v>18</v>
      </c>
      <c r="K14" s="690">
        <v>2.5</v>
      </c>
      <c r="L14" s="690"/>
      <c r="M14" s="690"/>
      <c r="N14" s="18"/>
      <c r="O14" s="18"/>
    </row>
    <row r="15" spans="2:21" ht="13.9" customHeight="1">
      <c r="B15" s="218" t="s">
        <v>171</v>
      </c>
      <c r="C15" s="218" t="str">
        <f t="shared" si="0"/>
        <v>Carnes y aves</v>
      </c>
      <c r="D15" s="244">
        <f t="shared" si="1"/>
        <v>13</v>
      </c>
      <c r="E15" s="245">
        <f t="shared" si="2"/>
        <v>4.0999999999999996</v>
      </c>
      <c r="G15" s="239" t="s">
        <v>346</v>
      </c>
      <c r="H15" s="691">
        <v>13</v>
      </c>
      <c r="I15" s="691">
        <v>8</v>
      </c>
      <c r="J15" s="691">
        <v>18</v>
      </c>
      <c r="K15" s="690">
        <v>4.0999999999999996</v>
      </c>
      <c r="L15" s="691">
        <v>2</v>
      </c>
      <c r="M15" s="691">
        <v>7</v>
      </c>
      <c r="N15" s="18"/>
      <c r="O15" s="18"/>
    </row>
    <row r="16" spans="2:21" ht="13.9" customHeight="1">
      <c r="B16" s="218" t="s">
        <v>172</v>
      </c>
      <c r="C16" s="218" t="str">
        <f t="shared" si="0"/>
        <v>Carnes y aves</v>
      </c>
      <c r="D16" s="244">
        <f t="shared" si="1"/>
        <v>13</v>
      </c>
      <c r="E16" s="245">
        <f t="shared" si="2"/>
        <v>4.0999999999999996</v>
      </c>
      <c r="G16" s="239" t="s">
        <v>322</v>
      </c>
      <c r="H16" s="691">
        <v>67</v>
      </c>
      <c r="I16" s="691">
        <v>0</v>
      </c>
      <c r="J16" s="691">
        <v>400</v>
      </c>
      <c r="K16" s="691">
        <v>3</v>
      </c>
      <c r="L16" s="690">
        <v>0.8</v>
      </c>
      <c r="M16" s="691">
        <v>5</v>
      </c>
      <c r="N16" s="18"/>
      <c r="O16" s="18"/>
    </row>
    <row r="17" spans="2:15" ht="13.9" customHeight="1">
      <c r="B17" s="218" t="s">
        <v>173</v>
      </c>
      <c r="C17" s="218" t="str">
        <f t="shared" si="0"/>
        <v>Carnes y aves</v>
      </c>
      <c r="D17" s="244">
        <f t="shared" si="1"/>
        <v>13</v>
      </c>
      <c r="E17" s="245">
        <f t="shared" si="2"/>
        <v>4.0999999999999996</v>
      </c>
      <c r="G17" s="239" t="s">
        <v>347</v>
      </c>
      <c r="H17" s="690">
        <v>0.6</v>
      </c>
      <c r="I17" s="690">
        <v>0.3</v>
      </c>
      <c r="J17" s="690">
        <v>1.2</v>
      </c>
      <c r="K17" s="691">
        <v>1</v>
      </c>
      <c r="L17" s="690">
        <v>0.4</v>
      </c>
      <c r="M17" s="690">
        <v>1.6</v>
      </c>
      <c r="N17" s="18"/>
    </row>
    <row r="18" spans="2:15" ht="13.9" customHeight="1">
      <c r="B18" s="218" t="s">
        <v>174</v>
      </c>
      <c r="C18" s="218" t="str">
        <f t="shared" si="0"/>
        <v>Carnes y aves</v>
      </c>
      <c r="D18" s="244">
        <f t="shared" si="1"/>
        <v>13</v>
      </c>
      <c r="E18" s="245">
        <f t="shared" si="2"/>
        <v>4.0999999999999996</v>
      </c>
      <c r="G18" s="239" t="s">
        <v>348</v>
      </c>
      <c r="H18" s="690">
        <v>0.6</v>
      </c>
      <c r="I18" s="690">
        <v>0.3</v>
      </c>
      <c r="J18" s="690">
        <v>1.2</v>
      </c>
      <c r="K18" s="690">
        <v>3.7</v>
      </c>
      <c r="L18" s="690">
        <v>0.8</v>
      </c>
      <c r="M18" s="691">
        <v>5</v>
      </c>
      <c r="N18" s="18"/>
      <c r="O18" s="18"/>
    </row>
    <row r="19" spans="2:15" ht="13.9" customHeight="1">
      <c r="B19" s="218" t="s">
        <v>175</v>
      </c>
      <c r="C19" s="218" t="str">
        <f t="shared" si="0"/>
        <v>Carnes y aves</v>
      </c>
      <c r="D19" s="244">
        <f t="shared" si="1"/>
        <v>13</v>
      </c>
      <c r="E19" s="245">
        <f t="shared" si="2"/>
        <v>4.0999999999999996</v>
      </c>
      <c r="G19" s="239" t="s">
        <v>319</v>
      </c>
      <c r="H19" s="691">
        <v>162</v>
      </c>
      <c r="I19" s="691">
        <v>85</v>
      </c>
      <c r="J19" s="691">
        <v>240</v>
      </c>
      <c r="K19" s="691">
        <v>9</v>
      </c>
      <c r="L19" s="691">
        <v>1</v>
      </c>
      <c r="M19" s="691">
        <v>15</v>
      </c>
      <c r="N19" s="18"/>
      <c r="O19" s="18"/>
    </row>
    <row r="20" spans="2:15" ht="13.9" customHeight="1">
      <c r="B20" s="218" t="s">
        <v>176</v>
      </c>
      <c r="C20" s="218" t="str">
        <f t="shared" si="0"/>
        <v>Carnes y aves</v>
      </c>
      <c r="D20" s="244">
        <f t="shared" si="1"/>
        <v>13</v>
      </c>
      <c r="E20" s="245">
        <f t="shared" si="2"/>
        <v>4.0999999999999996</v>
      </c>
      <c r="G20" s="239" t="s">
        <v>323</v>
      </c>
      <c r="H20" s="690" t="s">
        <v>345</v>
      </c>
      <c r="I20" s="691">
        <v>1</v>
      </c>
      <c r="J20" s="690">
        <v>5</v>
      </c>
      <c r="K20" s="690" t="s">
        <v>345</v>
      </c>
      <c r="L20" s="690">
        <v>0.5</v>
      </c>
      <c r="M20" s="690">
        <v>1.2</v>
      </c>
      <c r="N20" s="18"/>
      <c r="O20" s="18"/>
    </row>
    <row r="21" spans="2:15" ht="13.9" customHeight="1">
      <c r="B21" s="218" t="s">
        <v>177</v>
      </c>
      <c r="C21" s="218" t="str">
        <f t="shared" si="0"/>
        <v>Carnes y aves</v>
      </c>
      <c r="D21" s="244">
        <f t="shared" si="1"/>
        <v>13</v>
      </c>
      <c r="E21" s="245">
        <f t="shared" si="2"/>
        <v>4.0999999999999996</v>
      </c>
      <c r="G21" s="239" t="s">
        <v>349</v>
      </c>
      <c r="H21" s="691">
        <v>9</v>
      </c>
      <c r="I21" s="691">
        <v>4</v>
      </c>
      <c r="J21" s="691">
        <v>18</v>
      </c>
      <c r="K21" s="691">
        <v>10</v>
      </c>
      <c r="L21" s="690">
        <v>1.5</v>
      </c>
      <c r="M21" s="691">
        <v>42</v>
      </c>
      <c r="N21" s="18"/>
      <c r="O21" s="18"/>
    </row>
    <row r="22" spans="2:15" ht="13.9" customHeight="1">
      <c r="B22" s="218" t="s">
        <v>178</v>
      </c>
      <c r="C22" s="218" t="str">
        <f t="shared" ref="C22:C27" si="3">$G$24</f>
        <v>Verduras, frutas y jugos</v>
      </c>
      <c r="D22" s="245">
        <f t="shared" ref="D22:D27" si="4">$H$24</f>
        <v>20</v>
      </c>
      <c r="E22" s="245">
        <f t="shared" ref="E22:E27" si="5">$K$24</f>
        <v>5</v>
      </c>
      <c r="G22" s="239" t="s">
        <v>317</v>
      </c>
      <c r="H22" s="690" t="s">
        <v>345</v>
      </c>
      <c r="I22" s="691">
        <v>4</v>
      </c>
      <c r="J22" s="691">
        <v>18</v>
      </c>
      <c r="K22" s="690">
        <v>3.2</v>
      </c>
      <c r="L22" s="691">
        <v>1</v>
      </c>
      <c r="M22" s="691">
        <v>6</v>
      </c>
      <c r="N22" s="18"/>
      <c r="O22" s="18"/>
    </row>
    <row r="23" spans="2:15" ht="13.9" customHeight="1">
      <c r="B23" s="218" t="s">
        <v>350</v>
      </c>
      <c r="C23" s="218" t="str">
        <f t="shared" si="3"/>
        <v>Verduras, frutas y jugos</v>
      </c>
      <c r="D23" s="245">
        <f t="shared" si="4"/>
        <v>20</v>
      </c>
      <c r="E23" s="245">
        <f t="shared" si="5"/>
        <v>5</v>
      </c>
      <c r="G23" s="239" t="s">
        <v>315</v>
      </c>
      <c r="H23" s="690">
        <v>3.1</v>
      </c>
      <c r="I23" s="691">
        <v>1</v>
      </c>
      <c r="J23" s="691">
        <v>5</v>
      </c>
      <c r="K23" s="690" t="s">
        <v>345</v>
      </c>
      <c r="L23" s="690">
        <v>0.5</v>
      </c>
      <c r="M23" s="690">
        <v>1.2</v>
      </c>
      <c r="N23" s="18"/>
      <c r="O23" s="18"/>
    </row>
    <row r="24" spans="2:15" ht="13.9" customHeight="1">
      <c r="B24" s="218" t="s">
        <v>180</v>
      </c>
      <c r="C24" s="218" t="str">
        <f t="shared" si="3"/>
        <v>Verduras, frutas y jugos</v>
      </c>
      <c r="D24" s="245">
        <f t="shared" si="4"/>
        <v>20</v>
      </c>
      <c r="E24" s="245">
        <f t="shared" si="5"/>
        <v>5</v>
      </c>
      <c r="G24" s="239" t="s">
        <v>351</v>
      </c>
      <c r="H24" s="691">
        <v>20</v>
      </c>
      <c r="I24" s="691">
        <v>7</v>
      </c>
      <c r="J24" s="691">
        <v>35</v>
      </c>
      <c r="K24" s="690">
        <v>5</v>
      </c>
      <c r="L24" s="691">
        <v>2</v>
      </c>
      <c r="M24" s="691">
        <v>10</v>
      </c>
      <c r="N24" s="18"/>
      <c r="O24" s="18"/>
    </row>
    <row r="25" spans="2:15" ht="13.9" customHeight="1">
      <c r="B25" s="218" t="s">
        <v>352</v>
      </c>
      <c r="C25" s="218" t="str">
        <f t="shared" si="3"/>
        <v>Verduras, frutas y jugos</v>
      </c>
      <c r="D25" s="245">
        <f t="shared" si="4"/>
        <v>20</v>
      </c>
      <c r="E25" s="245">
        <f t="shared" si="5"/>
        <v>5</v>
      </c>
      <c r="G25" s="239" t="s">
        <v>318</v>
      </c>
      <c r="H25" s="691">
        <v>23</v>
      </c>
      <c r="I25" s="691">
        <v>11</v>
      </c>
      <c r="J25" s="691">
        <v>46</v>
      </c>
      <c r="K25" s="690">
        <v>1.5</v>
      </c>
      <c r="L25" s="690">
        <v>0.7</v>
      </c>
      <c r="M25" s="690">
        <v>3</v>
      </c>
      <c r="N25" s="18"/>
      <c r="O25" s="18"/>
    </row>
    <row r="26" spans="2:15" ht="13.9" customHeight="1">
      <c r="B26" s="218" t="s">
        <v>182</v>
      </c>
      <c r="C26" s="218" t="str">
        <f t="shared" si="3"/>
        <v>Verduras, frutas y jugos</v>
      </c>
      <c r="D26" s="245">
        <f t="shared" si="4"/>
        <v>20</v>
      </c>
      <c r="E26" s="245">
        <f t="shared" si="5"/>
        <v>5</v>
      </c>
      <c r="G26" s="17" t="s">
        <v>353</v>
      </c>
      <c r="H26" s="689"/>
      <c r="I26" s="689"/>
      <c r="J26" s="689"/>
      <c r="K26" s="689"/>
      <c r="L26" s="689"/>
      <c r="M26" s="689"/>
    </row>
    <row r="27" spans="2:15" ht="13.9" customHeight="1">
      <c r="B27" s="218" t="s">
        <v>183</v>
      </c>
      <c r="C27" s="218" t="str">
        <f t="shared" si="3"/>
        <v>Verduras, frutas y jugos</v>
      </c>
      <c r="D27" s="245">
        <f t="shared" si="4"/>
        <v>20</v>
      </c>
      <c r="E27" s="245">
        <f t="shared" si="5"/>
        <v>5</v>
      </c>
      <c r="G27" s="17" t="s">
        <v>354</v>
      </c>
      <c r="H27" s="689"/>
      <c r="I27" s="689"/>
      <c r="J27" s="689"/>
      <c r="K27" s="689"/>
      <c r="L27" s="689"/>
      <c r="M27" s="689"/>
    </row>
    <row r="28" spans="2:15" ht="13.9" customHeight="1">
      <c r="B28" s="218" t="s">
        <v>184</v>
      </c>
      <c r="C28" s="218" t="str">
        <f>$G$23</f>
        <v>Aceites vegetales</v>
      </c>
      <c r="D28" s="245">
        <f>$H$23</f>
        <v>3.1</v>
      </c>
      <c r="E28" s="246">
        <f>(0.5+1.2)/2</f>
        <v>0.85</v>
      </c>
      <c r="G28" s="17" t="s">
        <v>355</v>
      </c>
      <c r="H28" s="689"/>
      <c r="I28" s="689"/>
      <c r="J28" s="689"/>
      <c r="K28" s="689"/>
      <c r="L28" s="689"/>
      <c r="M28" s="689"/>
    </row>
    <row r="29" spans="2:15" ht="13.9" customHeight="1">
      <c r="B29" s="218" t="s">
        <v>185</v>
      </c>
      <c r="C29" s="218" t="str">
        <f>$G$23</f>
        <v>Aceites vegetales</v>
      </c>
      <c r="D29" s="245">
        <f>$H$23</f>
        <v>3.1</v>
      </c>
      <c r="E29" s="246">
        <f>(0.5+1.2)/2</f>
        <v>0.85</v>
      </c>
      <c r="G29" s="353" t="s">
        <v>356</v>
      </c>
      <c r="H29" s="353"/>
      <c r="I29" s="353"/>
    </row>
    <row r="30" spans="2:15" ht="13.9" customHeight="1">
      <c r="B30" s="218" t="s">
        <v>357</v>
      </c>
      <c r="C30" s="218" t="str">
        <f>$G$23</f>
        <v>Aceites vegetales</v>
      </c>
      <c r="D30" s="245">
        <f>$H$23</f>
        <v>3.1</v>
      </c>
      <c r="E30" s="246">
        <f>(0.5+1.2)/2</f>
        <v>0.85</v>
      </c>
      <c r="G30" s="712" t="s">
        <v>142</v>
      </c>
      <c r="H30" s="712"/>
      <c r="I30" s="712"/>
      <c r="J30" s="712"/>
      <c r="K30" s="712"/>
      <c r="L30" s="712"/>
      <c r="M30" s="712"/>
      <c r="N30" s="123"/>
      <c r="O30" s="123"/>
    </row>
    <row r="31" spans="2:15" ht="13.9" customHeight="1">
      <c r="B31" s="218" t="s">
        <v>187</v>
      </c>
      <c r="C31" s="218" t="str">
        <f t="shared" ref="C31:C38" si="6">$G$13</f>
        <v>Productos lácteos</v>
      </c>
      <c r="D31" s="247">
        <f>$H$13</f>
        <v>7</v>
      </c>
      <c r="E31" s="245">
        <f>$K$13</f>
        <v>2.7</v>
      </c>
      <c r="G31" s="712"/>
      <c r="H31" s="712"/>
      <c r="I31" s="712"/>
      <c r="J31" s="712"/>
      <c r="K31" s="712"/>
      <c r="L31" s="712"/>
      <c r="M31" s="712"/>
      <c r="N31" s="123"/>
      <c r="O31" s="123"/>
    </row>
    <row r="32" spans="2:15" ht="13.9" customHeight="1">
      <c r="B32" s="218" t="s">
        <v>188</v>
      </c>
      <c r="C32" s="218" t="str">
        <f t="shared" si="6"/>
        <v>Productos lácteos</v>
      </c>
      <c r="D32" s="247">
        <f t="shared" ref="D32:D38" si="7">$H$13</f>
        <v>7</v>
      </c>
      <c r="E32" s="245">
        <f t="shared" ref="E32:E38" si="8">$K$13</f>
        <v>2.7</v>
      </c>
      <c r="G32" s="712"/>
      <c r="H32" s="712"/>
      <c r="I32" s="712"/>
      <c r="J32" s="712"/>
      <c r="K32" s="712"/>
      <c r="L32" s="712"/>
      <c r="M32" s="712"/>
      <c r="N32" s="123"/>
      <c r="O32" s="123"/>
    </row>
    <row r="33" spans="2:17" ht="13.9" customHeight="1">
      <c r="B33" s="218" t="s">
        <v>189</v>
      </c>
      <c r="C33" s="218" t="str">
        <f t="shared" si="6"/>
        <v>Productos lácteos</v>
      </c>
      <c r="D33" s="247">
        <f t="shared" si="7"/>
        <v>7</v>
      </c>
      <c r="E33" s="245">
        <f t="shared" si="8"/>
        <v>2.7</v>
      </c>
      <c r="G33" s="712"/>
      <c r="H33" s="712"/>
      <c r="I33" s="712"/>
      <c r="J33" s="712"/>
      <c r="K33" s="712"/>
      <c r="L33" s="712"/>
      <c r="M33" s="712"/>
    </row>
    <row r="34" spans="2:17" ht="13.9" customHeight="1">
      <c r="B34" s="218" t="s">
        <v>190</v>
      </c>
      <c r="C34" s="218" t="str">
        <f t="shared" si="6"/>
        <v>Productos lácteos</v>
      </c>
      <c r="D34" s="247">
        <f t="shared" si="7"/>
        <v>7</v>
      </c>
      <c r="E34" s="245">
        <f t="shared" si="8"/>
        <v>2.7</v>
      </c>
    </row>
    <row r="35" spans="2:17" ht="13.9" customHeight="1">
      <c r="B35" s="218" t="s">
        <v>191</v>
      </c>
      <c r="C35" s="218" t="str">
        <f t="shared" si="6"/>
        <v>Productos lácteos</v>
      </c>
      <c r="D35" s="247">
        <f t="shared" si="7"/>
        <v>7</v>
      </c>
      <c r="E35" s="245">
        <f t="shared" si="8"/>
        <v>2.7</v>
      </c>
    </row>
    <row r="36" spans="2:17" ht="13.9" customHeight="1">
      <c r="B36" s="218" t="s">
        <v>192</v>
      </c>
      <c r="C36" s="218" t="str">
        <f t="shared" si="6"/>
        <v>Productos lácteos</v>
      </c>
      <c r="D36" s="247">
        <f t="shared" si="7"/>
        <v>7</v>
      </c>
      <c r="E36" s="245">
        <f t="shared" si="8"/>
        <v>2.7</v>
      </c>
      <c r="P36" s="123"/>
      <c r="Q36" s="123"/>
    </row>
    <row r="37" spans="2:17" ht="13.9" customHeight="1">
      <c r="B37" s="218" t="s">
        <v>193</v>
      </c>
      <c r="C37" s="218" t="str">
        <f t="shared" si="6"/>
        <v>Productos lácteos</v>
      </c>
      <c r="D37" s="247">
        <f t="shared" si="7"/>
        <v>7</v>
      </c>
      <c r="E37" s="245">
        <f t="shared" si="8"/>
        <v>2.7</v>
      </c>
      <c r="P37" s="123"/>
      <c r="Q37" s="123"/>
    </row>
    <row r="38" spans="2:17" ht="13.9" customHeight="1">
      <c r="B38" s="218" t="s">
        <v>194</v>
      </c>
      <c r="C38" s="218" t="str">
        <f t="shared" si="6"/>
        <v>Productos lácteos</v>
      </c>
      <c r="D38" s="247">
        <f t="shared" si="7"/>
        <v>7</v>
      </c>
      <c r="E38" s="245">
        <f t="shared" si="8"/>
        <v>2.7</v>
      </c>
      <c r="P38" s="123"/>
      <c r="Q38" s="123"/>
    </row>
    <row r="39" spans="2:17" ht="13.9" customHeight="1">
      <c r="B39" s="218" t="s">
        <v>358</v>
      </c>
      <c r="C39" s="218" t="str">
        <f>G22</f>
        <v>Refinación de azúcar</v>
      </c>
      <c r="D39" s="246">
        <f>(18+4)/2</f>
        <v>11</v>
      </c>
      <c r="E39" s="245">
        <f>K22</f>
        <v>3.2</v>
      </c>
    </row>
    <row r="40" spans="2:17" ht="13.9" customHeight="1">
      <c r="B40" s="218" t="s">
        <v>359</v>
      </c>
      <c r="C40" s="218" t="str">
        <f>G12</f>
        <v>Café</v>
      </c>
      <c r="D40" s="248" t="s">
        <v>345</v>
      </c>
      <c r="E40" s="245">
        <f>K12</f>
        <v>9</v>
      </c>
    </row>
    <row r="41" spans="2:17" ht="13.9" customHeight="1">
      <c r="B41" s="218" t="s">
        <v>204</v>
      </c>
      <c r="C41" s="218" t="str">
        <f>$G$24</f>
        <v>Verduras, frutas y jugos</v>
      </c>
      <c r="D41" s="245">
        <f>$H$24</f>
        <v>20</v>
      </c>
      <c r="E41" s="245">
        <f>$K$24</f>
        <v>5</v>
      </c>
    </row>
    <row r="42" spans="2:17" ht="13.9" customHeight="1">
      <c r="B42" s="218" t="s">
        <v>360</v>
      </c>
      <c r="C42" s="218" t="str">
        <f>$G$24</f>
        <v>Verduras, frutas y jugos</v>
      </c>
      <c r="D42" s="245">
        <f>$H$24</f>
        <v>20</v>
      </c>
      <c r="E42" s="245">
        <f>$K$24</f>
        <v>5</v>
      </c>
    </row>
    <row r="43" spans="2:17" ht="13.9" customHeight="1">
      <c r="B43" s="218" t="s">
        <v>208</v>
      </c>
      <c r="C43" s="218" t="str">
        <f>$G$24</f>
        <v>Verduras, frutas y jugos</v>
      </c>
      <c r="D43" s="245">
        <f>$H$24</f>
        <v>20</v>
      </c>
      <c r="E43" s="245">
        <f>$K$24</f>
        <v>5</v>
      </c>
    </row>
    <row r="44" spans="2:17" ht="13.9" customHeight="1">
      <c r="B44" s="218" t="s">
        <v>209</v>
      </c>
      <c r="C44" s="218" t="str">
        <f>$G$13</f>
        <v>Productos lácteos</v>
      </c>
      <c r="D44" s="247">
        <f>$H$13</f>
        <v>7</v>
      </c>
      <c r="E44" s="245">
        <f>$K$13</f>
        <v>2.7</v>
      </c>
    </row>
    <row r="45" spans="2:17" ht="13.9" customHeight="1">
      <c r="B45" s="218" t="s">
        <v>211</v>
      </c>
      <c r="C45" s="218" t="str">
        <f>G10</f>
        <v>Refinación de alcoholes</v>
      </c>
      <c r="D45" s="245">
        <f>H10</f>
        <v>24</v>
      </c>
      <c r="E45" s="245">
        <f>K10</f>
        <v>11</v>
      </c>
    </row>
    <row r="46" spans="2:17" ht="13.9" customHeight="1">
      <c r="B46" s="218" t="s">
        <v>361</v>
      </c>
      <c r="C46" s="218" t="str">
        <f>G25</f>
        <v>Vinos y vinagres</v>
      </c>
      <c r="D46" s="245">
        <f>H25</f>
        <v>23</v>
      </c>
      <c r="E46" s="245">
        <f>K25</f>
        <v>1.5</v>
      </c>
    </row>
    <row r="47" spans="2:17" ht="13.9" customHeight="1">
      <c r="B47" s="218" t="s">
        <v>213</v>
      </c>
      <c r="C47" s="218" t="str">
        <f>G11</f>
        <v>Cerveza y malta</v>
      </c>
      <c r="D47" s="245">
        <f>H11</f>
        <v>6.3</v>
      </c>
      <c r="E47" s="245">
        <f>K11</f>
        <v>2.9</v>
      </c>
    </row>
    <row r="48" spans="2:17" ht="13.9" customHeight="1">
      <c r="B48" s="218" t="s">
        <v>218</v>
      </c>
      <c r="C48" s="218" t="str">
        <f>G10</f>
        <v>Refinación de alcoholes</v>
      </c>
      <c r="D48" s="245">
        <f>H10</f>
        <v>24</v>
      </c>
      <c r="E48" s="245">
        <f>K10</f>
        <v>11</v>
      </c>
    </row>
    <row r="49" spans="2:5" ht="13.9" customHeight="1">
      <c r="B49" s="218" t="s">
        <v>219</v>
      </c>
      <c r="C49" s="218" t="str">
        <f>G11</f>
        <v>Cerveza y malta</v>
      </c>
      <c r="D49" s="245">
        <f>H11</f>
        <v>6.3</v>
      </c>
      <c r="E49" s="245">
        <f>K11</f>
        <v>2.9</v>
      </c>
    </row>
    <row r="50" spans="2:5" ht="13.9" customHeight="1">
      <c r="B50" s="218" t="s">
        <v>229</v>
      </c>
      <c r="C50" s="218" t="str">
        <f t="shared" ref="C50:C65" si="9">$G$19</f>
        <v>Pulpa y papel (combinados)</v>
      </c>
      <c r="D50" s="245">
        <f>$H$19</f>
        <v>162</v>
      </c>
      <c r="E50" s="245">
        <f>$K$19</f>
        <v>9</v>
      </c>
    </row>
    <row r="51" spans="2:5" ht="13.9" customHeight="1">
      <c r="B51" s="218" t="s">
        <v>230</v>
      </c>
      <c r="C51" s="218" t="str">
        <f t="shared" si="9"/>
        <v>Pulpa y papel (combinados)</v>
      </c>
      <c r="D51" s="245">
        <f t="shared" ref="D51:D65" si="10">$H$19</f>
        <v>162</v>
      </c>
      <c r="E51" s="245">
        <f t="shared" ref="E51:E65" si="11">$K$19</f>
        <v>9</v>
      </c>
    </row>
    <row r="52" spans="2:5" ht="13.9" customHeight="1">
      <c r="B52" s="218" t="s">
        <v>231</v>
      </c>
      <c r="C52" s="218" t="str">
        <f t="shared" si="9"/>
        <v>Pulpa y papel (combinados)</v>
      </c>
      <c r="D52" s="245">
        <f t="shared" si="10"/>
        <v>162</v>
      </c>
      <c r="E52" s="245">
        <f t="shared" si="11"/>
        <v>9</v>
      </c>
    </row>
    <row r="53" spans="2:5" ht="13.9" customHeight="1">
      <c r="B53" s="218" t="s">
        <v>362</v>
      </c>
      <c r="C53" s="218" t="str">
        <f t="shared" si="9"/>
        <v>Pulpa y papel (combinados)</v>
      </c>
      <c r="D53" s="245">
        <f t="shared" si="10"/>
        <v>162</v>
      </c>
      <c r="E53" s="245">
        <f t="shared" si="11"/>
        <v>9</v>
      </c>
    </row>
    <row r="54" spans="2:5" ht="13.9" customHeight="1">
      <c r="B54" s="218" t="s">
        <v>233</v>
      </c>
      <c r="C54" s="218" t="str">
        <f t="shared" si="9"/>
        <v>Pulpa y papel (combinados)</v>
      </c>
      <c r="D54" s="245">
        <f t="shared" si="10"/>
        <v>162</v>
      </c>
      <c r="E54" s="245">
        <f t="shared" si="11"/>
        <v>9</v>
      </c>
    </row>
    <row r="55" spans="2:5" ht="13.9" customHeight="1">
      <c r="B55" s="218" t="s">
        <v>234</v>
      </c>
      <c r="C55" s="218" t="str">
        <f t="shared" si="9"/>
        <v>Pulpa y papel (combinados)</v>
      </c>
      <c r="D55" s="245">
        <f t="shared" si="10"/>
        <v>162</v>
      </c>
      <c r="E55" s="245">
        <f t="shared" si="11"/>
        <v>9</v>
      </c>
    </row>
    <row r="56" spans="2:5" ht="13.9" customHeight="1">
      <c r="B56" s="218" t="s">
        <v>235</v>
      </c>
      <c r="C56" s="218" t="str">
        <f t="shared" si="9"/>
        <v>Pulpa y papel (combinados)</v>
      </c>
      <c r="D56" s="245">
        <f t="shared" si="10"/>
        <v>162</v>
      </c>
      <c r="E56" s="245">
        <f t="shared" si="11"/>
        <v>9</v>
      </c>
    </row>
    <row r="57" spans="2:5" ht="13.9" customHeight="1">
      <c r="B57" s="218" t="s">
        <v>236</v>
      </c>
      <c r="C57" s="218" t="str">
        <f t="shared" si="9"/>
        <v>Pulpa y papel (combinados)</v>
      </c>
      <c r="D57" s="245">
        <f t="shared" si="10"/>
        <v>162</v>
      </c>
      <c r="E57" s="245">
        <f t="shared" si="11"/>
        <v>9</v>
      </c>
    </row>
    <row r="58" spans="2:5" ht="13.9" customHeight="1">
      <c r="B58" s="218" t="s">
        <v>300</v>
      </c>
      <c r="C58" s="218" t="str">
        <f t="shared" si="9"/>
        <v>Pulpa y papel (combinados)</v>
      </c>
      <c r="D58" s="245">
        <f t="shared" si="10"/>
        <v>162</v>
      </c>
      <c r="E58" s="245">
        <f t="shared" si="11"/>
        <v>9</v>
      </c>
    </row>
    <row r="59" spans="2:5" ht="13.9" customHeight="1">
      <c r="B59" s="218" t="s">
        <v>238</v>
      </c>
      <c r="C59" s="218" t="str">
        <f t="shared" si="9"/>
        <v>Pulpa y papel (combinados)</v>
      </c>
      <c r="D59" s="245">
        <f t="shared" si="10"/>
        <v>162</v>
      </c>
      <c r="E59" s="245">
        <f t="shared" si="11"/>
        <v>9</v>
      </c>
    </row>
    <row r="60" spans="2:5" ht="13.9" customHeight="1">
      <c r="B60" s="218" t="s">
        <v>239</v>
      </c>
      <c r="C60" s="218" t="str">
        <f t="shared" si="9"/>
        <v>Pulpa y papel (combinados)</v>
      </c>
      <c r="D60" s="245">
        <f t="shared" si="10"/>
        <v>162</v>
      </c>
      <c r="E60" s="245">
        <f t="shared" si="11"/>
        <v>9</v>
      </c>
    </row>
    <row r="61" spans="2:5" ht="13.9" customHeight="1">
      <c r="B61" s="218" t="s">
        <v>240</v>
      </c>
      <c r="C61" s="218" t="str">
        <f t="shared" si="9"/>
        <v>Pulpa y papel (combinados)</v>
      </c>
      <c r="D61" s="245">
        <f t="shared" si="10"/>
        <v>162</v>
      </c>
      <c r="E61" s="245">
        <f t="shared" si="11"/>
        <v>9</v>
      </c>
    </row>
    <row r="62" spans="2:5" ht="13.9" customHeight="1">
      <c r="B62" s="218" t="s">
        <v>241</v>
      </c>
      <c r="C62" s="218" t="str">
        <f t="shared" si="9"/>
        <v>Pulpa y papel (combinados)</v>
      </c>
      <c r="D62" s="245">
        <f t="shared" si="10"/>
        <v>162</v>
      </c>
      <c r="E62" s="245">
        <f t="shared" si="11"/>
        <v>9</v>
      </c>
    </row>
    <row r="63" spans="2:5" ht="13.9" customHeight="1">
      <c r="B63" s="218" t="s">
        <v>242</v>
      </c>
      <c r="C63" s="218" t="str">
        <f t="shared" si="9"/>
        <v>Pulpa y papel (combinados)</v>
      </c>
      <c r="D63" s="245">
        <f t="shared" si="10"/>
        <v>162</v>
      </c>
      <c r="E63" s="245">
        <f t="shared" si="11"/>
        <v>9</v>
      </c>
    </row>
    <row r="64" spans="2:5" ht="13.9" customHeight="1">
      <c r="B64" s="218" t="s">
        <v>243</v>
      </c>
      <c r="C64" s="218" t="str">
        <f t="shared" si="9"/>
        <v>Pulpa y papel (combinados)</v>
      </c>
      <c r="D64" s="245">
        <f t="shared" si="10"/>
        <v>162</v>
      </c>
      <c r="E64" s="245">
        <f t="shared" si="11"/>
        <v>9</v>
      </c>
    </row>
    <row r="65" spans="2:5" ht="13.9" customHeight="1">
      <c r="B65" s="218" t="s">
        <v>244</v>
      </c>
      <c r="C65" s="218" t="str">
        <f t="shared" si="9"/>
        <v>Pulpa y papel (combinados)</v>
      </c>
      <c r="D65" s="245">
        <f t="shared" si="10"/>
        <v>162</v>
      </c>
      <c r="E65" s="245">
        <f t="shared" si="11"/>
        <v>9</v>
      </c>
    </row>
    <row r="66" spans="2:5" ht="13.9" customHeight="1">
      <c r="B66" s="218" t="s">
        <v>363</v>
      </c>
      <c r="C66" s="218" t="str">
        <f>$G$17</f>
        <v>Refinarías de petróleo</v>
      </c>
      <c r="D66" s="245">
        <f>$H$17</f>
        <v>0.6</v>
      </c>
      <c r="E66" s="245">
        <f>$K$17</f>
        <v>1</v>
      </c>
    </row>
    <row r="67" spans="2:5" ht="13.9" customHeight="1">
      <c r="B67" s="218" t="s">
        <v>302</v>
      </c>
      <c r="C67" s="218" t="str">
        <f>$G$17</f>
        <v>Refinarías de petróleo</v>
      </c>
      <c r="D67" s="245">
        <f>$H$17</f>
        <v>0.6</v>
      </c>
      <c r="E67" s="245">
        <f>$K$17</f>
        <v>1</v>
      </c>
    </row>
    <row r="68" spans="2:5" ht="13.9" customHeight="1">
      <c r="B68" s="218" t="s">
        <v>250</v>
      </c>
      <c r="C68" s="218" t="str">
        <f>$G$17</f>
        <v>Refinarías de petróleo</v>
      </c>
      <c r="D68" s="245">
        <f>$H$17</f>
        <v>0.6</v>
      </c>
      <c r="E68" s="245">
        <f>$K$17</f>
        <v>1</v>
      </c>
    </row>
    <row r="69" spans="2:5" ht="13.9" customHeight="1">
      <c r="B69" s="218" t="s">
        <v>364</v>
      </c>
      <c r="C69" s="218" t="str">
        <f>$G$16</f>
        <v>Sustancias químicas orgánicas</v>
      </c>
      <c r="D69" s="245">
        <f>$H$16</f>
        <v>67</v>
      </c>
      <c r="E69" s="245">
        <f>$K$16</f>
        <v>3</v>
      </c>
    </row>
    <row r="70" spans="2:5" ht="13.9" customHeight="1">
      <c r="B70" s="218" t="s">
        <v>253</v>
      </c>
      <c r="C70" s="218" t="str">
        <f>$G$16</f>
        <v>Sustancias químicas orgánicas</v>
      </c>
      <c r="D70" s="245">
        <f>$H$16</f>
        <v>67</v>
      </c>
      <c r="E70" s="245">
        <f>$K$16</f>
        <v>3</v>
      </c>
    </row>
    <row r="71" spans="2:5" ht="13.9" customHeight="1">
      <c r="B71" s="218" t="s">
        <v>255</v>
      </c>
      <c r="C71" s="218" t="str">
        <f>$G$16</f>
        <v>Sustancias químicas orgánicas</v>
      </c>
      <c r="D71" s="245">
        <f>$H$16</f>
        <v>67</v>
      </c>
      <c r="E71" s="245">
        <f>$K$16</f>
        <v>3</v>
      </c>
    </row>
    <row r="72" spans="2:5" ht="13.9" customHeight="1">
      <c r="B72" s="218" t="s">
        <v>265</v>
      </c>
      <c r="C72" s="218" t="str">
        <f t="shared" ref="C72:C78" si="12">$G$20</f>
        <v>Jabón y detergentes</v>
      </c>
      <c r="D72" s="246">
        <f t="shared" ref="D72:D78" si="13">(1+5)/2</f>
        <v>3</v>
      </c>
      <c r="E72" s="692">
        <f t="shared" ref="E72:E77" si="14">(0.5+1.2)/2</f>
        <v>0.85</v>
      </c>
    </row>
    <row r="73" spans="2:5" ht="13.9" customHeight="1">
      <c r="B73" s="218" t="s">
        <v>266</v>
      </c>
      <c r="C73" s="218" t="str">
        <f t="shared" si="12"/>
        <v>Jabón y detergentes</v>
      </c>
      <c r="D73" s="246">
        <f t="shared" si="13"/>
        <v>3</v>
      </c>
      <c r="E73" s="692">
        <f t="shared" si="14"/>
        <v>0.85</v>
      </c>
    </row>
    <row r="74" spans="2:5" ht="13.9" customHeight="1">
      <c r="B74" s="218" t="s">
        <v>267</v>
      </c>
      <c r="C74" s="218" t="str">
        <f t="shared" si="12"/>
        <v>Jabón y detergentes</v>
      </c>
      <c r="D74" s="246">
        <f t="shared" si="13"/>
        <v>3</v>
      </c>
      <c r="E74" s="692">
        <f t="shared" si="14"/>
        <v>0.85</v>
      </c>
    </row>
    <row r="75" spans="2:5" ht="13.9" customHeight="1">
      <c r="B75" s="218" t="s">
        <v>268</v>
      </c>
      <c r="C75" s="218" t="str">
        <f t="shared" si="12"/>
        <v>Jabón y detergentes</v>
      </c>
      <c r="D75" s="246">
        <f t="shared" si="13"/>
        <v>3</v>
      </c>
      <c r="E75" s="692">
        <f t="shared" si="14"/>
        <v>0.85</v>
      </c>
    </row>
    <row r="76" spans="2:5" ht="13.9" customHeight="1">
      <c r="B76" s="218" t="s">
        <v>269</v>
      </c>
      <c r="C76" s="218" t="str">
        <f t="shared" si="12"/>
        <v>Jabón y detergentes</v>
      </c>
      <c r="D76" s="246">
        <f t="shared" si="13"/>
        <v>3</v>
      </c>
      <c r="E76" s="692">
        <f t="shared" si="14"/>
        <v>0.85</v>
      </c>
    </row>
    <row r="77" spans="2:5" ht="13.9" customHeight="1">
      <c r="B77" s="218" t="s">
        <v>365</v>
      </c>
      <c r="C77" s="218" t="str">
        <f t="shared" si="12"/>
        <v>Jabón y detergentes</v>
      </c>
      <c r="D77" s="246">
        <f t="shared" si="13"/>
        <v>3</v>
      </c>
      <c r="E77" s="692">
        <f t="shared" si="14"/>
        <v>0.85</v>
      </c>
    </row>
    <row r="78" spans="2:5" ht="13.9" customHeight="1">
      <c r="B78" s="218" t="s">
        <v>271</v>
      </c>
      <c r="C78" s="218" t="str">
        <f t="shared" si="12"/>
        <v>Jabón y detergentes</v>
      </c>
      <c r="D78" s="246">
        <f t="shared" si="13"/>
        <v>3</v>
      </c>
      <c r="E78" s="692">
        <v>0.85</v>
      </c>
    </row>
    <row r="79" spans="2:5" ht="13.9" customHeight="1">
      <c r="B79" s="218" t="s">
        <v>273</v>
      </c>
      <c r="C79" s="218" t="str">
        <f t="shared" ref="C79:C89" si="15">$G$18</f>
        <v>Plásticos y resinas</v>
      </c>
      <c r="D79" s="245">
        <f>$H$18</f>
        <v>0.6</v>
      </c>
      <c r="E79" s="245">
        <f>$K$18</f>
        <v>3.7</v>
      </c>
    </row>
    <row r="80" spans="2:5" ht="13.9" customHeight="1">
      <c r="B80" s="218" t="s">
        <v>274</v>
      </c>
      <c r="C80" s="218" t="str">
        <f t="shared" si="15"/>
        <v>Plásticos y resinas</v>
      </c>
      <c r="D80" s="245">
        <f t="shared" ref="D80:D89" si="16">$H$18</f>
        <v>0.6</v>
      </c>
      <c r="E80" s="245">
        <f t="shared" ref="E80:E89" si="17">$K$18</f>
        <v>3.7</v>
      </c>
    </row>
    <row r="81" spans="2:5" ht="13.9" customHeight="1">
      <c r="B81" s="218" t="s">
        <v>275</v>
      </c>
      <c r="C81" s="218" t="str">
        <f t="shared" si="15"/>
        <v>Plásticos y resinas</v>
      </c>
      <c r="D81" s="245">
        <f t="shared" si="16"/>
        <v>0.6</v>
      </c>
      <c r="E81" s="245">
        <f t="shared" si="17"/>
        <v>3.7</v>
      </c>
    </row>
    <row r="82" spans="2:5" ht="13.9" customHeight="1">
      <c r="B82" s="218" t="s">
        <v>276</v>
      </c>
      <c r="C82" s="218" t="str">
        <f t="shared" si="15"/>
        <v>Plásticos y resinas</v>
      </c>
      <c r="D82" s="245">
        <f t="shared" si="16"/>
        <v>0.6</v>
      </c>
      <c r="E82" s="245">
        <f t="shared" si="17"/>
        <v>3.7</v>
      </c>
    </row>
    <row r="83" spans="2:5" ht="13.9" customHeight="1">
      <c r="B83" s="218" t="s">
        <v>277</v>
      </c>
      <c r="C83" s="218" t="str">
        <f t="shared" si="15"/>
        <v>Plásticos y resinas</v>
      </c>
      <c r="D83" s="245">
        <f t="shared" si="16"/>
        <v>0.6</v>
      </c>
      <c r="E83" s="245">
        <f t="shared" si="17"/>
        <v>3.7</v>
      </c>
    </row>
    <row r="84" spans="2:5" ht="13.9" customHeight="1">
      <c r="B84" s="218" t="s">
        <v>278</v>
      </c>
      <c r="C84" s="218" t="str">
        <f t="shared" si="15"/>
        <v>Plásticos y resinas</v>
      </c>
      <c r="D84" s="245">
        <f t="shared" si="16"/>
        <v>0.6</v>
      </c>
      <c r="E84" s="245">
        <f t="shared" si="17"/>
        <v>3.7</v>
      </c>
    </row>
    <row r="85" spans="2:5" ht="13.9" customHeight="1">
      <c r="B85" s="218" t="s">
        <v>279</v>
      </c>
      <c r="C85" s="218" t="str">
        <f t="shared" si="15"/>
        <v>Plásticos y resinas</v>
      </c>
      <c r="D85" s="245">
        <f t="shared" si="16"/>
        <v>0.6</v>
      </c>
      <c r="E85" s="245">
        <f t="shared" si="17"/>
        <v>3.7</v>
      </c>
    </row>
    <row r="86" spans="2:5" ht="13.9" customHeight="1">
      <c r="B86" s="218" t="s">
        <v>280</v>
      </c>
      <c r="C86" s="218" t="str">
        <f t="shared" si="15"/>
        <v>Plásticos y resinas</v>
      </c>
      <c r="D86" s="245">
        <f t="shared" si="16"/>
        <v>0.6</v>
      </c>
      <c r="E86" s="245">
        <f t="shared" si="17"/>
        <v>3.7</v>
      </c>
    </row>
    <row r="87" spans="2:5" ht="13.9" customHeight="1">
      <c r="B87" s="218" t="s">
        <v>281</v>
      </c>
      <c r="C87" s="218" t="str">
        <f t="shared" si="15"/>
        <v>Plásticos y resinas</v>
      </c>
      <c r="D87" s="245">
        <f t="shared" si="16"/>
        <v>0.6</v>
      </c>
      <c r="E87" s="245">
        <f t="shared" si="17"/>
        <v>3.7</v>
      </c>
    </row>
    <row r="88" spans="2:5" ht="13.9" customHeight="1">
      <c r="B88" s="218" t="s">
        <v>282</v>
      </c>
      <c r="C88" s="218" t="str">
        <f t="shared" si="15"/>
        <v>Plásticos y resinas</v>
      </c>
      <c r="D88" s="245">
        <f t="shared" si="16"/>
        <v>0.6</v>
      </c>
      <c r="E88" s="245">
        <f t="shared" si="17"/>
        <v>3.7</v>
      </c>
    </row>
    <row r="89" spans="2:5" ht="13.9" customHeight="1">
      <c r="B89" s="218" t="s">
        <v>283</v>
      </c>
      <c r="C89" s="218" t="str">
        <f t="shared" si="15"/>
        <v>Plásticos y resinas</v>
      </c>
      <c r="D89" s="245">
        <f t="shared" si="16"/>
        <v>0.6</v>
      </c>
      <c r="E89" s="245">
        <f t="shared" si="17"/>
        <v>3.7</v>
      </c>
    </row>
    <row r="90" spans="2:5" ht="13.9" customHeight="1">
      <c r="B90" s="249" t="s">
        <v>366</v>
      </c>
      <c r="C90" s="249" t="str">
        <f>$G$14</f>
        <v>Elaboración de pescado</v>
      </c>
      <c r="D90" s="246">
        <f>(8+18)/2</f>
        <v>13</v>
      </c>
      <c r="E90" s="245">
        <f>$K$14</f>
        <v>2.5</v>
      </c>
    </row>
    <row r="91" spans="2:5" ht="13.9" customHeight="1">
      <c r="B91" s="249" t="s">
        <v>367</v>
      </c>
      <c r="C91" s="249" t="str">
        <f>$G$14</f>
        <v>Elaboración de pescado</v>
      </c>
      <c r="D91" s="246">
        <f>(8+18)/2</f>
        <v>13</v>
      </c>
      <c r="E91" s="245">
        <f>$K$14</f>
        <v>2.5</v>
      </c>
    </row>
    <row r="92" spans="2:5" ht="13.9" customHeight="1">
      <c r="B92" s="249" t="s">
        <v>368</v>
      </c>
      <c r="C92" s="249" t="str">
        <f>$G$14</f>
        <v>Elaboración de pescado</v>
      </c>
      <c r="D92" s="246">
        <f>(8+18)/2</f>
        <v>13</v>
      </c>
      <c r="E92" s="245">
        <f>$K$14</f>
        <v>2.5</v>
      </c>
    </row>
    <row r="93" spans="2:5" ht="13.9" customHeight="1">
      <c r="B93" s="249" t="s">
        <v>369</v>
      </c>
      <c r="C93" s="249" t="str">
        <f>$G$14</f>
        <v>Elaboración de pescado</v>
      </c>
      <c r="D93" s="246">
        <f>(8+18)/2</f>
        <v>13</v>
      </c>
      <c r="E93" s="245">
        <f>$K$14</f>
        <v>2.5</v>
      </c>
    </row>
    <row r="94" spans="2:5" ht="13.9" customHeight="1">
      <c r="B94" s="249" t="s">
        <v>370</v>
      </c>
      <c r="C94" s="249" t="str">
        <f>$G$14</f>
        <v>Elaboración de pescado</v>
      </c>
      <c r="D94" s="246">
        <f>(8+18)/2</f>
        <v>13</v>
      </c>
      <c r="E94" s="245">
        <f>$K$14</f>
        <v>2.5</v>
      </c>
    </row>
    <row r="96" spans="2:5" ht="13.9" customHeight="1">
      <c r="D96" s="28"/>
    </row>
    <row r="97" spans="2:11" ht="13.9" customHeight="1">
      <c r="B97" s="810" t="s">
        <v>371</v>
      </c>
      <c r="C97" s="810"/>
      <c r="D97" s="810"/>
      <c r="E97" s="810"/>
    </row>
    <row r="98" spans="2:11" ht="13.5" customHeight="1">
      <c r="D98" s="28"/>
    </row>
    <row r="99" spans="2:11" ht="36.75" customHeight="1">
      <c r="B99" s="250" t="s">
        <v>372</v>
      </c>
      <c r="C99" s="250" t="s">
        <v>373</v>
      </c>
      <c r="D99" s="250" t="s">
        <v>374</v>
      </c>
      <c r="E99" s="250" t="s">
        <v>375</v>
      </c>
    </row>
    <row r="100" spans="2:11" ht="13.5" customHeight="1">
      <c r="B100" s="17" t="s">
        <v>376</v>
      </c>
      <c r="C100" s="30">
        <v>0.1</v>
      </c>
      <c r="D100" s="30">
        <v>0.25</v>
      </c>
      <c r="E100" s="352">
        <f>C100*D100</f>
        <v>2.5000000000000001E-2</v>
      </c>
    </row>
    <row r="101" spans="2:11" ht="13.5" customHeight="1">
      <c r="B101" s="17" t="s">
        <v>377</v>
      </c>
      <c r="C101" s="30">
        <v>0</v>
      </c>
      <c r="D101" s="30">
        <v>0.25</v>
      </c>
      <c r="E101" s="352">
        <f t="shared" ref="E101:E106" si="18">C101*D101</f>
        <v>0</v>
      </c>
    </row>
    <row r="102" spans="2:11" ht="13.5" customHeight="1">
      <c r="B102" s="17" t="s">
        <v>378</v>
      </c>
      <c r="C102" s="30">
        <v>0.3</v>
      </c>
      <c r="D102" s="30">
        <v>0.25</v>
      </c>
      <c r="E102" s="352">
        <f>C102*D102</f>
        <v>7.4999999999999997E-2</v>
      </c>
    </row>
    <row r="103" spans="2:11" ht="13.5" customHeight="1">
      <c r="B103" s="17" t="s">
        <v>379</v>
      </c>
      <c r="C103" s="30">
        <v>0.8</v>
      </c>
      <c r="D103" s="30">
        <v>0.25</v>
      </c>
      <c r="E103" s="352">
        <f t="shared" si="18"/>
        <v>0.2</v>
      </c>
    </row>
    <row r="104" spans="2:11" ht="13.5" customHeight="1">
      <c r="B104" s="17" t="s">
        <v>380</v>
      </c>
      <c r="C104" s="30">
        <v>0.8</v>
      </c>
      <c r="D104" s="30">
        <v>0.25</v>
      </c>
      <c r="E104" s="352">
        <f t="shared" si="18"/>
        <v>0.2</v>
      </c>
    </row>
    <row r="105" spans="2:11" ht="13.5" customHeight="1">
      <c r="B105" s="17" t="s">
        <v>328</v>
      </c>
      <c r="C105" s="30">
        <v>0.2</v>
      </c>
      <c r="D105" s="30">
        <v>0.25</v>
      </c>
      <c r="E105" s="352">
        <f t="shared" si="18"/>
        <v>0.05</v>
      </c>
    </row>
    <row r="106" spans="2:11" ht="13.5" customHeight="1">
      <c r="B106" s="17" t="s">
        <v>327</v>
      </c>
      <c r="C106" s="30">
        <v>0.8</v>
      </c>
      <c r="D106" s="30">
        <v>0.25</v>
      </c>
      <c r="E106" s="352">
        <f t="shared" si="18"/>
        <v>0.2</v>
      </c>
    </row>
    <row r="107" spans="2:11" ht="13.5" customHeight="1">
      <c r="B107" s="4" t="s">
        <v>381</v>
      </c>
      <c r="C107" s="4"/>
    </row>
    <row r="108" spans="2:11" ht="13.5" customHeight="1">
      <c r="B108" s="4" t="s">
        <v>382</v>
      </c>
      <c r="C108" s="4"/>
    </row>
    <row r="109" spans="2:11" ht="54.75" customHeight="1">
      <c r="B109" s="311" t="s">
        <v>383</v>
      </c>
      <c r="C109" s="4"/>
    </row>
    <row r="110" spans="2:11" ht="13.5" customHeight="1">
      <c r="B110" s="4" t="s">
        <v>384</v>
      </c>
      <c r="C110" s="4"/>
      <c r="E110" s="123"/>
      <c r="F110" s="123"/>
      <c r="G110" s="123"/>
      <c r="H110" s="123"/>
      <c r="I110" s="123"/>
      <c r="J110" s="123"/>
      <c r="K110" s="123"/>
    </row>
    <row r="111" spans="2:11" ht="13.5" customHeight="1">
      <c r="B111" s="4" t="s">
        <v>385</v>
      </c>
      <c r="C111" s="4"/>
      <c r="E111" s="123"/>
      <c r="F111" s="123"/>
      <c r="G111" s="123"/>
      <c r="H111" s="123"/>
      <c r="I111" s="123"/>
      <c r="J111" s="123"/>
      <c r="K111" s="123"/>
    </row>
    <row r="112" spans="2:11" ht="58.5" customHeight="1">
      <c r="B112" s="12" t="s">
        <v>386</v>
      </c>
      <c r="C112" s="4"/>
      <c r="E112" s="123"/>
      <c r="F112" s="123"/>
      <c r="G112" s="123"/>
      <c r="H112" s="123"/>
      <c r="I112" s="123"/>
      <c r="J112" s="123"/>
      <c r="K112" s="123"/>
    </row>
    <row r="113" spans="2:11" ht="13.9" customHeight="1">
      <c r="B113" s="4" t="s">
        <v>387</v>
      </c>
      <c r="C113" s="4"/>
      <c r="E113" s="123"/>
      <c r="F113" s="123"/>
      <c r="G113" s="123"/>
      <c r="H113" s="123"/>
      <c r="I113" s="123"/>
      <c r="J113" s="123"/>
      <c r="K113" s="123"/>
    </row>
    <row r="114" spans="2:11" ht="12.75">
      <c r="B114" s="311" t="s">
        <v>388</v>
      </c>
      <c r="C114" s="4"/>
      <c r="E114" s="123"/>
      <c r="F114" s="123"/>
      <c r="G114" s="123"/>
      <c r="H114" s="123"/>
      <c r="I114" s="123"/>
      <c r="J114" s="123"/>
      <c r="K114" s="123"/>
    </row>
    <row r="115" spans="2:11" ht="13.9" customHeight="1">
      <c r="B115" s="4"/>
      <c r="C115" s="4"/>
    </row>
    <row r="116" spans="2:11" ht="13.9" customHeight="1">
      <c r="B116" s="811" t="s">
        <v>389</v>
      </c>
      <c r="C116" s="811"/>
    </row>
    <row r="117" spans="2:11" ht="13.9" customHeight="1">
      <c r="B117" s="251" t="s">
        <v>390</v>
      </c>
      <c r="C117" s="17">
        <v>0.25</v>
      </c>
    </row>
    <row r="118" spans="2:11" ht="13.9" customHeight="1">
      <c r="B118" s="4" t="s">
        <v>391</v>
      </c>
      <c r="C118" s="4"/>
    </row>
    <row r="119" spans="2:11" ht="13.9" customHeight="1">
      <c r="D119" s="28"/>
    </row>
    <row r="120" spans="2:11" ht="15.75" customHeight="1">
      <c r="B120" s="810" t="s">
        <v>392</v>
      </c>
      <c r="C120" s="810"/>
      <c r="D120" s="810"/>
    </row>
    <row r="121" spans="2:11" ht="15.75" customHeight="1">
      <c r="B121" s="252"/>
      <c r="C121" s="252"/>
      <c r="D121" s="252"/>
    </row>
    <row r="122" spans="2:11" ht="15.75" customHeight="1">
      <c r="B122" s="812" t="s">
        <v>393</v>
      </c>
      <c r="C122" s="813"/>
      <c r="D122" s="814"/>
    </row>
    <row r="123" spans="2:11" ht="15.75" customHeight="1">
      <c r="B123" s="253" t="s">
        <v>394</v>
      </c>
      <c r="C123" s="21">
        <v>1000</v>
      </c>
      <c r="D123" s="254" t="s">
        <v>77</v>
      </c>
    </row>
    <row r="124" spans="2:11" ht="15.75" customHeight="1">
      <c r="B124" s="253" t="s">
        <v>395</v>
      </c>
      <c r="C124" s="21">
        <v>1000</v>
      </c>
      <c r="D124" s="254" t="s">
        <v>396</v>
      </c>
    </row>
    <row r="125" spans="2:11" ht="15.75" customHeight="1">
      <c r="B125" s="253" t="s">
        <v>394</v>
      </c>
      <c r="C125" s="21">
        <f>C123*C124</f>
        <v>1000000</v>
      </c>
      <c r="D125" s="254" t="s">
        <v>396</v>
      </c>
    </row>
    <row r="126" spans="2:11" ht="15.75" customHeight="1">
      <c r="B126" s="253" t="s">
        <v>709</v>
      </c>
      <c r="C126" s="21">
        <v>1000</v>
      </c>
      <c r="D126" s="254" t="s">
        <v>107</v>
      </c>
    </row>
    <row r="127" spans="2:11" ht="15.75" customHeight="1">
      <c r="B127" s="252"/>
      <c r="C127" s="252"/>
      <c r="D127" s="252"/>
    </row>
    <row r="128" spans="2:11" ht="12.75">
      <c r="B128" s="22" t="s">
        <v>397</v>
      </c>
      <c r="C128" s="22" t="s">
        <v>398</v>
      </c>
      <c r="D128" s="22" t="s">
        <v>399</v>
      </c>
    </row>
    <row r="129" spans="2:4" ht="12.75">
      <c r="B129" s="30" t="s">
        <v>400</v>
      </c>
      <c r="C129" s="30" t="s">
        <v>401</v>
      </c>
      <c r="D129" s="21">
        <f>10^1</f>
        <v>10</v>
      </c>
    </row>
    <row r="130" spans="2:4" ht="12.75">
      <c r="B130" s="30" t="s">
        <v>402</v>
      </c>
      <c r="C130" s="30" t="s">
        <v>403</v>
      </c>
      <c r="D130" s="21">
        <f>10^2</f>
        <v>100</v>
      </c>
    </row>
    <row r="131" spans="2:4" ht="12.75">
      <c r="B131" s="30" t="s">
        <v>404</v>
      </c>
      <c r="C131" s="30" t="s">
        <v>405</v>
      </c>
      <c r="D131" s="21">
        <f>10^3</f>
        <v>1000</v>
      </c>
    </row>
    <row r="132" spans="2:4" ht="12.75">
      <c r="B132" s="30" t="s">
        <v>406</v>
      </c>
      <c r="C132" s="30" t="s">
        <v>407</v>
      </c>
      <c r="D132" s="21">
        <f>10^6</f>
        <v>1000000</v>
      </c>
    </row>
    <row r="133" spans="2:4" ht="12.75">
      <c r="B133" s="30" t="s">
        <v>408</v>
      </c>
      <c r="C133" s="30" t="s">
        <v>409</v>
      </c>
      <c r="D133" s="21">
        <f>10^9</f>
        <v>1000000000</v>
      </c>
    </row>
    <row r="134" spans="2:4" ht="12.75">
      <c r="B134" s="30" t="s">
        <v>410</v>
      </c>
      <c r="C134" s="30" t="s">
        <v>411</v>
      </c>
      <c r="D134" s="21">
        <f>10^12</f>
        <v>1000000000000</v>
      </c>
    </row>
    <row r="135" spans="2:4" ht="12.75" customHeight="1">
      <c r="B135" s="768" t="s">
        <v>412</v>
      </c>
      <c r="C135" s="768"/>
      <c r="D135" s="768"/>
    </row>
    <row r="136" spans="2:4" ht="12.75">
      <c r="B136" s="712"/>
      <c r="C136" s="712"/>
      <c r="D136" s="712"/>
    </row>
    <row r="137" spans="2:4" ht="12.75">
      <c r="B137" s="184"/>
      <c r="C137" s="184"/>
      <c r="D137" s="184"/>
    </row>
    <row r="138" spans="2:4" ht="12.75">
      <c r="B138" s="809" t="s">
        <v>413</v>
      </c>
      <c r="C138" s="809"/>
      <c r="D138" s="809"/>
    </row>
    <row r="139" spans="2:4" ht="12.75">
      <c r="B139" s="253" t="s">
        <v>414</v>
      </c>
      <c r="C139" s="23">
        <f>1/1000</f>
        <v>1E-3</v>
      </c>
      <c r="D139" s="254" t="s">
        <v>415</v>
      </c>
    </row>
    <row r="140" spans="2:4" ht="12.75">
      <c r="B140" s="253" t="s">
        <v>416</v>
      </c>
      <c r="C140" s="20">
        <v>1000</v>
      </c>
      <c r="D140" s="254" t="s">
        <v>415</v>
      </c>
    </row>
    <row r="141" spans="2:4" ht="12.75">
      <c r="B141" s="253" t="s">
        <v>705</v>
      </c>
      <c r="C141" s="20">
        <v>1000</v>
      </c>
      <c r="D141" s="254" t="s">
        <v>415</v>
      </c>
    </row>
    <row r="142" spans="2:4" ht="12.75">
      <c r="B142" s="253" t="s">
        <v>707</v>
      </c>
      <c r="C142" s="20">
        <v>1000</v>
      </c>
      <c r="D142" s="254" t="s">
        <v>247</v>
      </c>
    </row>
    <row r="143" spans="2:4" ht="12.75">
      <c r="B143" s="255"/>
      <c r="C143" s="255"/>
      <c r="D143" s="256"/>
    </row>
    <row r="144" spans="2:4" ht="12.75">
      <c r="B144" s="809" t="s">
        <v>413</v>
      </c>
      <c r="C144" s="809"/>
      <c r="D144" s="809"/>
    </row>
    <row r="145" spans="2:4" ht="15">
      <c r="B145" s="253" t="s">
        <v>417</v>
      </c>
      <c r="C145" s="23">
        <v>0.15898799999999999</v>
      </c>
      <c r="D145" s="254" t="s">
        <v>418</v>
      </c>
    </row>
    <row r="146" spans="2:4" ht="15">
      <c r="B146" s="253" t="s">
        <v>419</v>
      </c>
      <c r="C146" s="23">
        <v>3.7854099999999999E-3</v>
      </c>
      <c r="D146" s="254" t="s">
        <v>418</v>
      </c>
    </row>
    <row r="147" spans="2:4" ht="12.75">
      <c r="B147" s="255" t="s">
        <v>420</v>
      </c>
      <c r="C147" s="255"/>
      <c r="D147" s="256"/>
    </row>
    <row r="148" spans="2:4" ht="12.75"/>
    <row r="149" spans="2:4" ht="12.75">
      <c r="B149" s="810" t="s">
        <v>421</v>
      </c>
      <c r="C149" s="810"/>
      <c r="D149" s="810"/>
    </row>
    <row r="150" spans="2:4" ht="12.75">
      <c r="B150" s="4"/>
      <c r="C150" s="4"/>
    </row>
    <row r="151" spans="2:4" ht="13.9" customHeight="1">
      <c r="B151" s="19" t="s">
        <v>422</v>
      </c>
      <c r="C151" s="30">
        <v>1</v>
      </c>
      <c r="D151" s="17" t="s">
        <v>423</v>
      </c>
    </row>
    <row r="152" spans="2:4" ht="13.15" customHeight="1">
      <c r="C152" s="28"/>
    </row>
    <row r="153" spans="2:4" ht="12.75">
      <c r="B153" s="19" t="s">
        <v>424</v>
      </c>
      <c r="C153" s="30">
        <f>(996+997)/2</f>
        <v>996.5</v>
      </c>
      <c r="D153" s="17" t="s">
        <v>425</v>
      </c>
    </row>
    <row r="154" spans="2:4" ht="12.75">
      <c r="B154" s="14" t="s">
        <v>426</v>
      </c>
      <c r="C154" s="28"/>
    </row>
    <row r="155" spans="2:4" ht="12.75">
      <c r="C155" s="28"/>
    </row>
    <row r="156" spans="2:4" ht="15">
      <c r="B156" s="19" t="s">
        <v>427</v>
      </c>
      <c r="C156" s="30">
        <v>1.05</v>
      </c>
      <c r="D156" s="17" t="s">
        <v>428</v>
      </c>
    </row>
    <row r="157" spans="2:4" ht="12.75">
      <c r="B157" s="14" t="s">
        <v>429</v>
      </c>
      <c r="C157" s="28"/>
    </row>
    <row r="158" spans="2:4" ht="12.75">
      <c r="B158" s="257"/>
      <c r="C158" s="28"/>
    </row>
    <row r="159" spans="2:4" ht="12.75" customHeight="1">
      <c r="B159" s="19" t="s">
        <v>430</v>
      </c>
      <c r="C159" s="30">
        <v>789</v>
      </c>
      <c r="D159" s="17" t="s">
        <v>425</v>
      </c>
    </row>
    <row r="160" spans="2:4" ht="12.75">
      <c r="B160" s="14" t="s">
        <v>431</v>
      </c>
    </row>
    <row r="161" spans="2:4" ht="12.75">
      <c r="B161" s="4"/>
      <c r="C161" s="4"/>
    </row>
    <row r="162" spans="2:4" ht="12.75">
      <c r="B162" s="19" t="s">
        <v>432</v>
      </c>
      <c r="C162" s="30">
        <v>3.14E-6</v>
      </c>
      <c r="D162" s="17" t="s">
        <v>433</v>
      </c>
    </row>
    <row r="163" spans="2:4" ht="12.75">
      <c r="B163" s="14" t="s">
        <v>434</v>
      </c>
      <c r="C163" s="28"/>
    </row>
    <row r="164" spans="2:4" ht="12.75">
      <c r="C164" s="28"/>
    </row>
    <row r="165" spans="2:4" ht="12.75">
      <c r="B165" s="19" t="s">
        <v>435</v>
      </c>
      <c r="C165" s="30">
        <v>3.7299999999999999E-6</v>
      </c>
      <c r="D165" s="17" t="s">
        <v>433</v>
      </c>
    </row>
    <row r="166" spans="2:4" ht="12.75">
      <c r="B166" s="14" t="s">
        <v>434</v>
      </c>
    </row>
    <row r="167" spans="2:4" ht="12.75" customHeight="1">
      <c r="B167" s="4"/>
      <c r="C167" s="4"/>
    </row>
    <row r="169" spans="2:4" ht="15.75" customHeight="1">
      <c r="B169" s="810" t="s">
        <v>436</v>
      </c>
      <c r="C169" s="810"/>
      <c r="D169" s="810"/>
    </row>
    <row r="171" spans="2:4" ht="13.9" customHeight="1">
      <c r="B171" s="19" t="s">
        <v>437</v>
      </c>
      <c r="C171" s="30">
        <v>28</v>
      </c>
      <c r="D171" s="17" t="s">
        <v>438</v>
      </c>
    </row>
    <row r="172" spans="2:4" ht="12.75">
      <c r="B172" s="710" t="s">
        <v>439</v>
      </c>
      <c r="C172" s="710"/>
      <c r="D172" s="710"/>
    </row>
    <row r="173" spans="2:4" ht="12.75"/>
    <row r="174" spans="2:4" ht="13.9" customHeight="1">
      <c r="B174" s="810" t="s">
        <v>440</v>
      </c>
      <c r="C174" s="810"/>
      <c r="D174" s="810"/>
    </row>
    <row r="176" spans="2:4" ht="13.9" customHeight="1">
      <c r="B176" s="19" t="s">
        <v>441</v>
      </c>
      <c r="C176" s="167">
        <v>0.5</v>
      </c>
    </row>
    <row r="177" spans="2:3" ht="13.9" customHeight="1">
      <c r="B177" s="14" t="s">
        <v>442</v>
      </c>
    </row>
    <row r="179" spans="2:3" ht="13.9" customHeight="1">
      <c r="B179" s="358" t="s">
        <v>443</v>
      </c>
      <c r="C179" s="359">
        <v>1</v>
      </c>
    </row>
    <row r="180" spans="2:3" ht="13.9" customHeight="1">
      <c r="B180" s="14" t="s">
        <v>444</v>
      </c>
    </row>
  </sheetData>
  <mergeCells count="18">
    <mergeCell ref="B5:E5"/>
    <mergeCell ref="B120:D120"/>
    <mergeCell ref="D6:E6"/>
    <mergeCell ref="B97:E97"/>
    <mergeCell ref="G7:M7"/>
    <mergeCell ref="I8:J8"/>
    <mergeCell ref="L8:M8"/>
    <mergeCell ref="G30:M33"/>
    <mergeCell ref="B7:E7"/>
    <mergeCell ref="B144:D144"/>
    <mergeCell ref="B149:D149"/>
    <mergeCell ref="B174:D174"/>
    <mergeCell ref="B116:C116"/>
    <mergeCell ref="B169:D169"/>
    <mergeCell ref="B172:D172"/>
    <mergeCell ref="B122:D122"/>
    <mergeCell ref="B135:D136"/>
    <mergeCell ref="B138:D138"/>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4">
    <tabColor rgb="FFD9D9D9"/>
  </sheetPr>
  <dimension ref="B1:AB471"/>
  <sheetViews>
    <sheetView showGridLines="0" zoomScale="70" zoomScaleNormal="70" workbookViewId="0">
      <pane ySplit="4620" topLeftCell="A45" activePane="bottomLeft"/>
      <selection activeCell="E15" sqref="E15"/>
      <selection pane="bottomLeft" activeCell="E45" sqref="E45"/>
    </sheetView>
  </sheetViews>
  <sheetFormatPr baseColWidth="10" defaultColWidth="11.42578125" defaultRowHeight="14.25" customHeight="1"/>
  <cols>
    <col min="1" max="1" width="3" style="4" customWidth="1"/>
    <col min="2" max="2" width="8.5703125" style="4" customWidth="1"/>
    <col min="3" max="3" width="14.7109375" style="166" customWidth="1"/>
    <col min="4" max="4" width="13.42578125" style="28" customWidth="1"/>
    <col min="5" max="5" width="14.5703125" style="28" customWidth="1"/>
    <col min="6" max="6" width="15" style="4" customWidth="1"/>
    <col min="7" max="7" width="9.7109375" style="4" customWidth="1"/>
    <col min="8" max="8" width="13.5703125" style="4" customWidth="1"/>
    <col min="9" max="9" width="4" style="4" customWidth="1"/>
    <col min="10" max="10" width="8" style="4" customWidth="1"/>
    <col min="11" max="11" width="12.140625" style="4" customWidth="1"/>
    <col min="12" max="12" width="10.7109375" style="4" customWidth="1"/>
    <col min="13" max="13" width="10.5703125" style="4" customWidth="1"/>
    <col min="14" max="14" width="11.28515625" style="4" customWidth="1"/>
    <col min="15" max="15" width="9.42578125" style="4" customWidth="1"/>
    <col min="16" max="16" width="9.5703125" style="4" customWidth="1"/>
    <col min="17" max="17" width="9.7109375" style="4" customWidth="1"/>
    <col min="18" max="18" width="9.42578125" style="4" customWidth="1"/>
    <col min="19" max="19" width="11.7109375" style="4" customWidth="1"/>
    <col min="20" max="20" width="10.85546875" style="4" customWidth="1"/>
    <col min="21" max="21" width="11.85546875" style="4" customWidth="1"/>
    <col min="22" max="22" width="10.5703125" style="4" customWidth="1"/>
    <col min="23" max="23" width="11" style="4" customWidth="1"/>
    <col min="24" max="24" width="10" style="4" customWidth="1"/>
    <col min="25" max="25" width="11.42578125" style="4"/>
    <col min="26" max="26" width="8.140625" style="4" customWidth="1"/>
    <col min="27" max="16384" width="11.42578125" style="4"/>
  </cols>
  <sheetData>
    <row r="1" spans="2:27" s="62" customFormat="1" ht="14.25" customHeight="1">
      <c r="B1" s="62" t="s">
        <v>515</v>
      </c>
      <c r="C1" s="219"/>
      <c r="D1" s="325"/>
      <c r="E1" s="326"/>
      <c r="F1" s="55"/>
      <c r="G1" s="64"/>
      <c r="H1" s="65"/>
      <c r="I1" s="65"/>
      <c r="J1" s="64"/>
      <c r="K1" s="66"/>
      <c r="L1" s="55"/>
      <c r="M1" s="55"/>
      <c r="N1" s="64"/>
      <c r="O1" s="64"/>
      <c r="P1" s="55"/>
      <c r="R1" s="55"/>
      <c r="S1" s="55"/>
      <c r="T1" s="55"/>
      <c r="W1" s="55"/>
      <c r="Z1" s="55"/>
      <c r="AA1" s="64"/>
    </row>
    <row r="2" spans="2:27" s="67" customFormat="1" ht="14.25" customHeight="1">
      <c r="B2" s="67" t="s">
        <v>516</v>
      </c>
      <c r="C2" s="220"/>
      <c r="D2" s="327"/>
      <c r="E2" s="328"/>
      <c r="F2" s="61"/>
      <c r="G2" s="69"/>
      <c r="H2" s="70"/>
      <c r="I2" s="70"/>
      <c r="J2" s="69"/>
      <c r="K2" s="71"/>
      <c r="L2" s="61"/>
      <c r="M2" s="61"/>
      <c r="N2" s="69"/>
      <c r="O2" s="69"/>
      <c r="P2" s="61"/>
      <c r="R2" s="61"/>
      <c r="S2" s="61"/>
      <c r="T2" s="61"/>
      <c r="W2" s="61"/>
      <c r="Z2" s="61"/>
      <c r="AA2" s="69"/>
    </row>
    <row r="3" spans="2:27" s="225" customFormat="1" ht="14.25" customHeight="1">
      <c r="B3" s="55"/>
      <c r="C3" s="219"/>
      <c r="D3" s="329"/>
      <c r="E3" s="330"/>
      <c r="F3" s="226"/>
      <c r="G3" s="228"/>
      <c r="H3" s="229"/>
      <c r="I3" s="229"/>
      <c r="J3" s="228"/>
      <c r="K3" s="230"/>
      <c r="L3" s="226"/>
      <c r="M3" s="226"/>
      <c r="N3" s="228"/>
      <c r="O3" s="228"/>
      <c r="P3" s="226"/>
      <c r="R3" s="226"/>
      <c r="S3" s="226"/>
      <c r="T3" s="226"/>
      <c r="W3" s="226"/>
      <c r="Z3" s="226"/>
      <c r="AA3" s="228"/>
    </row>
    <row r="4" spans="2:27" s="271" customFormat="1" ht="14.25" customHeight="1">
      <c r="B4" s="271" t="s">
        <v>711</v>
      </c>
      <c r="C4" s="272"/>
      <c r="D4" s="322"/>
      <c r="E4" s="322"/>
    </row>
    <row r="5" spans="2:27" ht="14.25" customHeight="1">
      <c r="R5" s="273"/>
    </row>
    <row r="6" spans="2:27" ht="14.25" customHeight="1">
      <c r="B6" s="827" t="s">
        <v>517</v>
      </c>
      <c r="C6" s="827"/>
      <c r="D6" s="827"/>
      <c r="E6" s="827"/>
      <c r="F6" s="827"/>
      <c r="G6" s="827"/>
      <c r="H6" s="827"/>
      <c r="I6" s="827"/>
      <c r="R6" s="273"/>
    </row>
    <row r="7" spans="2:27" ht="14.25" customHeight="1">
      <c r="B7" s="252"/>
      <c r="C7" s="274"/>
      <c r="D7" s="323"/>
      <c r="E7" s="323"/>
      <c r="F7" s="252"/>
      <c r="G7" s="252"/>
      <c r="H7" s="252"/>
      <c r="I7" s="252"/>
      <c r="R7" s="273"/>
    </row>
    <row r="8" spans="2:27" ht="14.25" customHeight="1">
      <c r="B8" s="670" t="s">
        <v>518</v>
      </c>
      <c r="C8" s="828" t="s">
        <v>129</v>
      </c>
      <c r="D8" s="829"/>
      <c r="E8" s="830"/>
      <c r="F8" s="252"/>
      <c r="G8" s="252"/>
      <c r="H8" s="252"/>
      <c r="I8" s="252"/>
      <c r="R8" s="273"/>
      <c r="S8" s="273"/>
    </row>
    <row r="9" spans="2:27" ht="28.5" customHeight="1">
      <c r="B9" s="670" t="s">
        <v>519</v>
      </c>
      <c r="C9" s="828" t="s">
        <v>132</v>
      </c>
      <c r="D9" s="829"/>
      <c r="E9" s="830"/>
      <c r="R9" s="273"/>
    </row>
    <row r="10" spans="2:27" ht="22.5" customHeight="1">
      <c r="B10" s="670" t="s">
        <v>520</v>
      </c>
      <c r="C10" s="828" t="s">
        <v>628</v>
      </c>
      <c r="D10" s="829"/>
      <c r="E10" s="830"/>
      <c r="R10" s="273"/>
    </row>
    <row r="11" spans="2:27" ht="14.25" customHeight="1">
      <c r="R11" s="273"/>
    </row>
    <row r="12" spans="2:27" ht="14.25" customHeight="1">
      <c r="B12" s="826" t="s">
        <v>521</v>
      </c>
      <c r="C12" s="826"/>
      <c r="D12" s="826"/>
      <c r="E12" s="826"/>
      <c r="F12" s="826"/>
      <c r="G12" s="826"/>
      <c r="H12" s="826"/>
      <c r="I12" s="826"/>
      <c r="J12" s="826" t="s">
        <v>522</v>
      </c>
      <c r="K12" s="826"/>
      <c r="L12" s="826"/>
      <c r="M12" s="826"/>
      <c r="N12" s="826"/>
      <c r="O12" s="826"/>
      <c r="P12" s="826"/>
      <c r="Q12" s="826"/>
      <c r="R12" s="273"/>
    </row>
    <row r="13" spans="2:27" ht="8.25" customHeight="1"/>
    <row r="14" spans="2:27" ht="43.5" customHeight="1">
      <c r="B14" s="666"/>
      <c r="C14" s="667" t="s">
        <v>523</v>
      </c>
      <c r="D14" s="117" t="s">
        <v>524</v>
      </c>
      <c r="E14" s="117" t="s">
        <v>31</v>
      </c>
      <c r="F14" s="117" t="s">
        <v>139</v>
      </c>
      <c r="G14" s="117" t="s">
        <v>525</v>
      </c>
      <c r="H14" s="117" t="s">
        <v>526</v>
      </c>
      <c r="I14" s="273"/>
      <c r="J14" s="117"/>
      <c r="K14" s="117" t="str">
        <f>B17</f>
        <v>Refinado de alcohol</v>
      </c>
      <c r="L14" s="117" t="str">
        <f>B52</f>
        <v>Malta y cerveza</v>
      </c>
      <c r="M14" s="117" t="str">
        <f>B87</f>
        <v>Carnes y Aves</v>
      </c>
      <c r="N14" s="117" t="str">
        <f>B122</f>
        <v>Hortalizas, frutas y jugos</v>
      </c>
      <c r="O14" s="117" t="str">
        <f>B157</f>
        <v>Aceites vegetales</v>
      </c>
      <c r="P14" s="117" t="str">
        <f>B192</f>
        <v>Productos lácteos</v>
      </c>
      <c r="Q14" s="117" t="str">
        <f>B227</f>
        <v>Refinación de azúcar</v>
      </c>
      <c r="R14" s="117" t="str">
        <f>B262</f>
        <v>Vinos y vinagres</v>
      </c>
      <c r="S14" s="117" t="str">
        <f>B297</f>
        <v>Pulpa y papel (combinados)</v>
      </c>
      <c r="T14" s="117" t="str">
        <f>B332</f>
        <v>Refinerías de petróleo</v>
      </c>
      <c r="U14" s="117" t="str">
        <f>B367</f>
        <v>Sustancias químicas orgánicas</v>
      </c>
      <c r="V14" s="117" t="str">
        <f>B402</f>
        <v>Jabón y detergentes</v>
      </c>
      <c r="W14" s="117" t="str">
        <f>B437</f>
        <v>Elaboración de pescado</v>
      </c>
      <c r="X14" s="824" t="s">
        <v>527</v>
      </c>
      <c r="Y14" s="825"/>
      <c r="Z14" s="117"/>
    </row>
    <row r="15" spans="2:27" ht="69" customHeight="1">
      <c r="B15" s="22" t="s">
        <v>326</v>
      </c>
      <c r="C15" s="118" t="s">
        <v>528</v>
      </c>
      <c r="D15" s="331" t="s">
        <v>529</v>
      </c>
      <c r="E15" s="331" t="s">
        <v>530</v>
      </c>
      <c r="F15" s="22" t="s">
        <v>531</v>
      </c>
      <c r="G15" s="22" t="s">
        <v>532</v>
      </c>
      <c r="H15" s="22" t="s">
        <v>533</v>
      </c>
      <c r="I15" s="273"/>
      <c r="J15" s="117" t="s">
        <v>326</v>
      </c>
      <c r="K15" s="117" t="s">
        <v>533</v>
      </c>
      <c r="L15" s="117" t="s">
        <v>533</v>
      </c>
      <c r="M15" s="117" t="s">
        <v>533</v>
      </c>
      <c r="N15" s="117" t="s">
        <v>533</v>
      </c>
      <c r="O15" s="117" t="s">
        <v>533</v>
      </c>
      <c r="P15" s="117" t="s">
        <v>533</v>
      </c>
      <c r="Q15" s="117" t="s">
        <v>533</v>
      </c>
      <c r="R15" s="117" t="s">
        <v>533</v>
      </c>
      <c r="S15" s="117" t="s">
        <v>533</v>
      </c>
      <c r="T15" s="117" t="s">
        <v>533</v>
      </c>
      <c r="U15" s="117" t="s">
        <v>533</v>
      </c>
      <c r="V15" s="117" t="s">
        <v>533</v>
      </c>
      <c r="W15" s="117" t="s">
        <v>533</v>
      </c>
      <c r="X15" s="117" t="s">
        <v>533</v>
      </c>
      <c r="Y15" s="117" t="s">
        <v>602</v>
      </c>
      <c r="Z15" s="117" t="s">
        <v>326</v>
      </c>
    </row>
    <row r="16" spans="2:27" s="32" customFormat="1" ht="14.25" customHeight="1">
      <c r="B16" s="120"/>
      <c r="C16" s="221"/>
      <c r="D16" s="332"/>
      <c r="E16" s="332"/>
      <c r="F16" s="122" t="s">
        <v>534</v>
      </c>
      <c r="G16" s="121"/>
      <c r="H16" s="122" t="s">
        <v>535</v>
      </c>
      <c r="I16" s="273"/>
    </row>
    <row r="17" spans="2:26" ht="14.25" customHeight="1">
      <c r="B17" s="275" t="s">
        <v>310</v>
      </c>
      <c r="C17" s="276"/>
      <c r="D17" s="324"/>
      <c r="E17" s="324"/>
      <c r="F17" s="277"/>
      <c r="G17" s="277"/>
      <c r="H17" s="277"/>
      <c r="I17" s="273"/>
      <c r="J17" s="278"/>
      <c r="K17" s="278"/>
      <c r="L17" s="278"/>
      <c r="M17" s="278"/>
      <c r="N17" s="278"/>
      <c r="O17" s="278"/>
      <c r="P17" s="278"/>
      <c r="Q17" s="278"/>
      <c r="R17" s="278"/>
      <c r="S17" s="278"/>
      <c r="T17" s="278"/>
      <c r="U17" s="278"/>
      <c r="V17" s="278"/>
      <c r="W17" s="278"/>
      <c r="X17" s="278"/>
      <c r="Y17" s="278"/>
      <c r="Z17" s="278"/>
    </row>
    <row r="18" spans="2:26" s="32" customFormat="1" ht="14.25" customHeight="1">
      <c r="B18" s="239">
        <v>1990</v>
      </c>
      <c r="C18" s="693">
        <f>'IP 5D2 2021'!E49+'IP 5D2 2021'!E52</f>
        <v>0</v>
      </c>
      <c r="D18" s="354">
        <f>'Fac Conv'!$H$10</f>
        <v>24</v>
      </c>
      <c r="E18" s="354">
        <f>'Fac Conv'!$K$10</f>
        <v>11</v>
      </c>
      <c r="F18" s="354">
        <f>C18*D18*E18</f>
        <v>0</v>
      </c>
      <c r="G18" s="698">
        <f>'IP 5D2 FETipos de tratamiento'!S35</f>
        <v>9.5248259310058037E-2</v>
      </c>
      <c r="H18" s="354">
        <f>(F18*G18)/1000000</f>
        <v>0</v>
      </c>
      <c r="I18" s="273"/>
      <c r="J18" s="239">
        <v>1990</v>
      </c>
      <c r="K18" s="669">
        <f t="shared" ref="K18:K49" si="0">H18</f>
        <v>0</v>
      </c>
      <c r="L18" s="669">
        <f t="shared" ref="L18:L21" si="1">H53</f>
        <v>0</v>
      </c>
      <c r="M18" s="669">
        <f t="shared" ref="M18:M49" si="2">H88</f>
        <v>0</v>
      </c>
      <c r="N18" s="669">
        <f t="shared" ref="N18:N49" si="3">H123</f>
        <v>0</v>
      </c>
      <c r="O18" s="669">
        <f t="shared" ref="O18:O49" si="4">H158</f>
        <v>3.1428303749999999E-3</v>
      </c>
      <c r="P18" s="669">
        <f t="shared" ref="P18:P49" si="5">H193</f>
        <v>0</v>
      </c>
      <c r="Q18" s="669">
        <f t="shared" ref="Q18:Q49" si="6">H228</f>
        <v>0</v>
      </c>
      <c r="R18" s="669">
        <f t="shared" ref="R18:R49" si="7">H263</f>
        <v>0</v>
      </c>
      <c r="S18" s="669">
        <f t="shared" ref="S18:S49" si="8">H298</f>
        <v>0</v>
      </c>
      <c r="T18" s="669">
        <f t="shared" ref="T18:T49" si="9">H333</f>
        <v>0</v>
      </c>
      <c r="U18" s="669">
        <f t="shared" ref="U18:U49" si="10">H368</f>
        <v>0</v>
      </c>
      <c r="V18" s="669">
        <f t="shared" ref="V18:V49" si="11">H403</f>
        <v>0</v>
      </c>
      <c r="W18" s="669">
        <f t="shared" ref="W18:W49" si="12">H438</f>
        <v>1.4084687499999999</v>
      </c>
      <c r="X18" s="279">
        <f>SUM(K18:W18)</f>
        <v>1.411611580375</v>
      </c>
      <c r="Y18" s="279">
        <f>X18*'Fac Conv'!$C$171</f>
        <v>39.525124250499999</v>
      </c>
      <c r="Z18" s="239">
        <v>1990</v>
      </c>
    </row>
    <row r="19" spans="2:26" s="32" customFormat="1" ht="14.25" customHeight="1">
      <c r="B19" s="239">
        <v>1991</v>
      </c>
      <c r="C19" s="693">
        <f>'IP 5D2 2021'!F49+'IP 5D2 2021'!F52</f>
        <v>0</v>
      </c>
      <c r="D19" s="354">
        <f>'Fac Conv'!$H$10</f>
        <v>24</v>
      </c>
      <c r="E19" s="354">
        <f>'Fac Conv'!$K$10</f>
        <v>11</v>
      </c>
      <c r="F19" s="354">
        <f t="shared" ref="F19:F23" si="13">C19*D19*E19</f>
        <v>0</v>
      </c>
      <c r="G19" s="698">
        <f>'IP 5D2 FETipos de tratamiento'!S36</f>
        <v>9.5248259310058009E-2</v>
      </c>
      <c r="H19" s="354">
        <f t="shared" ref="H19:H49" si="14">(F19*G19)/1000000</f>
        <v>0</v>
      </c>
      <c r="I19" s="273"/>
      <c r="J19" s="239">
        <v>1991</v>
      </c>
      <c r="K19" s="669">
        <f t="shared" si="0"/>
        <v>0</v>
      </c>
      <c r="L19" s="669">
        <f t="shared" si="1"/>
        <v>0</v>
      </c>
      <c r="M19" s="669">
        <f t="shared" si="2"/>
        <v>0</v>
      </c>
      <c r="N19" s="669">
        <f t="shared" si="3"/>
        <v>0</v>
      </c>
      <c r="O19" s="669">
        <f t="shared" si="4"/>
        <v>3.1428303749999999E-3</v>
      </c>
      <c r="P19" s="669">
        <f t="shared" si="5"/>
        <v>0</v>
      </c>
      <c r="Q19" s="669">
        <f t="shared" si="6"/>
        <v>0</v>
      </c>
      <c r="R19" s="669">
        <f t="shared" si="7"/>
        <v>0</v>
      </c>
      <c r="S19" s="669">
        <f t="shared" si="8"/>
        <v>0</v>
      </c>
      <c r="T19" s="669">
        <f t="shared" si="9"/>
        <v>0</v>
      </c>
      <c r="U19" s="669">
        <f t="shared" si="10"/>
        <v>0</v>
      </c>
      <c r="V19" s="669">
        <f t="shared" si="11"/>
        <v>0</v>
      </c>
      <c r="W19" s="669">
        <f t="shared" si="12"/>
        <v>1.4084687499999999</v>
      </c>
      <c r="X19" s="279">
        <f t="shared" ref="X19:X49" si="15">SUM(K19:W19)</f>
        <v>1.411611580375</v>
      </c>
      <c r="Y19" s="279">
        <f>X19*'Fac Conv'!$C$171</f>
        <v>39.525124250499999</v>
      </c>
      <c r="Z19" s="239">
        <v>1991</v>
      </c>
    </row>
    <row r="20" spans="2:26" s="32" customFormat="1" ht="14.25" customHeight="1">
      <c r="B20" s="239">
        <v>1992</v>
      </c>
      <c r="C20" s="693">
        <f>'IP 5D2 2021'!H49+'IP 5D2 2021'!H52</f>
        <v>0</v>
      </c>
      <c r="D20" s="354">
        <f>'Fac Conv'!$H$10</f>
        <v>24</v>
      </c>
      <c r="E20" s="354">
        <f>'Fac Conv'!$K$10</f>
        <v>11</v>
      </c>
      <c r="F20" s="354">
        <f t="shared" si="13"/>
        <v>0</v>
      </c>
      <c r="G20" s="698">
        <f>'IP 5D2 FETipos de tratamiento'!S37</f>
        <v>9.524825931005805E-2</v>
      </c>
      <c r="H20" s="354">
        <f t="shared" si="14"/>
        <v>0</v>
      </c>
      <c r="I20" s="273"/>
      <c r="J20" s="239">
        <v>1992</v>
      </c>
      <c r="K20" s="669">
        <f t="shared" si="0"/>
        <v>0</v>
      </c>
      <c r="L20" s="669">
        <f t="shared" si="1"/>
        <v>0</v>
      </c>
      <c r="M20" s="669">
        <f t="shared" si="2"/>
        <v>0</v>
      </c>
      <c r="N20" s="669">
        <f t="shared" si="3"/>
        <v>0</v>
      </c>
      <c r="O20" s="669">
        <f t="shared" si="4"/>
        <v>3.1428303749999999E-3</v>
      </c>
      <c r="P20" s="669">
        <f t="shared" si="5"/>
        <v>0</v>
      </c>
      <c r="Q20" s="669">
        <f t="shared" si="6"/>
        <v>0</v>
      </c>
      <c r="R20" s="669">
        <f t="shared" si="7"/>
        <v>0</v>
      </c>
      <c r="S20" s="669">
        <f t="shared" si="8"/>
        <v>0</v>
      </c>
      <c r="T20" s="669">
        <f t="shared" si="9"/>
        <v>0</v>
      </c>
      <c r="U20" s="669">
        <f t="shared" si="10"/>
        <v>0</v>
      </c>
      <c r="V20" s="669">
        <f t="shared" si="11"/>
        <v>0</v>
      </c>
      <c r="W20" s="669">
        <f t="shared" si="12"/>
        <v>1.4084687499999999</v>
      </c>
      <c r="X20" s="279">
        <f t="shared" si="15"/>
        <v>1.411611580375</v>
      </c>
      <c r="Y20" s="279">
        <f>X20*'Fac Conv'!$C$171</f>
        <v>39.525124250499999</v>
      </c>
      <c r="Z20" s="239">
        <v>1992</v>
      </c>
    </row>
    <row r="21" spans="2:26" s="32" customFormat="1" ht="14.25" customHeight="1">
      <c r="B21" s="239">
        <v>1993</v>
      </c>
      <c r="C21" s="693">
        <f>'IP 5D2 2021'!J49+'IP 5D2 2021'!J52</f>
        <v>0</v>
      </c>
      <c r="D21" s="354">
        <f>'Fac Conv'!$H$10</f>
        <v>24</v>
      </c>
      <c r="E21" s="354">
        <f>'Fac Conv'!$K$10</f>
        <v>11</v>
      </c>
      <c r="F21" s="354">
        <f t="shared" si="13"/>
        <v>0</v>
      </c>
      <c r="G21" s="698">
        <f>'IP 5D2 FETipos de tratamiento'!S38</f>
        <v>9.5248259310058009E-2</v>
      </c>
      <c r="H21" s="354">
        <f t="shared" si="14"/>
        <v>0</v>
      </c>
      <c r="I21" s="273"/>
      <c r="J21" s="239">
        <v>1993</v>
      </c>
      <c r="K21" s="669">
        <f t="shared" si="0"/>
        <v>0</v>
      </c>
      <c r="L21" s="669">
        <f t="shared" si="1"/>
        <v>0</v>
      </c>
      <c r="M21" s="669">
        <f t="shared" si="2"/>
        <v>0</v>
      </c>
      <c r="N21" s="669">
        <f t="shared" si="3"/>
        <v>0</v>
      </c>
      <c r="O21" s="669">
        <f t="shared" si="4"/>
        <v>3.6914373749999999E-3</v>
      </c>
      <c r="P21" s="669">
        <f t="shared" si="5"/>
        <v>0</v>
      </c>
      <c r="Q21" s="669">
        <f t="shared" si="6"/>
        <v>0</v>
      </c>
      <c r="R21" s="669">
        <f t="shared" si="7"/>
        <v>0</v>
      </c>
      <c r="S21" s="669">
        <f t="shared" si="8"/>
        <v>0</v>
      </c>
      <c r="T21" s="669">
        <f t="shared" si="9"/>
        <v>0</v>
      </c>
      <c r="U21" s="669">
        <f t="shared" si="10"/>
        <v>0</v>
      </c>
      <c r="V21" s="669">
        <f t="shared" si="11"/>
        <v>0</v>
      </c>
      <c r="W21" s="669">
        <f t="shared" si="12"/>
        <v>1.78514375</v>
      </c>
      <c r="X21" s="279">
        <f t="shared" si="15"/>
        <v>1.7888351873750001</v>
      </c>
      <c r="Y21" s="279">
        <f>X21*'Fac Conv'!$C$171</f>
        <v>50.087385246500006</v>
      </c>
      <c r="Z21" s="239">
        <v>1993</v>
      </c>
    </row>
    <row r="22" spans="2:26" s="32" customFormat="1" ht="14.25" customHeight="1">
      <c r="B22" s="239">
        <v>1994</v>
      </c>
      <c r="C22" s="693">
        <f>'IP 5D2 2021'!L49+'IP 5D2 2021'!L52</f>
        <v>0</v>
      </c>
      <c r="D22" s="354">
        <f>'Fac Conv'!$H$10</f>
        <v>24</v>
      </c>
      <c r="E22" s="354">
        <f>'Fac Conv'!$K$10</f>
        <v>11</v>
      </c>
      <c r="F22" s="354">
        <f t="shared" si="13"/>
        <v>0</v>
      </c>
      <c r="G22" s="698">
        <f>'IP 5D2 FETipos de tratamiento'!S39</f>
        <v>9.5248259310058009E-2</v>
      </c>
      <c r="H22" s="354">
        <f t="shared" si="14"/>
        <v>0</v>
      </c>
      <c r="I22" s="273"/>
      <c r="J22" s="239">
        <v>1994</v>
      </c>
      <c r="K22" s="669">
        <f t="shared" si="0"/>
        <v>0</v>
      </c>
      <c r="L22" s="669">
        <f>H57</f>
        <v>0</v>
      </c>
      <c r="M22" s="669">
        <f t="shared" si="2"/>
        <v>0</v>
      </c>
      <c r="N22" s="669">
        <f t="shared" si="3"/>
        <v>0</v>
      </c>
      <c r="O22" s="669">
        <f t="shared" si="4"/>
        <v>3.6993423750000002E-3</v>
      </c>
      <c r="P22" s="669">
        <f t="shared" si="5"/>
        <v>0</v>
      </c>
      <c r="Q22" s="669">
        <f t="shared" si="6"/>
        <v>0</v>
      </c>
      <c r="R22" s="669">
        <f t="shared" si="7"/>
        <v>0</v>
      </c>
      <c r="S22" s="669">
        <f t="shared" si="8"/>
        <v>0</v>
      </c>
      <c r="T22" s="669">
        <f t="shared" si="9"/>
        <v>0</v>
      </c>
      <c r="U22" s="669">
        <f t="shared" si="10"/>
        <v>0</v>
      </c>
      <c r="V22" s="669">
        <f t="shared" si="11"/>
        <v>0</v>
      </c>
      <c r="W22" s="669">
        <f t="shared" si="12"/>
        <v>2.5461312500000002</v>
      </c>
      <c r="X22" s="279">
        <f t="shared" si="15"/>
        <v>2.5498305923750002</v>
      </c>
      <c r="Y22" s="279">
        <f>X22*'Fac Conv'!$C$171</f>
        <v>71.395256586500011</v>
      </c>
      <c r="Z22" s="239">
        <v>1994</v>
      </c>
    </row>
    <row r="23" spans="2:26" s="32" customFormat="1" ht="14.25" customHeight="1">
      <c r="B23" s="239">
        <v>1995</v>
      </c>
      <c r="C23" s="693">
        <f>'IP 5D2 2021'!N49+'IP 5D2 2021'!N52</f>
        <v>3253.3589999999999</v>
      </c>
      <c r="D23" s="354">
        <f>'Fac Conv'!$H$10</f>
        <v>24</v>
      </c>
      <c r="E23" s="354">
        <f>'Fac Conv'!$K$10</f>
        <v>11</v>
      </c>
      <c r="F23" s="354">
        <f t="shared" si="13"/>
        <v>858886.77599999995</v>
      </c>
      <c r="G23" s="698">
        <f>'IP 5D2 FETipos de tratamiento'!S40</f>
        <v>9.5248259310058023E-2</v>
      </c>
      <c r="H23" s="354">
        <f t="shared" si="14"/>
        <v>8.1807470358427711E-2</v>
      </c>
      <c r="I23" s="280"/>
      <c r="J23" s="239">
        <v>1995</v>
      </c>
      <c r="K23" s="669">
        <f t="shared" si="0"/>
        <v>8.1807470358427711E-2</v>
      </c>
      <c r="L23" s="669">
        <f t="shared" ref="L23:L27" si="16">H58</f>
        <v>1.1247177792713623</v>
      </c>
      <c r="M23" s="669">
        <f t="shared" si="2"/>
        <v>2.0703052499999997</v>
      </c>
      <c r="N23" s="669">
        <f t="shared" si="3"/>
        <v>0.33844461003939852</v>
      </c>
      <c r="O23" s="669">
        <f t="shared" si="4"/>
        <v>3.2346667124999999E-2</v>
      </c>
      <c r="P23" s="669">
        <f t="shared" si="5"/>
        <v>0.218944215</v>
      </c>
      <c r="Q23" s="669">
        <f t="shared" si="6"/>
        <v>2.1522101605265647</v>
      </c>
      <c r="R23" s="669">
        <f t="shared" si="7"/>
        <v>8.9215848723039406E-3</v>
      </c>
      <c r="S23" s="669">
        <f t="shared" si="8"/>
        <v>14.133382633350003</v>
      </c>
      <c r="T23" s="669">
        <f t="shared" si="9"/>
        <v>9.4436266488875903E-2</v>
      </c>
      <c r="U23" s="669">
        <f t="shared" si="10"/>
        <v>7.0456220008127653E-3</v>
      </c>
      <c r="V23" s="669">
        <f t="shared" si="11"/>
        <v>2.6588381268227809E-2</v>
      </c>
      <c r="W23" s="669">
        <f t="shared" si="12"/>
        <v>1.9188812500000001</v>
      </c>
      <c r="X23" s="279">
        <f t="shared" si="15"/>
        <v>22.20803189030098</v>
      </c>
      <c r="Y23" s="279">
        <f>X23*'Fac Conv'!$C$171</f>
        <v>621.8248929284274</v>
      </c>
      <c r="Z23" s="239">
        <v>1995</v>
      </c>
    </row>
    <row r="24" spans="2:26" s="32" customFormat="1" ht="14.25" customHeight="1">
      <c r="B24" s="239">
        <v>1996</v>
      </c>
      <c r="C24" s="693">
        <f>'IP 5D2 2021'!P49+'IP 5D2 2021'!P52</f>
        <v>3412.7460000000001</v>
      </c>
      <c r="D24" s="354">
        <f>'Fac Conv'!$H$10</f>
        <v>24</v>
      </c>
      <c r="E24" s="354">
        <f>'Fac Conv'!$K$10</f>
        <v>11</v>
      </c>
      <c r="F24" s="354">
        <f t="shared" ref="F24:F50" si="17">C24*D24*E24</f>
        <v>900964.94400000013</v>
      </c>
      <c r="G24" s="698">
        <f>'IP 5D2 FETipos de tratamiento'!S41</f>
        <v>9.5248259310058023E-2</v>
      </c>
      <c r="H24" s="354">
        <f t="shared" si="14"/>
        <v>8.5815342615383927E-2</v>
      </c>
      <c r="I24" s="280"/>
      <c r="J24" s="239">
        <v>1996</v>
      </c>
      <c r="K24" s="669">
        <f t="shared" si="0"/>
        <v>8.5815342615383927E-2</v>
      </c>
      <c r="L24" s="669">
        <f t="shared" si="16"/>
        <v>1.0696425579291375</v>
      </c>
      <c r="M24" s="669">
        <f t="shared" si="2"/>
        <v>2.0810984999999995</v>
      </c>
      <c r="N24" s="669">
        <f t="shared" si="3"/>
        <v>0.42837047980904019</v>
      </c>
      <c r="O24" s="669">
        <f t="shared" si="4"/>
        <v>3.3824506875E-2</v>
      </c>
      <c r="P24" s="669">
        <f t="shared" si="5"/>
        <v>0.21782155500000003</v>
      </c>
      <c r="Q24" s="669">
        <f t="shared" si="6"/>
        <v>2.0378214206144167</v>
      </c>
      <c r="R24" s="669">
        <f t="shared" si="7"/>
        <v>1.0029170030015988E-2</v>
      </c>
      <c r="S24" s="669">
        <f t="shared" si="8"/>
        <v>13.173817939649998</v>
      </c>
      <c r="T24" s="669">
        <f t="shared" si="9"/>
        <v>0.10221008108976222</v>
      </c>
      <c r="U24" s="669">
        <f t="shared" si="10"/>
        <v>6.820057878842661E-3</v>
      </c>
      <c r="V24" s="669">
        <f t="shared" si="11"/>
        <v>2.7858103233423092E-2</v>
      </c>
      <c r="W24" s="669">
        <f t="shared" si="12"/>
        <v>2.0360656874999998</v>
      </c>
      <c r="X24" s="279">
        <f t="shared" si="15"/>
        <v>21.311195402225021</v>
      </c>
      <c r="Y24" s="279">
        <f>X24*'Fac Conv'!$C$171</f>
        <v>596.71347126230057</v>
      </c>
      <c r="Z24" s="239">
        <v>1996</v>
      </c>
    </row>
    <row r="25" spans="2:26" s="32" customFormat="1" ht="14.25" customHeight="1">
      <c r="B25" s="239">
        <v>1997</v>
      </c>
      <c r="C25" s="693">
        <f>'IP 5D2 2021'!R49+'IP 5D2 2021'!R52</f>
        <v>4106.1419999999998</v>
      </c>
      <c r="D25" s="354">
        <f>'Fac Conv'!$H$10</f>
        <v>24</v>
      </c>
      <c r="E25" s="354">
        <f>'Fac Conv'!$K$10</f>
        <v>11</v>
      </c>
      <c r="F25" s="354">
        <f t="shared" si="17"/>
        <v>1084021.4879999999</v>
      </c>
      <c r="G25" s="698">
        <f>'IP 5D2 FETipos de tratamiento'!S42</f>
        <v>9.5248259310058009E-2</v>
      </c>
      <c r="H25" s="354">
        <f t="shared" si="14"/>
        <v>0.10325115978669894</v>
      </c>
      <c r="I25" s="280"/>
      <c r="J25" s="239">
        <v>1997</v>
      </c>
      <c r="K25" s="669">
        <f t="shared" si="0"/>
        <v>0.10325115978669894</v>
      </c>
      <c r="L25" s="669">
        <f t="shared" si="16"/>
        <v>1.0690820563444872</v>
      </c>
      <c r="M25" s="669">
        <f t="shared" si="2"/>
        <v>2.2469947499999994</v>
      </c>
      <c r="N25" s="669">
        <f t="shared" si="3"/>
        <v>0.51142456189034702</v>
      </c>
      <c r="O25" s="669">
        <f t="shared" si="4"/>
        <v>3.4589513249999995E-2</v>
      </c>
      <c r="P25" s="669">
        <f t="shared" si="5"/>
        <v>0.21092217426000001</v>
      </c>
      <c r="Q25" s="669">
        <f t="shared" si="6"/>
        <v>2.2608657172143207</v>
      </c>
      <c r="R25" s="669">
        <f t="shared" si="7"/>
        <v>1.1041141201700305E-2</v>
      </c>
      <c r="S25" s="669">
        <f t="shared" si="8"/>
        <v>12.660935785200001</v>
      </c>
      <c r="T25" s="669">
        <f t="shared" si="9"/>
        <v>0.10124527496911881</v>
      </c>
      <c r="U25" s="669">
        <f t="shared" si="10"/>
        <v>7.9850531176486605E-3</v>
      </c>
      <c r="V25" s="669">
        <f t="shared" si="11"/>
        <v>3.2915069440628907E-2</v>
      </c>
      <c r="W25" s="669">
        <f t="shared" si="12"/>
        <v>1.7417164375</v>
      </c>
      <c r="X25" s="279">
        <f t="shared" si="15"/>
        <v>20.992968694174955</v>
      </c>
      <c r="Y25" s="279">
        <f>X25*'Fac Conv'!$C$171</f>
        <v>587.80312343689877</v>
      </c>
      <c r="Z25" s="239">
        <v>1997</v>
      </c>
    </row>
    <row r="26" spans="2:26" s="32" customFormat="1" ht="14.25" customHeight="1">
      <c r="B26" s="239">
        <v>1998</v>
      </c>
      <c r="C26" s="693">
        <f>'IP 5D2 2021'!T49+'IP 5D2 2021'!T52</f>
        <v>5690.6540009999999</v>
      </c>
      <c r="D26" s="354">
        <f>'Fac Conv'!$H$10</f>
        <v>24</v>
      </c>
      <c r="E26" s="354">
        <f>'Fac Conv'!$K$10</f>
        <v>11</v>
      </c>
      <c r="F26" s="354">
        <f t="shared" si="17"/>
        <v>1502332.6562640001</v>
      </c>
      <c r="G26" s="698">
        <f>'IP 5D2 FETipos de tratamiento'!S43</f>
        <v>9.5248259310058009E-2</v>
      </c>
      <c r="H26" s="354">
        <f t="shared" si="14"/>
        <v>0.14309457041380172</v>
      </c>
      <c r="I26" s="280"/>
      <c r="J26" s="239">
        <v>1998</v>
      </c>
      <c r="K26" s="669">
        <f t="shared" si="0"/>
        <v>0.14309457041380172</v>
      </c>
      <c r="L26" s="669">
        <f t="shared" si="16"/>
        <v>0.94343346112049964</v>
      </c>
      <c r="M26" s="669">
        <f t="shared" si="2"/>
        <v>2.5248849599999996</v>
      </c>
      <c r="N26" s="669">
        <f t="shared" si="3"/>
        <v>0.67481516781098672</v>
      </c>
      <c r="O26" s="669">
        <f t="shared" si="4"/>
        <v>3.3436569000000006E-2</v>
      </c>
      <c r="P26" s="669">
        <f t="shared" si="5"/>
        <v>0.23697198</v>
      </c>
      <c r="Q26" s="669">
        <f t="shared" si="6"/>
        <v>1.5073309826831345</v>
      </c>
      <c r="R26" s="669">
        <f t="shared" si="7"/>
        <v>1.0072937848682609E-2</v>
      </c>
      <c r="S26" s="669">
        <f t="shared" si="8"/>
        <v>15.665316355350003</v>
      </c>
      <c r="T26" s="669">
        <f t="shared" si="9"/>
        <v>0.11238664821437466</v>
      </c>
      <c r="U26" s="669">
        <f t="shared" si="10"/>
        <v>7.9472520484163128E-3</v>
      </c>
      <c r="V26" s="669">
        <f t="shared" si="11"/>
        <v>2.7661372811479391E-2</v>
      </c>
      <c r="W26" s="669">
        <f t="shared" si="12"/>
        <v>0.86768500000000004</v>
      </c>
      <c r="X26" s="279">
        <f t="shared" si="15"/>
        <v>22.755037257301382</v>
      </c>
      <c r="Y26" s="279">
        <f>X26*'Fac Conv'!$C$171</f>
        <v>637.14104320443869</v>
      </c>
      <c r="Z26" s="239">
        <v>1998</v>
      </c>
    </row>
    <row r="27" spans="2:26" s="32" customFormat="1" ht="14.25" customHeight="1">
      <c r="B27" s="239">
        <v>1999</v>
      </c>
      <c r="C27" s="693">
        <f>'IP 5D2 2021'!V49+'IP 5D2 2021'!V52</f>
        <v>8531.1080000000002</v>
      </c>
      <c r="D27" s="354">
        <f>'Fac Conv'!$H$10</f>
        <v>24</v>
      </c>
      <c r="E27" s="354">
        <f>'Fac Conv'!$K$10</f>
        <v>11</v>
      </c>
      <c r="F27" s="354">
        <f t="shared" si="17"/>
        <v>2252212.5120000001</v>
      </c>
      <c r="G27" s="698">
        <f>'IP 5D2 FETipos de tratamiento'!S44</f>
        <v>9.5248259310058009E-2</v>
      </c>
      <c r="H27" s="354">
        <f t="shared" si="14"/>
        <v>0.21451932136433316</v>
      </c>
      <c r="I27" s="281"/>
      <c r="J27" s="239">
        <v>1999</v>
      </c>
      <c r="K27" s="669">
        <f t="shared" si="0"/>
        <v>0.21451932136433316</v>
      </c>
      <c r="L27" s="669">
        <f t="shared" si="16"/>
        <v>0.88742312328521245</v>
      </c>
      <c r="M27" s="669">
        <f t="shared" si="2"/>
        <v>2.8205652442499995</v>
      </c>
      <c r="N27" s="669">
        <f t="shared" si="3"/>
        <v>0.68269778618549359</v>
      </c>
      <c r="O27" s="669">
        <f t="shared" si="4"/>
        <v>3.6672876000000007E-2</v>
      </c>
      <c r="P27" s="669">
        <f t="shared" si="5"/>
        <v>0.26059886999999998</v>
      </c>
      <c r="Q27" s="669">
        <f t="shared" si="6"/>
        <v>2.0269618998753507</v>
      </c>
      <c r="R27" s="669">
        <f t="shared" si="7"/>
        <v>1.0720767711135722E-2</v>
      </c>
      <c r="S27" s="669">
        <f t="shared" si="8"/>
        <v>17.117798153399999</v>
      </c>
      <c r="T27" s="669">
        <f t="shared" si="9"/>
        <v>0.10249622480422918</v>
      </c>
      <c r="U27" s="669">
        <f t="shared" si="10"/>
        <v>7.9604022208320472E-3</v>
      </c>
      <c r="V27" s="669">
        <f t="shared" si="11"/>
        <v>3.1165153090377182E-2</v>
      </c>
      <c r="W27" s="669">
        <f t="shared" si="12"/>
        <v>1.9588229374999999</v>
      </c>
      <c r="X27" s="279">
        <f t="shared" si="15"/>
        <v>26.158402759686961</v>
      </c>
      <c r="Y27" s="279">
        <f>X27*'Fac Conv'!$C$171</f>
        <v>732.4352772712349</v>
      </c>
      <c r="Z27" s="239">
        <v>1999</v>
      </c>
    </row>
    <row r="28" spans="2:26" ht="14.25" customHeight="1">
      <c r="B28" s="239">
        <v>2000</v>
      </c>
      <c r="C28" s="693">
        <f>'IP 5D2 2021'!X49+'IP 5D2 2021'!X52</f>
        <v>11248.411601</v>
      </c>
      <c r="D28" s="354">
        <f>'Fac Conv'!$H$10</f>
        <v>24</v>
      </c>
      <c r="E28" s="354">
        <f>'Fac Conv'!$K$10</f>
        <v>11</v>
      </c>
      <c r="F28" s="354">
        <f t="shared" si="17"/>
        <v>2969580.6626639999</v>
      </c>
      <c r="G28" s="698">
        <f>'IP 5D2 FETipos de tratamiento'!S45</f>
        <v>9.5248259310058009E-2</v>
      </c>
      <c r="H28" s="354">
        <f t="shared" si="14"/>
        <v>0.28284738899955458</v>
      </c>
      <c r="I28" s="273"/>
      <c r="J28" s="239">
        <v>2000</v>
      </c>
      <c r="K28" s="669">
        <f t="shared" si="0"/>
        <v>0.28284738899955458</v>
      </c>
      <c r="L28" s="669">
        <f t="shared" ref="L28:L50" si="18">H63</f>
        <v>0.82088787519427497</v>
      </c>
      <c r="M28" s="669">
        <f t="shared" si="2"/>
        <v>3.0612255374999999</v>
      </c>
      <c r="N28" s="669">
        <f t="shared" si="3"/>
        <v>0.63472383925812792</v>
      </c>
      <c r="O28" s="669">
        <f t="shared" si="4"/>
        <v>3.5637518624999996E-2</v>
      </c>
      <c r="P28" s="669">
        <f t="shared" si="5"/>
        <v>0.32355004500000006</v>
      </c>
      <c r="Q28" s="669">
        <f t="shared" si="6"/>
        <v>2.4277042424576214</v>
      </c>
      <c r="R28" s="669">
        <f t="shared" si="7"/>
        <v>1.069626229742424E-2</v>
      </c>
      <c r="S28" s="669">
        <f t="shared" si="8"/>
        <v>20.669979504150003</v>
      </c>
      <c r="T28" s="669">
        <f t="shared" si="9"/>
        <v>9.3231623006335862E-2</v>
      </c>
      <c r="U28" s="669">
        <f t="shared" si="10"/>
        <v>8.1292809163942357E-3</v>
      </c>
      <c r="V28" s="669">
        <f t="shared" si="11"/>
        <v>2.9314992100025729E-2</v>
      </c>
      <c r="W28" s="669">
        <f t="shared" si="12"/>
        <v>2.4247283125000001</v>
      </c>
      <c r="X28" s="279">
        <f t="shared" si="15"/>
        <v>30.822656422004762</v>
      </c>
      <c r="Y28" s="279">
        <f>X28*'Fac Conv'!$C$171</f>
        <v>863.03437981613331</v>
      </c>
      <c r="Z28" s="239">
        <v>2000</v>
      </c>
    </row>
    <row r="29" spans="2:26" ht="14.25" customHeight="1">
      <c r="B29" s="239">
        <v>2001</v>
      </c>
      <c r="C29" s="693">
        <f>'IP 5D2 2021'!Z49+'IP 5D2 2021'!Z52</f>
        <v>9710.5050540000011</v>
      </c>
      <c r="D29" s="354">
        <f>'Fac Conv'!$H$10</f>
        <v>24</v>
      </c>
      <c r="E29" s="354">
        <f>'Fac Conv'!$K$10</f>
        <v>11</v>
      </c>
      <c r="F29" s="354">
        <f t="shared" si="17"/>
        <v>2563573.3342560004</v>
      </c>
      <c r="G29" s="698">
        <f>'IP 5D2 FETipos de tratamiento'!S46</f>
        <v>9.5248259310058037E-2</v>
      </c>
      <c r="H29" s="354">
        <f t="shared" si="14"/>
        <v>0.24417589770156561</v>
      </c>
      <c r="I29" s="273"/>
      <c r="J29" s="239">
        <v>2001</v>
      </c>
      <c r="K29" s="669">
        <f t="shared" si="0"/>
        <v>0.24417589770156561</v>
      </c>
      <c r="L29" s="669">
        <f t="shared" si="18"/>
        <v>0.76199436233864992</v>
      </c>
      <c r="M29" s="669">
        <f t="shared" si="2"/>
        <v>3.1188215174999998</v>
      </c>
      <c r="N29" s="669">
        <f t="shared" si="3"/>
        <v>0.6309669932742431</v>
      </c>
      <c r="O29" s="669">
        <f t="shared" si="4"/>
        <v>3.4916780250000001E-2</v>
      </c>
      <c r="P29" s="669">
        <f t="shared" si="5"/>
        <v>0.30906035999999998</v>
      </c>
      <c r="Q29" s="669">
        <f t="shared" si="6"/>
        <v>2.5478623699756748</v>
      </c>
      <c r="R29" s="669">
        <f t="shared" si="7"/>
        <v>1.2221541536101979E-2</v>
      </c>
      <c r="S29" s="669">
        <f t="shared" si="8"/>
        <v>15.30850468095</v>
      </c>
      <c r="T29" s="669">
        <f t="shared" si="9"/>
        <v>0.10156538722704846</v>
      </c>
      <c r="U29" s="669">
        <f t="shared" si="10"/>
        <v>7.8837378084392253E-3</v>
      </c>
      <c r="V29" s="669">
        <f t="shared" si="11"/>
        <v>0.1906595887458902</v>
      </c>
      <c r="W29" s="669">
        <f t="shared" si="12"/>
        <v>1.7251024374999999</v>
      </c>
      <c r="X29" s="279">
        <f t="shared" si="15"/>
        <v>24.993735654807608</v>
      </c>
      <c r="Y29" s="279">
        <f>X29*'Fac Conv'!$C$171</f>
        <v>699.82459833461303</v>
      </c>
      <c r="Z29" s="239">
        <v>2001</v>
      </c>
    </row>
    <row r="30" spans="2:26" ht="14.25" customHeight="1">
      <c r="B30" s="239">
        <v>2002</v>
      </c>
      <c r="C30" s="693">
        <f>'IP 5D2 2021'!AB49+'IP 5D2 2021'!AB52</f>
        <v>8646.5697</v>
      </c>
      <c r="D30" s="354">
        <f>'Fac Conv'!$H$10</f>
        <v>24</v>
      </c>
      <c r="E30" s="354">
        <f>'Fac Conv'!$K$10</f>
        <v>11</v>
      </c>
      <c r="F30" s="354">
        <f t="shared" si="17"/>
        <v>2282694.4007999999</v>
      </c>
      <c r="G30" s="698">
        <f>'IP 5D2 FETipos de tratamiento'!S47</f>
        <v>9.5248259310058009E-2</v>
      </c>
      <c r="H30" s="354">
        <f t="shared" si="14"/>
        <v>0.2174226682130159</v>
      </c>
      <c r="I30" s="273"/>
      <c r="J30" s="239">
        <v>2002</v>
      </c>
      <c r="K30" s="669">
        <f t="shared" si="0"/>
        <v>0.2174226682130159</v>
      </c>
      <c r="L30" s="669">
        <f t="shared" si="18"/>
        <v>0.88673231585846235</v>
      </c>
      <c r="M30" s="669">
        <f t="shared" si="2"/>
        <v>3.3028943999999996</v>
      </c>
      <c r="N30" s="669">
        <f t="shared" si="3"/>
        <v>0.62943929776605256</v>
      </c>
      <c r="O30" s="669">
        <f t="shared" si="4"/>
        <v>3.6961606124999997E-2</v>
      </c>
      <c r="P30" s="669">
        <f t="shared" si="5"/>
        <v>0.35973456749999999</v>
      </c>
      <c r="Q30" s="669">
        <f t="shared" si="6"/>
        <v>2.9391717001730595</v>
      </c>
      <c r="R30" s="669">
        <f t="shared" si="7"/>
        <v>1.3248344831052727E-2</v>
      </c>
      <c r="S30" s="669">
        <f t="shared" si="8"/>
        <v>20.546497984950001</v>
      </c>
      <c r="T30" s="669">
        <f t="shared" si="9"/>
        <v>0.10332137325672019</v>
      </c>
      <c r="U30" s="669">
        <f t="shared" si="10"/>
        <v>7.3368907307828409E-3</v>
      </c>
      <c r="V30" s="669">
        <f t="shared" si="11"/>
        <v>3.1029198909692132E-2</v>
      </c>
      <c r="W30" s="669">
        <f t="shared" si="12"/>
        <v>1.7581078125</v>
      </c>
      <c r="X30" s="279">
        <f t="shared" si="15"/>
        <v>30.831898160813839</v>
      </c>
      <c r="Y30" s="279">
        <f>X30*'Fac Conv'!$C$171</f>
        <v>863.29314850278752</v>
      </c>
      <c r="Z30" s="239">
        <v>2002</v>
      </c>
    </row>
    <row r="31" spans="2:26" ht="14.25" customHeight="1">
      <c r="B31" s="239">
        <v>2003</v>
      </c>
      <c r="C31" s="693">
        <f>'IP 5D2 2021'!AD49+'IP 5D2 2021'!AD52</f>
        <v>488.88549999999998</v>
      </c>
      <c r="D31" s="354">
        <f>'Fac Conv'!$H$10</f>
        <v>24</v>
      </c>
      <c r="E31" s="354">
        <f>'Fac Conv'!$K$10</f>
        <v>11</v>
      </c>
      <c r="F31" s="354">
        <f t="shared" si="17"/>
        <v>129065.772</v>
      </c>
      <c r="G31" s="698">
        <f>'IP 5D2 FETipos de tratamiento'!S48</f>
        <v>9.5248259310058009E-2</v>
      </c>
      <c r="H31" s="354">
        <f t="shared" si="14"/>
        <v>1.2293290119508823E-2</v>
      </c>
      <c r="I31" s="273"/>
      <c r="J31" s="239">
        <v>2003</v>
      </c>
      <c r="K31" s="669">
        <f t="shared" si="0"/>
        <v>1.2293290119508823E-2</v>
      </c>
      <c r="L31" s="669">
        <f t="shared" si="18"/>
        <v>0.91032532030125013</v>
      </c>
      <c r="M31" s="669">
        <f t="shared" si="2"/>
        <v>2.4206181674999998</v>
      </c>
      <c r="N31" s="669">
        <f t="shared" si="3"/>
        <v>0.67323381789154657</v>
      </c>
      <c r="O31" s="669">
        <f t="shared" si="4"/>
        <v>3.9638041500000006E-2</v>
      </c>
      <c r="P31" s="669">
        <f t="shared" si="5"/>
        <v>0.43695954749475008</v>
      </c>
      <c r="Q31" s="669">
        <f t="shared" si="6"/>
        <v>3.2146293613033174</v>
      </c>
      <c r="R31" s="669">
        <f t="shared" si="7"/>
        <v>1.4982618940392394E-2</v>
      </c>
      <c r="S31" s="669">
        <f t="shared" si="8"/>
        <v>5.7347514000000004</v>
      </c>
      <c r="T31" s="669">
        <f t="shared" si="9"/>
        <v>0.10450810166763592</v>
      </c>
      <c r="U31" s="669">
        <f t="shared" si="10"/>
        <v>7.2255648213285645E-3</v>
      </c>
      <c r="V31" s="669">
        <f t="shared" si="11"/>
        <v>2.8312271241169227E-2</v>
      </c>
      <c r="W31" s="669">
        <f t="shared" si="12"/>
        <v>1.3302209375</v>
      </c>
      <c r="X31" s="279">
        <f t="shared" si="15"/>
        <v>14.927698440280899</v>
      </c>
      <c r="Y31" s="279">
        <f>X31*'Fac Conv'!$C$171</f>
        <v>417.97555632786521</v>
      </c>
      <c r="Z31" s="239">
        <v>2003</v>
      </c>
    </row>
    <row r="32" spans="2:26" ht="14.25" customHeight="1">
      <c r="B32" s="239">
        <v>2004</v>
      </c>
      <c r="C32" s="693">
        <f>'IP 5D2 2021'!AF49+'IP 5D2 2021'!AF52</f>
        <v>600.16630000000009</v>
      </c>
      <c r="D32" s="354">
        <f>'Fac Conv'!$H$10</f>
        <v>24</v>
      </c>
      <c r="E32" s="354">
        <f>'Fac Conv'!$K$10</f>
        <v>11</v>
      </c>
      <c r="F32" s="354">
        <f t="shared" si="17"/>
        <v>158443.90320000003</v>
      </c>
      <c r="G32" s="698">
        <f>'IP 5D2 FETipos de tratamiento'!S49</f>
        <v>9.5248259310058037E-2</v>
      </c>
      <c r="H32" s="354">
        <f t="shared" si="14"/>
        <v>1.5091505978091339E-2</v>
      </c>
      <c r="I32" s="273"/>
      <c r="J32" s="239">
        <v>2004</v>
      </c>
      <c r="K32" s="669">
        <f t="shared" si="0"/>
        <v>1.5091505978091339E-2</v>
      </c>
      <c r="L32" s="669">
        <f t="shared" si="18"/>
        <v>0.95478711008624972</v>
      </c>
      <c r="M32" s="669">
        <f t="shared" si="2"/>
        <v>2.4581534932499998</v>
      </c>
      <c r="N32" s="669">
        <f t="shared" si="3"/>
        <v>0.7022102033345835</v>
      </c>
      <c r="O32" s="669">
        <f t="shared" si="4"/>
        <v>3.8773432125E-2</v>
      </c>
      <c r="P32" s="669">
        <f t="shared" si="5"/>
        <v>0.51322983372675002</v>
      </c>
      <c r="Q32" s="669">
        <f t="shared" si="6"/>
        <v>2.5017509424060114</v>
      </c>
      <c r="R32" s="669">
        <f t="shared" si="7"/>
        <v>1.5719549681636382E-2</v>
      </c>
      <c r="S32" s="669">
        <f t="shared" si="8"/>
        <v>12.463975439999999</v>
      </c>
      <c r="T32" s="669">
        <f t="shared" si="9"/>
        <v>0.11235772181770069</v>
      </c>
      <c r="U32" s="669">
        <f t="shared" si="10"/>
        <v>7.1005620249664217E-3</v>
      </c>
      <c r="V32" s="669">
        <f t="shared" si="11"/>
        <v>3.0443060049127318E-2</v>
      </c>
      <c r="W32" s="669">
        <f t="shared" si="12"/>
        <v>2.0517875624999999</v>
      </c>
      <c r="X32" s="279">
        <f t="shared" si="15"/>
        <v>21.865380416980116</v>
      </c>
      <c r="Y32" s="279">
        <f>X32*'Fac Conv'!$C$171</f>
        <v>612.23065167544326</v>
      </c>
      <c r="Z32" s="239">
        <v>2004</v>
      </c>
    </row>
    <row r="33" spans="2:28" ht="14.25" customHeight="1">
      <c r="B33" s="239">
        <v>2005</v>
      </c>
      <c r="C33" s="693">
        <f>'IP 5D2 2021'!AH49+'IP 5D2 2021'!AH52</f>
        <v>813.96030000000007</v>
      </c>
      <c r="D33" s="354">
        <f>'Fac Conv'!$H$10</f>
        <v>24</v>
      </c>
      <c r="E33" s="354">
        <f>'Fac Conv'!$K$10</f>
        <v>11</v>
      </c>
      <c r="F33" s="354">
        <f t="shared" si="17"/>
        <v>214885.51920000001</v>
      </c>
      <c r="G33" s="698">
        <f>'IP 5D2 FETipos de tratamiento'!S50</f>
        <v>9.5248259310058037E-2</v>
      </c>
      <c r="H33" s="354">
        <f t="shared" si="14"/>
        <v>2.0467471654738056E-2</v>
      </c>
      <c r="I33" s="273"/>
      <c r="J33" s="239">
        <v>2005</v>
      </c>
      <c r="K33" s="669">
        <f t="shared" si="0"/>
        <v>2.0467471654738056E-2</v>
      </c>
      <c r="L33" s="669">
        <f t="shared" si="18"/>
        <v>1.1238327835087498</v>
      </c>
      <c r="M33" s="669">
        <f t="shared" si="2"/>
        <v>2.7074587799999996</v>
      </c>
      <c r="N33" s="669">
        <f t="shared" si="3"/>
        <v>0.92177721744034791</v>
      </c>
      <c r="O33" s="669">
        <f t="shared" si="4"/>
        <v>4.0017283874999997E-2</v>
      </c>
      <c r="P33" s="669">
        <f t="shared" si="5"/>
        <v>0.54542127729599987</v>
      </c>
      <c r="Q33" s="669">
        <f t="shared" si="6"/>
        <v>2.3321593593420515</v>
      </c>
      <c r="R33" s="669">
        <f t="shared" si="7"/>
        <v>1.9203875403226048E-2</v>
      </c>
      <c r="S33" s="669">
        <f t="shared" si="8"/>
        <v>15.622750665000002</v>
      </c>
      <c r="T33" s="669">
        <f t="shared" si="9"/>
        <v>0.13304635101782336</v>
      </c>
      <c r="U33" s="669">
        <f t="shared" si="10"/>
        <v>7.9044716969808165E-3</v>
      </c>
      <c r="V33" s="669">
        <f t="shared" si="11"/>
        <v>2.8857300830593249E-2</v>
      </c>
      <c r="W33" s="669">
        <f t="shared" si="12"/>
        <v>1.978578875</v>
      </c>
      <c r="X33" s="279">
        <f t="shared" si="15"/>
        <v>25.481475712065514</v>
      </c>
      <c r="Y33" s="279">
        <f>X33*'Fac Conv'!$C$171</f>
        <v>713.48131993783443</v>
      </c>
      <c r="Z33" s="239">
        <v>2005</v>
      </c>
    </row>
    <row r="34" spans="2:28" ht="14.25" customHeight="1">
      <c r="B34" s="239">
        <v>2006</v>
      </c>
      <c r="C34" s="693">
        <f>'IP 5D2 2021'!AJ49+'IP 5D2 2021'!AJ52</f>
        <v>874.13630000000001</v>
      </c>
      <c r="D34" s="354">
        <f>'Fac Conv'!$H$10</f>
        <v>24</v>
      </c>
      <c r="E34" s="354">
        <f>'Fac Conv'!$K$10</f>
        <v>11</v>
      </c>
      <c r="F34" s="354">
        <f t="shared" si="17"/>
        <v>230771.98319999999</v>
      </c>
      <c r="G34" s="698">
        <f>'IP 5D2 FETipos de tratamiento'!S51</f>
        <v>9.5248259310058037E-2</v>
      </c>
      <c r="H34" s="354">
        <f t="shared" si="14"/>
        <v>2.1980629697329956E-2</v>
      </c>
      <c r="I34" s="273"/>
      <c r="J34" s="239">
        <v>2006</v>
      </c>
      <c r="K34" s="669">
        <f t="shared" si="0"/>
        <v>2.1980629697329956E-2</v>
      </c>
      <c r="L34" s="669">
        <f t="shared" si="18"/>
        <v>1.3572744450299998</v>
      </c>
      <c r="M34" s="669">
        <f t="shared" si="2"/>
        <v>2.9442946649999997</v>
      </c>
      <c r="N34" s="669">
        <f t="shared" si="3"/>
        <v>1.4024739713433449</v>
      </c>
      <c r="O34" s="669">
        <f t="shared" si="4"/>
        <v>4.3171576500000003E-2</v>
      </c>
      <c r="P34" s="669">
        <f t="shared" si="5"/>
        <v>0.61006610709449993</v>
      </c>
      <c r="Q34" s="669">
        <f t="shared" si="6"/>
        <v>2.699399584238972</v>
      </c>
      <c r="R34" s="669">
        <f t="shared" si="7"/>
        <v>1.9603121017892817E-2</v>
      </c>
      <c r="S34" s="669">
        <f t="shared" si="8"/>
        <v>17.248573754999999</v>
      </c>
      <c r="T34" s="669">
        <f t="shared" si="9"/>
        <v>0.14254578571503088</v>
      </c>
      <c r="U34" s="669">
        <f t="shared" si="10"/>
        <v>8.7105064529086774E-3</v>
      </c>
      <c r="V34" s="669">
        <f t="shared" si="11"/>
        <v>3.6014724609069411E-2</v>
      </c>
      <c r="W34" s="669">
        <f t="shared" si="12"/>
        <v>1.6026391874999999</v>
      </c>
      <c r="X34" s="279">
        <f t="shared" si="15"/>
        <v>28.136748059199043</v>
      </c>
      <c r="Y34" s="279">
        <f>X34*'Fac Conv'!$C$171</f>
        <v>787.82894565757317</v>
      </c>
      <c r="Z34" s="239">
        <v>2006</v>
      </c>
    </row>
    <row r="35" spans="2:28" ht="14.25" customHeight="1">
      <c r="B35" s="239">
        <v>2007</v>
      </c>
      <c r="C35" s="693">
        <f>'IP 5D2 2021'!AL49+'IP 5D2 2021'!AL52</f>
        <v>1089.7153000000001</v>
      </c>
      <c r="D35" s="354">
        <f>'Fac Conv'!$H$10</f>
        <v>24</v>
      </c>
      <c r="E35" s="354">
        <f>'Fac Conv'!$K$10</f>
        <v>11</v>
      </c>
      <c r="F35" s="354">
        <f t="shared" si="17"/>
        <v>287684.83920000005</v>
      </c>
      <c r="G35" s="698">
        <f>'IP 5D2 FETipos de tratamiento'!S52</f>
        <v>9.5248259310058037E-2</v>
      </c>
      <c r="H35" s="354">
        <f t="shared" si="14"/>
        <v>2.7401480163693953E-2</v>
      </c>
      <c r="I35" s="273"/>
      <c r="J35" s="239">
        <v>2007</v>
      </c>
      <c r="K35" s="669">
        <f t="shared" si="0"/>
        <v>2.7401480163693953E-2</v>
      </c>
      <c r="L35" s="669">
        <f t="shared" si="18"/>
        <v>1.4920728230362499</v>
      </c>
      <c r="M35" s="669">
        <f t="shared" si="2"/>
        <v>3.1123335749999996</v>
      </c>
      <c r="N35" s="669">
        <f t="shared" si="3"/>
        <v>2.5156725594293667</v>
      </c>
      <c r="O35" s="669">
        <f t="shared" si="4"/>
        <v>4.3656152999999996E-2</v>
      </c>
      <c r="P35" s="669">
        <f t="shared" si="5"/>
        <v>0.65838188773350015</v>
      </c>
      <c r="Q35" s="669">
        <f t="shared" si="6"/>
        <v>3.0475201459933583</v>
      </c>
      <c r="R35" s="669">
        <f t="shared" si="7"/>
        <v>2.2219003625073376E-2</v>
      </c>
      <c r="S35" s="669">
        <f t="shared" si="8"/>
        <v>18.193095315000001</v>
      </c>
      <c r="T35" s="669">
        <f t="shared" si="9"/>
        <v>0.15154025204924812</v>
      </c>
      <c r="U35" s="669">
        <f t="shared" si="10"/>
        <v>9.4486074452460392E-3</v>
      </c>
      <c r="V35" s="669">
        <f t="shared" si="11"/>
        <v>4.1773797739064776E-2</v>
      </c>
      <c r="W35" s="669">
        <f t="shared" si="12"/>
        <v>1.6852322500000001</v>
      </c>
      <c r="X35" s="279">
        <f t="shared" si="15"/>
        <v>31.000347850214801</v>
      </c>
      <c r="Y35" s="279">
        <f>X35*'Fac Conv'!$C$171</f>
        <v>868.00973980601441</v>
      </c>
      <c r="Z35" s="239">
        <v>2007</v>
      </c>
    </row>
    <row r="36" spans="2:28" ht="14.25" customHeight="1">
      <c r="B36" s="239">
        <v>2008</v>
      </c>
      <c r="C36" s="693">
        <f>'IP 5D2 2021'!AN49+'IP 5D2 2021'!AN52</f>
        <v>1507.4212</v>
      </c>
      <c r="D36" s="354">
        <f>'Fac Conv'!$H$10</f>
        <v>24</v>
      </c>
      <c r="E36" s="354">
        <f>'Fac Conv'!$K$10</f>
        <v>11</v>
      </c>
      <c r="F36" s="354">
        <f t="shared" si="17"/>
        <v>397959.19680000003</v>
      </c>
      <c r="G36" s="698">
        <f>'IP 5D2 FETipos de tratamiento'!S53</f>
        <v>9.5248259310058037E-2</v>
      </c>
      <c r="H36" s="354">
        <f t="shared" si="14"/>
        <v>3.7904920771628825E-2</v>
      </c>
      <c r="I36" s="273"/>
      <c r="J36" s="239">
        <v>2008</v>
      </c>
      <c r="K36" s="669">
        <f t="shared" si="0"/>
        <v>3.7904920771628825E-2</v>
      </c>
      <c r="L36" s="669">
        <f t="shared" si="18"/>
        <v>1.6974187620862502</v>
      </c>
      <c r="M36" s="669">
        <f t="shared" si="2"/>
        <v>3.4882944524999995</v>
      </c>
      <c r="N36" s="669">
        <f t="shared" si="3"/>
        <v>3.406984637321596</v>
      </c>
      <c r="O36" s="669">
        <f t="shared" si="4"/>
        <v>4.0489805250000004E-2</v>
      </c>
      <c r="P36" s="669">
        <f t="shared" si="5"/>
        <v>0.71648194837274992</v>
      </c>
      <c r="Q36" s="669">
        <f t="shared" si="6"/>
        <v>3.3767765232962619</v>
      </c>
      <c r="R36" s="669">
        <f t="shared" si="7"/>
        <v>2.7670194734586019E-2</v>
      </c>
      <c r="S36" s="669">
        <f t="shared" si="8"/>
        <v>17.706578939999996</v>
      </c>
      <c r="T36" s="669">
        <f t="shared" si="9"/>
        <v>0.16063495837193956</v>
      </c>
      <c r="U36" s="669">
        <f t="shared" si="10"/>
        <v>1.0517748649051209E-2</v>
      </c>
      <c r="V36" s="669">
        <f t="shared" si="11"/>
        <v>4.98647668517255E-2</v>
      </c>
      <c r="W36" s="669">
        <f t="shared" si="12"/>
        <v>1.737305375</v>
      </c>
      <c r="X36" s="279">
        <f t="shared" si="15"/>
        <v>32.456923033205783</v>
      </c>
      <c r="Y36" s="279">
        <f>X36*'Fac Conv'!$C$171</f>
        <v>908.79384492976192</v>
      </c>
      <c r="Z36" s="239">
        <v>2008</v>
      </c>
    </row>
    <row r="37" spans="2:28" ht="14.25" customHeight="1">
      <c r="B37" s="239">
        <v>2009</v>
      </c>
      <c r="C37" s="693">
        <f>'IP 5D2 2021'!AP49+'IP 5D2 2021'!AP52</f>
        <v>1394.1308000000001</v>
      </c>
      <c r="D37" s="354">
        <f>'Fac Conv'!$H$10</f>
        <v>24</v>
      </c>
      <c r="E37" s="354">
        <f>'Fac Conv'!$K$10</f>
        <v>11</v>
      </c>
      <c r="F37" s="354">
        <f t="shared" si="17"/>
        <v>368050.53120000008</v>
      </c>
      <c r="G37" s="698">
        <f>'IP 5D2 FETipos de tratamiento'!S54</f>
        <v>9.5248259310058009E-2</v>
      </c>
      <c r="H37" s="354">
        <f t="shared" si="14"/>
        <v>3.5056172434942197E-2</v>
      </c>
      <c r="I37" s="273"/>
      <c r="J37" s="239">
        <v>2009</v>
      </c>
      <c r="K37" s="669">
        <f t="shared" si="0"/>
        <v>3.5056172434942197E-2</v>
      </c>
      <c r="L37" s="669">
        <f t="shared" si="18"/>
        <v>1.6828876924649998</v>
      </c>
      <c r="M37" s="669">
        <f t="shared" si="2"/>
        <v>3.7632504974999996</v>
      </c>
      <c r="N37" s="669">
        <f t="shared" si="3"/>
        <v>3.1369265219080522</v>
      </c>
      <c r="O37" s="669">
        <f t="shared" si="4"/>
        <v>4.1161927875000004E-2</v>
      </c>
      <c r="P37" s="669">
        <f t="shared" si="5"/>
        <v>0.68823494052074996</v>
      </c>
      <c r="Q37" s="669">
        <f t="shared" si="6"/>
        <v>3.5689880287344891</v>
      </c>
      <c r="R37" s="669">
        <f t="shared" si="7"/>
        <v>2.5216399102013821E-2</v>
      </c>
      <c r="S37" s="669">
        <f t="shared" si="8"/>
        <v>13.655077605000002</v>
      </c>
      <c r="T37" s="669">
        <f t="shared" si="9"/>
        <v>0.2248699488807939</v>
      </c>
      <c r="U37" s="669">
        <f t="shared" si="10"/>
        <v>8.868199166227976E-3</v>
      </c>
      <c r="V37" s="669">
        <f t="shared" si="11"/>
        <v>4.8648189886277199E-2</v>
      </c>
      <c r="W37" s="669">
        <f t="shared" si="12"/>
        <v>1.617100875</v>
      </c>
      <c r="X37" s="279">
        <f t="shared" si="15"/>
        <v>28.496286998473543</v>
      </c>
      <c r="Y37" s="279">
        <f>X37*'Fac Conv'!$C$171</f>
        <v>797.89603595725919</v>
      </c>
      <c r="Z37" s="239">
        <v>2009</v>
      </c>
    </row>
    <row r="38" spans="2:28" ht="14.25" customHeight="1">
      <c r="B38" s="239">
        <v>2010</v>
      </c>
      <c r="C38" s="693">
        <f>'IP 5D2 2021'!AR49+'IP 5D2 2021'!AR52</f>
        <v>1332.3189</v>
      </c>
      <c r="D38" s="354">
        <f>'Fac Conv'!$H$10</f>
        <v>24</v>
      </c>
      <c r="E38" s="354">
        <f>'Fac Conv'!$K$10</f>
        <v>11</v>
      </c>
      <c r="F38" s="354">
        <f t="shared" si="17"/>
        <v>351732.18959999998</v>
      </c>
      <c r="G38" s="698">
        <f>'IP 5D2 FETipos de tratamiento'!S55</f>
        <v>9.5248259310058009E-2</v>
      </c>
      <c r="H38" s="354">
        <f t="shared" si="14"/>
        <v>3.3501878802715282E-2</v>
      </c>
      <c r="I38" s="273"/>
      <c r="J38" s="239">
        <v>2010</v>
      </c>
      <c r="K38" s="669">
        <f t="shared" si="0"/>
        <v>3.3501878802715282E-2</v>
      </c>
      <c r="L38" s="669">
        <f t="shared" si="18"/>
        <v>1.7701595726849997</v>
      </c>
      <c r="M38" s="669">
        <f t="shared" si="2"/>
        <v>3.969457537499999</v>
      </c>
      <c r="N38" s="669">
        <f t="shared" si="3"/>
        <v>3.3747442483341823</v>
      </c>
      <c r="O38" s="669">
        <f t="shared" si="4"/>
        <v>5.0569273125000001E-2</v>
      </c>
      <c r="P38" s="669">
        <f t="shared" si="5"/>
        <v>0.7812968163682501</v>
      </c>
      <c r="Q38" s="669">
        <f t="shared" si="6"/>
        <v>3.4840571218317815</v>
      </c>
      <c r="R38" s="669">
        <f t="shared" si="7"/>
        <v>3.2071656660540987E-2</v>
      </c>
      <c r="S38" s="669">
        <f t="shared" si="8"/>
        <v>20.04203979</v>
      </c>
      <c r="T38" s="669">
        <f t="shared" si="9"/>
        <v>0.27345092013695077</v>
      </c>
      <c r="U38" s="669">
        <f t="shared" si="10"/>
        <v>9.2034914600127304E-3</v>
      </c>
      <c r="V38" s="669">
        <f t="shared" si="11"/>
        <v>5.309958061455293E-2</v>
      </c>
      <c r="W38" s="669">
        <f t="shared" si="12"/>
        <v>1.0336527499999999</v>
      </c>
      <c r="X38" s="279">
        <f t="shared" si="15"/>
        <v>34.907304637518983</v>
      </c>
      <c r="Y38" s="279">
        <f>X38*'Fac Conv'!$C$171</f>
        <v>977.4045298505315</v>
      </c>
      <c r="Z38" s="239">
        <v>2010</v>
      </c>
    </row>
    <row r="39" spans="2:28" ht="14.25" customHeight="1">
      <c r="B39" s="239">
        <v>2011</v>
      </c>
      <c r="C39" s="693">
        <f>'IP 5D2 2021'!AT49+'IP 5D2 2021'!AT52</f>
        <v>1326.5513000000001</v>
      </c>
      <c r="D39" s="354">
        <f>'Fac Conv'!$H$10</f>
        <v>24</v>
      </c>
      <c r="E39" s="354">
        <f>'Fac Conv'!$K$10</f>
        <v>11</v>
      </c>
      <c r="F39" s="354">
        <f t="shared" si="17"/>
        <v>350209.54320000001</v>
      </c>
      <c r="G39" s="698">
        <f>'IP 5D2 FETipos de tratamiento'!S56</f>
        <v>9.5248259310058023E-2</v>
      </c>
      <c r="H39" s="354">
        <f t="shared" si="14"/>
        <v>3.3356849383570565E-2</v>
      </c>
      <c r="I39" s="273"/>
      <c r="J39" s="239">
        <v>2011</v>
      </c>
      <c r="K39" s="669">
        <f t="shared" si="0"/>
        <v>3.3356849383570565E-2</v>
      </c>
      <c r="L39" s="669">
        <f t="shared" si="18"/>
        <v>1.87814661150375</v>
      </c>
      <c r="M39" s="669">
        <f t="shared" si="2"/>
        <v>4.1827521449999994</v>
      </c>
      <c r="N39" s="669">
        <f t="shared" si="3"/>
        <v>3.7183030375813031</v>
      </c>
      <c r="O39" s="669">
        <f t="shared" si="4"/>
        <v>4.8193622999999998E-2</v>
      </c>
      <c r="P39" s="669">
        <f t="shared" si="5"/>
        <v>0.80739397908225008</v>
      </c>
      <c r="Q39" s="669">
        <f t="shared" si="6"/>
        <v>3.6082670392990228</v>
      </c>
      <c r="R39" s="669">
        <f t="shared" si="7"/>
        <v>3.1499500655805833E-2</v>
      </c>
      <c r="S39" s="669">
        <f t="shared" si="8"/>
        <v>22.400733870000003</v>
      </c>
      <c r="T39" s="669">
        <f t="shared" si="9"/>
        <v>0.27001336684799787</v>
      </c>
      <c r="U39" s="669">
        <f t="shared" si="10"/>
        <v>1.1172308955219173E-2</v>
      </c>
      <c r="V39" s="669">
        <f t="shared" si="11"/>
        <v>5.5676229858030474E-2</v>
      </c>
      <c r="W39" s="669">
        <f t="shared" si="12"/>
        <v>2.0037785625</v>
      </c>
      <c r="X39" s="279">
        <f t="shared" si="15"/>
        <v>39.04928712366695</v>
      </c>
      <c r="Y39" s="279">
        <f>X39*'Fac Conv'!$C$171</f>
        <v>1093.3800394626746</v>
      </c>
      <c r="Z39" s="239">
        <v>2011</v>
      </c>
    </row>
    <row r="40" spans="2:28" ht="14.25" customHeight="1">
      <c r="B40" s="239">
        <v>2012</v>
      </c>
      <c r="C40" s="693">
        <f>'IP 5D2 2021'!AV49+'IP 5D2 2021'!AV52</f>
        <v>2829.893</v>
      </c>
      <c r="D40" s="354">
        <f>'Fac Conv'!$H$10</f>
        <v>24</v>
      </c>
      <c r="E40" s="354">
        <f>'Fac Conv'!$K$10</f>
        <v>11</v>
      </c>
      <c r="F40" s="354">
        <f t="shared" si="17"/>
        <v>747091.75199999998</v>
      </c>
      <c r="G40" s="698">
        <f>'IP 5D2 FETipos de tratamiento'!S57</f>
        <v>9.5248259310058037E-2</v>
      </c>
      <c r="H40" s="354">
        <f t="shared" si="14"/>
        <v>7.1159188922901559E-2</v>
      </c>
      <c r="I40" s="273"/>
      <c r="J40" s="239">
        <v>2012</v>
      </c>
      <c r="K40" s="669">
        <f t="shared" si="0"/>
        <v>7.1159188922901559E-2</v>
      </c>
      <c r="L40" s="669">
        <f t="shared" si="18"/>
        <v>1.9640390062387496</v>
      </c>
      <c r="M40" s="669">
        <f t="shared" si="2"/>
        <v>6.3716082543749994</v>
      </c>
      <c r="N40" s="669">
        <f t="shared" si="3"/>
        <v>3.4791109844988966</v>
      </c>
      <c r="O40" s="669">
        <f t="shared" si="4"/>
        <v>6.8171138999999992E-2</v>
      </c>
      <c r="P40" s="669">
        <f t="shared" si="5"/>
        <v>1.1245217600924999</v>
      </c>
      <c r="Q40" s="669">
        <f t="shared" si="6"/>
        <v>3.7090610942180362</v>
      </c>
      <c r="R40" s="669">
        <f t="shared" si="7"/>
        <v>3.0533862596005518E-2</v>
      </c>
      <c r="S40" s="669">
        <f t="shared" si="8"/>
        <v>19.805508449999998</v>
      </c>
      <c r="T40" s="669">
        <f t="shared" si="9"/>
        <v>0.29762402417742001</v>
      </c>
      <c r="U40" s="669">
        <f t="shared" si="10"/>
        <v>0.62222124506397158</v>
      </c>
      <c r="V40" s="669">
        <f t="shared" si="11"/>
        <v>6.9492721449022091E-2</v>
      </c>
      <c r="W40" s="669">
        <f t="shared" si="12"/>
        <v>1.2271878125</v>
      </c>
      <c r="X40" s="279">
        <f t="shared" si="15"/>
        <v>38.840239543132505</v>
      </c>
      <c r="Y40" s="279">
        <f>X40*'Fac Conv'!$C$171</f>
        <v>1087.5267072077102</v>
      </c>
      <c r="Z40" s="239">
        <v>2012</v>
      </c>
    </row>
    <row r="41" spans="2:28" ht="14.25" customHeight="1">
      <c r="B41" s="239">
        <v>2013</v>
      </c>
      <c r="C41" s="693">
        <f>'IP 5D2 2021'!AX49+'IP 5D2 2021'!AX52</f>
        <v>2827.768</v>
      </c>
      <c r="D41" s="354">
        <f>'Fac Conv'!$H$10</f>
        <v>24</v>
      </c>
      <c r="E41" s="354">
        <f>'Fac Conv'!$K$10</f>
        <v>11</v>
      </c>
      <c r="F41" s="354">
        <f t="shared" si="17"/>
        <v>746530.75199999998</v>
      </c>
      <c r="G41" s="698">
        <f>'IP 5D2 FETipos de tratamiento'!S58</f>
        <v>8.7926985724763776E-2</v>
      </c>
      <c r="H41" s="354">
        <f t="shared" si="14"/>
        <v>6.5640198774201172E-2</v>
      </c>
      <c r="I41" s="273"/>
      <c r="J41" s="239">
        <v>2013</v>
      </c>
      <c r="K41" s="669">
        <f t="shared" si="0"/>
        <v>6.5640198774201172E-2</v>
      </c>
      <c r="L41" s="669">
        <f t="shared" si="18"/>
        <v>1.9413623712136499</v>
      </c>
      <c r="M41" s="669">
        <f t="shared" si="2"/>
        <v>6.5190510449999994</v>
      </c>
      <c r="N41" s="669">
        <f t="shared" si="3"/>
        <v>2.9601345845289835</v>
      </c>
      <c r="O41" s="669">
        <f t="shared" si="4"/>
        <v>6.9873678374999984E-2</v>
      </c>
      <c r="P41" s="669">
        <f t="shared" si="5"/>
        <v>1.1813817065399996</v>
      </c>
      <c r="Q41" s="669">
        <f t="shared" si="6"/>
        <v>3.6337755617117491</v>
      </c>
      <c r="R41" s="669">
        <f t="shared" si="7"/>
        <v>3.054447612070155E-2</v>
      </c>
      <c r="S41" s="669">
        <f t="shared" si="8"/>
        <v>18.970293150000003</v>
      </c>
      <c r="T41" s="669">
        <f t="shared" si="9"/>
        <v>0.26564981892277917</v>
      </c>
      <c r="U41" s="669">
        <f t="shared" si="10"/>
        <v>0.61242739746748376</v>
      </c>
      <c r="V41" s="669">
        <f t="shared" si="11"/>
        <v>6.9408701897395925E-2</v>
      </c>
      <c r="W41" s="669">
        <f t="shared" si="12"/>
        <v>1.4071614374999999</v>
      </c>
      <c r="X41" s="279">
        <f t="shared" si="15"/>
        <v>37.726704128051949</v>
      </c>
      <c r="Y41" s="279">
        <f>X41*'Fac Conv'!$C$171</f>
        <v>1056.3477155854546</v>
      </c>
      <c r="Z41" s="239">
        <v>2013</v>
      </c>
    </row>
    <row r="42" spans="2:28" ht="14.25" customHeight="1">
      <c r="B42" s="239">
        <v>2014</v>
      </c>
      <c r="C42" s="693">
        <f>'IP 5D2 2021'!AZ49+'IP 5D2 2021'!AZ52</f>
        <v>3434.4879999999998</v>
      </c>
      <c r="D42" s="354">
        <f>'Fac Conv'!$H$10</f>
        <v>24</v>
      </c>
      <c r="E42" s="354">
        <f>'Fac Conv'!$K$10</f>
        <v>11</v>
      </c>
      <c r="F42" s="354">
        <f t="shared" si="17"/>
        <v>906704.83199999994</v>
      </c>
      <c r="G42" s="698">
        <f>'IP 5D2 FETipos de tratamiento'!S59</f>
        <v>8.0605712139469529E-2</v>
      </c>
      <c r="H42" s="354">
        <f t="shared" si="14"/>
        <v>7.3085588683658081E-2</v>
      </c>
      <c r="I42" s="273"/>
      <c r="J42" s="239">
        <v>2014</v>
      </c>
      <c r="K42" s="669">
        <f t="shared" si="0"/>
        <v>7.3085588683658081E-2</v>
      </c>
      <c r="L42" s="669">
        <f t="shared" si="18"/>
        <v>1.9497257638212371</v>
      </c>
      <c r="M42" s="669">
        <f t="shared" si="2"/>
        <v>7.0365218274975003</v>
      </c>
      <c r="N42" s="669">
        <f t="shared" si="3"/>
        <v>2.918547669128265</v>
      </c>
      <c r="O42" s="669">
        <f t="shared" si="4"/>
        <v>7.3098918374999988E-2</v>
      </c>
      <c r="P42" s="669">
        <f t="shared" si="5"/>
        <v>1.2082155712199998</v>
      </c>
      <c r="Q42" s="669">
        <f t="shared" si="6"/>
        <v>3.4146932059382378</v>
      </c>
      <c r="R42" s="669">
        <f t="shared" si="7"/>
        <v>3.2813462930685183E-2</v>
      </c>
      <c r="S42" s="669">
        <f t="shared" si="8"/>
        <v>19.11339585</v>
      </c>
      <c r="T42" s="669">
        <f t="shared" si="9"/>
        <v>0.25879050276462834</v>
      </c>
      <c r="U42" s="669">
        <f t="shared" si="10"/>
        <v>0.56712437351730827</v>
      </c>
      <c r="V42" s="669">
        <f t="shared" si="11"/>
        <v>6.3096095779330327E-2</v>
      </c>
      <c r="W42" s="669">
        <f t="shared" si="12"/>
        <v>0.89545868750000002</v>
      </c>
      <c r="X42" s="279">
        <f t="shared" si="15"/>
        <v>37.604567517155857</v>
      </c>
      <c r="Y42" s="279">
        <f>X42*'Fac Conv'!$C$171</f>
        <v>1052.9278904803641</v>
      </c>
      <c r="Z42" s="239">
        <v>2014</v>
      </c>
    </row>
    <row r="43" spans="2:28" ht="14.25" customHeight="1">
      <c r="B43" s="239">
        <v>2015</v>
      </c>
      <c r="C43" s="693">
        <f>'IP 5D2 2021'!BB49+'IP 5D2 2021'!BB52</f>
        <v>3804.203</v>
      </c>
      <c r="D43" s="354">
        <f>'Fac Conv'!$H$10</f>
        <v>24</v>
      </c>
      <c r="E43" s="354">
        <f>'Fac Conv'!$K$10</f>
        <v>11</v>
      </c>
      <c r="F43" s="354">
        <f t="shared" si="17"/>
        <v>1004309.5920000001</v>
      </c>
      <c r="G43" s="698">
        <f>'IP 5D2 FETipos de tratamiento'!S60</f>
        <v>7.3284438554175282E-2</v>
      </c>
      <c r="H43" s="354">
        <f t="shared" si="14"/>
        <v>7.3600264584292849E-2</v>
      </c>
      <c r="I43" s="273"/>
      <c r="J43" s="239">
        <v>2015</v>
      </c>
      <c r="K43" s="669">
        <f t="shared" si="0"/>
        <v>7.3600264584292849E-2</v>
      </c>
      <c r="L43" s="669">
        <f t="shared" si="18"/>
        <v>1.9509782598117</v>
      </c>
      <c r="M43" s="669">
        <f t="shared" si="2"/>
        <v>7.4911479964424998</v>
      </c>
      <c r="N43" s="669">
        <f t="shared" si="3"/>
        <v>2.7047777270471824</v>
      </c>
      <c r="O43" s="669">
        <f t="shared" si="4"/>
        <v>7.6186611375000005E-2</v>
      </c>
      <c r="P43" s="669">
        <f t="shared" si="5"/>
        <v>1.2719714028525004</v>
      </c>
      <c r="Q43" s="669">
        <f t="shared" si="6"/>
        <v>2.8065794197888265</v>
      </c>
      <c r="R43" s="669">
        <f t="shared" si="7"/>
        <v>2.831701715810336E-2</v>
      </c>
      <c r="S43" s="669">
        <f t="shared" si="8"/>
        <v>20.680308450000002</v>
      </c>
      <c r="T43" s="669">
        <f t="shared" si="9"/>
        <v>0.23837336878843224</v>
      </c>
      <c r="U43" s="669">
        <f t="shared" si="10"/>
        <v>0.63314533356070468</v>
      </c>
      <c r="V43" s="669">
        <f t="shared" si="11"/>
        <v>5.9944406420382484E-2</v>
      </c>
      <c r="W43" s="669">
        <f t="shared" si="12"/>
        <v>1.1100220624999999</v>
      </c>
      <c r="X43" s="279">
        <f t="shared" si="15"/>
        <v>39.125352320329625</v>
      </c>
      <c r="Y43" s="279">
        <f>X43*'Fac Conv'!$C$171</f>
        <v>1095.5098649692295</v>
      </c>
      <c r="Z43" s="239">
        <v>2015</v>
      </c>
      <c r="AA43" s="127"/>
      <c r="AB43" s="127"/>
    </row>
    <row r="44" spans="2:28" ht="14.25" customHeight="1">
      <c r="B44" s="239">
        <v>2016</v>
      </c>
      <c r="C44" s="693">
        <f>'IP 5D2 2021'!BD49+'IP 5D2 2021'!BD52</f>
        <v>4190.8969999999999</v>
      </c>
      <c r="D44" s="354">
        <f>'Fac Conv'!$H$10</f>
        <v>24</v>
      </c>
      <c r="E44" s="354">
        <f>'Fac Conv'!$K$10</f>
        <v>11</v>
      </c>
      <c r="F44" s="354">
        <f t="shared" si="17"/>
        <v>1106396.808</v>
      </c>
      <c r="G44" s="698">
        <f>'IP 5D2 FETipos de tratamiento'!S61</f>
        <v>6.5963164968881036E-2</v>
      </c>
      <c r="H44" s="354">
        <f t="shared" si="14"/>
        <v>7.2981435167147404E-2</v>
      </c>
      <c r="I44" s="273"/>
      <c r="J44" s="239">
        <v>2016</v>
      </c>
      <c r="K44" s="669">
        <f t="shared" si="0"/>
        <v>7.2981435167147404E-2</v>
      </c>
      <c r="L44" s="669">
        <f t="shared" si="18"/>
        <v>1.9568895407152875</v>
      </c>
      <c r="M44" s="669">
        <f t="shared" si="2"/>
        <v>7.8722651572499993</v>
      </c>
      <c r="N44" s="669">
        <f t="shared" si="3"/>
        <v>2.5395530385914613</v>
      </c>
      <c r="O44" s="669">
        <f t="shared" si="4"/>
        <v>7.7846266125000008E-2</v>
      </c>
      <c r="P44" s="669">
        <f t="shared" si="5"/>
        <v>1.223012408625</v>
      </c>
      <c r="Q44" s="669">
        <f t="shared" si="6"/>
        <v>2.6557768634936476</v>
      </c>
      <c r="R44" s="669">
        <f t="shared" si="7"/>
        <v>2.5252655823991728E-2</v>
      </c>
      <c r="S44" s="669">
        <f t="shared" si="8"/>
        <v>21.067808400000001</v>
      </c>
      <c r="T44" s="669">
        <f t="shared" si="9"/>
        <v>0.23193109671209594</v>
      </c>
      <c r="U44" s="669">
        <f t="shared" si="10"/>
        <v>0.528755414715392</v>
      </c>
      <c r="V44" s="669">
        <f t="shared" si="11"/>
        <v>5.2353033036705909E-2</v>
      </c>
      <c r="W44" s="669">
        <f t="shared" si="12"/>
        <v>0.90682149999999995</v>
      </c>
      <c r="X44" s="279">
        <f t="shared" si="15"/>
        <v>39.211246810255723</v>
      </c>
      <c r="Y44" s="279">
        <f>X44*'Fac Conv'!$C$171</f>
        <v>1097.9149106871603</v>
      </c>
      <c r="Z44" s="239">
        <v>2016</v>
      </c>
      <c r="AA44" s="126"/>
      <c r="AB44" s="126"/>
    </row>
    <row r="45" spans="2:28" ht="14.25" customHeight="1">
      <c r="B45" s="239">
        <v>2017</v>
      </c>
      <c r="C45" s="693">
        <f>'IP 5D2 2021'!BF49+'IP 5D2 2021'!BF52</f>
        <v>4218.3990000000003</v>
      </c>
      <c r="D45" s="354">
        <f>'Fac Conv'!$H$10</f>
        <v>24</v>
      </c>
      <c r="E45" s="354">
        <f>'Fac Conv'!$K$10</f>
        <v>11</v>
      </c>
      <c r="F45" s="354">
        <f t="shared" si="17"/>
        <v>1113657.3360000001</v>
      </c>
      <c r="G45" s="698">
        <f>'IP 5D2 FETipos de tratamiento'!S62</f>
        <v>5.8641891383586796E-2</v>
      </c>
      <c r="H45" s="354">
        <f t="shared" si="14"/>
        <v>6.5306972536246635E-2</v>
      </c>
      <c r="I45" s="273"/>
      <c r="J45" s="239">
        <v>2017</v>
      </c>
      <c r="K45" s="669">
        <f t="shared" si="0"/>
        <v>6.5306972536246635E-2</v>
      </c>
      <c r="L45" s="669">
        <f t="shared" si="18"/>
        <v>1.9695421476289121</v>
      </c>
      <c r="M45" s="669">
        <f t="shared" si="2"/>
        <v>8.1219457332974994</v>
      </c>
      <c r="N45" s="669">
        <f t="shared" si="3"/>
        <v>2.1812041851704538</v>
      </c>
      <c r="O45" s="669">
        <f t="shared" si="4"/>
        <v>8.2807444125000004E-2</v>
      </c>
      <c r="P45" s="669">
        <f t="shared" si="5"/>
        <v>1.1581436197800001</v>
      </c>
      <c r="Q45" s="669">
        <f t="shared" si="6"/>
        <v>2.2304840276068125</v>
      </c>
      <c r="R45" s="669">
        <f t="shared" si="7"/>
        <v>2.1898564416497797E-2</v>
      </c>
      <c r="S45" s="669">
        <f t="shared" si="8"/>
        <v>23.978778300000002</v>
      </c>
      <c r="T45" s="669">
        <f t="shared" si="9"/>
        <v>0.23053545519773685</v>
      </c>
      <c r="U45" s="669">
        <f t="shared" si="10"/>
        <v>0.41632010502870909</v>
      </c>
      <c r="V45" s="669">
        <f t="shared" si="11"/>
        <v>4.5445183048849203E-2</v>
      </c>
      <c r="W45" s="669">
        <f t="shared" si="12"/>
        <v>0.97699143749999995</v>
      </c>
      <c r="X45" s="279">
        <f t="shared" si="15"/>
        <v>41.479403175336721</v>
      </c>
      <c r="Y45" s="279">
        <f>X45*'Fac Conv'!$C$171</f>
        <v>1161.4232889094283</v>
      </c>
      <c r="Z45" s="239">
        <v>2017</v>
      </c>
      <c r="AA45" s="126"/>
      <c r="AB45" s="126"/>
    </row>
    <row r="46" spans="2:28" ht="14.25" customHeight="1">
      <c r="B46" s="239">
        <v>2018</v>
      </c>
      <c r="C46" s="693">
        <f>'IP 5D2 2021'!BH49+'IP 5D2 2021'!BH52</f>
        <v>5211.7659999999996</v>
      </c>
      <c r="D46" s="354">
        <f>'Fac Conv'!$H$10</f>
        <v>24</v>
      </c>
      <c r="E46" s="354">
        <f>'Fac Conv'!$K$10</f>
        <v>11</v>
      </c>
      <c r="F46" s="354">
        <f t="shared" si="17"/>
        <v>1375906.2239999999</v>
      </c>
      <c r="G46" s="698">
        <f>'IP 5D2 FETipos de tratamiento'!S63</f>
        <v>5.8641891383586796E-2</v>
      </c>
      <c r="H46" s="354">
        <f t="shared" si="14"/>
        <v>8.0685743341809044E-2</v>
      </c>
      <c r="I46" s="273"/>
      <c r="J46" s="239">
        <v>2018</v>
      </c>
      <c r="K46" s="669">
        <f t="shared" si="0"/>
        <v>8.0685743341809044E-2</v>
      </c>
      <c r="L46" s="669">
        <f t="shared" si="18"/>
        <v>1.9476589800512245</v>
      </c>
      <c r="M46" s="669">
        <f t="shared" si="2"/>
        <v>8.6806352099999984</v>
      </c>
      <c r="N46" s="669">
        <f t="shared" si="3"/>
        <v>1.9898888027976855</v>
      </c>
      <c r="O46" s="669">
        <f t="shared" si="4"/>
        <v>8.4660376125000006E-2</v>
      </c>
      <c r="P46" s="669">
        <f t="shared" si="5"/>
        <v>1.1556809261549998</v>
      </c>
      <c r="Q46" s="669">
        <f t="shared" si="6"/>
        <v>2.4419401200441913</v>
      </c>
      <c r="R46" s="669">
        <f t="shared" si="7"/>
        <v>2.7850266298746526E-2</v>
      </c>
      <c r="S46" s="669">
        <f t="shared" si="8"/>
        <v>25.571533950000003</v>
      </c>
      <c r="T46" s="669">
        <f t="shared" si="9"/>
        <v>0.1919645916282777</v>
      </c>
      <c r="U46" s="669">
        <f t="shared" si="10"/>
        <v>0.4657718444942337</v>
      </c>
      <c r="V46" s="669">
        <f t="shared" si="11"/>
        <v>4.7898292610778687E-2</v>
      </c>
      <c r="W46" s="669">
        <f t="shared" si="12"/>
        <v>1.7158846249999999</v>
      </c>
      <c r="X46" s="279">
        <f t="shared" si="15"/>
        <v>44.402053728546953</v>
      </c>
      <c r="Y46" s="279">
        <f>X46*'Fac Conv'!$C$171</f>
        <v>1243.2575043993147</v>
      </c>
      <c r="Z46" s="239">
        <v>2018</v>
      </c>
      <c r="AA46" s="126"/>
      <c r="AB46" s="126"/>
    </row>
    <row r="47" spans="2:28" ht="14.25" customHeight="1">
      <c r="B47" s="239">
        <v>2019</v>
      </c>
      <c r="C47" s="693">
        <f>'IP 5D2 2021'!BJ49+'IP 5D2 2021'!BJ52</f>
        <v>4964.5159999999996</v>
      </c>
      <c r="D47" s="354">
        <f>'Fac Conv'!$H$10</f>
        <v>24</v>
      </c>
      <c r="E47" s="354">
        <f>'Fac Conv'!$K$10</f>
        <v>11</v>
      </c>
      <c r="F47" s="354">
        <f t="shared" si="17"/>
        <v>1310632.2239999999</v>
      </c>
      <c r="G47" s="698">
        <f>'IP 5D2 FETipos de tratamiento'!S64</f>
        <v>4.7907468206626412E-2</v>
      </c>
      <c r="H47" s="354">
        <f t="shared" si="14"/>
        <v>6.2789071601860064E-2</v>
      </c>
      <c r="I47" s="273"/>
      <c r="J47" s="239">
        <v>2019</v>
      </c>
      <c r="K47" s="669">
        <f t="shared" si="0"/>
        <v>6.2789071601860064E-2</v>
      </c>
      <c r="L47" s="669">
        <f t="shared" si="18"/>
        <v>1.9618708472629869</v>
      </c>
      <c r="M47" s="669">
        <f t="shared" si="2"/>
        <v>8.9824007285999983</v>
      </c>
      <c r="N47" s="669">
        <f t="shared" si="3"/>
        <v>1.6701303468813065</v>
      </c>
      <c r="O47" s="669">
        <f t="shared" si="4"/>
        <v>8.7496492499999995E-2</v>
      </c>
      <c r="P47" s="669">
        <f t="shared" si="5"/>
        <v>1.1812635324</v>
      </c>
      <c r="Q47" s="669">
        <f t="shared" si="6"/>
        <v>2.0216266314771119</v>
      </c>
      <c r="R47" s="669">
        <f t="shared" si="7"/>
        <v>2.4884097076528538E-2</v>
      </c>
      <c r="S47" s="669">
        <f t="shared" si="8"/>
        <v>21.428481150000003</v>
      </c>
      <c r="T47" s="669">
        <f t="shared" si="9"/>
        <v>0.14307560052967305</v>
      </c>
      <c r="U47" s="669">
        <f t="shared" si="10"/>
        <v>0.55422781780231734</v>
      </c>
      <c r="V47" s="669">
        <f t="shared" si="11"/>
        <v>4.0091057820775766E-2</v>
      </c>
      <c r="W47" s="669">
        <f t="shared" si="12"/>
        <v>1.2278118124999999</v>
      </c>
      <c r="X47" s="279">
        <f t="shared" si="15"/>
        <v>39.386149186452556</v>
      </c>
      <c r="Y47" s="279">
        <f>X47*'Fac Conv'!$C$171</f>
        <v>1102.8121772206716</v>
      </c>
      <c r="Z47" s="239">
        <v>2019</v>
      </c>
      <c r="AA47" s="126"/>
      <c r="AB47" s="126"/>
    </row>
    <row r="48" spans="2:28" ht="14.25" customHeight="1">
      <c r="B48" s="239">
        <v>2020</v>
      </c>
      <c r="C48" s="693">
        <f>'IP 5D2 2021'!BL49+'IP 5D2 2021'!BL52</f>
        <v>4253.9560000000001</v>
      </c>
      <c r="D48" s="354">
        <f>'Fac Conv'!$H$10</f>
        <v>24</v>
      </c>
      <c r="E48" s="354">
        <f>'Fac Conv'!$K$10</f>
        <v>11</v>
      </c>
      <c r="F48" s="354">
        <f t="shared" si="17"/>
        <v>1123044.3840000001</v>
      </c>
      <c r="G48" s="698">
        <f>'IP 5D2 FETipos de tratamiento'!S65</f>
        <v>4.7907468206626419E-2</v>
      </c>
      <c r="H48" s="354">
        <f t="shared" si="14"/>
        <v>5.3802213121110352E-2</v>
      </c>
      <c r="I48" s="273"/>
      <c r="J48" s="239">
        <v>2020</v>
      </c>
      <c r="K48" s="669">
        <f t="shared" si="0"/>
        <v>5.3802213121110352E-2</v>
      </c>
      <c r="L48" s="669">
        <f t="shared" si="18"/>
        <v>1.4361308940415496</v>
      </c>
      <c r="M48" s="669">
        <f t="shared" si="2"/>
        <v>8.7615769897499973</v>
      </c>
      <c r="N48" s="669">
        <f t="shared" si="3"/>
        <v>1.6932299818506857</v>
      </c>
      <c r="O48" s="669">
        <f t="shared" si="4"/>
        <v>8.0466378374999981E-2</v>
      </c>
      <c r="P48" s="669">
        <f t="shared" si="5"/>
        <v>1.1803509388125004</v>
      </c>
      <c r="Q48" s="669">
        <f t="shared" si="6"/>
        <v>2.0191763752712033</v>
      </c>
      <c r="R48" s="669">
        <f t="shared" si="7"/>
        <v>2.8281799757812566E-2</v>
      </c>
      <c r="S48" s="669">
        <f t="shared" si="8"/>
        <v>19.7954118</v>
      </c>
      <c r="T48" s="669">
        <f t="shared" si="9"/>
        <v>9.261036090836805E-2</v>
      </c>
      <c r="U48" s="669">
        <f t="shared" si="10"/>
        <v>0.44636709600827756</v>
      </c>
      <c r="V48" s="669">
        <f t="shared" si="11"/>
        <v>4.239478497022596E-2</v>
      </c>
      <c r="W48" s="669">
        <f t="shared" si="12"/>
        <v>1.4605760000000001</v>
      </c>
      <c r="X48" s="279">
        <f t="shared" si="15"/>
        <v>37.090375612866737</v>
      </c>
      <c r="Y48" s="279">
        <f>X48*'Fac Conv'!$C$171</f>
        <v>1038.5305171602686</v>
      </c>
      <c r="Z48" s="239">
        <v>2020</v>
      </c>
      <c r="AA48" s="126"/>
      <c r="AB48" s="126"/>
    </row>
    <row r="49" spans="2:28" ht="14.25" customHeight="1">
      <c r="B49" s="239">
        <v>2021</v>
      </c>
      <c r="C49" s="693">
        <f>'IP 5D2 2021'!BN49+'IP 5D2 2021'!BN52</f>
        <v>6349.5649999999996</v>
      </c>
      <c r="D49" s="354">
        <f>'Fac Conv'!$H$10</f>
        <v>24</v>
      </c>
      <c r="E49" s="354">
        <f>'Fac Conv'!$K$10</f>
        <v>11</v>
      </c>
      <c r="F49" s="354">
        <f t="shared" si="17"/>
        <v>1676285.16</v>
      </c>
      <c r="G49" s="698">
        <f>'IP 5D2 FETipos de tratamiento'!S66</f>
        <v>4.7907468206626419E-2</v>
      </c>
      <c r="H49" s="354">
        <f t="shared" si="14"/>
        <v>8.030657800793968E-2</v>
      </c>
      <c r="I49" s="273"/>
      <c r="J49" s="239">
        <v>2021</v>
      </c>
      <c r="K49" s="669">
        <f t="shared" si="0"/>
        <v>8.030657800793968E-2</v>
      </c>
      <c r="L49" s="669">
        <f t="shared" si="18"/>
        <v>1.8353948355516372</v>
      </c>
      <c r="M49" s="669">
        <f t="shared" si="2"/>
        <v>8.9139613379699991</v>
      </c>
      <c r="N49" s="669">
        <f t="shared" si="3"/>
        <v>1.7148533098613024</v>
      </c>
      <c r="O49" s="669">
        <f t="shared" si="4"/>
        <v>8.5107601500000005E-2</v>
      </c>
      <c r="P49" s="669">
        <f t="shared" si="5"/>
        <v>1.1747048364450001</v>
      </c>
      <c r="Q49" s="669">
        <f t="shared" si="6"/>
        <v>1.8526129162415905</v>
      </c>
      <c r="R49" s="669">
        <f t="shared" si="7"/>
        <v>3.5973010953491424E-2</v>
      </c>
      <c r="S49" s="669">
        <f t="shared" si="8"/>
        <v>19.602773550000002</v>
      </c>
      <c r="T49" s="669">
        <f t="shared" si="9"/>
        <v>0.12000414369116578</v>
      </c>
      <c r="U49" s="669">
        <f t="shared" si="10"/>
        <v>0.40697788133106144</v>
      </c>
      <c r="V49" s="669">
        <f t="shared" si="11"/>
        <v>3.9213009985417428E-2</v>
      </c>
      <c r="W49" s="669">
        <f t="shared" si="12"/>
        <v>1.6490061250000001</v>
      </c>
      <c r="X49" s="279">
        <f t="shared" si="15"/>
        <v>37.510889136538609</v>
      </c>
      <c r="Y49" s="279">
        <f>X49*'Fac Conv'!$C$171</f>
        <v>1050.3048958230811</v>
      </c>
      <c r="Z49" s="239">
        <v>2021</v>
      </c>
      <c r="AA49" s="126"/>
      <c r="AB49" s="126"/>
    </row>
    <row r="50" spans="2:28" ht="14.25" customHeight="1">
      <c r="B50" s="239">
        <v>2022</v>
      </c>
      <c r="C50" s="693">
        <f>'IP 5D2 2021'!BP49+'IP 5D2 2021'!BP52</f>
        <v>7546.4369999999999</v>
      </c>
      <c r="D50" s="354">
        <f>'Fac Conv'!$H$10</f>
        <v>24</v>
      </c>
      <c r="E50" s="354">
        <f>'Fac Conv'!$K$10</f>
        <v>11</v>
      </c>
      <c r="F50" s="354">
        <f t="shared" si="17"/>
        <v>1992259.3680000002</v>
      </c>
      <c r="G50" s="698">
        <f>'IP 5D2 FETipos de tratamiento'!S67</f>
        <v>4.7907468206626426E-2</v>
      </c>
      <c r="H50" s="354">
        <f t="shared" ref="H50" si="19">(F50*G50)/1000000</f>
        <v>9.5444102331813677E-2</v>
      </c>
      <c r="I50" s="273"/>
      <c r="J50" s="239">
        <v>2022</v>
      </c>
      <c r="K50" s="669">
        <f t="shared" ref="K50" si="20">H50</f>
        <v>9.5444102331813677E-2</v>
      </c>
      <c r="L50" s="669">
        <f t="shared" si="18"/>
        <v>2.0893155547453874</v>
      </c>
      <c r="M50" s="669">
        <f t="shared" ref="M50" si="21">H120</f>
        <v>9.1142890948199984</v>
      </c>
      <c r="N50" s="669">
        <f t="shared" ref="N50" si="22">H155</f>
        <v>1.7336607949853791</v>
      </c>
      <c r="O50" s="669">
        <f t="shared" ref="O50" si="23">H190</f>
        <v>8.1159646874999991E-2</v>
      </c>
      <c r="P50" s="669">
        <f t="shared" ref="P50" si="24">H225</f>
        <v>1.0403960565600001</v>
      </c>
      <c r="Q50" s="669">
        <f t="shared" ref="Q50" si="25">H260</f>
        <v>1.87489625106945</v>
      </c>
      <c r="R50" s="669">
        <f>H295</f>
        <v>3.8438103429587187E-2</v>
      </c>
      <c r="S50" s="669">
        <f t="shared" ref="S50" si="26">H330</f>
        <v>17.641544850000002</v>
      </c>
      <c r="T50" s="669">
        <f t="shared" ref="T50" si="27">H365</f>
        <v>0.1043290406706036</v>
      </c>
      <c r="U50" s="669">
        <f t="shared" ref="U50" si="28">H400</f>
        <v>0.32243769041481601</v>
      </c>
      <c r="V50" s="669">
        <f t="shared" ref="V50" si="29">H435</f>
        <v>4.1841458325928615E-2</v>
      </c>
      <c r="W50" s="669">
        <f t="shared" ref="W50" si="30">H470</f>
        <v>1.3329151875</v>
      </c>
      <c r="X50" s="279">
        <f t="shared" ref="X50" si="31">SUM(K50:W50)</f>
        <v>35.510667831727972</v>
      </c>
      <c r="Y50" s="279">
        <f>X50*'Fac Conv'!$C$171</f>
        <v>994.2986992883832</v>
      </c>
      <c r="Z50" s="239">
        <v>2022</v>
      </c>
      <c r="AA50" s="126"/>
      <c r="AB50" s="126"/>
    </row>
    <row r="51" spans="2:28" ht="14.25" customHeight="1">
      <c r="B51" s="32"/>
      <c r="C51" s="365"/>
      <c r="D51" s="366"/>
      <c r="E51" s="366"/>
      <c r="F51" s="366"/>
      <c r="G51" s="367"/>
      <c r="H51" s="366"/>
      <c r="I51" s="273"/>
    </row>
    <row r="52" spans="2:28" ht="14.25" customHeight="1">
      <c r="B52" s="282" t="s">
        <v>312</v>
      </c>
      <c r="C52" s="355"/>
      <c r="D52" s="355"/>
      <c r="E52" s="355"/>
      <c r="F52" s="355"/>
      <c r="G52" s="355"/>
      <c r="H52" s="357"/>
      <c r="I52" s="273"/>
      <c r="K52" s="127">
        <f t="shared" ref="K52:W52" si="32">K49/$X$49</f>
        <v>2.1408870825649039E-3</v>
      </c>
      <c r="L52" s="127">
        <f t="shared" si="32"/>
        <v>4.8929654236423197E-2</v>
      </c>
      <c r="M52" s="127">
        <f t="shared" si="32"/>
        <v>0.237636631473155</v>
      </c>
      <c r="N52" s="127">
        <f t="shared" si="32"/>
        <v>4.5716146679948944E-2</v>
      </c>
      <c r="O52" s="127">
        <f t="shared" si="32"/>
        <v>2.2688772103004722E-3</v>
      </c>
      <c r="P52" s="127">
        <f t="shared" si="32"/>
        <v>3.1316368752793533E-2</v>
      </c>
      <c r="Q52" s="127">
        <f t="shared" si="32"/>
        <v>4.9388669767280916E-2</v>
      </c>
      <c r="R52" s="127">
        <f t="shared" si="32"/>
        <v>9.5900182004619112E-4</v>
      </c>
      <c r="S52" s="127">
        <f t="shared" si="32"/>
        <v>0.52258888022212546</v>
      </c>
      <c r="T52" s="127">
        <f t="shared" si="32"/>
        <v>3.1991815297780328E-3</v>
      </c>
      <c r="U52" s="127">
        <f t="shared" si="32"/>
        <v>1.0849593030164471E-2</v>
      </c>
      <c r="V52" s="127">
        <f t="shared" si="32"/>
        <v>1.0453767129508221E-3</v>
      </c>
      <c r="W52" s="127">
        <f t="shared" si="32"/>
        <v>4.3960731482468013E-2</v>
      </c>
    </row>
    <row r="53" spans="2:28" s="32" customFormat="1" ht="14.25" customHeight="1">
      <c r="B53" s="239">
        <v>1990</v>
      </c>
      <c r="C53" s="354">
        <f>'IP 5D2 2021'!E51+'IP 5D2 2021'!E53</f>
        <v>0</v>
      </c>
      <c r="D53" s="283">
        <f>'Fac Conv'!$H$11</f>
        <v>6.3</v>
      </c>
      <c r="E53" s="283">
        <f>'Fac Conv'!$K$11</f>
        <v>2.9</v>
      </c>
      <c r="F53" s="283">
        <f t="shared" ref="F53:F57" si="33">C53*D53*E53</f>
        <v>0</v>
      </c>
      <c r="G53" s="694">
        <f>'IP 5D2 FETipos de tratamiento'!$J$11</f>
        <v>7.4999999999999997E-2</v>
      </c>
      <c r="H53" s="283">
        <f t="shared" ref="H53:H84" si="34">(F53*G53)/1000000</f>
        <v>0</v>
      </c>
      <c r="I53" s="273"/>
    </row>
    <row r="54" spans="2:28" s="32" customFormat="1" ht="14.25" customHeight="1">
      <c r="B54" s="239">
        <v>1991</v>
      </c>
      <c r="C54" s="354">
        <f>'IP 5D2 2021'!F51+'IP 5D2 2021'!F53</f>
        <v>0</v>
      </c>
      <c r="D54" s="283">
        <f>'Fac Conv'!$H$11</f>
        <v>6.3</v>
      </c>
      <c r="E54" s="283">
        <f>'Fac Conv'!$K$11</f>
        <v>2.9</v>
      </c>
      <c r="F54" s="283">
        <f t="shared" si="33"/>
        <v>0</v>
      </c>
      <c r="G54" s="694">
        <f>'IP 5D2 FETipos de tratamiento'!$J$11</f>
        <v>7.4999999999999997E-2</v>
      </c>
      <c r="H54" s="283">
        <f t="shared" si="34"/>
        <v>0</v>
      </c>
      <c r="I54" s="273"/>
    </row>
    <row r="55" spans="2:28" s="32" customFormat="1" ht="14.25" customHeight="1">
      <c r="B55" s="239">
        <v>1992</v>
      </c>
      <c r="C55" s="354">
        <f>'IP 5D2 2021'!H51+'IP 5D2 2021'!H53</f>
        <v>0</v>
      </c>
      <c r="D55" s="283">
        <f>'Fac Conv'!$H$11</f>
        <v>6.3</v>
      </c>
      <c r="E55" s="283">
        <f>'Fac Conv'!$K$11</f>
        <v>2.9</v>
      </c>
      <c r="F55" s="283">
        <f t="shared" si="33"/>
        <v>0</v>
      </c>
      <c r="G55" s="694">
        <f>'IP 5D2 FETipos de tratamiento'!$J$11</f>
        <v>7.4999999999999997E-2</v>
      </c>
      <c r="H55" s="283">
        <f t="shared" si="34"/>
        <v>0</v>
      </c>
      <c r="I55" s="273"/>
    </row>
    <row r="56" spans="2:28" s="32" customFormat="1" ht="14.25" customHeight="1">
      <c r="B56" s="239">
        <v>1993</v>
      </c>
      <c r="C56" s="354">
        <f>'IP 5D2 2021'!J51+'IP 5D2 2021'!J53</f>
        <v>0</v>
      </c>
      <c r="D56" s="283">
        <f>'Fac Conv'!$H$11</f>
        <v>6.3</v>
      </c>
      <c r="E56" s="283">
        <f>'Fac Conv'!$K$11</f>
        <v>2.9</v>
      </c>
      <c r="F56" s="283">
        <f t="shared" si="33"/>
        <v>0</v>
      </c>
      <c r="G56" s="694">
        <f>'IP 5D2 FETipos de tratamiento'!$J$11</f>
        <v>7.4999999999999997E-2</v>
      </c>
      <c r="H56" s="283">
        <f t="shared" si="34"/>
        <v>0</v>
      </c>
      <c r="I56" s="273"/>
    </row>
    <row r="57" spans="2:28" s="32" customFormat="1" ht="14.25" customHeight="1">
      <c r="B57" s="239">
        <v>1994</v>
      </c>
      <c r="C57" s="354">
        <f>'IP 5D2 2021'!L51+'IP 5D2 2021'!L53</f>
        <v>0</v>
      </c>
      <c r="D57" s="283">
        <f>'Fac Conv'!$H$11</f>
        <v>6.3</v>
      </c>
      <c r="E57" s="283">
        <f>'Fac Conv'!$K$11</f>
        <v>2.9</v>
      </c>
      <c r="F57" s="283">
        <f t="shared" si="33"/>
        <v>0</v>
      </c>
      <c r="G57" s="694">
        <f>'IP 5D2 FETipos de tratamiento'!$J$11</f>
        <v>7.4999999999999997E-2</v>
      </c>
      <c r="H57" s="283">
        <f t="shared" si="34"/>
        <v>0</v>
      </c>
      <c r="I57" s="273"/>
    </row>
    <row r="58" spans="2:28" s="32" customFormat="1" ht="14.25" customHeight="1">
      <c r="B58" s="239">
        <v>1995</v>
      </c>
      <c r="C58" s="354">
        <f>'IP 5D2 2021'!N51+'IP 5D2 2021'!N53</f>
        <v>820812.09944999998</v>
      </c>
      <c r="D58" s="283">
        <f>'Fac Conv'!$H$11</f>
        <v>6.3</v>
      </c>
      <c r="E58" s="283">
        <f>'Fac Conv'!$K$11</f>
        <v>2.9</v>
      </c>
      <c r="F58" s="283">
        <f t="shared" ref="F58:F62" si="35">C58*D58*E58</f>
        <v>14996237.056951499</v>
      </c>
      <c r="G58" s="694">
        <f>'IP 5D2 FETipos de tratamiento'!$J$11</f>
        <v>7.4999999999999997E-2</v>
      </c>
      <c r="H58" s="283">
        <f t="shared" si="34"/>
        <v>1.1247177792713623</v>
      </c>
      <c r="I58" s="273"/>
      <c r="J58" s="822" t="s">
        <v>601</v>
      </c>
      <c r="K58" s="823"/>
      <c r="L58" s="823"/>
      <c r="M58" s="823"/>
    </row>
    <row r="59" spans="2:28" s="32" customFormat="1" ht="29.25" customHeight="1">
      <c r="B59" s="239">
        <v>1996</v>
      </c>
      <c r="C59" s="354">
        <f>'IP 5D2 2021'!P51+'IP 5D2 2021'!P53</f>
        <v>780618.54255000001</v>
      </c>
      <c r="D59" s="283">
        <f>'Fac Conv'!$H$11</f>
        <v>6.3</v>
      </c>
      <c r="E59" s="283">
        <f>'Fac Conv'!$K$11</f>
        <v>2.9</v>
      </c>
      <c r="F59" s="283">
        <f t="shared" si="35"/>
        <v>14261900.772388499</v>
      </c>
      <c r="G59" s="694">
        <f>'IP 5D2 FETipos de tratamiento'!$J$11</f>
        <v>7.4999999999999997E-2</v>
      </c>
      <c r="H59" s="283">
        <f t="shared" si="34"/>
        <v>1.0696425579291375</v>
      </c>
      <c r="I59" s="273"/>
      <c r="J59" s="831" t="s">
        <v>536</v>
      </c>
      <c r="K59" s="832"/>
      <c r="L59" s="117" t="s">
        <v>533</v>
      </c>
      <c r="M59" s="117" t="s">
        <v>537</v>
      </c>
    </row>
    <row r="60" spans="2:28" s="32" customFormat="1" ht="14.25" customHeight="1">
      <c r="B60" s="239">
        <v>1997</v>
      </c>
      <c r="C60" s="354">
        <f>'IP 5D2 2021'!R51+'IP 5D2 2021'!R53</f>
        <v>780209.49194999994</v>
      </c>
      <c r="D60" s="283">
        <f>'Fac Conv'!$H$11</f>
        <v>6.3</v>
      </c>
      <c r="E60" s="283">
        <f>'Fac Conv'!$K$11</f>
        <v>2.9</v>
      </c>
      <c r="F60" s="283">
        <f t="shared" si="35"/>
        <v>14254427.417926498</v>
      </c>
      <c r="G60" s="694">
        <f>'IP 5D2 FETipos de tratamiento'!$J$11</f>
        <v>7.4999999999999997E-2</v>
      </c>
      <c r="H60" s="283">
        <f t="shared" si="34"/>
        <v>1.0690820563444872</v>
      </c>
      <c r="I60" s="273"/>
      <c r="J60" s="833" t="str">
        <f>K14</f>
        <v>Refinado de alcohol</v>
      </c>
      <c r="K60" s="833"/>
      <c r="L60" s="135">
        <f>K49</f>
        <v>8.030657800793968E-2</v>
      </c>
      <c r="M60" s="137">
        <f t="shared" ref="M60:M73" si="36">L60/$L$73</f>
        <v>2.1408870825649039E-3</v>
      </c>
    </row>
    <row r="61" spans="2:28" s="32" customFormat="1" ht="14.25" customHeight="1">
      <c r="B61" s="239">
        <v>1998</v>
      </c>
      <c r="C61" s="354">
        <f>'IP 5D2 2021'!T51+'IP 5D2 2021'!T53</f>
        <v>688511.9219999999</v>
      </c>
      <c r="D61" s="283">
        <f>'Fac Conv'!$H$11</f>
        <v>6.3</v>
      </c>
      <c r="E61" s="283">
        <f>'Fac Conv'!$K$11</f>
        <v>2.9</v>
      </c>
      <c r="F61" s="283">
        <f t="shared" si="35"/>
        <v>12579112.814939996</v>
      </c>
      <c r="G61" s="694">
        <f>'IP 5D2 FETipos de tratamiento'!$J$11</f>
        <v>7.4999999999999997E-2</v>
      </c>
      <c r="H61" s="283">
        <f t="shared" si="34"/>
        <v>0.94343346112049964</v>
      </c>
      <c r="I61" s="273"/>
      <c r="J61" s="833" t="str">
        <f>L14</f>
        <v>Malta y cerveza</v>
      </c>
      <c r="K61" s="833"/>
      <c r="L61" s="135">
        <f>L49</f>
        <v>1.8353948355516372</v>
      </c>
      <c r="M61" s="137">
        <f t="shared" si="36"/>
        <v>4.8929654236423197E-2</v>
      </c>
    </row>
    <row r="62" spans="2:28" s="32" customFormat="1" ht="14.25" customHeight="1">
      <c r="B62" s="239">
        <v>1999</v>
      </c>
      <c r="C62" s="354">
        <f>'IP 5D2 2021'!V51+'IP 5D2 2021'!V53</f>
        <v>647635.92284999997</v>
      </c>
      <c r="D62" s="283">
        <f>'Fac Conv'!$H$11</f>
        <v>6.3</v>
      </c>
      <c r="E62" s="283">
        <f>'Fac Conv'!$K$11</f>
        <v>2.9</v>
      </c>
      <c r="F62" s="283">
        <f t="shared" si="35"/>
        <v>11832308.310469499</v>
      </c>
      <c r="G62" s="694">
        <f>'IP 5D2 FETipos de tratamiento'!$J$11</f>
        <v>7.4999999999999997E-2</v>
      </c>
      <c r="H62" s="283">
        <f t="shared" si="34"/>
        <v>0.88742312328521245</v>
      </c>
      <c r="I62" s="281"/>
      <c r="J62" s="833" t="str">
        <f>M14</f>
        <v>Carnes y Aves</v>
      </c>
      <c r="K62" s="833"/>
      <c r="L62" s="135">
        <f>M49</f>
        <v>8.9139613379699991</v>
      </c>
      <c r="M62" s="137">
        <f t="shared" si="36"/>
        <v>0.237636631473155</v>
      </c>
    </row>
    <row r="63" spans="2:28" ht="14.25" customHeight="1">
      <c r="B63" s="239">
        <v>2000</v>
      </c>
      <c r="C63" s="354">
        <f>'IP 5D2 2021'!X51+'IP 5D2 2021'!X53</f>
        <v>599078.90910000005</v>
      </c>
      <c r="D63" s="283">
        <f>'Fac Conv'!$H$11</f>
        <v>6.3</v>
      </c>
      <c r="E63" s="283">
        <f>'Fac Conv'!$K$11</f>
        <v>2.9</v>
      </c>
      <c r="F63" s="283">
        <f>C63*D63*E63</f>
        <v>10945171.669257</v>
      </c>
      <c r="G63" s="694">
        <f>'IP 5D2 FETipos de tratamiento'!$J$11</f>
        <v>7.4999999999999997E-2</v>
      </c>
      <c r="H63" s="283">
        <f t="shared" si="34"/>
        <v>0.82088787519427497</v>
      </c>
      <c r="I63" s="273"/>
      <c r="J63" s="833" t="str">
        <f>N14</f>
        <v>Hortalizas, frutas y jugos</v>
      </c>
      <c r="K63" s="833"/>
      <c r="L63" s="135">
        <f>N49</f>
        <v>1.7148533098613024</v>
      </c>
      <c r="M63" s="137">
        <f t="shared" si="36"/>
        <v>4.5716146679948944E-2</v>
      </c>
    </row>
    <row r="64" spans="2:28" ht="14.25" customHeight="1">
      <c r="B64" s="239">
        <v>2001</v>
      </c>
      <c r="C64" s="354">
        <f>'IP 5D2 2021'!Z51+'IP 5D2 2021'!Z$53</f>
        <v>556098.78659999999</v>
      </c>
      <c r="D64" s="283">
        <f>'Fac Conv'!$H$11</f>
        <v>6.3</v>
      </c>
      <c r="E64" s="283">
        <f>'Fac Conv'!$K$11</f>
        <v>2.9</v>
      </c>
      <c r="F64" s="283">
        <f t="shared" ref="F64:F85" si="37">C64*D64*E64</f>
        <v>10159924.831181999</v>
      </c>
      <c r="G64" s="694">
        <f>'IP 5D2 FETipos de tratamiento'!$J$11</f>
        <v>7.4999999999999997E-2</v>
      </c>
      <c r="H64" s="283">
        <f t="shared" si="34"/>
        <v>0.76199436233864992</v>
      </c>
      <c r="I64" s="273"/>
      <c r="J64" s="833" t="str">
        <f>O14</f>
        <v>Aceites vegetales</v>
      </c>
      <c r="K64" s="833"/>
      <c r="L64" s="135">
        <f>O49</f>
        <v>8.5107601500000005E-2</v>
      </c>
      <c r="M64" s="137">
        <f t="shared" si="36"/>
        <v>2.2688772103004722E-3</v>
      </c>
    </row>
    <row r="65" spans="2:13" ht="14.25" customHeight="1">
      <c r="B65" s="239">
        <v>2002</v>
      </c>
      <c r="C65" s="354">
        <f>'IP 5D2 2021'!AB51+'IP 5D2 2021'!AB53</f>
        <v>647131.77584999998</v>
      </c>
      <c r="D65" s="283">
        <f>'Fac Conv'!$H$11</f>
        <v>6.3</v>
      </c>
      <c r="E65" s="283">
        <f>'Fac Conv'!$K$11</f>
        <v>2.9</v>
      </c>
      <c r="F65" s="283">
        <f t="shared" si="37"/>
        <v>11823097.544779498</v>
      </c>
      <c r="G65" s="694">
        <f>'IP 5D2 FETipos de tratamiento'!$J$11</f>
        <v>7.4999999999999997E-2</v>
      </c>
      <c r="H65" s="283">
        <f t="shared" si="34"/>
        <v>0.88673231585846235</v>
      </c>
      <c r="I65" s="273"/>
      <c r="J65" s="833" t="str">
        <f>P14</f>
        <v>Productos lácteos</v>
      </c>
      <c r="K65" s="833"/>
      <c r="L65" s="135">
        <f>P49</f>
        <v>1.1747048364450001</v>
      </c>
      <c r="M65" s="137">
        <f t="shared" si="36"/>
        <v>3.1316368752793533E-2</v>
      </c>
    </row>
    <row r="66" spans="2:13" ht="14.25" customHeight="1">
      <c r="B66" s="239">
        <v>2003</v>
      </c>
      <c r="C66" s="354">
        <f>'IP 5D2 2021'!AD51+'IP 5D2 2021'!AD53</f>
        <v>664349.80500000005</v>
      </c>
      <c r="D66" s="283">
        <f>'Fac Conv'!$H$11</f>
        <v>6.3</v>
      </c>
      <c r="E66" s="283">
        <f>'Fac Conv'!$K$11</f>
        <v>2.9</v>
      </c>
      <c r="F66" s="283">
        <f t="shared" si="37"/>
        <v>12137670.937350001</v>
      </c>
      <c r="G66" s="694">
        <f>'IP 5D2 FETipos de tratamiento'!$J$11</f>
        <v>7.4999999999999997E-2</v>
      </c>
      <c r="H66" s="283">
        <f t="shared" si="34"/>
        <v>0.91032532030125013</v>
      </c>
      <c r="I66" s="273"/>
      <c r="J66" s="833" t="str">
        <f>Q14</f>
        <v>Refinación de azúcar</v>
      </c>
      <c r="K66" s="833"/>
      <c r="L66" s="135">
        <f>Q49</f>
        <v>1.8526129162415905</v>
      </c>
      <c r="M66" s="137">
        <f t="shared" si="36"/>
        <v>4.9388669767280916E-2</v>
      </c>
    </row>
    <row r="67" spans="2:13" ht="14.25" customHeight="1">
      <c r="B67" s="239">
        <v>2004</v>
      </c>
      <c r="C67" s="354">
        <f>'IP 5D2 2021'!AF51+'IP 5D2 2021'!AF53</f>
        <v>696797.745</v>
      </c>
      <c r="D67" s="283">
        <f>'Fac Conv'!$H$11</f>
        <v>6.3</v>
      </c>
      <c r="E67" s="283">
        <f>'Fac Conv'!$K$11</f>
        <v>2.9</v>
      </c>
      <c r="F67" s="283">
        <f t="shared" si="37"/>
        <v>12730494.801149998</v>
      </c>
      <c r="G67" s="694">
        <f>'IP 5D2 FETipos de tratamiento'!$J$11</f>
        <v>7.4999999999999997E-2</v>
      </c>
      <c r="H67" s="283">
        <f t="shared" si="34"/>
        <v>0.95478711008624972</v>
      </c>
      <c r="I67" s="273"/>
      <c r="J67" s="833" t="str">
        <f>R14</f>
        <v>Vinos y vinagres</v>
      </c>
      <c r="K67" s="833"/>
      <c r="L67" s="135">
        <f>R49</f>
        <v>3.5973010953491424E-2</v>
      </c>
      <c r="M67" s="137">
        <f t="shared" si="36"/>
        <v>9.5900182004619112E-4</v>
      </c>
    </row>
    <row r="68" spans="2:13" ht="16.5" customHeight="1">
      <c r="B68" s="239">
        <v>2005</v>
      </c>
      <c r="C68" s="354">
        <f>'IP 5D2 2021'!AH51+'IP 5D2 2021'!AH53</f>
        <v>820166.23499999999</v>
      </c>
      <c r="D68" s="283">
        <f>'Fac Conv'!$H$11</f>
        <v>6.3</v>
      </c>
      <c r="E68" s="283">
        <f>'Fac Conv'!$K$11</f>
        <v>2.9</v>
      </c>
      <c r="F68" s="283">
        <f t="shared" si="37"/>
        <v>14984437.113449998</v>
      </c>
      <c r="G68" s="694">
        <f>'IP 5D2 FETipos de tratamiento'!$J$11</f>
        <v>7.4999999999999997E-2</v>
      </c>
      <c r="H68" s="283">
        <f t="shared" si="34"/>
        <v>1.1238327835087498</v>
      </c>
      <c r="I68" s="273"/>
      <c r="J68" s="833" t="str">
        <f>S14</f>
        <v>Pulpa y papel (combinados)</v>
      </c>
      <c r="K68" s="833"/>
      <c r="L68" s="135">
        <f>S49</f>
        <v>19.602773550000002</v>
      </c>
      <c r="M68" s="137">
        <f t="shared" si="36"/>
        <v>0.52258888022212546</v>
      </c>
    </row>
    <row r="69" spans="2:13" ht="14.25" customHeight="1">
      <c r="B69" s="239">
        <v>2006</v>
      </c>
      <c r="C69" s="354">
        <f>'IP 5D2 2021'!AJ51+'IP 5D2 2021'!AJ53</f>
        <v>990530.52</v>
      </c>
      <c r="D69" s="283">
        <f>'Fac Conv'!$H$11</f>
        <v>6.3</v>
      </c>
      <c r="E69" s="283">
        <f>'Fac Conv'!$K$11</f>
        <v>2.9</v>
      </c>
      <c r="F69" s="283">
        <f t="shared" si="37"/>
        <v>18096992.600399997</v>
      </c>
      <c r="G69" s="694">
        <f>'IP 5D2 FETipos de tratamiento'!$J$11</f>
        <v>7.4999999999999997E-2</v>
      </c>
      <c r="H69" s="283">
        <f t="shared" si="34"/>
        <v>1.3572744450299998</v>
      </c>
      <c r="I69" s="273"/>
      <c r="J69" s="833" t="str">
        <f>T14</f>
        <v>Refinerías de petróleo</v>
      </c>
      <c r="K69" s="833"/>
      <c r="L69" s="135">
        <f>T49</f>
        <v>0.12000414369116578</v>
      </c>
      <c r="M69" s="137">
        <f t="shared" si="36"/>
        <v>3.1991815297780328E-3</v>
      </c>
    </row>
    <row r="70" spans="2:13" ht="27" customHeight="1">
      <c r="B70" s="239">
        <v>2007</v>
      </c>
      <c r="C70" s="354">
        <f>'IP 5D2 2021'!AL51+'IP 5D2 2021'!AL53</f>
        <v>1088905.5449999999</v>
      </c>
      <c r="D70" s="283">
        <f>'Fac Conv'!$H$11</f>
        <v>6.3</v>
      </c>
      <c r="E70" s="283">
        <f>'Fac Conv'!$K$11</f>
        <v>2.9</v>
      </c>
      <c r="F70" s="283">
        <f t="shared" si="37"/>
        <v>19894304.307149999</v>
      </c>
      <c r="G70" s="694">
        <f>'IP 5D2 FETipos de tratamiento'!$J$11</f>
        <v>7.4999999999999997E-2</v>
      </c>
      <c r="H70" s="283">
        <f t="shared" si="34"/>
        <v>1.4920728230362499</v>
      </c>
      <c r="I70" s="273"/>
      <c r="J70" s="833" t="str">
        <f>U14</f>
        <v>Sustancias químicas orgánicas</v>
      </c>
      <c r="K70" s="833"/>
      <c r="L70" s="135">
        <f>U49</f>
        <v>0.40697788133106144</v>
      </c>
      <c r="M70" s="137">
        <f t="shared" si="36"/>
        <v>1.0849593030164471E-2</v>
      </c>
    </row>
    <row r="71" spans="2:13" ht="14.25" customHeight="1">
      <c r="B71" s="239">
        <v>2008</v>
      </c>
      <c r="C71" s="354">
        <f>'IP 5D2 2021'!AN51+'IP 5D2 2021'!AN53</f>
        <v>1238765.7450000001</v>
      </c>
      <c r="D71" s="283">
        <f>'Fac Conv'!$H$11</f>
        <v>6.3</v>
      </c>
      <c r="E71" s="283">
        <f>'Fac Conv'!$K$11</f>
        <v>2.9</v>
      </c>
      <c r="F71" s="283">
        <f t="shared" si="37"/>
        <v>22632250.161150001</v>
      </c>
      <c r="G71" s="694">
        <f>'IP 5D2 FETipos de tratamiento'!$J$11</f>
        <v>7.4999999999999997E-2</v>
      </c>
      <c r="H71" s="283">
        <f t="shared" si="34"/>
        <v>1.6974187620862502</v>
      </c>
      <c r="I71" s="273"/>
      <c r="J71" s="833" t="str">
        <f>V14</f>
        <v>Jabón y detergentes</v>
      </c>
      <c r="K71" s="833"/>
      <c r="L71" s="135">
        <f>V49</f>
        <v>3.9213009985417428E-2</v>
      </c>
      <c r="M71" s="137">
        <f t="shared" si="36"/>
        <v>1.0453767129508221E-3</v>
      </c>
    </row>
    <row r="72" spans="2:13" ht="14.25" customHeight="1">
      <c r="B72" s="239">
        <v>2009</v>
      </c>
      <c r="C72" s="354">
        <f>'IP 5D2 2021'!AP51+'IP 5D2 2021'!AP53</f>
        <v>1228161.06</v>
      </c>
      <c r="D72" s="283">
        <f>'Fac Conv'!$H$11</f>
        <v>6.3</v>
      </c>
      <c r="E72" s="283">
        <f>'Fac Conv'!$K$11</f>
        <v>2.9</v>
      </c>
      <c r="F72" s="283">
        <f t="shared" si="37"/>
        <v>22438502.566199999</v>
      </c>
      <c r="G72" s="694">
        <f>'IP 5D2 FETipos de tratamiento'!$J$11</f>
        <v>7.4999999999999997E-2</v>
      </c>
      <c r="H72" s="283">
        <f t="shared" si="34"/>
        <v>1.6828876924649998</v>
      </c>
      <c r="I72" s="273"/>
      <c r="J72" s="833" t="str">
        <f>W14</f>
        <v>Elaboración de pescado</v>
      </c>
      <c r="K72" s="833"/>
      <c r="L72" s="135">
        <f>W49</f>
        <v>1.6490061250000001</v>
      </c>
      <c r="M72" s="137">
        <f t="shared" si="36"/>
        <v>4.3960731482468013E-2</v>
      </c>
    </row>
    <row r="73" spans="2:13" ht="14.25" customHeight="1">
      <c r="B73" s="239">
        <v>2010</v>
      </c>
      <c r="C73" s="354">
        <f>'IP 5D2 2021'!AR51+'IP 5D2 2021'!AR53</f>
        <v>1291851.54</v>
      </c>
      <c r="D73" s="283">
        <f>'Fac Conv'!$H$11</f>
        <v>6.3</v>
      </c>
      <c r="E73" s="283">
        <f>'Fac Conv'!$K$11</f>
        <v>2.9</v>
      </c>
      <c r="F73" s="283">
        <f t="shared" si="37"/>
        <v>23602127.635799997</v>
      </c>
      <c r="G73" s="694">
        <f>'IP 5D2 FETipos de tratamiento'!$J$11</f>
        <v>7.4999999999999997E-2</v>
      </c>
      <c r="H73" s="283">
        <f t="shared" si="34"/>
        <v>1.7701595726849997</v>
      </c>
      <c r="I73" s="273"/>
      <c r="J73" s="833" t="s">
        <v>486</v>
      </c>
      <c r="K73" s="833"/>
      <c r="L73" s="136">
        <f>SUM(L60:L72)</f>
        <v>37.510889136538609</v>
      </c>
      <c r="M73" s="137">
        <f t="shared" si="36"/>
        <v>1</v>
      </c>
    </row>
    <row r="74" spans="2:13" ht="14.25" customHeight="1">
      <c r="B74" s="239">
        <v>2011</v>
      </c>
      <c r="C74" s="354">
        <f>'IP 5D2 2021'!AT51+'IP 5D2 2021'!AT53</f>
        <v>1370659.8149999999</v>
      </c>
      <c r="D74" s="283">
        <f>'Fac Conv'!$H$11</f>
        <v>6.3</v>
      </c>
      <c r="E74" s="283">
        <f>'Fac Conv'!$K$11</f>
        <v>2.9</v>
      </c>
      <c r="F74" s="283">
        <f t="shared" si="37"/>
        <v>25041954.820049997</v>
      </c>
      <c r="G74" s="694">
        <f>'IP 5D2 FETipos de tratamiento'!$J$11</f>
        <v>7.4999999999999997E-2</v>
      </c>
      <c r="H74" s="283">
        <f t="shared" si="34"/>
        <v>1.87814661150375</v>
      </c>
      <c r="I74" s="273"/>
    </row>
    <row r="75" spans="2:13" ht="14.25" customHeight="1">
      <c r="B75" s="239">
        <v>2012</v>
      </c>
      <c r="C75" s="354">
        <f>'IP 5D2 2021'!AV51+'IP 5D2 2021'!AV53</f>
        <v>1433343.5549999999</v>
      </c>
      <c r="D75" s="283">
        <f>'Fac Conv'!$H$11</f>
        <v>6.3</v>
      </c>
      <c r="E75" s="283">
        <f>'Fac Conv'!$K$11</f>
        <v>2.9</v>
      </c>
      <c r="F75" s="283">
        <f t="shared" si="37"/>
        <v>26187186.749849997</v>
      </c>
      <c r="G75" s="694">
        <f>'IP 5D2 FETipos de tratamiento'!$J$11</f>
        <v>7.4999999999999997E-2</v>
      </c>
      <c r="H75" s="283">
        <f t="shared" si="34"/>
        <v>1.9640390062387496</v>
      </c>
      <c r="I75" s="273"/>
    </row>
    <row r="76" spans="2:13" ht="14.25" customHeight="1">
      <c r="B76" s="239">
        <v>2013</v>
      </c>
      <c r="C76" s="354">
        <f>'IP 5D2 2021'!AX51+'IP 5D2 2021'!AX53</f>
        <v>1416794.2866</v>
      </c>
      <c r="D76" s="283">
        <f>'Fac Conv'!$H$11</f>
        <v>6.3</v>
      </c>
      <c r="E76" s="283">
        <f>'Fac Conv'!$K$11</f>
        <v>2.9</v>
      </c>
      <c r="F76" s="283">
        <f t="shared" si="37"/>
        <v>25884831.616181999</v>
      </c>
      <c r="G76" s="694">
        <f>'IP 5D2 FETipos de tratamiento'!$J$11</f>
        <v>7.4999999999999997E-2</v>
      </c>
      <c r="H76" s="283">
        <f t="shared" si="34"/>
        <v>1.9413623712136499</v>
      </c>
      <c r="I76" s="273"/>
    </row>
    <row r="77" spans="2:13" ht="14.25" customHeight="1">
      <c r="B77" s="239">
        <v>2014</v>
      </c>
      <c r="C77" s="354">
        <f>'IP 5D2 2021'!AZ51+'IP 5D2 2021'!AZ53</f>
        <v>1422897.83895</v>
      </c>
      <c r="D77" s="283">
        <f>'Fac Conv'!$H$11</f>
        <v>6.3</v>
      </c>
      <c r="E77" s="283">
        <f>'Fac Conv'!$K$11</f>
        <v>2.9</v>
      </c>
      <c r="F77" s="283">
        <f t="shared" si="37"/>
        <v>25996343.517616495</v>
      </c>
      <c r="G77" s="694">
        <f>'IP 5D2 FETipos de tratamiento'!$J$11</f>
        <v>7.4999999999999997E-2</v>
      </c>
      <c r="H77" s="283">
        <f t="shared" si="34"/>
        <v>1.9497257638212371</v>
      </c>
      <c r="I77" s="273"/>
    </row>
    <row r="78" spans="2:13" ht="14.25" customHeight="1">
      <c r="B78" s="239">
        <v>2015</v>
      </c>
      <c r="C78" s="354">
        <f>'IP 5D2 2021'!BB51+'IP 5D2 2021'!BB53</f>
        <v>1423811.9028</v>
      </c>
      <c r="D78" s="283">
        <f>'Fac Conv'!$H$11</f>
        <v>6.3</v>
      </c>
      <c r="E78" s="283">
        <f>'Fac Conv'!$K$11</f>
        <v>2.9</v>
      </c>
      <c r="F78" s="283">
        <f t="shared" si="37"/>
        <v>26013043.464156002</v>
      </c>
      <c r="G78" s="694">
        <f>'IP 5D2 FETipos de tratamiento'!$J$11</f>
        <v>7.4999999999999997E-2</v>
      </c>
      <c r="H78" s="283">
        <f t="shared" si="34"/>
        <v>1.9509782598117</v>
      </c>
      <c r="I78" s="273"/>
    </row>
    <row r="79" spans="2:13" ht="14.25" customHeight="1">
      <c r="B79" s="239">
        <v>2016</v>
      </c>
      <c r="C79" s="354">
        <f>'IP 5D2 2021'!BD51+'IP 5D2 2021'!BD53</f>
        <v>1428125.91915</v>
      </c>
      <c r="D79" s="283">
        <f>'Fac Conv'!$H$11</f>
        <v>6.3</v>
      </c>
      <c r="E79" s="283">
        <f>'Fac Conv'!$K$11</f>
        <v>2.9</v>
      </c>
      <c r="F79" s="283">
        <f t="shared" si="37"/>
        <v>26091860.542870499</v>
      </c>
      <c r="G79" s="694">
        <f>'IP 5D2 FETipos de tratamiento'!$J$11</f>
        <v>7.4999999999999997E-2</v>
      </c>
      <c r="H79" s="283">
        <f t="shared" si="34"/>
        <v>1.9568895407152875</v>
      </c>
      <c r="I79" s="273"/>
    </row>
    <row r="80" spans="2:13" ht="14.25" customHeight="1">
      <c r="B80" s="239">
        <v>2017</v>
      </c>
      <c r="C80" s="354">
        <f>'IP 5D2 2021'!BF51+'IP 5D2 2021'!BF53</f>
        <v>1437359.71365</v>
      </c>
      <c r="D80" s="283">
        <f>'Fac Conv'!$H$11</f>
        <v>6.3</v>
      </c>
      <c r="E80" s="283">
        <f>'Fac Conv'!$K$11</f>
        <v>2.9</v>
      </c>
      <c r="F80" s="283">
        <f t="shared" si="37"/>
        <v>26260561.968385495</v>
      </c>
      <c r="G80" s="694">
        <f>'IP 5D2 FETipos de tratamiento'!$J$11</f>
        <v>7.4999999999999997E-2</v>
      </c>
      <c r="H80" s="283">
        <f t="shared" si="34"/>
        <v>1.9695421476289121</v>
      </c>
      <c r="I80" s="273"/>
    </row>
    <row r="81" spans="2:9" ht="14.25" customHeight="1">
      <c r="B81" s="239">
        <v>2018</v>
      </c>
      <c r="C81" s="354">
        <f>'IP 5D2 2021'!BH51+'IP 5D2 2021'!BH53</f>
        <v>1421389.5129</v>
      </c>
      <c r="D81" s="283">
        <f>'Fac Conv'!$H$11</f>
        <v>6.3</v>
      </c>
      <c r="E81" s="283">
        <f>'Fac Conv'!$K$11</f>
        <v>2.9</v>
      </c>
      <c r="F81" s="283">
        <f t="shared" si="37"/>
        <v>25968786.400682997</v>
      </c>
      <c r="G81" s="694">
        <f>'IP 5D2 FETipos de tratamiento'!$J$11</f>
        <v>7.4999999999999997E-2</v>
      </c>
      <c r="H81" s="283">
        <f t="shared" si="34"/>
        <v>1.9476589800512245</v>
      </c>
      <c r="I81" s="273"/>
    </row>
    <row r="82" spans="2:9" ht="14.25" customHeight="1">
      <c r="B82" s="239">
        <v>2019</v>
      </c>
      <c r="C82" s="354">
        <f>'IP 5D2 2021'!BJ51+'IP 5D2 2021'!BJ53</f>
        <v>1431761.2459499999</v>
      </c>
      <c r="D82" s="283">
        <f>'Fac Conv'!$H$11</f>
        <v>6.3</v>
      </c>
      <c r="E82" s="283">
        <f>'Fac Conv'!$K$11</f>
        <v>2.9</v>
      </c>
      <c r="F82" s="283">
        <f t="shared" si="37"/>
        <v>26158277.963506494</v>
      </c>
      <c r="G82" s="694">
        <f>'IP 5D2 FETipos de tratamiento'!$J$11</f>
        <v>7.4999999999999997E-2</v>
      </c>
      <c r="H82" s="283">
        <f t="shared" si="34"/>
        <v>1.9618708472629869</v>
      </c>
      <c r="I82" s="273"/>
    </row>
    <row r="83" spans="2:9" ht="14.25" customHeight="1">
      <c r="B83" s="239">
        <v>2020</v>
      </c>
      <c r="C83" s="354">
        <f>'IP 5D2 2021'!BL51+'IP 5D2 2021'!BL53</f>
        <v>1048079.4702</v>
      </c>
      <c r="D83" s="283">
        <f>'Fac Conv'!$H$11</f>
        <v>6.3</v>
      </c>
      <c r="E83" s="283">
        <f>'Fac Conv'!$K$11</f>
        <v>2.9</v>
      </c>
      <c r="F83" s="283">
        <f t="shared" si="37"/>
        <v>19148411.920553997</v>
      </c>
      <c r="G83" s="694">
        <f>'IP 5D2 FETipos de tratamiento'!$J$11</f>
        <v>7.4999999999999997E-2</v>
      </c>
      <c r="H83" s="283">
        <f t="shared" si="34"/>
        <v>1.4361308940415496</v>
      </c>
      <c r="I83" s="273"/>
    </row>
    <row r="84" spans="2:9" ht="14.25" customHeight="1">
      <c r="B84" s="239">
        <v>2021</v>
      </c>
      <c r="C84" s="354">
        <f>'IP 5D2 2021'!BN51+'IP 5D2 2021'!BN53</f>
        <v>1339459.8325499999</v>
      </c>
      <c r="D84" s="283">
        <f>'Fac Conv'!$H$11</f>
        <v>6.3</v>
      </c>
      <c r="E84" s="283">
        <f>'Fac Conv'!$K$11</f>
        <v>2.9</v>
      </c>
      <c r="F84" s="283">
        <f t="shared" si="37"/>
        <v>24471931.140688498</v>
      </c>
      <c r="G84" s="694">
        <f>'IP 5D2 FETipos de tratamiento'!$J$11</f>
        <v>7.4999999999999997E-2</v>
      </c>
      <c r="H84" s="283">
        <f t="shared" si="34"/>
        <v>1.8353948355516372</v>
      </c>
      <c r="I84" s="273"/>
    </row>
    <row r="85" spans="2:9" ht="14.25" customHeight="1">
      <c r="B85" s="239">
        <v>2022</v>
      </c>
      <c r="C85" s="354">
        <f>'IP 5D2 2021'!BP51+'IP 5D2 2021'!BP53</f>
        <v>1524769.6075500001</v>
      </c>
      <c r="D85" s="283">
        <f>'Fac Conv'!$H$11</f>
        <v>6.3</v>
      </c>
      <c r="E85" s="283">
        <f>'Fac Conv'!$K$11</f>
        <v>2.9</v>
      </c>
      <c r="F85" s="283">
        <f t="shared" si="37"/>
        <v>27857540.7299385</v>
      </c>
      <c r="G85" s="694">
        <f>'IP 5D2 FETipos de tratamiento'!$J$11</f>
        <v>7.4999999999999997E-2</v>
      </c>
      <c r="H85" s="283">
        <f t="shared" ref="H85" si="38">(F85*G85)/1000000</f>
        <v>2.0893155547453874</v>
      </c>
      <c r="I85" s="273"/>
    </row>
    <row r="86" spans="2:9" ht="14.25" customHeight="1">
      <c r="B86" s="32"/>
      <c r="C86" s="365"/>
      <c r="D86" s="366"/>
      <c r="E86" s="366"/>
      <c r="F86" s="366"/>
      <c r="G86" s="367"/>
      <c r="H86" s="366"/>
      <c r="I86" s="273"/>
    </row>
    <row r="87" spans="2:9" ht="14.25" customHeight="1">
      <c r="B87" s="278" t="s">
        <v>713</v>
      </c>
      <c r="C87" s="356"/>
      <c r="D87" s="356"/>
      <c r="E87" s="356"/>
      <c r="F87" s="356"/>
      <c r="G87" s="356"/>
      <c r="H87" s="356"/>
      <c r="I87" s="273"/>
    </row>
    <row r="88" spans="2:9" s="32" customFormat="1" ht="14.25" customHeight="1">
      <c r="B88" s="239">
        <v>1990</v>
      </c>
      <c r="C88" s="354">
        <f>SUM('IP 5D2 2021'!E13:E25)</f>
        <v>0</v>
      </c>
      <c r="D88" s="283">
        <f>'Fac Conv'!$H$15</f>
        <v>13</v>
      </c>
      <c r="E88" s="283">
        <f>'Fac Conv'!$K$15</f>
        <v>4.0999999999999996</v>
      </c>
      <c r="F88" s="283">
        <f t="shared" ref="F88:F119" si="39">C88*D88*E88</f>
        <v>0</v>
      </c>
      <c r="G88" s="694">
        <f>'IP 5D2 FETipos de tratamiento'!$J$12</f>
        <v>7.4999999999999997E-2</v>
      </c>
      <c r="H88" s="283">
        <f t="shared" ref="H88:H119" si="40">(F88*G88)/1000000</f>
        <v>0</v>
      </c>
      <c r="I88" s="273"/>
    </row>
    <row r="89" spans="2:9" s="32" customFormat="1" ht="14.25" customHeight="1">
      <c r="B89" s="239">
        <v>1991</v>
      </c>
      <c r="C89" s="354">
        <f>SUM('IP 5D2 2021'!F13:F25)</f>
        <v>0</v>
      </c>
      <c r="D89" s="283">
        <f>'Fac Conv'!$H$15</f>
        <v>13</v>
      </c>
      <c r="E89" s="283">
        <f>'Fac Conv'!$K$15</f>
        <v>4.0999999999999996</v>
      </c>
      <c r="F89" s="283">
        <f t="shared" si="39"/>
        <v>0</v>
      </c>
      <c r="G89" s="694">
        <f>'IP 5D2 FETipos de tratamiento'!$J$12</f>
        <v>7.4999999999999997E-2</v>
      </c>
      <c r="H89" s="283">
        <f t="shared" si="40"/>
        <v>0</v>
      </c>
      <c r="I89" s="273"/>
    </row>
    <row r="90" spans="2:9" s="32" customFormat="1" ht="14.25" customHeight="1">
      <c r="B90" s="239">
        <v>1992</v>
      </c>
      <c r="C90" s="354">
        <f>SUM('IP 5D2 2021'!H13:H25)</f>
        <v>0</v>
      </c>
      <c r="D90" s="283">
        <f>'Fac Conv'!$H$15</f>
        <v>13</v>
      </c>
      <c r="E90" s="283">
        <f>'Fac Conv'!$K$15</f>
        <v>4.0999999999999996</v>
      </c>
      <c r="F90" s="283">
        <f t="shared" si="39"/>
        <v>0</v>
      </c>
      <c r="G90" s="694">
        <f>'IP 5D2 FETipos de tratamiento'!$J$12</f>
        <v>7.4999999999999997E-2</v>
      </c>
      <c r="H90" s="283">
        <f t="shared" si="40"/>
        <v>0</v>
      </c>
      <c r="I90" s="273"/>
    </row>
    <row r="91" spans="2:9" s="32" customFormat="1" ht="14.25" customHeight="1">
      <c r="B91" s="239">
        <v>1993</v>
      </c>
      <c r="C91" s="354">
        <f>SUM('IP 5D2 2021'!J13:J25)</f>
        <v>0</v>
      </c>
      <c r="D91" s="283">
        <f>'Fac Conv'!$H$15</f>
        <v>13</v>
      </c>
      <c r="E91" s="283">
        <f>'Fac Conv'!$K$15</f>
        <v>4.0999999999999996</v>
      </c>
      <c r="F91" s="283">
        <f t="shared" si="39"/>
        <v>0</v>
      </c>
      <c r="G91" s="694">
        <f>'IP 5D2 FETipos de tratamiento'!$J$12</f>
        <v>7.4999999999999997E-2</v>
      </c>
      <c r="H91" s="283">
        <f t="shared" si="40"/>
        <v>0</v>
      </c>
      <c r="I91" s="273"/>
    </row>
    <row r="92" spans="2:9" s="32" customFormat="1" ht="14.25" customHeight="1">
      <c r="B92" s="239">
        <v>1994</v>
      </c>
      <c r="C92" s="354">
        <f>SUM('IP 5D2 2021'!L13:L25)</f>
        <v>0</v>
      </c>
      <c r="D92" s="283">
        <f>'Fac Conv'!$H$15</f>
        <v>13</v>
      </c>
      <c r="E92" s="283">
        <f>'Fac Conv'!$K$15</f>
        <v>4.0999999999999996</v>
      </c>
      <c r="F92" s="283">
        <f t="shared" si="39"/>
        <v>0</v>
      </c>
      <c r="G92" s="694">
        <f>'IP 5D2 FETipos de tratamiento'!$J$12</f>
        <v>7.4999999999999997E-2</v>
      </c>
      <c r="H92" s="283">
        <f t="shared" si="40"/>
        <v>0</v>
      </c>
      <c r="I92" s="273"/>
    </row>
    <row r="93" spans="2:9" s="32" customFormat="1" ht="14.25" customHeight="1">
      <c r="B93" s="239">
        <v>1995</v>
      </c>
      <c r="C93" s="354">
        <f>SUM('IP 5D2 2021'!N13:N25)</f>
        <v>517900</v>
      </c>
      <c r="D93" s="283">
        <f>'Fac Conv'!$H$15</f>
        <v>13</v>
      </c>
      <c r="E93" s="283">
        <f>'Fac Conv'!$K$15</f>
        <v>4.0999999999999996</v>
      </c>
      <c r="F93" s="283">
        <f t="shared" si="39"/>
        <v>27604069.999999996</v>
      </c>
      <c r="G93" s="694">
        <f>'IP 5D2 FETipos de tratamiento'!$J$12</f>
        <v>7.4999999999999997E-2</v>
      </c>
      <c r="H93" s="283">
        <f t="shared" si="40"/>
        <v>2.0703052499999997</v>
      </c>
      <c r="I93" s="273"/>
    </row>
    <row r="94" spans="2:9" s="32" customFormat="1" ht="14.25" customHeight="1">
      <c r="B94" s="239">
        <v>1996</v>
      </c>
      <c r="C94" s="354">
        <f>SUM('IP 5D2 2021'!P13:P25)</f>
        <v>520600</v>
      </c>
      <c r="D94" s="283">
        <f>'Fac Conv'!$H$15</f>
        <v>13</v>
      </c>
      <c r="E94" s="283">
        <f>'Fac Conv'!$K$15</f>
        <v>4.0999999999999996</v>
      </c>
      <c r="F94" s="283">
        <f t="shared" si="39"/>
        <v>27747979.999999996</v>
      </c>
      <c r="G94" s="694">
        <f>'IP 5D2 FETipos de tratamiento'!$J$12</f>
        <v>7.4999999999999997E-2</v>
      </c>
      <c r="H94" s="283">
        <f t="shared" si="40"/>
        <v>2.0810984999999995</v>
      </c>
      <c r="I94" s="273"/>
    </row>
    <row r="95" spans="2:9" s="32" customFormat="1" ht="14.25" customHeight="1">
      <c r="B95" s="239">
        <v>1997</v>
      </c>
      <c r="C95" s="354">
        <f>SUM('IP 5D2 2021'!R13:R25)</f>
        <v>562100</v>
      </c>
      <c r="D95" s="283">
        <f>'Fac Conv'!$H$15</f>
        <v>13</v>
      </c>
      <c r="E95" s="283">
        <f>'Fac Conv'!$K$15</f>
        <v>4.0999999999999996</v>
      </c>
      <c r="F95" s="283">
        <f t="shared" si="39"/>
        <v>29959929.999999996</v>
      </c>
      <c r="G95" s="694">
        <f>'IP 5D2 FETipos de tratamiento'!$J$12</f>
        <v>7.4999999999999997E-2</v>
      </c>
      <c r="H95" s="283">
        <f t="shared" si="40"/>
        <v>2.2469947499999994</v>
      </c>
      <c r="I95" s="273"/>
    </row>
    <row r="96" spans="2:9" s="32" customFormat="1" ht="14.25" customHeight="1">
      <c r="B96" s="239">
        <v>1998</v>
      </c>
      <c r="C96" s="354">
        <f>SUM('IP 5D2 2021'!T13:T25)</f>
        <v>631616</v>
      </c>
      <c r="D96" s="283">
        <f>'Fac Conv'!$H$15</f>
        <v>13</v>
      </c>
      <c r="E96" s="283">
        <f>'Fac Conv'!$K$15</f>
        <v>4.0999999999999996</v>
      </c>
      <c r="F96" s="283">
        <f t="shared" si="39"/>
        <v>33665132.799999997</v>
      </c>
      <c r="G96" s="694">
        <f>'IP 5D2 FETipos de tratamiento'!$J$12</f>
        <v>7.4999999999999997E-2</v>
      </c>
      <c r="H96" s="283">
        <f t="shared" si="40"/>
        <v>2.5248849599999996</v>
      </c>
      <c r="I96" s="273"/>
    </row>
    <row r="97" spans="2:11" s="32" customFormat="1" ht="14.25" customHeight="1">
      <c r="B97" s="239">
        <v>1999</v>
      </c>
      <c r="C97" s="354">
        <f>SUM('IP 5D2 2021'!V13:V25)</f>
        <v>705582.3</v>
      </c>
      <c r="D97" s="283">
        <f>'Fac Conv'!$H$15</f>
        <v>13</v>
      </c>
      <c r="E97" s="283">
        <f>'Fac Conv'!$K$15</f>
        <v>4.0999999999999996</v>
      </c>
      <c r="F97" s="283">
        <f t="shared" si="39"/>
        <v>37607536.589999996</v>
      </c>
      <c r="G97" s="694">
        <f>'IP 5D2 FETipos de tratamiento'!$J$12</f>
        <v>7.4999999999999997E-2</v>
      </c>
      <c r="H97" s="283">
        <f t="shared" si="40"/>
        <v>2.8205652442499995</v>
      </c>
      <c r="I97" s="281"/>
    </row>
    <row r="98" spans="2:11" ht="14.25" customHeight="1">
      <c r="B98" s="239">
        <v>2000</v>
      </c>
      <c r="C98" s="354">
        <f>SUM('IP 5D2 2021'!X13:X25)</f>
        <v>765785</v>
      </c>
      <c r="D98" s="283">
        <f>'Fac Conv'!$H$15</f>
        <v>13</v>
      </c>
      <c r="E98" s="283">
        <f>'Fac Conv'!$K$15</f>
        <v>4.0999999999999996</v>
      </c>
      <c r="F98" s="283">
        <f t="shared" si="39"/>
        <v>40816340.5</v>
      </c>
      <c r="G98" s="694">
        <f>'IP 5D2 FETipos de tratamiento'!$J$12</f>
        <v>7.4999999999999997E-2</v>
      </c>
      <c r="H98" s="283">
        <f t="shared" si="40"/>
        <v>3.0612255374999999</v>
      </c>
      <c r="I98" s="273"/>
    </row>
    <row r="99" spans="2:11" ht="14.25" customHeight="1">
      <c r="B99" s="239">
        <v>2001</v>
      </c>
      <c r="C99" s="354">
        <f>SUM('IP 5D2 2021'!Z13:Z25)</f>
        <v>780193</v>
      </c>
      <c r="D99" s="283">
        <f>'Fac Conv'!$H$15</f>
        <v>13</v>
      </c>
      <c r="E99" s="283">
        <f>'Fac Conv'!$K$15</f>
        <v>4.0999999999999996</v>
      </c>
      <c r="F99" s="283">
        <f t="shared" si="39"/>
        <v>41584286.899999999</v>
      </c>
      <c r="G99" s="694">
        <f>'IP 5D2 FETipos de tratamiento'!$J$12</f>
        <v>7.4999999999999997E-2</v>
      </c>
      <c r="H99" s="283">
        <f t="shared" si="40"/>
        <v>3.1188215174999998</v>
      </c>
      <c r="I99" s="273"/>
    </row>
    <row r="100" spans="2:11" ht="14.25" customHeight="1">
      <c r="B100" s="239">
        <v>2002</v>
      </c>
      <c r="C100" s="354">
        <f>SUM('IP 5D2 2021'!AB13:AB25)</f>
        <v>826240</v>
      </c>
      <c r="D100" s="283">
        <f>'Fac Conv'!$H$15</f>
        <v>13</v>
      </c>
      <c r="E100" s="283">
        <f>'Fac Conv'!$K$15</f>
        <v>4.0999999999999996</v>
      </c>
      <c r="F100" s="283">
        <f t="shared" si="39"/>
        <v>44038591.999999993</v>
      </c>
      <c r="G100" s="694">
        <f>'IP 5D2 FETipos de tratamiento'!$J$12</f>
        <v>7.4999999999999997E-2</v>
      </c>
      <c r="H100" s="283">
        <f t="shared" si="40"/>
        <v>3.3028943999999996</v>
      </c>
      <c r="I100" s="273"/>
    </row>
    <row r="101" spans="2:11" ht="14.25" customHeight="1">
      <c r="B101" s="239">
        <v>2003</v>
      </c>
      <c r="C101" s="354">
        <f>SUM('IP 5D2 2021'!AD13:AD25)</f>
        <v>605533</v>
      </c>
      <c r="D101" s="283">
        <f>'Fac Conv'!$H$15</f>
        <v>13</v>
      </c>
      <c r="E101" s="283">
        <f>'Fac Conv'!$K$15</f>
        <v>4.0999999999999996</v>
      </c>
      <c r="F101" s="283">
        <f t="shared" si="39"/>
        <v>32274908.899999999</v>
      </c>
      <c r="G101" s="694">
        <f>'IP 5D2 FETipos de tratamiento'!$J$12</f>
        <v>7.4999999999999997E-2</v>
      </c>
      <c r="H101" s="283">
        <f t="shared" si="40"/>
        <v>2.4206181674999998</v>
      </c>
      <c r="I101" s="273"/>
    </row>
    <row r="102" spans="2:11" ht="14.25" customHeight="1">
      <c r="B102" s="239">
        <v>2004</v>
      </c>
      <c r="C102" s="354">
        <f>SUM('IP 5D2 2021'!AF13:AF25)</f>
        <v>614922.69999999995</v>
      </c>
      <c r="D102" s="283">
        <f>'Fac Conv'!$H$15</f>
        <v>13</v>
      </c>
      <c r="E102" s="283">
        <f>'Fac Conv'!$K$15</f>
        <v>4.0999999999999996</v>
      </c>
      <c r="F102" s="283">
        <f t="shared" si="39"/>
        <v>32775379.909999996</v>
      </c>
      <c r="G102" s="694">
        <f>'IP 5D2 FETipos de tratamiento'!$J$12</f>
        <v>7.4999999999999997E-2</v>
      </c>
      <c r="H102" s="283">
        <f t="shared" si="40"/>
        <v>2.4581534932499998</v>
      </c>
      <c r="I102" s="273"/>
      <c r="K102" s="273"/>
    </row>
    <row r="103" spans="2:11" ht="14.25" customHeight="1">
      <c r="B103" s="239">
        <v>2005</v>
      </c>
      <c r="C103" s="354">
        <f>SUM('IP 5D2 2021'!AH13:AH25)</f>
        <v>677288</v>
      </c>
      <c r="D103" s="283">
        <f>'Fac Conv'!$H$15</f>
        <v>13</v>
      </c>
      <c r="E103" s="283">
        <f>'Fac Conv'!$K$15</f>
        <v>4.0999999999999996</v>
      </c>
      <c r="F103" s="283">
        <f t="shared" si="39"/>
        <v>36099450.399999999</v>
      </c>
      <c r="G103" s="694">
        <f>'IP 5D2 FETipos de tratamiento'!$J$12</f>
        <v>7.4999999999999997E-2</v>
      </c>
      <c r="H103" s="283">
        <f t="shared" si="40"/>
        <v>2.7074587799999996</v>
      </c>
      <c r="I103" s="273"/>
      <c r="K103" s="273"/>
    </row>
    <row r="104" spans="2:11" ht="14.25" customHeight="1">
      <c r="B104" s="239">
        <v>2006</v>
      </c>
      <c r="C104" s="354">
        <f>SUM('IP 5D2 2021'!AJ13:AJ25)</f>
        <v>736534</v>
      </c>
      <c r="D104" s="283">
        <f>'Fac Conv'!$H$15</f>
        <v>13</v>
      </c>
      <c r="E104" s="283">
        <f>'Fac Conv'!$K$15</f>
        <v>4.0999999999999996</v>
      </c>
      <c r="F104" s="283">
        <f t="shared" si="39"/>
        <v>39257262.199999996</v>
      </c>
      <c r="G104" s="694">
        <f>'IP 5D2 FETipos de tratamiento'!$J$12</f>
        <v>7.4999999999999997E-2</v>
      </c>
      <c r="H104" s="283">
        <f t="shared" si="40"/>
        <v>2.9442946649999997</v>
      </c>
      <c r="I104" s="273"/>
      <c r="K104" s="273"/>
    </row>
    <row r="105" spans="2:11" ht="14.25" customHeight="1">
      <c r="B105" s="239">
        <v>2007</v>
      </c>
      <c r="C105" s="354">
        <f>SUM('IP 5D2 2021'!AL13:AL25)</f>
        <v>778570</v>
      </c>
      <c r="D105" s="283">
        <f>'Fac Conv'!$H$15</f>
        <v>13</v>
      </c>
      <c r="E105" s="283">
        <f>'Fac Conv'!$K$15</f>
        <v>4.0999999999999996</v>
      </c>
      <c r="F105" s="283">
        <f t="shared" si="39"/>
        <v>41497781</v>
      </c>
      <c r="G105" s="694">
        <f>'IP 5D2 FETipos de tratamiento'!$J$12</f>
        <v>7.4999999999999997E-2</v>
      </c>
      <c r="H105" s="283">
        <f t="shared" si="40"/>
        <v>3.1123335749999996</v>
      </c>
      <c r="I105" s="273"/>
      <c r="K105" s="273"/>
    </row>
    <row r="106" spans="2:11" ht="14.25" customHeight="1">
      <c r="B106" s="239">
        <v>2008</v>
      </c>
      <c r="C106" s="354">
        <f>SUM('IP 5D2 2021'!AN13:AN25)</f>
        <v>872619</v>
      </c>
      <c r="D106" s="283">
        <f>'Fac Conv'!$H$15</f>
        <v>13</v>
      </c>
      <c r="E106" s="283">
        <f>'Fac Conv'!$K$15</f>
        <v>4.0999999999999996</v>
      </c>
      <c r="F106" s="283">
        <f t="shared" si="39"/>
        <v>46510592.699999996</v>
      </c>
      <c r="G106" s="694">
        <f>'IP 5D2 FETipos de tratamiento'!$J$12</f>
        <v>7.4999999999999997E-2</v>
      </c>
      <c r="H106" s="283">
        <f t="shared" si="40"/>
        <v>3.4882944524999995</v>
      </c>
      <c r="I106" s="273"/>
      <c r="K106" s="273"/>
    </row>
    <row r="107" spans="2:11" ht="14.25" customHeight="1">
      <c r="B107" s="239">
        <v>2009</v>
      </c>
      <c r="C107" s="354">
        <f>SUM('IP 5D2 2021'!AP13:AP25)</f>
        <v>941401</v>
      </c>
      <c r="D107" s="283">
        <f>'Fac Conv'!$H$15</f>
        <v>13</v>
      </c>
      <c r="E107" s="283">
        <f>'Fac Conv'!$K$15</f>
        <v>4.0999999999999996</v>
      </c>
      <c r="F107" s="283">
        <f t="shared" si="39"/>
        <v>50176673.299999997</v>
      </c>
      <c r="G107" s="694">
        <f>'IP 5D2 FETipos de tratamiento'!$J$12</f>
        <v>7.4999999999999997E-2</v>
      </c>
      <c r="H107" s="283">
        <f t="shared" si="40"/>
        <v>3.7632504974999996</v>
      </c>
      <c r="I107" s="273"/>
      <c r="K107" s="273"/>
    </row>
    <row r="108" spans="2:11" ht="14.25" customHeight="1">
      <c r="B108" s="239">
        <v>2010</v>
      </c>
      <c r="C108" s="354">
        <f>SUM('IP 5D2 2021'!AR13:AR25)</f>
        <v>992985</v>
      </c>
      <c r="D108" s="283">
        <f>'Fac Conv'!$H$15</f>
        <v>13</v>
      </c>
      <c r="E108" s="283">
        <f>'Fac Conv'!$K$15</f>
        <v>4.0999999999999996</v>
      </c>
      <c r="F108" s="283">
        <f t="shared" si="39"/>
        <v>52926100.499999993</v>
      </c>
      <c r="G108" s="694">
        <f>'IP 5D2 FETipos de tratamiento'!$J$12</f>
        <v>7.4999999999999997E-2</v>
      </c>
      <c r="H108" s="283">
        <f t="shared" si="40"/>
        <v>3.969457537499999</v>
      </c>
      <c r="I108" s="273"/>
      <c r="K108" s="273"/>
    </row>
    <row r="109" spans="2:11" ht="14.25" customHeight="1">
      <c r="B109" s="239">
        <v>2011</v>
      </c>
      <c r="C109" s="354">
        <f>SUM('IP 5D2 2021'!AT13:AT25)</f>
        <v>1046342</v>
      </c>
      <c r="D109" s="283">
        <f>'Fac Conv'!$H$15</f>
        <v>13</v>
      </c>
      <c r="E109" s="283">
        <f>'Fac Conv'!$K$15</f>
        <v>4.0999999999999996</v>
      </c>
      <c r="F109" s="283">
        <f t="shared" si="39"/>
        <v>55770028.599999994</v>
      </c>
      <c r="G109" s="694">
        <f>'IP 5D2 FETipos de tratamiento'!$J$12</f>
        <v>7.4999999999999997E-2</v>
      </c>
      <c r="H109" s="283">
        <f t="shared" si="40"/>
        <v>4.1827521449999994</v>
      </c>
      <c r="I109" s="273"/>
      <c r="K109" s="273"/>
    </row>
    <row r="110" spans="2:11" ht="14.25" customHeight="1">
      <c r="B110" s="239">
        <v>2012</v>
      </c>
      <c r="C110" s="354">
        <f>SUM('IP 5D2 2021'!AV13:AV25)</f>
        <v>1593898.25</v>
      </c>
      <c r="D110" s="283">
        <f>'Fac Conv'!$H$15</f>
        <v>13</v>
      </c>
      <c r="E110" s="283">
        <f>'Fac Conv'!$K$15</f>
        <v>4.0999999999999996</v>
      </c>
      <c r="F110" s="283">
        <f t="shared" si="39"/>
        <v>84954776.724999994</v>
      </c>
      <c r="G110" s="694">
        <f>'IP 5D2 FETipos de tratamiento'!$J$12</f>
        <v>7.4999999999999997E-2</v>
      </c>
      <c r="H110" s="283">
        <f t="shared" si="40"/>
        <v>6.3716082543749994</v>
      </c>
      <c r="I110" s="273"/>
      <c r="K110" s="273"/>
    </row>
    <row r="111" spans="2:11" ht="14.25" customHeight="1">
      <c r="B111" s="239">
        <v>2013</v>
      </c>
      <c r="C111" s="354">
        <f>SUM('IP 5D2 2021'!AX13:AX25)</f>
        <v>1630782</v>
      </c>
      <c r="D111" s="283">
        <f>'Fac Conv'!$H$15</f>
        <v>13</v>
      </c>
      <c r="E111" s="283">
        <f>'Fac Conv'!$K$15</f>
        <v>4.0999999999999996</v>
      </c>
      <c r="F111" s="283">
        <f t="shared" si="39"/>
        <v>86920680.599999994</v>
      </c>
      <c r="G111" s="694">
        <f>'IP 5D2 FETipos de tratamiento'!$J$12</f>
        <v>7.4999999999999997E-2</v>
      </c>
      <c r="H111" s="283">
        <f t="shared" si="40"/>
        <v>6.5190510449999994</v>
      </c>
      <c r="I111" s="273"/>
      <c r="K111" s="273"/>
    </row>
    <row r="112" spans="2:11" ht="14.25" customHeight="1">
      <c r="B112" s="239">
        <v>2014</v>
      </c>
      <c r="C112" s="354">
        <f>SUM('IP 5D2 2021'!AZ13:AZ25)</f>
        <v>1760230.601</v>
      </c>
      <c r="D112" s="283">
        <f>'Fac Conv'!$H$15</f>
        <v>13</v>
      </c>
      <c r="E112" s="283">
        <f>'Fac Conv'!$K$15</f>
        <v>4.0999999999999996</v>
      </c>
      <c r="F112" s="283">
        <f t="shared" si="39"/>
        <v>93820291.033299997</v>
      </c>
      <c r="G112" s="694">
        <f>'IP 5D2 FETipos de tratamiento'!$J$12</f>
        <v>7.4999999999999997E-2</v>
      </c>
      <c r="H112" s="283">
        <f t="shared" si="40"/>
        <v>7.0365218274975003</v>
      </c>
      <c r="I112" s="273"/>
      <c r="K112" s="273"/>
    </row>
    <row r="113" spans="2:11" ht="14.25" customHeight="1">
      <c r="B113" s="239">
        <v>2015</v>
      </c>
      <c r="C113" s="354">
        <f>SUM('IP 5D2 2021'!BB13:BB25)</f>
        <v>1873958.223</v>
      </c>
      <c r="D113" s="283">
        <f>'Fac Conv'!$H$15</f>
        <v>13</v>
      </c>
      <c r="E113" s="283">
        <f>'Fac Conv'!$K$15</f>
        <v>4.0999999999999996</v>
      </c>
      <c r="F113" s="283">
        <f t="shared" si="39"/>
        <v>99881973.285899997</v>
      </c>
      <c r="G113" s="694">
        <f>'IP 5D2 FETipos de tratamiento'!$J$12</f>
        <v>7.4999999999999997E-2</v>
      </c>
      <c r="H113" s="283">
        <f t="shared" si="40"/>
        <v>7.4911479964424998</v>
      </c>
      <c r="I113" s="273"/>
      <c r="K113" s="273"/>
    </row>
    <row r="114" spans="2:11" ht="14.25" customHeight="1">
      <c r="B114" s="239">
        <v>2016</v>
      </c>
      <c r="C114" s="354">
        <f>SUM('IP 5D2 2021'!BD13:BD25)</f>
        <v>1969297.1</v>
      </c>
      <c r="D114" s="283">
        <f>'Fac Conv'!$H$15</f>
        <v>13</v>
      </c>
      <c r="E114" s="283">
        <f>'Fac Conv'!$K$15</f>
        <v>4.0999999999999996</v>
      </c>
      <c r="F114" s="283">
        <f t="shared" si="39"/>
        <v>104963535.42999999</v>
      </c>
      <c r="G114" s="694">
        <f>'IP 5D2 FETipos de tratamiento'!$J$12</f>
        <v>7.4999999999999997E-2</v>
      </c>
      <c r="H114" s="283">
        <f t="shared" si="40"/>
        <v>7.8722651572499993</v>
      </c>
      <c r="I114" s="273"/>
      <c r="K114" s="273"/>
    </row>
    <row r="115" spans="2:11" ht="14.25" customHeight="1">
      <c r="B115" s="239">
        <v>2017</v>
      </c>
      <c r="C115" s="354">
        <f>SUM('IP 5D2 2021'!BF13:BF25)</f>
        <v>2031756.281</v>
      </c>
      <c r="D115" s="283">
        <f>'Fac Conv'!$H$15</f>
        <v>13</v>
      </c>
      <c r="E115" s="283">
        <f>'Fac Conv'!$K$15</f>
        <v>4.0999999999999996</v>
      </c>
      <c r="F115" s="283">
        <f t="shared" si="39"/>
        <v>108292609.7773</v>
      </c>
      <c r="G115" s="694">
        <f>'IP 5D2 FETipos de tratamiento'!$J$12</f>
        <v>7.4999999999999997E-2</v>
      </c>
      <c r="H115" s="283">
        <f t="shared" si="40"/>
        <v>8.1219457332974994</v>
      </c>
      <c r="I115" s="273"/>
      <c r="K115" s="273"/>
    </row>
    <row r="116" spans="2:11" ht="14.25" customHeight="1">
      <c r="B116" s="239">
        <v>2018</v>
      </c>
      <c r="C116" s="354">
        <f>SUM('IP 5D2 2021'!BH13:BH25)</f>
        <v>2171516</v>
      </c>
      <c r="D116" s="283">
        <f>'Fac Conv'!$H$15</f>
        <v>13</v>
      </c>
      <c r="E116" s="283">
        <f>'Fac Conv'!$K$15</f>
        <v>4.0999999999999996</v>
      </c>
      <c r="F116" s="283">
        <f t="shared" si="39"/>
        <v>115741802.8</v>
      </c>
      <c r="G116" s="694">
        <f>'IP 5D2 FETipos de tratamiento'!$J$12</f>
        <v>7.4999999999999997E-2</v>
      </c>
      <c r="H116" s="283">
        <f t="shared" si="40"/>
        <v>8.6806352099999984</v>
      </c>
      <c r="I116" s="273"/>
      <c r="K116" s="273"/>
    </row>
    <row r="117" spans="2:11" ht="14.25" customHeight="1">
      <c r="B117" s="239">
        <v>2019</v>
      </c>
      <c r="C117" s="354">
        <f>SUM('IP 5D2 2021'!BJ13:BJ25)</f>
        <v>2247004.56</v>
      </c>
      <c r="D117" s="283">
        <f>'Fac Conv'!$H$15</f>
        <v>13</v>
      </c>
      <c r="E117" s="283">
        <f>'Fac Conv'!$K$15</f>
        <v>4.0999999999999996</v>
      </c>
      <c r="F117" s="283">
        <f t="shared" si="39"/>
        <v>119765343.04799999</v>
      </c>
      <c r="G117" s="694">
        <f>'IP 5D2 FETipos de tratamiento'!$J$12</f>
        <v>7.4999999999999997E-2</v>
      </c>
      <c r="H117" s="283">
        <f t="shared" si="40"/>
        <v>8.9824007285999983</v>
      </c>
      <c r="I117" s="273"/>
      <c r="K117" s="273"/>
    </row>
    <row r="118" spans="2:11" ht="14.25" customHeight="1">
      <c r="B118" s="239">
        <v>2020</v>
      </c>
      <c r="C118" s="354">
        <f>SUM('IP 5D2 2021'!BL13:BL25)</f>
        <v>2191764.1</v>
      </c>
      <c r="D118" s="283">
        <f>'Fac Conv'!$H$15</f>
        <v>13</v>
      </c>
      <c r="E118" s="283">
        <f>'Fac Conv'!$K$15</f>
        <v>4.0999999999999996</v>
      </c>
      <c r="F118" s="283">
        <f t="shared" si="39"/>
        <v>116821026.52999999</v>
      </c>
      <c r="G118" s="694">
        <f>'IP 5D2 FETipos de tratamiento'!$J$12</f>
        <v>7.4999999999999997E-2</v>
      </c>
      <c r="H118" s="283">
        <f t="shared" si="40"/>
        <v>8.7615769897499973</v>
      </c>
      <c r="I118" s="273"/>
      <c r="K118" s="273"/>
    </row>
    <row r="119" spans="2:11" ht="14.25" customHeight="1">
      <c r="B119" s="239">
        <v>2021</v>
      </c>
      <c r="C119" s="354">
        <f>SUM('IP 5D2 2021'!BN13:BN25)</f>
        <v>2229884.0120000001</v>
      </c>
      <c r="D119" s="283">
        <f>'Fac Conv'!$H$15</f>
        <v>13</v>
      </c>
      <c r="E119" s="283">
        <f>'Fac Conv'!$K$15</f>
        <v>4.0999999999999996</v>
      </c>
      <c r="F119" s="283">
        <f t="shared" si="39"/>
        <v>118852817.8396</v>
      </c>
      <c r="G119" s="694">
        <f>'IP 5D2 FETipos de tratamiento'!$J$12</f>
        <v>7.4999999999999997E-2</v>
      </c>
      <c r="H119" s="283">
        <f t="shared" si="40"/>
        <v>8.9139613379699991</v>
      </c>
      <c r="I119" s="273"/>
      <c r="K119" s="273"/>
    </row>
    <row r="120" spans="2:11" ht="14.25" customHeight="1">
      <c r="B120" s="239">
        <v>2022</v>
      </c>
      <c r="C120" s="354">
        <f>SUM('IP 5D2 2021'!BP13:BP25)</f>
        <v>2279997.2719999999</v>
      </c>
      <c r="D120" s="283">
        <f>'Fac Conv'!$H$15</f>
        <v>13</v>
      </c>
      <c r="E120" s="283">
        <f>'Fac Conv'!$K$15</f>
        <v>4.0999999999999996</v>
      </c>
      <c r="F120" s="283">
        <f t="shared" ref="F120" si="41">C120*D120*E120</f>
        <v>121523854.59759998</v>
      </c>
      <c r="G120" s="694">
        <f>'IP 5D2 FETipos de tratamiento'!$J$12</f>
        <v>7.4999999999999997E-2</v>
      </c>
      <c r="H120" s="283">
        <f t="shared" ref="H120" si="42">(F120*G120)/1000000</f>
        <v>9.1142890948199984</v>
      </c>
      <c r="I120" s="273"/>
      <c r="K120" s="273"/>
    </row>
    <row r="121" spans="2:11" ht="14.25" customHeight="1">
      <c r="B121" s="32"/>
      <c r="C121" s="365"/>
      <c r="D121" s="366"/>
      <c r="E121" s="366"/>
      <c r="F121" s="366"/>
      <c r="G121" s="696"/>
      <c r="H121" s="366"/>
      <c r="I121" s="273"/>
      <c r="K121" s="273"/>
    </row>
    <row r="122" spans="2:11" ht="14.25" customHeight="1">
      <c r="B122" s="278" t="s">
        <v>314</v>
      </c>
      <c r="C122" s="356"/>
      <c r="D122" s="356"/>
      <c r="E122" s="356"/>
      <c r="F122" s="356"/>
      <c r="G122" s="356"/>
      <c r="H122" s="356"/>
      <c r="I122" s="273"/>
      <c r="K122" s="273"/>
    </row>
    <row r="123" spans="2:11" s="32" customFormat="1" ht="14.25" customHeight="1">
      <c r="B123" s="239">
        <v>1990</v>
      </c>
      <c r="C123" s="354">
        <f>SUM('IP 5D2 2021'!E26:E31)+SUM('IP 5D2 2021'!E45:E47)</f>
        <v>0</v>
      </c>
      <c r="D123" s="283">
        <f>'Fac Conv'!$H$24</f>
        <v>20</v>
      </c>
      <c r="E123" s="283">
        <f>'Fac Conv'!$K$24</f>
        <v>5</v>
      </c>
      <c r="F123" s="283">
        <f t="shared" ref="F123:F154" si="43">C123*D123*E123</f>
        <v>0</v>
      </c>
      <c r="G123" s="695">
        <f>'IP 5D2 FETipos de tratamiento'!S35</f>
        <v>9.5248259310058037E-2</v>
      </c>
      <c r="H123" s="283">
        <f t="shared" ref="H123:H154" si="44">(F123*G123)/1000000</f>
        <v>0</v>
      </c>
      <c r="I123" s="273"/>
      <c r="K123" s="273"/>
    </row>
    <row r="124" spans="2:11" s="32" customFormat="1" ht="14.25" customHeight="1">
      <c r="B124" s="239">
        <v>1991</v>
      </c>
      <c r="C124" s="354">
        <f>SUM('IP 5D2 2021'!F26:F31)+SUM('IP 5D2 2021'!F45:F47)</f>
        <v>0</v>
      </c>
      <c r="D124" s="283">
        <f>'Fac Conv'!$H$24</f>
        <v>20</v>
      </c>
      <c r="E124" s="283">
        <f>'Fac Conv'!$K$24</f>
        <v>5</v>
      </c>
      <c r="F124" s="283">
        <f t="shared" si="43"/>
        <v>0</v>
      </c>
      <c r="G124" s="695">
        <f>'IP 5D2 FETipos de tratamiento'!S36</f>
        <v>9.5248259310058009E-2</v>
      </c>
      <c r="H124" s="283">
        <f t="shared" si="44"/>
        <v>0</v>
      </c>
      <c r="I124" s="273"/>
      <c r="K124" s="273"/>
    </row>
    <row r="125" spans="2:11" s="32" customFormat="1" ht="14.25" customHeight="1">
      <c r="B125" s="239">
        <v>1992</v>
      </c>
      <c r="C125" s="354">
        <f>SUM('IP 5D2 2021'!H26:H31)+SUM('IP 5D2 2021'!H45:H47)</f>
        <v>0</v>
      </c>
      <c r="D125" s="283">
        <f>'Fac Conv'!$H$24</f>
        <v>20</v>
      </c>
      <c r="E125" s="283">
        <f>'Fac Conv'!$K$24</f>
        <v>5</v>
      </c>
      <c r="F125" s="283">
        <f t="shared" si="43"/>
        <v>0</v>
      </c>
      <c r="G125" s="695">
        <f>'IP 5D2 FETipos de tratamiento'!S37</f>
        <v>9.524825931005805E-2</v>
      </c>
      <c r="H125" s="283">
        <f t="shared" si="44"/>
        <v>0</v>
      </c>
      <c r="I125" s="273"/>
      <c r="K125" s="273"/>
    </row>
    <row r="126" spans="2:11" s="32" customFormat="1" ht="14.25" customHeight="1">
      <c r="B126" s="239">
        <v>1993</v>
      </c>
      <c r="C126" s="354">
        <f>SUM('IP 5D2 2021'!J26:J31)+SUM('IP 5D2 2021'!J45:J47)</f>
        <v>0</v>
      </c>
      <c r="D126" s="283">
        <f>'Fac Conv'!$H$24</f>
        <v>20</v>
      </c>
      <c r="E126" s="283">
        <f>'Fac Conv'!$K$24</f>
        <v>5</v>
      </c>
      <c r="F126" s="283">
        <f t="shared" si="43"/>
        <v>0</v>
      </c>
      <c r="G126" s="695">
        <f>'IP 5D2 FETipos de tratamiento'!S38</f>
        <v>9.5248259310058009E-2</v>
      </c>
      <c r="H126" s="283">
        <f t="shared" si="44"/>
        <v>0</v>
      </c>
      <c r="I126" s="273"/>
      <c r="K126" s="273"/>
    </row>
    <row r="127" spans="2:11" s="32" customFormat="1" ht="14.25" customHeight="1">
      <c r="B127" s="239">
        <v>1994</v>
      </c>
      <c r="C127" s="354">
        <f>SUM('IP 5D2 2021'!L26:L31)+SUM('IP 5D2 2021'!L45:L47)</f>
        <v>0</v>
      </c>
      <c r="D127" s="283">
        <f>'Fac Conv'!$H$24</f>
        <v>20</v>
      </c>
      <c r="E127" s="283">
        <f>'Fac Conv'!$K$24</f>
        <v>5</v>
      </c>
      <c r="F127" s="283">
        <f t="shared" si="43"/>
        <v>0</v>
      </c>
      <c r="G127" s="695">
        <f>'IP 5D2 FETipos de tratamiento'!S39</f>
        <v>9.5248259310058009E-2</v>
      </c>
      <c r="H127" s="283">
        <f t="shared" si="44"/>
        <v>0</v>
      </c>
      <c r="I127" s="273"/>
      <c r="K127" s="273"/>
    </row>
    <row r="128" spans="2:11" s="32" customFormat="1" ht="14.25" customHeight="1">
      <c r="B128" s="239">
        <v>1995</v>
      </c>
      <c r="C128" s="354">
        <f>SUM('IP 5D2 2021'!N26:N31)+SUM('IP 5D2 2021'!N45:N47)</f>
        <v>35532.891886000005</v>
      </c>
      <c r="D128" s="283">
        <f>'Fac Conv'!$H$24</f>
        <v>20</v>
      </c>
      <c r="E128" s="283">
        <f>'Fac Conv'!$K$24</f>
        <v>5</v>
      </c>
      <c r="F128" s="283">
        <f t="shared" si="43"/>
        <v>3553289.1886000005</v>
      </c>
      <c r="G128" s="695">
        <f>'IP 5D2 FETipos de tratamiento'!S40</f>
        <v>9.5248259310058023E-2</v>
      </c>
      <c r="H128" s="283">
        <f t="shared" si="44"/>
        <v>0.33844461003939852</v>
      </c>
      <c r="I128" s="273"/>
      <c r="K128" s="273"/>
    </row>
    <row r="129" spans="2:11" s="32" customFormat="1" ht="14.25" customHeight="1">
      <c r="B129" s="239">
        <v>1996</v>
      </c>
      <c r="C129" s="354">
        <f>SUM('IP 5D2 2021'!P26:P31)+SUM('IP 5D2 2021'!P45:P47)</f>
        <v>44974.100620000005</v>
      </c>
      <c r="D129" s="283">
        <f>'Fac Conv'!$H$24</f>
        <v>20</v>
      </c>
      <c r="E129" s="283">
        <f>'Fac Conv'!$K$24</f>
        <v>5</v>
      </c>
      <c r="F129" s="283">
        <f t="shared" si="43"/>
        <v>4497410.0620000008</v>
      </c>
      <c r="G129" s="695">
        <f>'IP 5D2 FETipos de tratamiento'!S41</f>
        <v>9.5248259310058023E-2</v>
      </c>
      <c r="H129" s="283">
        <f t="shared" si="44"/>
        <v>0.42837047980904019</v>
      </c>
      <c r="I129" s="273"/>
      <c r="K129" s="273"/>
    </row>
    <row r="130" spans="2:11" s="32" customFormat="1" ht="14.25" customHeight="1">
      <c r="B130" s="239">
        <v>1997</v>
      </c>
      <c r="C130" s="354">
        <f>SUM('IP 5D2 2021'!R26:R31)+SUM('IP 5D2 2021'!R45:R47)</f>
        <v>53693.848642999998</v>
      </c>
      <c r="D130" s="283">
        <f>'Fac Conv'!$H$24</f>
        <v>20</v>
      </c>
      <c r="E130" s="283">
        <f>'Fac Conv'!$K$24</f>
        <v>5</v>
      </c>
      <c r="F130" s="283">
        <f t="shared" si="43"/>
        <v>5369384.8642999995</v>
      </c>
      <c r="G130" s="695">
        <f>'IP 5D2 FETipos de tratamiento'!S42</f>
        <v>9.5248259310058009E-2</v>
      </c>
      <c r="H130" s="283">
        <f t="shared" si="44"/>
        <v>0.51142456189034702</v>
      </c>
      <c r="I130" s="273"/>
      <c r="K130" s="273"/>
    </row>
    <row r="131" spans="2:11" s="32" customFormat="1" ht="14.25" customHeight="1">
      <c r="B131" s="239">
        <v>1998</v>
      </c>
      <c r="C131" s="354">
        <f>SUM('IP 5D2 2021'!T26:T31)+SUM('IP 5D2 2021'!T45:T47)</f>
        <v>70848.031522999998</v>
      </c>
      <c r="D131" s="283">
        <f>'Fac Conv'!$H$24</f>
        <v>20</v>
      </c>
      <c r="E131" s="283">
        <f>'Fac Conv'!$K$24</f>
        <v>5</v>
      </c>
      <c r="F131" s="283">
        <f t="shared" si="43"/>
        <v>7084803.1522999993</v>
      </c>
      <c r="G131" s="695">
        <f>'IP 5D2 FETipos de tratamiento'!S43</f>
        <v>9.5248259310058009E-2</v>
      </c>
      <c r="H131" s="283">
        <f t="shared" si="44"/>
        <v>0.67481516781098672</v>
      </c>
      <c r="I131" s="273"/>
      <c r="K131" s="273"/>
    </row>
    <row r="132" spans="2:11" s="32" customFormat="1" ht="14.25" customHeight="1">
      <c r="B132" s="239">
        <v>1999</v>
      </c>
      <c r="C132" s="354">
        <f>SUM('IP 5D2 2021'!V26:V31)+SUM('IP 5D2 2021'!V45:V47)</f>
        <v>71675.618130000003</v>
      </c>
      <c r="D132" s="283">
        <f>'Fac Conv'!$H$24</f>
        <v>20</v>
      </c>
      <c r="E132" s="283">
        <f>'Fac Conv'!$K$24</f>
        <v>5</v>
      </c>
      <c r="F132" s="283">
        <f t="shared" si="43"/>
        <v>7167561.813000001</v>
      </c>
      <c r="G132" s="695">
        <f>'IP 5D2 FETipos de tratamiento'!S44</f>
        <v>9.5248259310058009E-2</v>
      </c>
      <c r="H132" s="283">
        <f t="shared" si="44"/>
        <v>0.68269778618549359</v>
      </c>
      <c r="I132" s="281"/>
      <c r="K132" s="273"/>
    </row>
    <row r="133" spans="2:11" ht="14.25" customHeight="1">
      <c r="B133" s="239">
        <v>2000</v>
      </c>
      <c r="C133" s="354">
        <f>SUM('IP 5D2 2021'!X26:X31)+SUM('IP 5D2 2021'!X45:X47)</f>
        <v>66638.891235999996</v>
      </c>
      <c r="D133" s="283">
        <f>'Fac Conv'!$H$24</f>
        <v>20</v>
      </c>
      <c r="E133" s="283">
        <f>'Fac Conv'!$K$24</f>
        <v>5</v>
      </c>
      <c r="F133" s="283">
        <f t="shared" si="43"/>
        <v>6663889.1235999996</v>
      </c>
      <c r="G133" s="695">
        <f>'IP 5D2 FETipos de tratamiento'!S45</f>
        <v>9.5248259310058009E-2</v>
      </c>
      <c r="H133" s="283">
        <f t="shared" si="44"/>
        <v>0.63472383925812792</v>
      </c>
      <c r="I133" s="273"/>
      <c r="K133" s="273"/>
    </row>
    <row r="134" spans="2:11" ht="14.25" customHeight="1">
      <c r="B134" s="239">
        <v>2001</v>
      </c>
      <c r="C134" s="354">
        <f>SUM('IP 5D2 2021'!Z26:Z31)+SUM('IP 5D2 2021'!Z45:Z47)</f>
        <v>66244.464502000003</v>
      </c>
      <c r="D134" s="283">
        <f>'Fac Conv'!$H$24</f>
        <v>20</v>
      </c>
      <c r="E134" s="283">
        <f>'Fac Conv'!$K$24</f>
        <v>5</v>
      </c>
      <c r="F134" s="283">
        <f t="shared" si="43"/>
        <v>6624446.4502000008</v>
      </c>
      <c r="G134" s="695">
        <f>'IP 5D2 FETipos de tratamiento'!S46</f>
        <v>9.5248259310058037E-2</v>
      </c>
      <c r="H134" s="283">
        <f t="shared" si="44"/>
        <v>0.6309669932742431</v>
      </c>
      <c r="I134" s="273"/>
      <c r="K134" s="273"/>
    </row>
    <row r="135" spans="2:11" ht="14.25" customHeight="1">
      <c r="B135" s="239">
        <v>2002</v>
      </c>
      <c r="C135" s="354">
        <f>SUM('IP 5D2 2021'!AB26:AB31)+SUM('IP 5D2 2021'!AB45:AB47)</f>
        <v>66084.073591000008</v>
      </c>
      <c r="D135" s="283">
        <f>'Fac Conv'!$H$24</f>
        <v>20</v>
      </c>
      <c r="E135" s="283">
        <f>'Fac Conv'!$K$24</f>
        <v>5</v>
      </c>
      <c r="F135" s="283">
        <f t="shared" si="43"/>
        <v>6608407.3591000009</v>
      </c>
      <c r="G135" s="695">
        <f>'IP 5D2 FETipos de tratamiento'!S47</f>
        <v>9.5248259310058009E-2</v>
      </c>
      <c r="H135" s="283">
        <f t="shared" si="44"/>
        <v>0.62943929776605256</v>
      </c>
      <c r="I135" s="273"/>
      <c r="K135" s="273"/>
    </row>
    <row r="136" spans="2:11" ht="14.25" customHeight="1">
      <c r="B136" s="239">
        <v>2003</v>
      </c>
      <c r="C136" s="354">
        <f>SUM('IP 5D2 2021'!AD26:AD31)+SUM('IP 5D2 2021'!AD45:AD47)</f>
        <v>70682.007499999992</v>
      </c>
      <c r="D136" s="283">
        <f>'Fac Conv'!$H$24</f>
        <v>20</v>
      </c>
      <c r="E136" s="283">
        <f>'Fac Conv'!$K$24</f>
        <v>5</v>
      </c>
      <c r="F136" s="283">
        <f t="shared" si="43"/>
        <v>7068200.75</v>
      </c>
      <c r="G136" s="695">
        <f>'IP 5D2 FETipos de tratamiento'!S48</f>
        <v>9.5248259310058009E-2</v>
      </c>
      <c r="H136" s="283">
        <f t="shared" si="44"/>
        <v>0.67323381789154657</v>
      </c>
      <c r="I136" s="273"/>
      <c r="K136" s="273"/>
    </row>
    <row r="137" spans="2:11" ht="14.25" customHeight="1">
      <c r="B137" s="239">
        <v>2004</v>
      </c>
      <c r="C137" s="354">
        <f>SUM('IP 5D2 2021'!AF26:AF31)+SUM('IP 5D2 2021'!AF45:AF47)</f>
        <v>73724.203299999994</v>
      </c>
      <c r="D137" s="283">
        <f>'Fac Conv'!$H$24</f>
        <v>20</v>
      </c>
      <c r="E137" s="283">
        <f>'Fac Conv'!$K$24</f>
        <v>5</v>
      </c>
      <c r="F137" s="283">
        <f t="shared" si="43"/>
        <v>7372420.3299999991</v>
      </c>
      <c r="G137" s="695">
        <f>'IP 5D2 FETipos de tratamiento'!S49</f>
        <v>9.5248259310058037E-2</v>
      </c>
      <c r="H137" s="283">
        <f t="shared" si="44"/>
        <v>0.7022102033345835</v>
      </c>
      <c r="I137" s="273"/>
      <c r="K137" s="273"/>
    </row>
    <row r="138" spans="2:11" ht="14.25" customHeight="1">
      <c r="B138" s="239">
        <v>2005</v>
      </c>
      <c r="C138" s="354">
        <f>SUM('IP 5D2 2021'!AH26:AH31)+SUM('IP 5D2 2021'!AH45:AH47)</f>
        <v>96776.279599999994</v>
      </c>
      <c r="D138" s="283">
        <f>'Fac Conv'!$H$24</f>
        <v>20</v>
      </c>
      <c r="E138" s="283">
        <f>'Fac Conv'!$K$24</f>
        <v>5</v>
      </c>
      <c r="F138" s="283">
        <f t="shared" si="43"/>
        <v>9677627.959999999</v>
      </c>
      <c r="G138" s="695">
        <f>'IP 5D2 FETipos de tratamiento'!S50</f>
        <v>9.5248259310058037E-2</v>
      </c>
      <c r="H138" s="283">
        <f t="shared" si="44"/>
        <v>0.92177721744034791</v>
      </c>
      <c r="I138" s="273"/>
      <c r="K138" s="273"/>
    </row>
    <row r="139" spans="2:11" ht="14.25" customHeight="1">
      <c r="B139" s="239">
        <v>2006</v>
      </c>
      <c r="C139" s="354">
        <f>SUM('IP 5D2 2021'!AJ26:AJ31)+SUM('IP 5D2 2021'!AJ45:AJ47)</f>
        <v>147244.0527</v>
      </c>
      <c r="D139" s="283">
        <f>'Fac Conv'!$H$24</f>
        <v>20</v>
      </c>
      <c r="E139" s="283">
        <f>'Fac Conv'!$K$24</f>
        <v>5</v>
      </c>
      <c r="F139" s="283">
        <f t="shared" si="43"/>
        <v>14724405.27</v>
      </c>
      <c r="G139" s="695">
        <f>'IP 5D2 FETipos de tratamiento'!S51</f>
        <v>9.5248259310058037E-2</v>
      </c>
      <c r="H139" s="283">
        <f t="shared" si="44"/>
        <v>1.4024739713433449</v>
      </c>
      <c r="I139" s="273"/>
      <c r="K139" s="273"/>
    </row>
    <row r="140" spans="2:11" ht="14.25" customHeight="1">
      <c r="B140" s="239">
        <v>2007</v>
      </c>
      <c r="C140" s="354">
        <f>SUM('IP 5D2 2021'!AL26:AL31)+SUM('IP 5D2 2021'!AL45:AL47)</f>
        <v>264117.4314</v>
      </c>
      <c r="D140" s="283">
        <f>'Fac Conv'!$H$24</f>
        <v>20</v>
      </c>
      <c r="E140" s="283">
        <f>'Fac Conv'!$K$24</f>
        <v>5</v>
      </c>
      <c r="F140" s="283">
        <f t="shared" si="43"/>
        <v>26411743.140000001</v>
      </c>
      <c r="G140" s="695">
        <f>'IP 5D2 FETipos de tratamiento'!S52</f>
        <v>9.5248259310058037E-2</v>
      </c>
      <c r="H140" s="283">
        <f t="shared" si="44"/>
        <v>2.5156725594293667</v>
      </c>
      <c r="I140" s="273"/>
      <c r="K140" s="273"/>
    </row>
    <row r="141" spans="2:11" ht="14.25" customHeight="1">
      <c r="B141" s="239">
        <v>2008</v>
      </c>
      <c r="C141" s="354">
        <f>SUM('IP 5D2 2021'!AN26:AN31)+SUM('IP 5D2 2021'!AN45:AN47)</f>
        <v>357695.21269999997</v>
      </c>
      <c r="D141" s="283">
        <f>'Fac Conv'!$H$24</f>
        <v>20</v>
      </c>
      <c r="E141" s="283">
        <f>'Fac Conv'!$K$24</f>
        <v>5</v>
      </c>
      <c r="F141" s="283">
        <f t="shared" si="43"/>
        <v>35769521.269999996</v>
      </c>
      <c r="G141" s="695">
        <f>'IP 5D2 FETipos de tratamiento'!S53</f>
        <v>9.5248259310058037E-2</v>
      </c>
      <c r="H141" s="283">
        <f t="shared" si="44"/>
        <v>3.406984637321596</v>
      </c>
      <c r="I141" s="273"/>
      <c r="K141" s="273"/>
    </row>
    <row r="142" spans="2:11" ht="14.25" customHeight="1">
      <c r="B142" s="239">
        <v>2009</v>
      </c>
      <c r="C142" s="354">
        <f>SUM('IP 5D2 2021'!AP26:AP31)+SUM('IP 5D2 2021'!AP45:AP47)</f>
        <v>329342.13650000002</v>
      </c>
      <c r="D142" s="283">
        <f>'Fac Conv'!$H$24</f>
        <v>20</v>
      </c>
      <c r="E142" s="283">
        <f>'Fac Conv'!$K$24</f>
        <v>5</v>
      </c>
      <c r="F142" s="283">
        <f t="shared" si="43"/>
        <v>32934213.650000002</v>
      </c>
      <c r="G142" s="695">
        <f>'IP 5D2 FETipos de tratamiento'!S54</f>
        <v>9.5248259310058009E-2</v>
      </c>
      <c r="H142" s="283">
        <f t="shared" si="44"/>
        <v>3.1369265219080522</v>
      </c>
      <c r="I142" s="273"/>
      <c r="K142" s="273"/>
    </row>
    <row r="143" spans="2:11" ht="14.25" customHeight="1">
      <c r="B143" s="239">
        <v>2010</v>
      </c>
      <c r="C143" s="354">
        <f>SUM('IP 5D2 2021'!AR26:AR31)+SUM('IP 5D2 2021'!AR45:AR47)</f>
        <v>354310.33309999999</v>
      </c>
      <c r="D143" s="283">
        <f>'Fac Conv'!$H$24</f>
        <v>20</v>
      </c>
      <c r="E143" s="283">
        <f>'Fac Conv'!$K$24</f>
        <v>5</v>
      </c>
      <c r="F143" s="283">
        <f t="shared" si="43"/>
        <v>35431033.309999995</v>
      </c>
      <c r="G143" s="695">
        <f>'IP 5D2 FETipos de tratamiento'!S55</f>
        <v>9.5248259310058009E-2</v>
      </c>
      <c r="H143" s="283">
        <f t="shared" si="44"/>
        <v>3.3747442483341823</v>
      </c>
      <c r="I143" s="273"/>
      <c r="K143" s="273"/>
    </row>
    <row r="144" spans="2:11" ht="14.25" customHeight="1">
      <c r="B144" s="239">
        <v>2011</v>
      </c>
      <c r="C144" s="354">
        <f>SUM('IP 5D2 2021'!AT26:AT31)+SUM('IP 5D2 2021'!AT45:AT47)</f>
        <v>390380.15649999998</v>
      </c>
      <c r="D144" s="283">
        <f>'Fac Conv'!$H$24</f>
        <v>20</v>
      </c>
      <c r="E144" s="283">
        <f>'Fac Conv'!$K$24</f>
        <v>5</v>
      </c>
      <c r="F144" s="283">
        <f t="shared" si="43"/>
        <v>39038015.649999999</v>
      </c>
      <c r="G144" s="695">
        <f>'IP 5D2 FETipos de tratamiento'!S56</f>
        <v>9.5248259310058023E-2</v>
      </c>
      <c r="H144" s="283">
        <f t="shared" si="44"/>
        <v>3.7183030375813031</v>
      </c>
      <c r="I144" s="273"/>
      <c r="K144" s="273"/>
    </row>
    <row r="145" spans="2:11" ht="14.25" customHeight="1">
      <c r="B145" s="239">
        <v>2012</v>
      </c>
      <c r="C145" s="354">
        <f>SUM('IP 5D2 2021'!AV26:AV31)+SUM('IP 5D2 2021'!AV45:AV47)</f>
        <v>365267.67100000003</v>
      </c>
      <c r="D145" s="283">
        <f>'Fac Conv'!$H$24</f>
        <v>20</v>
      </c>
      <c r="E145" s="283">
        <f>'Fac Conv'!$K$24</f>
        <v>5</v>
      </c>
      <c r="F145" s="283">
        <f t="shared" si="43"/>
        <v>36526767.100000001</v>
      </c>
      <c r="G145" s="695">
        <f>'IP 5D2 FETipos de tratamiento'!S57</f>
        <v>9.5248259310058037E-2</v>
      </c>
      <c r="H145" s="283">
        <f t="shared" si="44"/>
        <v>3.4791109844988966</v>
      </c>
      <c r="I145" s="273"/>
      <c r="K145" s="273"/>
    </row>
    <row r="146" spans="2:11" ht="14.25" customHeight="1">
      <c r="B146" s="239">
        <v>2013</v>
      </c>
      <c r="C146" s="354">
        <f>SUM('IP 5D2 2021'!AX26:AX31)+SUM('IP 5D2 2021'!AX45:AX47)</f>
        <v>336658.25800000003</v>
      </c>
      <c r="D146" s="283">
        <f>'Fac Conv'!$H$24</f>
        <v>20</v>
      </c>
      <c r="E146" s="283">
        <f>'Fac Conv'!$K$24</f>
        <v>5</v>
      </c>
      <c r="F146" s="283">
        <f t="shared" si="43"/>
        <v>33665825.799999997</v>
      </c>
      <c r="G146" s="695">
        <f>'IP 5D2 FETipos de tratamiento'!S58</f>
        <v>8.7926985724763776E-2</v>
      </c>
      <c r="H146" s="283">
        <f t="shared" si="44"/>
        <v>2.9601345845289835</v>
      </c>
      <c r="I146" s="273"/>
      <c r="K146" s="273"/>
    </row>
    <row r="147" spans="2:11" ht="14.25" customHeight="1">
      <c r="B147" s="239">
        <v>2014</v>
      </c>
      <c r="C147" s="354">
        <f>SUM('IP 5D2 2021'!AZ26:AZ31)+SUM('IP 5D2 2021'!AZ45:AZ47)</f>
        <v>362077.02800000005</v>
      </c>
      <c r="D147" s="283">
        <f>'Fac Conv'!$H$24</f>
        <v>20</v>
      </c>
      <c r="E147" s="283">
        <f>'Fac Conv'!$K$24</f>
        <v>5</v>
      </c>
      <c r="F147" s="283">
        <f t="shared" si="43"/>
        <v>36207702.800000004</v>
      </c>
      <c r="G147" s="695">
        <f>'IP 5D2 FETipos de tratamiento'!S59</f>
        <v>8.0605712139469529E-2</v>
      </c>
      <c r="H147" s="283">
        <f t="shared" si="44"/>
        <v>2.918547669128265</v>
      </c>
      <c r="I147" s="273"/>
      <c r="K147" s="273"/>
    </row>
    <row r="148" spans="2:11" ht="14.25" customHeight="1">
      <c r="B148" s="239">
        <v>2015</v>
      </c>
      <c r="C148" s="354">
        <f>SUM('IP 5D2 2021'!BB26:BB31)+SUM('IP 5D2 2021'!BB45:BB47)</f>
        <v>369079.40899999999</v>
      </c>
      <c r="D148" s="283">
        <f>'Fac Conv'!$H$24</f>
        <v>20</v>
      </c>
      <c r="E148" s="283">
        <f>'Fac Conv'!$K$24</f>
        <v>5</v>
      </c>
      <c r="F148" s="283">
        <f t="shared" si="43"/>
        <v>36907940.899999999</v>
      </c>
      <c r="G148" s="695">
        <f>'IP 5D2 FETipos de tratamiento'!S60</f>
        <v>7.3284438554175282E-2</v>
      </c>
      <c r="H148" s="283">
        <f t="shared" si="44"/>
        <v>2.7047777270471824</v>
      </c>
      <c r="I148" s="273"/>
      <c r="K148" s="273"/>
    </row>
    <row r="149" spans="2:11" ht="14.25" customHeight="1">
      <c r="B149" s="239">
        <v>2016</v>
      </c>
      <c r="C149" s="354">
        <f>SUM('IP 5D2 2021'!BD26:BD31)+SUM('IP 5D2 2021'!BD45:BD47)</f>
        <v>384995.63199999998</v>
      </c>
      <c r="D149" s="283">
        <f>'Fac Conv'!$H$24</f>
        <v>20</v>
      </c>
      <c r="E149" s="283">
        <f>'Fac Conv'!$K$24</f>
        <v>5</v>
      </c>
      <c r="F149" s="283">
        <f t="shared" si="43"/>
        <v>38499563.199999996</v>
      </c>
      <c r="G149" s="695">
        <f>'IP 5D2 FETipos de tratamiento'!S61</f>
        <v>6.5963164968881036E-2</v>
      </c>
      <c r="H149" s="283">
        <f t="shared" si="44"/>
        <v>2.5395530385914613</v>
      </c>
      <c r="I149" s="273"/>
      <c r="K149" s="273"/>
    </row>
    <row r="150" spans="2:11" ht="14.25" customHeight="1">
      <c r="B150" s="239">
        <v>2017</v>
      </c>
      <c r="C150" s="354">
        <f>SUM('IP 5D2 2021'!BF26:BF31)+SUM('IP 5D2 2021'!BF45:BF47)</f>
        <v>371953.24599999998</v>
      </c>
      <c r="D150" s="283">
        <f>'Fac Conv'!$H$24</f>
        <v>20</v>
      </c>
      <c r="E150" s="283">
        <f>'Fac Conv'!$K$24</f>
        <v>5</v>
      </c>
      <c r="F150" s="283">
        <f t="shared" si="43"/>
        <v>37195324.600000001</v>
      </c>
      <c r="G150" s="695">
        <f>'IP 5D2 FETipos de tratamiento'!S62</f>
        <v>5.8641891383586796E-2</v>
      </c>
      <c r="H150" s="283">
        <f t="shared" si="44"/>
        <v>2.1812041851704538</v>
      </c>
      <c r="I150" s="273"/>
      <c r="K150" s="273"/>
    </row>
    <row r="151" spans="2:11" ht="14.25" customHeight="1">
      <c r="B151" s="239">
        <v>2018</v>
      </c>
      <c r="C151" s="354">
        <f>SUM('IP 5D2 2021'!BH26:BH31)+SUM('IP 5D2 2021'!BH45:BH47)</f>
        <v>339328.89199999999</v>
      </c>
      <c r="D151" s="283">
        <f>'Fac Conv'!$H$24</f>
        <v>20</v>
      </c>
      <c r="E151" s="283">
        <f>'Fac Conv'!$K$24</f>
        <v>5</v>
      </c>
      <c r="F151" s="283">
        <f t="shared" si="43"/>
        <v>33932889.200000003</v>
      </c>
      <c r="G151" s="695">
        <f>'IP 5D2 FETipos de tratamiento'!S63</f>
        <v>5.8641891383586796E-2</v>
      </c>
      <c r="H151" s="283">
        <f t="shared" si="44"/>
        <v>1.9898888027976855</v>
      </c>
      <c r="I151" s="273"/>
      <c r="K151" s="273"/>
    </row>
    <row r="152" spans="2:11" ht="14.25" customHeight="1">
      <c r="B152" s="239">
        <v>2019</v>
      </c>
      <c r="C152" s="354">
        <f>SUM('IP 5D2 2021'!BJ26:BJ31)+SUM('IP 5D2 2021'!BJ45:BJ47)</f>
        <v>348615.86499999999</v>
      </c>
      <c r="D152" s="283">
        <f>'Fac Conv'!$H$24</f>
        <v>20</v>
      </c>
      <c r="E152" s="283">
        <f>'Fac Conv'!$K$24</f>
        <v>5</v>
      </c>
      <c r="F152" s="283">
        <f t="shared" si="43"/>
        <v>34861586.5</v>
      </c>
      <c r="G152" s="695">
        <f>'IP 5D2 FETipos de tratamiento'!S64</f>
        <v>4.7907468206626412E-2</v>
      </c>
      <c r="H152" s="283">
        <f t="shared" si="44"/>
        <v>1.6701303468813065</v>
      </c>
      <c r="I152" s="273"/>
      <c r="K152" s="273"/>
    </row>
    <row r="153" spans="2:11" ht="14.25" customHeight="1">
      <c r="B153" s="239">
        <v>2020</v>
      </c>
      <c r="C153" s="354">
        <f>SUM('IP 5D2 2021'!BL26:BL31)+SUM('IP 5D2 2021'!BL45:BL47)</f>
        <v>353437.58400000003</v>
      </c>
      <c r="D153" s="283">
        <f>'Fac Conv'!$H$24</f>
        <v>20</v>
      </c>
      <c r="E153" s="283">
        <f>'Fac Conv'!$K$24</f>
        <v>5</v>
      </c>
      <c r="F153" s="283">
        <f t="shared" si="43"/>
        <v>35343758.400000006</v>
      </c>
      <c r="G153" s="695">
        <f>'IP 5D2 FETipos de tratamiento'!S65</f>
        <v>4.7907468206626419E-2</v>
      </c>
      <c r="H153" s="283">
        <f t="shared" si="44"/>
        <v>1.6932299818506857</v>
      </c>
      <c r="I153" s="273"/>
      <c r="K153" s="273"/>
    </row>
    <row r="154" spans="2:11" ht="14.25" customHeight="1">
      <c r="B154" s="239">
        <v>2021</v>
      </c>
      <c r="C154" s="354">
        <f>SUM('IP 5D2 2021'!BN26:BN31)+SUM('IP 5D2 2021'!BN45:BN47)</f>
        <v>357951.14500000002</v>
      </c>
      <c r="D154" s="283">
        <f>'Fac Conv'!$H$24</f>
        <v>20</v>
      </c>
      <c r="E154" s="283">
        <f>'Fac Conv'!$K$24</f>
        <v>5</v>
      </c>
      <c r="F154" s="283">
        <f t="shared" si="43"/>
        <v>35795114.5</v>
      </c>
      <c r="G154" s="695">
        <f>'IP 5D2 FETipos de tratamiento'!S66</f>
        <v>4.7907468206626419E-2</v>
      </c>
      <c r="H154" s="283">
        <f t="shared" si="44"/>
        <v>1.7148533098613024</v>
      </c>
      <c r="I154" s="273"/>
      <c r="K154" s="273"/>
    </row>
    <row r="155" spans="2:11" ht="14.25" customHeight="1">
      <c r="B155" s="239">
        <v>2022</v>
      </c>
      <c r="C155" s="354">
        <f>SUM('IP 5D2 2021'!BP26:BP31)+SUM('IP 5D2 2021'!BP45:BP47)</f>
        <v>361876.93900000001</v>
      </c>
      <c r="D155" s="283">
        <f>'Fac Conv'!$H$24</f>
        <v>20</v>
      </c>
      <c r="E155" s="283">
        <f>'Fac Conv'!$K$24</f>
        <v>5</v>
      </c>
      <c r="F155" s="283">
        <f t="shared" ref="F155" si="45">C155*D155*E155</f>
        <v>36187693.899999999</v>
      </c>
      <c r="G155" s="695">
        <f>'IP 5D2 FETipos de tratamiento'!S67</f>
        <v>4.7907468206626426E-2</v>
      </c>
      <c r="H155" s="283">
        <f t="shared" ref="H155" si="46">(F155*G155)/1000000</f>
        <v>1.7336607949853791</v>
      </c>
      <c r="I155" s="273"/>
      <c r="K155" s="273"/>
    </row>
    <row r="156" spans="2:11" ht="14.25" customHeight="1">
      <c r="B156" s="32"/>
      <c r="C156" s="365"/>
      <c r="D156" s="366"/>
      <c r="E156" s="366"/>
      <c r="F156" s="366"/>
      <c r="G156" s="366"/>
      <c r="H156" s="366"/>
      <c r="I156" s="273"/>
      <c r="K156" s="273"/>
    </row>
    <row r="157" spans="2:11" ht="14.25" customHeight="1">
      <c r="B157" s="278" t="s">
        <v>315</v>
      </c>
      <c r="C157" s="356"/>
      <c r="D157" s="356"/>
      <c r="E157" s="356"/>
      <c r="F157" s="356"/>
      <c r="G157" s="356"/>
      <c r="H157" s="356"/>
      <c r="I157" s="273"/>
      <c r="K157" s="273"/>
    </row>
    <row r="158" spans="2:11" s="32" customFormat="1" ht="14.25" customHeight="1">
      <c r="B158" s="239">
        <v>1990</v>
      </c>
      <c r="C158" s="354">
        <f>SUM('IP 5D2 2021'!E32:E34)</f>
        <v>15903</v>
      </c>
      <c r="D158" s="283">
        <f>'Fac Conv'!$H$23</f>
        <v>3.1</v>
      </c>
      <c r="E158" s="283">
        <f>+('Fac Conv'!$L$23+'Fac Conv'!$M$23)/2</f>
        <v>0.85</v>
      </c>
      <c r="F158" s="283">
        <f t="shared" ref="F158:F189" si="47">C158*D158*E158</f>
        <v>41904.404999999999</v>
      </c>
      <c r="G158" s="694">
        <f>'IP 5D2 FETipos de tratamiento'!$J$14</f>
        <v>7.4999999999999997E-2</v>
      </c>
      <c r="H158" s="283">
        <f t="shared" ref="H158:H189" si="48">(F158*G158)/1000000</f>
        <v>3.1428303749999999E-3</v>
      </c>
      <c r="I158" s="273"/>
      <c r="K158" s="273"/>
    </row>
    <row r="159" spans="2:11" s="32" customFormat="1" ht="14.25" customHeight="1">
      <c r="B159" s="239">
        <v>1991</v>
      </c>
      <c r="C159" s="354">
        <f>SUM('IP 5D2 2021'!F32:F34)</f>
        <v>15903</v>
      </c>
      <c r="D159" s="283">
        <f>'Fac Conv'!$H$23</f>
        <v>3.1</v>
      </c>
      <c r="E159" s="283">
        <f>+('Fac Conv'!$L$23+'Fac Conv'!$M$23)/2</f>
        <v>0.85</v>
      </c>
      <c r="F159" s="283">
        <f t="shared" si="47"/>
        <v>41904.404999999999</v>
      </c>
      <c r="G159" s="694">
        <f>'IP 5D2 FETipos de tratamiento'!$J$14</f>
        <v>7.4999999999999997E-2</v>
      </c>
      <c r="H159" s="283">
        <f t="shared" si="48"/>
        <v>3.1428303749999999E-3</v>
      </c>
      <c r="I159" s="273"/>
      <c r="K159" s="273"/>
    </row>
    <row r="160" spans="2:11" s="32" customFormat="1" ht="14.25" customHeight="1">
      <c r="B160" s="239">
        <v>1992</v>
      </c>
      <c r="C160" s="354">
        <f>SUM('IP 5D2 2021'!H32:H34)</f>
        <v>15903</v>
      </c>
      <c r="D160" s="283">
        <f>'Fac Conv'!$H$23</f>
        <v>3.1</v>
      </c>
      <c r="E160" s="283">
        <f>+('Fac Conv'!$L$23+'Fac Conv'!$M$23)/2</f>
        <v>0.85</v>
      </c>
      <c r="F160" s="283">
        <f t="shared" si="47"/>
        <v>41904.404999999999</v>
      </c>
      <c r="G160" s="694">
        <f>'IP 5D2 FETipos de tratamiento'!$J$14</f>
        <v>7.4999999999999997E-2</v>
      </c>
      <c r="H160" s="283">
        <f t="shared" si="48"/>
        <v>3.1428303749999999E-3</v>
      </c>
      <c r="I160" s="273"/>
      <c r="K160" s="273"/>
    </row>
    <row r="161" spans="2:11" s="32" customFormat="1" ht="14.25" customHeight="1">
      <c r="B161" s="239">
        <v>1993</v>
      </c>
      <c r="C161" s="354">
        <f>SUM('IP 5D2 2021'!J32:J34)</f>
        <v>18679</v>
      </c>
      <c r="D161" s="283">
        <f>'Fac Conv'!$H$23</f>
        <v>3.1</v>
      </c>
      <c r="E161" s="283">
        <f>+('Fac Conv'!$L$23+'Fac Conv'!$M$23)/2</f>
        <v>0.85</v>
      </c>
      <c r="F161" s="283">
        <f t="shared" si="47"/>
        <v>49219.165000000001</v>
      </c>
      <c r="G161" s="694">
        <f>'IP 5D2 FETipos de tratamiento'!$J$14</f>
        <v>7.4999999999999997E-2</v>
      </c>
      <c r="H161" s="283">
        <f t="shared" si="48"/>
        <v>3.6914373749999999E-3</v>
      </c>
      <c r="I161" s="273"/>
      <c r="K161" s="273"/>
    </row>
    <row r="162" spans="2:11" s="32" customFormat="1" ht="14.25" customHeight="1">
      <c r="B162" s="239">
        <v>1994</v>
      </c>
      <c r="C162" s="354">
        <f>SUM('IP 5D2 2021'!L32:L34)</f>
        <v>18719</v>
      </c>
      <c r="D162" s="283">
        <f>'Fac Conv'!$H$23</f>
        <v>3.1</v>
      </c>
      <c r="E162" s="283">
        <f>+('Fac Conv'!$L$23+'Fac Conv'!$M$23)/2</f>
        <v>0.85</v>
      </c>
      <c r="F162" s="283">
        <f t="shared" si="47"/>
        <v>49324.565000000002</v>
      </c>
      <c r="G162" s="694">
        <f>'IP 5D2 FETipos de tratamiento'!$J$14</f>
        <v>7.4999999999999997E-2</v>
      </c>
      <c r="H162" s="283">
        <f t="shared" si="48"/>
        <v>3.6993423750000002E-3</v>
      </c>
      <c r="I162" s="273"/>
      <c r="K162" s="273"/>
    </row>
    <row r="163" spans="2:11" s="32" customFormat="1" ht="14.25" customHeight="1">
      <c r="B163" s="239">
        <v>1995</v>
      </c>
      <c r="C163" s="354">
        <f>SUM('IP 5D2 2021'!N32:N34)</f>
        <v>163677</v>
      </c>
      <c r="D163" s="283">
        <f>'Fac Conv'!$H$23</f>
        <v>3.1</v>
      </c>
      <c r="E163" s="283">
        <f>+('Fac Conv'!$L$23+'Fac Conv'!$M$23)/2</f>
        <v>0.85</v>
      </c>
      <c r="F163" s="283">
        <f t="shared" si="47"/>
        <v>431288.89500000002</v>
      </c>
      <c r="G163" s="694">
        <f>'IP 5D2 FETipos de tratamiento'!$J$14</f>
        <v>7.4999999999999997E-2</v>
      </c>
      <c r="H163" s="283">
        <f t="shared" si="48"/>
        <v>3.2346667124999999E-2</v>
      </c>
      <c r="I163" s="273"/>
      <c r="K163" s="273"/>
    </row>
    <row r="164" spans="2:11" s="32" customFormat="1" ht="14.25" customHeight="1">
      <c r="B164" s="239">
        <v>1996</v>
      </c>
      <c r="C164" s="354">
        <f>SUM('IP 5D2 2021'!P32:P34)</f>
        <v>171155</v>
      </c>
      <c r="D164" s="283">
        <f>'Fac Conv'!$H$23</f>
        <v>3.1</v>
      </c>
      <c r="E164" s="283">
        <f>+('Fac Conv'!$L$23+'Fac Conv'!$M$23)/2</f>
        <v>0.85</v>
      </c>
      <c r="F164" s="283">
        <f t="shared" si="47"/>
        <v>450993.42499999999</v>
      </c>
      <c r="G164" s="694">
        <f>'IP 5D2 FETipos de tratamiento'!$J$14</f>
        <v>7.4999999999999997E-2</v>
      </c>
      <c r="H164" s="283">
        <f t="shared" si="48"/>
        <v>3.3824506875E-2</v>
      </c>
      <c r="I164" s="273"/>
      <c r="K164" s="273"/>
    </row>
    <row r="165" spans="2:11" s="32" customFormat="1" ht="14.25" customHeight="1">
      <c r="B165" s="239">
        <v>1997</v>
      </c>
      <c r="C165" s="354">
        <f>SUM('IP 5D2 2021'!R32:R34)</f>
        <v>175026</v>
      </c>
      <c r="D165" s="283">
        <f>'Fac Conv'!$H$23</f>
        <v>3.1</v>
      </c>
      <c r="E165" s="283">
        <f>+('Fac Conv'!$L$23+'Fac Conv'!$M$23)/2</f>
        <v>0.85</v>
      </c>
      <c r="F165" s="283">
        <f t="shared" si="47"/>
        <v>461193.50999999995</v>
      </c>
      <c r="G165" s="694">
        <f>'IP 5D2 FETipos de tratamiento'!$J$14</f>
        <v>7.4999999999999997E-2</v>
      </c>
      <c r="H165" s="283">
        <f t="shared" si="48"/>
        <v>3.4589513249999995E-2</v>
      </c>
      <c r="I165" s="273"/>
      <c r="K165" s="273"/>
    </row>
    <row r="166" spans="2:11" s="32" customFormat="1" ht="14.25" customHeight="1">
      <c r="B166" s="239">
        <v>1998</v>
      </c>
      <c r="C166" s="354">
        <f>SUM('IP 5D2 2021'!T32:T34)</f>
        <v>169192</v>
      </c>
      <c r="D166" s="283">
        <f>'Fac Conv'!$H$23</f>
        <v>3.1</v>
      </c>
      <c r="E166" s="283">
        <f>+('Fac Conv'!$L$23+'Fac Conv'!$M$23)/2</f>
        <v>0.85</v>
      </c>
      <c r="F166" s="283">
        <f t="shared" si="47"/>
        <v>445820.92000000004</v>
      </c>
      <c r="G166" s="694">
        <f>'IP 5D2 FETipos de tratamiento'!$J$14</f>
        <v>7.4999999999999997E-2</v>
      </c>
      <c r="H166" s="283">
        <f t="shared" si="48"/>
        <v>3.3436569000000006E-2</v>
      </c>
      <c r="I166" s="273"/>
      <c r="K166" s="273"/>
    </row>
    <row r="167" spans="2:11" s="32" customFormat="1" ht="14.25" customHeight="1">
      <c r="B167" s="239">
        <v>1999</v>
      </c>
      <c r="C167" s="354">
        <f>SUM('IP 5D2 2021'!V32:V34)</f>
        <v>185568</v>
      </c>
      <c r="D167" s="283">
        <f>'Fac Conv'!$H$23</f>
        <v>3.1</v>
      </c>
      <c r="E167" s="283">
        <f>+('Fac Conv'!$L$23+'Fac Conv'!$M$23)/2</f>
        <v>0.85</v>
      </c>
      <c r="F167" s="283">
        <f t="shared" si="47"/>
        <v>488971.68000000005</v>
      </c>
      <c r="G167" s="694">
        <f>'IP 5D2 FETipos de tratamiento'!$J$14</f>
        <v>7.4999999999999997E-2</v>
      </c>
      <c r="H167" s="283">
        <f t="shared" si="48"/>
        <v>3.6672876000000007E-2</v>
      </c>
      <c r="I167" s="281"/>
      <c r="K167" s="273"/>
    </row>
    <row r="168" spans="2:11" ht="14.25" customHeight="1">
      <c r="B168" s="239">
        <v>2000</v>
      </c>
      <c r="C168" s="354">
        <f>SUM('IP 5D2 2021'!X32:X34)</f>
        <v>180329</v>
      </c>
      <c r="D168" s="283">
        <f>'Fac Conv'!$H$23</f>
        <v>3.1</v>
      </c>
      <c r="E168" s="283">
        <f>+('Fac Conv'!$L$23+'Fac Conv'!$M$23)/2</f>
        <v>0.85</v>
      </c>
      <c r="F168" s="283">
        <f t="shared" si="47"/>
        <v>475166.91499999998</v>
      </c>
      <c r="G168" s="694">
        <f>'IP 5D2 FETipos de tratamiento'!$J$14</f>
        <v>7.4999999999999997E-2</v>
      </c>
      <c r="H168" s="283">
        <f t="shared" si="48"/>
        <v>3.5637518624999996E-2</v>
      </c>
      <c r="I168" s="273"/>
      <c r="K168" s="273"/>
    </row>
    <row r="169" spans="2:11" ht="14.25" customHeight="1">
      <c r="B169" s="239">
        <v>2001</v>
      </c>
      <c r="C169" s="354">
        <f>SUM('IP 5D2 2021'!Z32:Z34)</f>
        <v>176682</v>
      </c>
      <c r="D169" s="283">
        <f>'Fac Conv'!$H$23</f>
        <v>3.1</v>
      </c>
      <c r="E169" s="283">
        <f>+('Fac Conv'!$L$23+'Fac Conv'!$M$23)/2</f>
        <v>0.85</v>
      </c>
      <c r="F169" s="283">
        <f t="shared" si="47"/>
        <v>465557.07000000007</v>
      </c>
      <c r="G169" s="694">
        <f>'IP 5D2 FETipos de tratamiento'!$J$14</f>
        <v>7.4999999999999997E-2</v>
      </c>
      <c r="H169" s="283">
        <f t="shared" si="48"/>
        <v>3.4916780250000001E-2</v>
      </c>
      <c r="I169" s="273"/>
      <c r="K169" s="273"/>
    </row>
    <row r="170" spans="2:11" ht="14.25" customHeight="1">
      <c r="B170" s="239">
        <v>2002</v>
      </c>
      <c r="C170" s="354">
        <f>SUM('IP 5D2 2021'!AB32:AB34)</f>
        <v>187029</v>
      </c>
      <c r="D170" s="283">
        <f>'Fac Conv'!$H$23</f>
        <v>3.1</v>
      </c>
      <c r="E170" s="283">
        <f>+('Fac Conv'!$L$23+'Fac Conv'!$M$23)/2</f>
        <v>0.85</v>
      </c>
      <c r="F170" s="283">
        <f t="shared" si="47"/>
        <v>492821.41499999998</v>
      </c>
      <c r="G170" s="694">
        <f>'IP 5D2 FETipos de tratamiento'!$J$14</f>
        <v>7.4999999999999997E-2</v>
      </c>
      <c r="H170" s="283">
        <f t="shared" si="48"/>
        <v>3.6961606124999997E-2</v>
      </c>
      <c r="I170" s="273"/>
      <c r="K170" s="273"/>
    </row>
    <row r="171" spans="2:11" ht="14.25" customHeight="1">
      <c r="B171" s="239">
        <v>2003</v>
      </c>
      <c r="C171" s="354">
        <f>SUM('IP 5D2 2021'!AD32:AD34)</f>
        <v>200572</v>
      </c>
      <c r="D171" s="283">
        <f>'Fac Conv'!$H$23</f>
        <v>3.1</v>
      </c>
      <c r="E171" s="283">
        <f>+('Fac Conv'!$L$23+'Fac Conv'!$M$23)/2</f>
        <v>0.85</v>
      </c>
      <c r="F171" s="283">
        <f t="shared" si="47"/>
        <v>528507.22000000009</v>
      </c>
      <c r="G171" s="694">
        <f>'IP 5D2 FETipos de tratamiento'!$J$14</f>
        <v>7.4999999999999997E-2</v>
      </c>
      <c r="H171" s="283">
        <f t="shared" si="48"/>
        <v>3.9638041500000006E-2</v>
      </c>
      <c r="I171" s="273"/>
      <c r="K171" s="273"/>
    </row>
    <row r="172" spans="2:11" ht="14.25" customHeight="1">
      <c r="B172" s="239">
        <v>2004</v>
      </c>
      <c r="C172" s="354">
        <f>SUM('IP 5D2 2021'!AF32:AF34)</f>
        <v>196197</v>
      </c>
      <c r="D172" s="283">
        <f>'Fac Conv'!$H$23</f>
        <v>3.1</v>
      </c>
      <c r="E172" s="283">
        <f>+('Fac Conv'!$L$23+'Fac Conv'!$M$23)/2</f>
        <v>0.85</v>
      </c>
      <c r="F172" s="283">
        <f t="shared" si="47"/>
        <v>516979.09500000003</v>
      </c>
      <c r="G172" s="694">
        <f>'IP 5D2 FETipos de tratamiento'!$J$14</f>
        <v>7.4999999999999997E-2</v>
      </c>
      <c r="H172" s="283">
        <f t="shared" si="48"/>
        <v>3.8773432125E-2</v>
      </c>
      <c r="I172" s="273"/>
      <c r="K172" s="273"/>
    </row>
    <row r="173" spans="2:11" ht="14.25" customHeight="1">
      <c r="B173" s="239">
        <v>2005</v>
      </c>
      <c r="C173" s="354">
        <f>SUM('IP 5D2 2021'!AH32:AH34)</f>
        <v>202491</v>
      </c>
      <c r="D173" s="283">
        <f>'Fac Conv'!$H$23</f>
        <v>3.1</v>
      </c>
      <c r="E173" s="283">
        <f>+('Fac Conv'!$L$23+'Fac Conv'!$M$23)/2</f>
        <v>0.85</v>
      </c>
      <c r="F173" s="283">
        <f t="shared" si="47"/>
        <v>533563.78499999992</v>
      </c>
      <c r="G173" s="694">
        <f>'IP 5D2 FETipos de tratamiento'!$J$14</f>
        <v>7.4999999999999997E-2</v>
      </c>
      <c r="H173" s="283">
        <f t="shared" si="48"/>
        <v>4.0017283874999997E-2</v>
      </c>
      <c r="I173" s="273"/>
      <c r="K173" s="273"/>
    </row>
    <row r="174" spans="2:11" ht="14.25" customHeight="1">
      <c r="B174" s="239">
        <v>2006</v>
      </c>
      <c r="C174" s="354">
        <f>SUM('IP 5D2 2021'!AJ32:AJ34)</f>
        <v>218452</v>
      </c>
      <c r="D174" s="283">
        <f>'Fac Conv'!$H$23</f>
        <v>3.1</v>
      </c>
      <c r="E174" s="283">
        <f>+('Fac Conv'!$L$23+'Fac Conv'!$M$23)/2</f>
        <v>0.85</v>
      </c>
      <c r="F174" s="283">
        <f t="shared" si="47"/>
        <v>575621.02</v>
      </c>
      <c r="G174" s="694">
        <f>'IP 5D2 FETipos de tratamiento'!$J$14</f>
        <v>7.4999999999999997E-2</v>
      </c>
      <c r="H174" s="283">
        <f t="shared" si="48"/>
        <v>4.3171576500000003E-2</v>
      </c>
      <c r="I174" s="273"/>
      <c r="K174" s="273"/>
    </row>
    <row r="175" spans="2:11" ht="14.25" customHeight="1">
      <c r="B175" s="239">
        <v>2007</v>
      </c>
      <c r="C175" s="354">
        <f>SUM('IP 5D2 2021'!AL32:AL34)</f>
        <v>220904</v>
      </c>
      <c r="D175" s="283">
        <f>'Fac Conv'!$H$23</f>
        <v>3.1</v>
      </c>
      <c r="E175" s="283">
        <f>+('Fac Conv'!$L$23+'Fac Conv'!$M$23)/2</f>
        <v>0.85</v>
      </c>
      <c r="F175" s="283">
        <f t="shared" si="47"/>
        <v>582082.04</v>
      </c>
      <c r="G175" s="694">
        <f>'IP 5D2 FETipos de tratamiento'!$J$14</f>
        <v>7.4999999999999997E-2</v>
      </c>
      <c r="H175" s="283">
        <f t="shared" si="48"/>
        <v>4.3656152999999996E-2</v>
      </c>
      <c r="I175" s="273"/>
      <c r="K175" s="273"/>
    </row>
    <row r="176" spans="2:11" ht="14.25" customHeight="1">
      <c r="B176" s="239">
        <v>2008</v>
      </c>
      <c r="C176" s="354">
        <f>SUM('IP 5D2 2021'!AN32:AN34)</f>
        <v>204882</v>
      </c>
      <c r="D176" s="283">
        <f>'Fac Conv'!$H$23</f>
        <v>3.1</v>
      </c>
      <c r="E176" s="283">
        <f>+('Fac Conv'!$L$23+'Fac Conv'!$M$23)/2</f>
        <v>0.85</v>
      </c>
      <c r="F176" s="283">
        <f t="shared" si="47"/>
        <v>539864.07000000007</v>
      </c>
      <c r="G176" s="694">
        <f>'IP 5D2 FETipos de tratamiento'!$J$14</f>
        <v>7.4999999999999997E-2</v>
      </c>
      <c r="H176" s="283">
        <f t="shared" si="48"/>
        <v>4.0489805250000004E-2</v>
      </c>
      <c r="I176" s="273"/>
      <c r="K176" s="273"/>
    </row>
    <row r="177" spans="2:11" ht="14.25" customHeight="1">
      <c r="B177" s="239">
        <v>2009</v>
      </c>
      <c r="C177" s="354">
        <f>SUM('IP 5D2 2021'!AP32:AP34)</f>
        <v>208283</v>
      </c>
      <c r="D177" s="283">
        <f>'Fac Conv'!$H$23</f>
        <v>3.1</v>
      </c>
      <c r="E177" s="283">
        <f>+('Fac Conv'!$L$23+'Fac Conv'!$M$23)/2</f>
        <v>0.85</v>
      </c>
      <c r="F177" s="283">
        <f t="shared" si="47"/>
        <v>548825.70500000007</v>
      </c>
      <c r="G177" s="694">
        <f>'IP 5D2 FETipos de tratamiento'!$J$14</f>
        <v>7.4999999999999997E-2</v>
      </c>
      <c r="H177" s="283">
        <f t="shared" si="48"/>
        <v>4.1161927875000004E-2</v>
      </c>
      <c r="I177" s="273"/>
      <c r="K177" s="273"/>
    </row>
    <row r="178" spans="2:11" ht="14.25" customHeight="1">
      <c r="B178" s="239">
        <v>2010</v>
      </c>
      <c r="C178" s="354">
        <f>SUM('IP 5D2 2021'!AR32:AR34)</f>
        <v>255885</v>
      </c>
      <c r="D178" s="283">
        <f>'Fac Conv'!$H$23</f>
        <v>3.1</v>
      </c>
      <c r="E178" s="283">
        <f>+('Fac Conv'!$L$23+'Fac Conv'!$M$23)/2</f>
        <v>0.85</v>
      </c>
      <c r="F178" s="283">
        <f t="shared" si="47"/>
        <v>674256.97499999998</v>
      </c>
      <c r="G178" s="694">
        <f>'IP 5D2 FETipos de tratamiento'!$J$14</f>
        <v>7.4999999999999997E-2</v>
      </c>
      <c r="H178" s="283">
        <f t="shared" si="48"/>
        <v>5.0569273125000001E-2</v>
      </c>
      <c r="I178" s="273"/>
      <c r="K178" s="273"/>
    </row>
    <row r="179" spans="2:11" ht="14.25" customHeight="1">
      <c r="B179" s="239">
        <v>2011</v>
      </c>
      <c r="C179" s="354">
        <f>SUM('IP 5D2 2021'!AT32:AT34)</f>
        <v>243864</v>
      </c>
      <c r="D179" s="283">
        <f>'Fac Conv'!$H$23</f>
        <v>3.1</v>
      </c>
      <c r="E179" s="283">
        <f>+('Fac Conv'!$L$23+'Fac Conv'!$M$23)/2</f>
        <v>0.85</v>
      </c>
      <c r="F179" s="283">
        <f t="shared" si="47"/>
        <v>642581.64</v>
      </c>
      <c r="G179" s="694">
        <f>'IP 5D2 FETipos de tratamiento'!$J$14</f>
        <v>7.4999999999999997E-2</v>
      </c>
      <c r="H179" s="283">
        <f t="shared" si="48"/>
        <v>4.8193622999999998E-2</v>
      </c>
      <c r="I179" s="273"/>
      <c r="K179" s="273"/>
    </row>
    <row r="180" spans="2:11" ht="14.25" customHeight="1">
      <c r="B180" s="239">
        <v>2012</v>
      </c>
      <c r="C180" s="354">
        <f>SUM('IP 5D2 2021'!AV32:AV34)</f>
        <v>344952</v>
      </c>
      <c r="D180" s="283">
        <f>'Fac Conv'!$H$23</f>
        <v>3.1</v>
      </c>
      <c r="E180" s="283">
        <f>+('Fac Conv'!$L$23+'Fac Conv'!$M$23)/2</f>
        <v>0.85</v>
      </c>
      <c r="F180" s="283">
        <f t="shared" si="47"/>
        <v>908948.5199999999</v>
      </c>
      <c r="G180" s="694">
        <f>'IP 5D2 FETipos de tratamiento'!$J$14</f>
        <v>7.4999999999999997E-2</v>
      </c>
      <c r="H180" s="283">
        <f t="shared" si="48"/>
        <v>6.8171138999999992E-2</v>
      </c>
      <c r="I180" s="273"/>
      <c r="K180" s="273"/>
    </row>
    <row r="181" spans="2:11" ht="14.25" customHeight="1">
      <c r="B181" s="239">
        <v>2013</v>
      </c>
      <c r="C181" s="354">
        <f>SUM('IP 5D2 2021'!AX32:AX34)</f>
        <v>353567</v>
      </c>
      <c r="D181" s="283">
        <f>'Fac Conv'!$H$23</f>
        <v>3.1</v>
      </c>
      <c r="E181" s="283">
        <f>+('Fac Conv'!$L$23+'Fac Conv'!$M$23)/2</f>
        <v>0.85</v>
      </c>
      <c r="F181" s="283">
        <f t="shared" si="47"/>
        <v>931649.04499999993</v>
      </c>
      <c r="G181" s="694">
        <f>'IP 5D2 FETipos de tratamiento'!$J$14</f>
        <v>7.4999999999999997E-2</v>
      </c>
      <c r="H181" s="283">
        <f t="shared" si="48"/>
        <v>6.9873678374999984E-2</v>
      </c>
      <c r="I181" s="273"/>
      <c r="K181" s="273"/>
    </row>
    <row r="182" spans="2:11" ht="14.25" customHeight="1">
      <c r="B182" s="239">
        <v>2014</v>
      </c>
      <c r="C182" s="354">
        <f>SUM('IP 5D2 2021'!AZ32:AZ34)</f>
        <v>369887</v>
      </c>
      <c r="D182" s="283">
        <f>'Fac Conv'!$H$23</f>
        <v>3.1</v>
      </c>
      <c r="E182" s="283">
        <f>+('Fac Conv'!$L$23+'Fac Conv'!$M$23)/2</f>
        <v>0.85</v>
      </c>
      <c r="F182" s="283">
        <f t="shared" si="47"/>
        <v>974652.24499999988</v>
      </c>
      <c r="G182" s="694">
        <f>'IP 5D2 FETipos de tratamiento'!$J$14</f>
        <v>7.4999999999999997E-2</v>
      </c>
      <c r="H182" s="283">
        <f t="shared" si="48"/>
        <v>7.3098918374999988E-2</v>
      </c>
      <c r="I182" s="273"/>
      <c r="K182" s="273"/>
    </row>
    <row r="183" spans="2:11" ht="14.25" customHeight="1">
      <c r="B183" s="239">
        <v>2015</v>
      </c>
      <c r="C183" s="354">
        <f>SUM('IP 5D2 2021'!BB32:BB34)</f>
        <v>385511</v>
      </c>
      <c r="D183" s="283">
        <f>'Fac Conv'!$H$23</f>
        <v>3.1</v>
      </c>
      <c r="E183" s="283">
        <f>+('Fac Conv'!$L$23+'Fac Conv'!$M$23)/2</f>
        <v>0.85</v>
      </c>
      <c r="F183" s="283">
        <f t="shared" si="47"/>
        <v>1015821.4850000001</v>
      </c>
      <c r="G183" s="694">
        <f>'IP 5D2 FETipos de tratamiento'!$J$14</f>
        <v>7.4999999999999997E-2</v>
      </c>
      <c r="H183" s="283">
        <f t="shared" si="48"/>
        <v>7.6186611375000005E-2</v>
      </c>
      <c r="I183" s="273"/>
      <c r="K183" s="273"/>
    </row>
    <row r="184" spans="2:11" ht="14.25" customHeight="1">
      <c r="B184" s="239">
        <v>2016</v>
      </c>
      <c r="C184" s="354">
        <f>SUM('IP 5D2 2021'!BD32:BD34)</f>
        <v>393909</v>
      </c>
      <c r="D184" s="283">
        <f>'Fac Conv'!$H$23</f>
        <v>3.1</v>
      </c>
      <c r="E184" s="283">
        <f>+('Fac Conv'!$L$23+'Fac Conv'!$M$23)/2</f>
        <v>0.85</v>
      </c>
      <c r="F184" s="283">
        <f t="shared" si="47"/>
        <v>1037950.2150000001</v>
      </c>
      <c r="G184" s="694">
        <f>'IP 5D2 FETipos de tratamiento'!$J$14</f>
        <v>7.4999999999999997E-2</v>
      </c>
      <c r="H184" s="283">
        <f t="shared" si="48"/>
        <v>7.7846266125000008E-2</v>
      </c>
      <c r="I184" s="273"/>
      <c r="K184" s="273"/>
    </row>
    <row r="185" spans="2:11" ht="14.25" customHeight="1">
      <c r="B185" s="239">
        <v>2017</v>
      </c>
      <c r="C185" s="354">
        <f>SUM('IP 5D2 2021'!BF32:BF34)</f>
        <v>419013</v>
      </c>
      <c r="D185" s="283">
        <f>'Fac Conv'!$H$23</f>
        <v>3.1</v>
      </c>
      <c r="E185" s="283">
        <f>+('Fac Conv'!$L$23+'Fac Conv'!$M$23)/2</f>
        <v>0.85</v>
      </c>
      <c r="F185" s="283">
        <f t="shared" si="47"/>
        <v>1104099.2550000001</v>
      </c>
      <c r="G185" s="694">
        <f>'IP 5D2 FETipos de tratamiento'!$J$14</f>
        <v>7.4999999999999997E-2</v>
      </c>
      <c r="H185" s="283">
        <f t="shared" si="48"/>
        <v>8.2807444125000004E-2</v>
      </c>
      <c r="I185" s="273"/>
      <c r="K185" s="273"/>
    </row>
    <row r="186" spans="2:11" ht="14.25" customHeight="1">
      <c r="B186" s="239">
        <v>2018</v>
      </c>
      <c r="C186" s="354">
        <f>SUM('IP 5D2 2021'!BH32:BH34)</f>
        <v>428389</v>
      </c>
      <c r="D186" s="283">
        <f>'Fac Conv'!$H$23</f>
        <v>3.1</v>
      </c>
      <c r="E186" s="283">
        <f>+('Fac Conv'!$L$23+'Fac Conv'!$M$23)/2</f>
        <v>0.85</v>
      </c>
      <c r="F186" s="283">
        <f t="shared" si="47"/>
        <v>1128805.0150000001</v>
      </c>
      <c r="G186" s="694">
        <f>'IP 5D2 FETipos de tratamiento'!$J$14</f>
        <v>7.4999999999999997E-2</v>
      </c>
      <c r="H186" s="283">
        <f t="shared" si="48"/>
        <v>8.4660376125000006E-2</v>
      </c>
      <c r="I186" s="273"/>
      <c r="K186" s="273"/>
    </row>
    <row r="187" spans="2:11" ht="14.25" customHeight="1">
      <c r="B187" s="239">
        <v>2019</v>
      </c>
      <c r="C187" s="354">
        <f>SUM('IP 5D2 2021'!BJ32:BJ34)</f>
        <v>442740</v>
      </c>
      <c r="D187" s="283">
        <f>'Fac Conv'!$H$23</f>
        <v>3.1</v>
      </c>
      <c r="E187" s="283">
        <f>+('Fac Conv'!$L$23+'Fac Conv'!$M$23)/2</f>
        <v>0.85</v>
      </c>
      <c r="F187" s="283">
        <f t="shared" si="47"/>
        <v>1166619.8999999999</v>
      </c>
      <c r="G187" s="694">
        <f>'IP 5D2 FETipos de tratamiento'!$J$14</f>
        <v>7.4999999999999997E-2</v>
      </c>
      <c r="H187" s="283">
        <f t="shared" si="48"/>
        <v>8.7496492499999995E-2</v>
      </c>
      <c r="I187" s="273"/>
      <c r="K187" s="273"/>
    </row>
    <row r="188" spans="2:11" ht="14.25" customHeight="1">
      <c r="B188" s="239">
        <v>2020</v>
      </c>
      <c r="C188" s="354">
        <f>SUM('IP 5D2 2021'!BL32:BL34)</f>
        <v>407167</v>
      </c>
      <c r="D188" s="283">
        <f>'Fac Conv'!$H$23</f>
        <v>3.1</v>
      </c>
      <c r="E188" s="283">
        <f>+('Fac Conv'!$L$23+'Fac Conv'!$M$23)/2</f>
        <v>0.85</v>
      </c>
      <c r="F188" s="283">
        <f t="shared" si="47"/>
        <v>1072885.0449999999</v>
      </c>
      <c r="G188" s="694">
        <f>'IP 5D2 FETipos de tratamiento'!$J$14</f>
        <v>7.4999999999999997E-2</v>
      </c>
      <c r="H188" s="283">
        <f t="shared" si="48"/>
        <v>8.0466378374999981E-2</v>
      </c>
      <c r="I188" s="273"/>
      <c r="K188" s="273"/>
    </row>
    <row r="189" spans="2:11" ht="14.25" customHeight="1">
      <c r="B189" s="239">
        <v>2021</v>
      </c>
      <c r="C189" s="354">
        <f>SUM('IP 5D2 2021'!BN32:BN34)</f>
        <v>430652</v>
      </c>
      <c r="D189" s="283">
        <f>'Fac Conv'!$H$23</f>
        <v>3.1</v>
      </c>
      <c r="E189" s="283">
        <f>+('Fac Conv'!$L$23+'Fac Conv'!$M$23)/2</f>
        <v>0.85</v>
      </c>
      <c r="F189" s="283">
        <f t="shared" si="47"/>
        <v>1134768.02</v>
      </c>
      <c r="G189" s="694">
        <f>'IP 5D2 FETipos de tratamiento'!$J$14</f>
        <v>7.4999999999999997E-2</v>
      </c>
      <c r="H189" s="283">
        <f t="shared" si="48"/>
        <v>8.5107601500000005E-2</v>
      </c>
      <c r="I189" s="273"/>
      <c r="K189" s="273"/>
    </row>
    <row r="190" spans="2:11" ht="14.25" customHeight="1">
      <c r="B190" s="239">
        <v>2022</v>
      </c>
      <c r="C190" s="354">
        <f>SUM('IP 5D2 2021'!BP32:BP34)</f>
        <v>410675</v>
      </c>
      <c r="D190" s="283">
        <f>'Fac Conv'!$H$23</f>
        <v>3.1</v>
      </c>
      <c r="E190" s="283">
        <f>+('Fac Conv'!$L$23+'Fac Conv'!$M$23)/2</f>
        <v>0.85</v>
      </c>
      <c r="F190" s="283">
        <f t="shared" ref="F190" si="49">C190*D190*E190</f>
        <v>1082128.625</v>
      </c>
      <c r="G190" s="694">
        <f>'IP 5D2 FETipos de tratamiento'!$J$14</f>
        <v>7.4999999999999997E-2</v>
      </c>
      <c r="H190" s="283">
        <f t="shared" ref="H190" si="50">(F190*G190)/1000000</f>
        <v>8.1159646874999991E-2</v>
      </c>
      <c r="I190" s="273"/>
      <c r="K190" s="273"/>
    </row>
    <row r="191" spans="2:11" ht="14.25" customHeight="1">
      <c r="B191" s="32"/>
      <c r="C191" s="365"/>
      <c r="D191" s="366"/>
      <c r="E191" s="366"/>
      <c r="F191" s="366"/>
      <c r="G191" s="367"/>
      <c r="H191" s="366"/>
      <c r="I191" s="273"/>
      <c r="K191" s="273"/>
    </row>
    <row r="192" spans="2:11" ht="14.25" customHeight="1">
      <c r="B192" s="278" t="s">
        <v>316</v>
      </c>
      <c r="C192" s="356"/>
      <c r="D192" s="356"/>
      <c r="E192" s="356"/>
      <c r="F192" s="356"/>
      <c r="G192" s="356"/>
      <c r="H192" s="356"/>
      <c r="I192" s="273"/>
      <c r="K192" s="273"/>
    </row>
    <row r="193" spans="2:11" s="32" customFormat="1" ht="14.25" customHeight="1">
      <c r="B193" s="239">
        <v>1990</v>
      </c>
      <c r="C193" s="354">
        <f>SUM('IP 5D2 2021'!E35:E42)+'IP 5D2 2021'!E48</f>
        <v>0</v>
      </c>
      <c r="D193" s="283">
        <f>'Fac Conv'!$H$13</f>
        <v>7</v>
      </c>
      <c r="E193" s="283">
        <f>'Fac Conv'!$K$13</f>
        <v>2.7</v>
      </c>
      <c r="F193" s="283">
        <f t="shared" ref="F193:F224" si="51">C193*D193*E193</f>
        <v>0</v>
      </c>
      <c r="G193" s="694">
        <f>'IP 5D2 FETipos de tratamiento'!$J$15</f>
        <v>7.4999999999999997E-2</v>
      </c>
      <c r="H193" s="283">
        <f t="shared" ref="H193:H224" si="52">(F193*G193)/1000000</f>
        <v>0</v>
      </c>
      <c r="I193" s="273"/>
      <c r="K193" s="273"/>
    </row>
    <row r="194" spans="2:11" s="32" customFormat="1" ht="14.25" customHeight="1">
      <c r="B194" s="239">
        <v>1991</v>
      </c>
      <c r="C194" s="354">
        <f>SUM('IP 5D2 2021'!F35:F42)+'IP 5D2 2021'!F48</f>
        <v>0</v>
      </c>
      <c r="D194" s="283">
        <f>'Fac Conv'!$H$13</f>
        <v>7</v>
      </c>
      <c r="E194" s="283">
        <f>'Fac Conv'!$K$13</f>
        <v>2.7</v>
      </c>
      <c r="F194" s="283">
        <f t="shared" si="51"/>
        <v>0</v>
      </c>
      <c r="G194" s="694">
        <f>'IP 5D2 FETipos de tratamiento'!$J$15</f>
        <v>7.4999999999999997E-2</v>
      </c>
      <c r="H194" s="283">
        <f t="shared" si="52"/>
        <v>0</v>
      </c>
      <c r="I194" s="273"/>
      <c r="K194" s="273"/>
    </row>
    <row r="195" spans="2:11" s="32" customFormat="1" ht="14.25" customHeight="1">
      <c r="B195" s="239">
        <v>1992</v>
      </c>
      <c r="C195" s="354">
        <f>SUM('IP 5D2 2021'!H35:H42)+'IP 5D2 2021'!H48</f>
        <v>0</v>
      </c>
      <c r="D195" s="283">
        <f>'Fac Conv'!$H$13</f>
        <v>7</v>
      </c>
      <c r="E195" s="283">
        <f>'Fac Conv'!$K$13</f>
        <v>2.7</v>
      </c>
      <c r="F195" s="283">
        <f t="shared" si="51"/>
        <v>0</v>
      </c>
      <c r="G195" s="694">
        <f>'IP 5D2 FETipos de tratamiento'!$J$15</f>
        <v>7.4999999999999997E-2</v>
      </c>
      <c r="H195" s="283">
        <f t="shared" si="52"/>
        <v>0</v>
      </c>
      <c r="I195" s="273"/>
      <c r="K195" s="273"/>
    </row>
    <row r="196" spans="2:11" s="32" customFormat="1" ht="14.25" customHeight="1">
      <c r="B196" s="239">
        <v>1993</v>
      </c>
      <c r="C196" s="354">
        <f>SUM('IP 5D2 2021'!J35:J42)+'IP 5D2 2021'!J48</f>
        <v>0</v>
      </c>
      <c r="D196" s="283">
        <f>'Fac Conv'!$H$13</f>
        <v>7</v>
      </c>
      <c r="E196" s="283">
        <f>'Fac Conv'!$K$13</f>
        <v>2.7</v>
      </c>
      <c r="F196" s="283">
        <f t="shared" si="51"/>
        <v>0</v>
      </c>
      <c r="G196" s="694">
        <f>'IP 5D2 FETipos de tratamiento'!$J$15</f>
        <v>7.4999999999999997E-2</v>
      </c>
      <c r="H196" s="283">
        <f t="shared" si="52"/>
        <v>0</v>
      </c>
      <c r="I196" s="273"/>
      <c r="K196" s="273"/>
    </row>
    <row r="197" spans="2:11" s="32" customFormat="1" ht="14.25" customHeight="1">
      <c r="B197" s="239">
        <v>1994</v>
      </c>
      <c r="C197" s="354">
        <f>SUM('IP 5D2 2021'!L35:L42)+'IP 5D2 2021'!L48</f>
        <v>0</v>
      </c>
      <c r="D197" s="283">
        <f>'Fac Conv'!$H$13</f>
        <v>7</v>
      </c>
      <c r="E197" s="283">
        <f>'Fac Conv'!$K$13</f>
        <v>2.7</v>
      </c>
      <c r="F197" s="283">
        <f t="shared" si="51"/>
        <v>0</v>
      </c>
      <c r="G197" s="694">
        <f>'IP 5D2 FETipos de tratamiento'!$J$15</f>
        <v>7.4999999999999997E-2</v>
      </c>
      <c r="H197" s="283">
        <f t="shared" si="52"/>
        <v>0</v>
      </c>
      <c r="I197" s="273"/>
      <c r="K197" s="273"/>
    </row>
    <row r="198" spans="2:11" s="32" customFormat="1" ht="14.25" customHeight="1">
      <c r="B198" s="239">
        <v>1995</v>
      </c>
      <c r="C198" s="354">
        <f>SUM('IP 5D2 2021'!N35:N42)+'IP 5D2 2021'!N48</f>
        <v>154458</v>
      </c>
      <c r="D198" s="283">
        <f>'Fac Conv'!$H$13</f>
        <v>7</v>
      </c>
      <c r="E198" s="283">
        <f>'Fac Conv'!$K$13</f>
        <v>2.7</v>
      </c>
      <c r="F198" s="283">
        <f t="shared" si="51"/>
        <v>2919256.2</v>
      </c>
      <c r="G198" s="694">
        <f>'IP 5D2 FETipos de tratamiento'!$J$15</f>
        <v>7.4999999999999997E-2</v>
      </c>
      <c r="H198" s="283">
        <f t="shared" si="52"/>
        <v>0.218944215</v>
      </c>
      <c r="I198" s="273"/>
      <c r="K198" s="273"/>
    </row>
    <row r="199" spans="2:11" s="32" customFormat="1" ht="14.25" customHeight="1">
      <c r="B199" s="239">
        <v>1996</v>
      </c>
      <c r="C199" s="354">
        <f>SUM('IP 5D2 2021'!P35:P42)+'IP 5D2 2021'!P48</f>
        <v>153666</v>
      </c>
      <c r="D199" s="283">
        <f>'Fac Conv'!$H$13</f>
        <v>7</v>
      </c>
      <c r="E199" s="283">
        <f>'Fac Conv'!$K$13</f>
        <v>2.7</v>
      </c>
      <c r="F199" s="283">
        <f t="shared" si="51"/>
        <v>2904287.4000000004</v>
      </c>
      <c r="G199" s="694">
        <f>'IP 5D2 FETipos de tratamiento'!$J$15</f>
        <v>7.4999999999999997E-2</v>
      </c>
      <c r="H199" s="283">
        <f t="shared" si="52"/>
        <v>0.21782155500000003</v>
      </c>
      <c r="I199" s="273"/>
      <c r="K199" s="273"/>
    </row>
    <row r="200" spans="2:11" s="32" customFormat="1" ht="14.25" customHeight="1">
      <c r="B200" s="239">
        <v>1997</v>
      </c>
      <c r="C200" s="354">
        <f>SUM('IP 5D2 2021'!R35:R42)+'IP 5D2 2021'!R48</f>
        <v>148798.712</v>
      </c>
      <c r="D200" s="283">
        <f>'Fac Conv'!$H$13</f>
        <v>7</v>
      </c>
      <c r="E200" s="283">
        <f>'Fac Conv'!$K$13</f>
        <v>2.7</v>
      </c>
      <c r="F200" s="283">
        <f t="shared" si="51"/>
        <v>2812295.6568</v>
      </c>
      <c r="G200" s="694">
        <f>'IP 5D2 FETipos de tratamiento'!$J$15</f>
        <v>7.4999999999999997E-2</v>
      </c>
      <c r="H200" s="283">
        <f t="shared" si="52"/>
        <v>0.21092217426000001</v>
      </c>
      <c r="I200" s="273"/>
      <c r="K200" s="273"/>
    </row>
    <row r="201" spans="2:11" s="32" customFormat="1" ht="14.25" customHeight="1">
      <c r="B201" s="239">
        <v>1998</v>
      </c>
      <c r="C201" s="354">
        <f>SUM('IP 5D2 2021'!T35:T42)+'IP 5D2 2021'!T48</f>
        <v>167176</v>
      </c>
      <c r="D201" s="283">
        <f>'Fac Conv'!$H$13</f>
        <v>7</v>
      </c>
      <c r="E201" s="283">
        <f>'Fac Conv'!$K$13</f>
        <v>2.7</v>
      </c>
      <c r="F201" s="283">
        <f t="shared" si="51"/>
        <v>3159626.4000000004</v>
      </c>
      <c r="G201" s="694">
        <f>'IP 5D2 FETipos de tratamiento'!$J$15</f>
        <v>7.4999999999999997E-2</v>
      </c>
      <c r="H201" s="283">
        <f t="shared" si="52"/>
        <v>0.23697198</v>
      </c>
      <c r="I201" s="273"/>
      <c r="K201" s="273"/>
    </row>
    <row r="202" spans="2:11" s="32" customFormat="1" ht="14.25" customHeight="1">
      <c r="B202" s="239">
        <v>1999</v>
      </c>
      <c r="C202" s="354">
        <f>SUM('IP 5D2 2021'!V35:V42)+'IP 5D2 2021'!V48</f>
        <v>183844</v>
      </c>
      <c r="D202" s="283">
        <f>'Fac Conv'!$H$13</f>
        <v>7</v>
      </c>
      <c r="E202" s="283">
        <f>'Fac Conv'!$K$13</f>
        <v>2.7</v>
      </c>
      <c r="F202" s="283">
        <f t="shared" si="51"/>
        <v>3474651.6</v>
      </c>
      <c r="G202" s="694">
        <f>'IP 5D2 FETipos de tratamiento'!$J$15</f>
        <v>7.4999999999999997E-2</v>
      </c>
      <c r="H202" s="283">
        <f t="shared" si="52"/>
        <v>0.26059886999999998</v>
      </c>
      <c r="I202" s="281"/>
      <c r="K202" s="273"/>
    </row>
    <row r="203" spans="2:11" ht="14.25" customHeight="1">
      <c r="B203" s="239">
        <v>2000</v>
      </c>
      <c r="C203" s="354">
        <f>SUM('IP 5D2 2021'!X35:X42)+'IP 5D2 2021'!X48</f>
        <v>228254</v>
      </c>
      <c r="D203" s="283">
        <f>'Fac Conv'!$H$13</f>
        <v>7</v>
      </c>
      <c r="E203" s="283">
        <f>'Fac Conv'!$K$13</f>
        <v>2.7</v>
      </c>
      <c r="F203" s="283">
        <f t="shared" si="51"/>
        <v>4314000.6000000006</v>
      </c>
      <c r="G203" s="694">
        <f>'IP 5D2 FETipos de tratamiento'!$J$15</f>
        <v>7.4999999999999997E-2</v>
      </c>
      <c r="H203" s="283">
        <f t="shared" si="52"/>
        <v>0.32355004500000006</v>
      </c>
      <c r="I203" s="273"/>
      <c r="K203" s="273"/>
    </row>
    <row r="204" spans="2:11" ht="14.25" customHeight="1">
      <c r="B204" s="239">
        <v>2001</v>
      </c>
      <c r="C204" s="354">
        <f>SUM('IP 5D2 2021'!Z35:Z42)+'IP 5D2 2021'!Z48</f>
        <v>218032</v>
      </c>
      <c r="D204" s="283">
        <f>'Fac Conv'!$H$13</f>
        <v>7</v>
      </c>
      <c r="E204" s="283">
        <f>'Fac Conv'!$K$13</f>
        <v>2.7</v>
      </c>
      <c r="F204" s="283">
        <f t="shared" si="51"/>
        <v>4120804.8000000003</v>
      </c>
      <c r="G204" s="694">
        <f>'IP 5D2 FETipos de tratamiento'!$J$15</f>
        <v>7.4999999999999997E-2</v>
      </c>
      <c r="H204" s="283">
        <f t="shared" si="52"/>
        <v>0.30906035999999998</v>
      </c>
      <c r="I204" s="273"/>
      <c r="K204" s="273"/>
    </row>
    <row r="205" spans="2:11" ht="14.25" customHeight="1">
      <c r="B205" s="239">
        <v>2002</v>
      </c>
      <c r="C205" s="354">
        <f>SUM('IP 5D2 2021'!AB35:AB42)+'IP 5D2 2021'!AB48</f>
        <v>253781</v>
      </c>
      <c r="D205" s="283">
        <f>'Fac Conv'!$H$13</f>
        <v>7</v>
      </c>
      <c r="E205" s="283">
        <f>'Fac Conv'!$K$13</f>
        <v>2.7</v>
      </c>
      <c r="F205" s="283">
        <f t="shared" si="51"/>
        <v>4796460.9000000004</v>
      </c>
      <c r="G205" s="694">
        <f>'IP 5D2 FETipos de tratamiento'!$J$15</f>
        <v>7.4999999999999997E-2</v>
      </c>
      <c r="H205" s="283">
        <f t="shared" si="52"/>
        <v>0.35973456749999999</v>
      </c>
      <c r="I205" s="273"/>
      <c r="K205" s="273"/>
    </row>
    <row r="206" spans="2:11" ht="14.25" customHeight="1">
      <c r="B206" s="239">
        <v>2003</v>
      </c>
      <c r="C206" s="354">
        <f>SUM('IP 5D2 2021'!AD35:AD42)+'IP 5D2 2021'!AD48</f>
        <v>308260.70370000001</v>
      </c>
      <c r="D206" s="283">
        <f>'Fac Conv'!$H$13</f>
        <v>7</v>
      </c>
      <c r="E206" s="283">
        <f>'Fac Conv'!$K$13</f>
        <v>2.7</v>
      </c>
      <c r="F206" s="283">
        <f t="shared" si="51"/>
        <v>5826127.2999300007</v>
      </c>
      <c r="G206" s="694">
        <f>'IP 5D2 FETipos de tratamiento'!$J$15</f>
        <v>7.4999999999999997E-2</v>
      </c>
      <c r="H206" s="283">
        <f t="shared" si="52"/>
        <v>0.43695954749475008</v>
      </c>
      <c r="I206" s="273"/>
      <c r="K206" s="273"/>
    </row>
    <row r="207" spans="2:11" ht="14.25" customHeight="1">
      <c r="B207" s="239">
        <v>2004</v>
      </c>
      <c r="C207" s="354">
        <f>SUM('IP 5D2 2021'!AF35:AF42)+'IP 5D2 2021'!AF48</f>
        <v>362066.90210000001</v>
      </c>
      <c r="D207" s="283">
        <f>'Fac Conv'!$H$13</f>
        <v>7</v>
      </c>
      <c r="E207" s="283">
        <f>'Fac Conv'!$K$13</f>
        <v>2.7</v>
      </c>
      <c r="F207" s="283">
        <f t="shared" si="51"/>
        <v>6843064.4496900002</v>
      </c>
      <c r="G207" s="694">
        <f>'IP 5D2 FETipos de tratamiento'!$J$15</f>
        <v>7.4999999999999997E-2</v>
      </c>
      <c r="H207" s="283">
        <f t="shared" si="52"/>
        <v>0.51322983372675002</v>
      </c>
      <c r="I207" s="273"/>
      <c r="K207" s="273"/>
    </row>
    <row r="208" spans="2:11" ht="14.25" customHeight="1">
      <c r="B208" s="239">
        <v>2005</v>
      </c>
      <c r="C208" s="354">
        <f>SUM('IP 5D2 2021'!AH35:AH42)+'IP 5D2 2021'!AH48</f>
        <v>384776.91519999999</v>
      </c>
      <c r="D208" s="283">
        <f>'Fac Conv'!$H$13</f>
        <v>7</v>
      </c>
      <c r="E208" s="283">
        <f>'Fac Conv'!$K$13</f>
        <v>2.7</v>
      </c>
      <c r="F208" s="283">
        <f t="shared" si="51"/>
        <v>7272283.69728</v>
      </c>
      <c r="G208" s="694">
        <f>'IP 5D2 FETipos de tratamiento'!$J$15</f>
        <v>7.4999999999999997E-2</v>
      </c>
      <c r="H208" s="283">
        <f t="shared" si="52"/>
        <v>0.54542127729599987</v>
      </c>
      <c r="I208" s="273"/>
      <c r="K208" s="273"/>
    </row>
    <row r="209" spans="2:11" ht="14.25" customHeight="1">
      <c r="B209" s="239">
        <v>2006</v>
      </c>
      <c r="C209" s="354">
        <f>SUM('IP 5D2 2021'!AJ35:AJ42)+'IP 5D2 2021'!AJ48</f>
        <v>430381.73339999997</v>
      </c>
      <c r="D209" s="283">
        <f>'Fac Conv'!$H$13</f>
        <v>7</v>
      </c>
      <c r="E209" s="283">
        <f>'Fac Conv'!$K$13</f>
        <v>2.7</v>
      </c>
      <c r="F209" s="283">
        <f t="shared" si="51"/>
        <v>8134214.7612600001</v>
      </c>
      <c r="G209" s="694">
        <f>'IP 5D2 FETipos de tratamiento'!$J$15</f>
        <v>7.4999999999999997E-2</v>
      </c>
      <c r="H209" s="283">
        <f t="shared" si="52"/>
        <v>0.61006610709449993</v>
      </c>
      <c r="I209" s="273"/>
      <c r="K209" s="273"/>
    </row>
    <row r="210" spans="2:11" ht="14.25" customHeight="1">
      <c r="B210" s="239">
        <v>2007</v>
      </c>
      <c r="C210" s="354">
        <f>SUM('IP 5D2 2021'!AL35:AL42)+'IP 5D2 2021'!AL48</f>
        <v>464466.94020000001</v>
      </c>
      <c r="D210" s="283">
        <f>'Fac Conv'!$H$13</f>
        <v>7</v>
      </c>
      <c r="E210" s="283">
        <f>'Fac Conv'!$K$13</f>
        <v>2.7</v>
      </c>
      <c r="F210" s="283">
        <f t="shared" si="51"/>
        <v>8778425.169780001</v>
      </c>
      <c r="G210" s="694">
        <f>'IP 5D2 FETipos de tratamiento'!$J$15</f>
        <v>7.4999999999999997E-2</v>
      </c>
      <c r="H210" s="283">
        <f t="shared" si="52"/>
        <v>0.65838188773350015</v>
      </c>
      <c r="I210" s="273"/>
      <c r="K210" s="273"/>
    </row>
    <row r="211" spans="2:11" ht="14.25" customHeight="1">
      <c r="B211" s="239">
        <v>2008</v>
      </c>
      <c r="C211" s="354">
        <f>SUM('IP 5D2 2021'!AN35:AN42)+'IP 5D2 2021'!AN48</f>
        <v>505454.6373</v>
      </c>
      <c r="D211" s="283">
        <f>'Fac Conv'!$H$13</f>
        <v>7</v>
      </c>
      <c r="E211" s="283">
        <f>'Fac Conv'!$K$13</f>
        <v>2.7</v>
      </c>
      <c r="F211" s="283">
        <f t="shared" si="51"/>
        <v>9553092.6449699998</v>
      </c>
      <c r="G211" s="694">
        <f>'IP 5D2 FETipos de tratamiento'!$J$15</f>
        <v>7.4999999999999997E-2</v>
      </c>
      <c r="H211" s="283">
        <f t="shared" si="52"/>
        <v>0.71648194837274992</v>
      </c>
      <c r="I211" s="273"/>
      <c r="K211" s="273"/>
    </row>
    <row r="212" spans="2:11" ht="14.25" customHeight="1">
      <c r="B212" s="239">
        <v>2009</v>
      </c>
      <c r="C212" s="354">
        <f>SUM('IP 5D2 2021'!AP35:AP42)+'IP 5D2 2021'!AP48</f>
        <v>485527.29490000004</v>
      </c>
      <c r="D212" s="283">
        <f>'Fac Conv'!$H$13</f>
        <v>7</v>
      </c>
      <c r="E212" s="283">
        <f>'Fac Conv'!$K$13</f>
        <v>2.7</v>
      </c>
      <c r="F212" s="283">
        <f t="shared" si="51"/>
        <v>9176465.8736100011</v>
      </c>
      <c r="G212" s="694">
        <f>'IP 5D2 FETipos de tratamiento'!$J$15</f>
        <v>7.4999999999999997E-2</v>
      </c>
      <c r="H212" s="283">
        <f t="shared" si="52"/>
        <v>0.68823494052074996</v>
      </c>
      <c r="I212" s="273"/>
      <c r="K212" s="273"/>
    </row>
    <row r="213" spans="2:11" ht="14.25" customHeight="1">
      <c r="B213" s="239">
        <v>2010</v>
      </c>
      <c r="C213" s="354">
        <f>SUM('IP 5D2 2021'!AR35:AR42)+'IP 5D2 2021'!AR48</f>
        <v>551179.41189999995</v>
      </c>
      <c r="D213" s="283">
        <f>'Fac Conv'!$H$13</f>
        <v>7</v>
      </c>
      <c r="E213" s="283">
        <f>'Fac Conv'!$K$13</f>
        <v>2.7</v>
      </c>
      <c r="F213" s="283">
        <f t="shared" si="51"/>
        <v>10417290.88491</v>
      </c>
      <c r="G213" s="694">
        <f>'IP 5D2 FETipos de tratamiento'!$J$15</f>
        <v>7.4999999999999997E-2</v>
      </c>
      <c r="H213" s="283">
        <f t="shared" si="52"/>
        <v>0.7812968163682501</v>
      </c>
      <c r="I213" s="273"/>
      <c r="K213" s="273"/>
    </row>
    <row r="214" spans="2:11" ht="14.25" customHeight="1">
      <c r="B214" s="239">
        <v>2011</v>
      </c>
      <c r="C214" s="354">
        <f>SUM('IP 5D2 2021'!AT35:AT42)+'IP 5D2 2021'!AT48</f>
        <v>569590.10869999998</v>
      </c>
      <c r="D214" s="283">
        <f>'Fac Conv'!$H$13</f>
        <v>7</v>
      </c>
      <c r="E214" s="283">
        <f>'Fac Conv'!$K$13</f>
        <v>2.7</v>
      </c>
      <c r="F214" s="283">
        <f t="shared" si="51"/>
        <v>10765253.05443</v>
      </c>
      <c r="G214" s="694">
        <f>'IP 5D2 FETipos de tratamiento'!$J$15</f>
        <v>7.4999999999999997E-2</v>
      </c>
      <c r="H214" s="283">
        <f t="shared" si="52"/>
        <v>0.80739397908225008</v>
      </c>
      <c r="I214" s="273"/>
      <c r="K214" s="273"/>
    </row>
    <row r="215" spans="2:11" ht="14.25" customHeight="1">
      <c r="B215" s="239">
        <v>2012</v>
      </c>
      <c r="C215" s="354">
        <f>SUM('IP 5D2 2021'!AV35:AV42)+'IP 5D2 2021'!AV48</f>
        <v>793313.41099999996</v>
      </c>
      <c r="D215" s="283">
        <f>'Fac Conv'!$H$13</f>
        <v>7</v>
      </c>
      <c r="E215" s="283">
        <f>'Fac Conv'!$K$13</f>
        <v>2.7</v>
      </c>
      <c r="F215" s="283">
        <f t="shared" si="51"/>
        <v>14993623.467899999</v>
      </c>
      <c r="G215" s="694">
        <f>'IP 5D2 FETipos de tratamiento'!$J$15</f>
        <v>7.4999999999999997E-2</v>
      </c>
      <c r="H215" s="283">
        <f t="shared" si="52"/>
        <v>1.1245217600924999</v>
      </c>
      <c r="I215" s="273"/>
      <c r="K215" s="273"/>
    </row>
    <row r="216" spans="2:11" ht="14.25" customHeight="1">
      <c r="B216" s="239">
        <v>2013</v>
      </c>
      <c r="C216" s="354">
        <f>SUM('IP 5D2 2021'!AX35:AX42)+'IP 5D2 2021'!AX48</f>
        <v>833426.24799999979</v>
      </c>
      <c r="D216" s="283">
        <f>'Fac Conv'!$H$13</f>
        <v>7</v>
      </c>
      <c r="E216" s="283">
        <f>'Fac Conv'!$K$13</f>
        <v>2.7</v>
      </c>
      <c r="F216" s="283">
        <f t="shared" si="51"/>
        <v>15751756.087199997</v>
      </c>
      <c r="G216" s="694">
        <f>'IP 5D2 FETipos de tratamiento'!$J$15</f>
        <v>7.4999999999999997E-2</v>
      </c>
      <c r="H216" s="283">
        <f t="shared" si="52"/>
        <v>1.1813817065399996</v>
      </c>
      <c r="I216" s="273"/>
      <c r="K216" s="273"/>
    </row>
    <row r="217" spans="2:11" ht="14.25" customHeight="1">
      <c r="B217" s="239">
        <v>2014</v>
      </c>
      <c r="C217" s="354">
        <f>SUM('IP 5D2 2021'!AZ35:AZ42)+'IP 5D2 2021'!AZ48</f>
        <v>852356.66399999987</v>
      </c>
      <c r="D217" s="283">
        <f>'Fac Conv'!$H$13</f>
        <v>7</v>
      </c>
      <c r="E217" s="283">
        <f>'Fac Conv'!$K$13</f>
        <v>2.7</v>
      </c>
      <c r="F217" s="283">
        <f t="shared" si="51"/>
        <v>16109540.949599998</v>
      </c>
      <c r="G217" s="694">
        <f>'IP 5D2 FETipos de tratamiento'!$J$15</f>
        <v>7.4999999999999997E-2</v>
      </c>
      <c r="H217" s="283">
        <f t="shared" si="52"/>
        <v>1.2082155712199998</v>
      </c>
      <c r="I217" s="273"/>
      <c r="K217" s="273"/>
    </row>
    <row r="218" spans="2:11" ht="14.25" customHeight="1">
      <c r="B218" s="239">
        <v>2015</v>
      </c>
      <c r="C218" s="354">
        <f>SUM('IP 5D2 2021'!BB35:BB42)+'IP 5D2 2021'!BB48</f>
        <v>897334.32300000009</v>
      </c>
      <c r="D218" s="283">
        <f>'Fac Conv'!$H$13</f>
        <v>7</v>
      </c>
      <c r="E218" s="283">
        <f>'Fac Conv'!$K$13</f>
        <v>2.7</v>
      </c>
      <c r="F218" s="283">
        <f t="shared" si="51"/>
        <v>16959618.704700004</v>
      </c>
      <c r="G218" s="694">
        <f>'IP 5D2 FETipos de tratamiento'!$J$15</f>
        <v>7.4999999999999997E-2</v>
      </c>
      <c r="H218" s="283">
        <f t="shared" si="52"/>
        <v>1.2719714028525004</v>
      </c>
      <c r="I218" s="273"/>
      <c r="K218" s="273"/>
    </row>
    <row r="219" spans="2:11" ht="14.25" customHeight="1">
      <c r="B219" s="239">
        <v>2016</v>
      </c>
      <c r="C219" s="354">
        <f>SUM('IP 5D2 2021'!BD35:BD42)+'IP 5D2 2021'!BD48</f>
        <v>862795.35000000009</v>
      </c>
      <c r="D219" s="283">
        <f>'Fac Conv'!$H$13</f>
        <v>7</v>
      </c>
      <c r="E219" s="283">
        <f>'Fac Conv'!$K$13</f>
        <v>2.7</v>
      </c>
      <c r="F219" s="283">
        <f t="shared" si="51"/>
        <v>16306832.115000004</v>
      </c>
      <c r="G219" s="694">
        <f>'IP 5D2 FETipos de tratamiento'!$J$15</f>
        <v>7.4999999999999997E-2</v>
      </c>
      <c r="H219" s="283">
        <f t="shared" si="52"/>
        <v>1.223012408625</v>
      </c>
      <c r="I219" s="273"/>
      <c r="K219" s="273"/>
    </row>
    <row r="220" spans="2:11" ht="14.25" customHeight="1">
      <c r="B220" s="239">
        <v>2017</v>
      </c>
      <c r="C220" s="354">
        <f>SUM('IP 5D2 2021'!BF35:BF42)+'IP 5D2 2021'!BF48</f>
        <v>817032.53600000008</v>
      </c>
      <c r="D220" s="283">
        <f>'Fac Conv'!$H$13</f>
        <v>7</v>
      </c>
      <c r="E220" s="283">
        <f>'Fac Conv'!$K$13</f>
        <v>2.7</v>
      </c>
      <c r="F220" s="283">
        <f t="shared" si="51"/>
        <v>15441914.930400003</v>
      </c>
      <c r="G220" s="694">
        <f>'IP 5D2 FETipos de tratamiento'!$J$15</f>
        <v>7.4999999999999997E-2</v>
      </c>
      <c r="H220" s="283">
        <f t="shared" si="52"/>
        <v>1.1581436197800001</v>
      </c>
      <c r="I220" s="273"/>
      <c r="K220" s="273"/>
    </row>
    <row r="221" spans="2:11" ht="14.25" customHeight="1">
      <c r="B221" s="239">
        <v>2018</v>
      </c>
      <c r="C221" s="354">
        <f>SUM('IP 5D2 2021'!BH35:BH42)+'IP 5D2 2021'!BH48</f>
        <v>815295.18599999987</v>
      </c>
      <c r="D221" s="283">
        <f>'Fac Conv'!$H$13</f>
        <v>7</v>
      </c>
      <c r="E221" s="283">
        <f>'Fac Conv'!$K$13</f>
        <v>2.7</v>
      </c>
      <c r="F221" s="283">
        <f t="shared" si="51"/>
        <v>15409079.015399998</v>
      </c>
      <c r="G221" s="694">
        <f>'IP 5D2 FETipos de tratamiento'!$J$15</f>
        <v>7.4999999999999997E-2</v>
      </c>
      <c r="H221" s="283">
        <f t="shared" si="52"/>
        <v>1.1556809261549998</v>
      </c>
      <c r="I221" s="273"/>
      <c r="K221" s="273"/>
    </row>
    <row r="222" spans="2:11" ht="14.25" customHeight="1">
      <c r="B222" s="239">
        <v>2019</v>
      </c>
      <c r="C222" s="354">
        <f>SUM('IP 5D2 2021'!BJ35:BJ42)+'IP 5D2 2021'!BJ48</f>
        <v>833342.88</v>
      </c>
      <c r="D222" s="283">
        <f>'Fac Conv'!$H$13</f>
        <v>7</v>
      </c>
      <c r="E222" s="283">
        <f>'Fac Conv'!$K$13</f>
        <v>2.7</v>
      </c>
      <c r="F222" s="283">
        <f t="shared" si="51"/>
        <v>15750180.432000002</v>
      </c>
      <c r="G222" s="694">
        <f>'IP 5D2 FETipos de tratamiento'!$J$15</f>
        <v>7.4999999999999997E-2</v>
      </c>
      <c r="H222" s="283">
        <f t="shared" si="52"/>
        <v>1.1812635324</v>
      </c>
      <c r="I222" s="273"/>
      <c r="K222" s="273"/>
    </row>
    <row r="223" spans="2:11" ht="14.25" customHeight="1">
      <c r="B223" s="239">
        <v>2020</v>
      </c>
      <c r="C223" s="354">
        <f>SUM('IP 5D2 2021'!BL35:BL42)+'IP 5D2 2021'!BL48</f>
        <v>832699.07500000019</v>
      </c>
      <c r="D223" s="283">
        <f>'Fac Conv'!$H$13</f>
        <v>7</v>
      </c>
      <c r="E223" s="283">
        <f>'Fac Conv'!$K$13</f>
        <v>2.7</v>
      </c>
      <c r="F223" s="283">
        <f t="shared" si="51"/>
        <v>15738012.517500004</v>
      </c>
      <c r="G223" s="694">
        <f>'IP 5D2 FETipos de tratamiento'!$J$15</f>
        <v>7.4999999999999997E-2</v>
      </c>
      <c r="H223" s="283">
        <f t="shared" si="52"/>
        <v>1.1803509388125004</v>
      </c>
      <c r="I223" s="273"/>
      <c r="K223" s="273"/>
    </row>
    <row r="224" spans="2:11" ht="14.25" customHeight="1">
      <c r="B224" s="239">
        <v>2021</v>
      </c>
      <c r="C224" s="354">
        <f>SUM('IP 5D2 2021'!BN35:BN42)+'IP 5D2 2021'!BN48</f>
        <v>828715.93400000001</v>
      </c>
      <c r="D224" s="283">
        <f>'Fac Conv'!$H$13</f>
        <v>7</v>
      </c>
      <c r="E224" s="283">
        <f>'Fac Conv'!$K$13</f>
        <v>2.7</v>
      </c>
      <c r="F224" s="283">
        <f t="shared" si="51"/>
        <v>15662731.1526</v>
      </c>
      <c r="G224" s="694">
        <f>'IP 5D2 FETipos de tratamiento'!$J$15</f>
        <v>7.4999999999999997E-2</v>
      </c>
      <c r="H224" s="283">
        <f t="shared" si="52"/>
        <v>1.1747048364450001</v>
      </c>
      <c r="I224" s="273"/>
      <c r="K224" s="273"/>
    </row>
    <row r="225" spans="2:11" ht="14.25" customHeight="1">
      <c r="B225" s="239">
        <v>2022</v>
      </c>
      <c r="C225" s="354">
        <f>SUM('IP 5D2 2021'!BP35:BP42)+'IP 5D2 2021'!BP48</f>
        <v>733965.47200000007</v>
      </c>
      <c r="D225" s="283">
        <f>'Fac Conv'!$H$13</f>
        <v>7</v>
      </c>
      <c r="E225" s="283">
        <f>'Fac Conv'!$K$13</f>
        <v>2.7</v>
      </c>
      <c r="F225" s="283">
        <f t="shared" ref="F225" si="53">C225*D225*E225</f>
        <v>13871947.420800002</v>
      </c>
      <c r="G225" s="694">
        <f>'IP 5D2 FETipos de tratamiento'!$J$15</f>
        <v>7.4999999999999997E-2</v>
      </c>
      <c r="H225" s="283">
        <f t="shared" ref="H225" si="54">(F225*G225)/1000000</f>
        <v>1.0403960565600001</v>
      </c>
      <c r="I225" s="273"/>
      <c r="K225" s="273"/>
    </row>
    <row r="226" spans="2:11" ht="14.25" customHeight="1">
      <c r="B226" s="32"/>
      <c r="C226" s="365"/>
      <c r="D226" s="366"/>
      <c r="E226" s="366"/>
      <c r="F226" s="366"/>
      <c r="G226" s="367"/>
      <c r="H226" s="366"/>
      <c r="I226" s="273"/>
      <c r="K226" s="273"/>
    </row>
    <row r="227" spans="2:11" ht="14.25" customHeight="1">
      <c r="B227" s="278" t="s">
        <v>317</v>
      </c>
      <c r="C227" s="356"/>
      <c r="D227" s="356"/>
      <c r="E227" s="356"/>
      <c r="F227" s="356"/>
      <c r="G227" s="356"/>
      <c r="H227" s="356"/>
      <c r="I227" s="273"/>
      <c r="K227" s="273"/>
    </row>
    <row r="228" spans="2:11" s="32" customFormat="1" ht="14.25" customHeight="1">
      <c r="B228" s="239">
        <v>1990</v>
      </c>
      <c r="C228" s="354">
        <f>'IP 5D2 2021'!E43</f>
        <v>0</v>
      </c>
      <c r="D228" s="283">
        <f xml:space="preserve"> ('Fac Conv'!$I$22+'Fac Conv'!$J$22)/2</f>
        <v>11</v>
      </c>
      <c r="E228" s="283">
        <f>'Fac Conv'!$K$22</f>
        <v>3.2</v>
      </c>
      <c r="F228" s="283">
        <f t="shared" ref="F228:F259" si="55">C228*D228*E228</f>
        <v>0</v>
      </c>
      <c r="G228" s="695">
        <f>'IP 5D2 FETipos de tratamiento'!S35</f>
        <v>9.5248259310058037E-2</v>
      </c>
      <c r="H228" s="283">
        <f t="shared" ref="H228:H258" si="56">(F228*G228)/1000000</f>
        <v>0</v>
      </c>
      <c r="I228" s="273"/>
      <c r="K228" s="273"/>
    </row>
    <row r="229" spans="2:11" s="32" customFormat="1" ht="14.25" customHeight="1">
      <c r="B229" s="239">
        <v>1991</v>
      </c>
      <c r="C229" s="354">
        <f>'IP 5D2 2021'!F43</f>
        <v>0</v>
      </c>
      <c r="D229" s="283">
        <f xml:space="preserve"> ('Fac Conv'!$I$22+'Fac Conv'!$J$22)/2</f>
        <v>11</v>
      </c>
      <c r="E229" s="283">
        <f>'Fac Conv'!$K$22</f>
        <v>3.2</v>
      </c>
      <c r="F229" s="283">
        <f t="shared" si="55"/>
        <v>0</v>
      </c>
      <c r="G229" s="695">
        <f>'IP 5D2 FETipos de tratamiento'!S36</f>
        <v>9.5248259310058009E-2</v>
      </c>
      <c r="H229" s="283">
        <f t="shared" si="56"/>
        <v>0</v>
      </c>
      <c r="I229" s="273"/>
      <c r="K229" s="273"/>
    </row>
    <row r="230" spans="2:11" s="32" customFormat="1" ht="14.25" customHeight="1">
      <c r="B230" s="239">
        <v>1992</v>
      </c>
      <c r="C230" s="354">
        <f>'IP 5D2 2021'!H43</f>
        <v>0</v>
      </c>
      <c r="D230" s="283">
        <f xml:space="preserve"> ('Fac Conv'!$I$22+'Fac Conv'!$J$22)/2</f>
        <v>11</v>
      </c>
      <c r="E230" s="283">
        <f>'Fac Conv'!$K$22</f>
        <v>3.2</v>
      </c>
      <c r="F230" s="283">
        <f t="shared" si="55"/>
        <v>0</v>
      </c>
      <c r="G230" s="695">
        <f>'IP 5D2 FETipos de tratamiento'!S37</f>
        <v>9.524825931005805E-2</v>
      </c>
      <c r="H230" s="283">
        <f t="shared" si="56"/>
        <v>0</v>
      </c>
      <c r="I230" s="273"/>
      <c r="K230" s="273"/>
    </row>
    <row r="231" spans="2:11" s="32" customFormat="1" ht="14.25" customHeight="1">
      <c r="B231" s="239">
        <v>1993</v>
      </c>
      <c r="C231" s="354">
        <f>'IP 5D2 2021'!J43</f>
        <v>0</v>
      </c>
      <c r="D231" s="283">
        <f xml:space="preserve"> ('Fac Conv'!$I$22+'Fac Conv'!$J$22)/2</f>
        <v>11</v>
      </c>
      <c r="E231" s="283">
        <f>'Fac Conv'!$K$22</f>
        <v>3.2</v>
      </c>
      <c r="F231" s="283">
        <f t="shared" si="55"/>
        <v>0</v>
      </c>
      <c r="G231" s="695">
        <f>'IP 5D2 FETipos de tratamiento'!S38</f>
        <v>9.5248259310058009E-2</v>
      </c>
      <c r="H231" s="283">
        <f t="shared" si="56"/>
        <v>0</v>
      </c>
      <c r="I231" s="273"/>
      <c r="K231" s="273"/>
    </row>
    <row r="232" spans="2:11" s="32" customFormat="1" ht="14.25" customHeight="1">
      <c r="B232" s="239">
        <v>1994</v>
      </c>
      <c r="C232" s="354">
        <f>'IP 5D2 2021'!L43</f>
        <v>0</v>
      </c>
      <c r="D232" s="283">
        <f xml:space="preserve"> ('Fac Conv'!$I$22+'Fac Conv'!$J$22)/2</f>
        <v>11</v>
      </c>
      <c r="E232" s="283">
        <f>'Fac Conv'!$K$22</f>
        <v>3.2</v>
      </c>
      <c r="F232" s="283">
        <f t="shared" si="55"/>
        <v>0</v>
      </c>
      <c r="G232" s="695">
        <f>'IP 5D2 FETipos de tratamiento'!S39</f>
        <v>9.5248259310058009E-2</v>
      </c>
      <c r="H232" s="283">
        <f t="shared" si="56"/>
        <v>0</v>
      </c>
      <c r="I232" s="273"/>
      <c r="K232" s="273"/>
    </row>
    <row r="233" spans="2:11" s="32" customFormat="1" ht="14.25" customHeight="1">
      <c r="B233" s="239">
        <v>1995</v>
      </c>
      <c r="C233" s="354">
        <f>'IP 5D2 2021'!N43</f>
        <v>641926</v>
      </c>
      <c r="D233" s="283">
        <f xml:space="preserve"> ('Fac Conv'!$I$22+'Fac Conv'!$J$22)/2</f>
        <v>11</v>
      </c>
      <c r="E233" s="283">
        <f>'Fac Conv'!$K$22</f>
        <v>3.2</v>
      </c>
      <c r="F233" s="283">
        <f t="shared" si="55"/>
        <v>22595795.200000003</v>
      </c>
      <c r="G233" s="695">
        <f>'IP 5D2 FETipos de tratamiento'!S40</f>
        <v>9.5248259310058023E-2</v>
      </c>
      <c r="H233" s="283">
        <f t="shared" si="56"/>
        <v>2.1522101605265647</v>
      </c>
      <c r="I233" s="273"/>
      <c r="K233" s="273"/>
    </row>
    <row r="234" spans="2:11" s="32" customFormat="1" ht="14.25" customHeight="1">
      <c r="B234" s="239">
        <v>1996</v>
      </c>
      <c r="C234" s="354">
        <f>'IP 5D2 2021'!P43</f>
        <v>607808</v>
      </c>
      <c r="D234" s="283">
        <f xml:space="preserve"> ('Fac Conv'!$I$22+'Fac Conv'!$J$22)/2</f>
        <v>11</v>
      </c>
      <c r="E234" s="283">
        <f>'Fac Conv'!$K$22</f>
        <v>3.2</v>
      </c>
      <c r="F234" s="283">
        <f t="shared" si="55"/>
        <v>21394841.600000001</v>
      </c>
      <c r="G234" s="695">
        <f>'IP 5D2 FETipos de tratamiento'!S41</f>
        <v>9.5248259310058023E-2</v>
      </c>
      <c r="H234" s="283">
        <f t="shared" si="56"/>
        <v>2.0378214206144167</v>
      </c>
      <c r="I234" s="273"/>
      <c r="K234" s="273"/>
    </row>
    <row r="235" spans="2:11" s="32" customFormat="1" ht="14.25" customHeight="1">
      <c r="B235" s="239">
        <v>1997</v>
      </c>
      <c r="C235" s="354">
        <f>'IP 5D2 2021'!R43</f>
        <v>674334</v>
      </c>
      <c r="D235" s="283">
        <f xml:space="preserve"> ('Fac Conv'!$I$22+'Fac Conv'!$J$22)/2</f>
        <v>11</v>
      </c>
      <c r="E235" s="283">
        <f>'Fac Conv'!$K$22</f>
        <v>3.2</v>
      </c>
      <c r="F235" s="283">
        <f t="shared" si="55"/>
        <v>23736556.800000001</v>
      </c>
      <c r="G235" s="695">
        <f>'IP 5D2 FETipos de tratamiento'!S42</f>
        <v>9.5248259310058009E-2</v>
      </c>
      <c r="H235" s="283">
        <f t="shared" si="56"/>
        <v>2.2608657172143207</v>
      </c>
      <c r="I235" s="273"/>
      <c r="K235" s="273"/>
    </row>
    <row r="236" spans="2:11" s="32" customFormat="1" ht="14.25" customHeight="1">
      <c r="B236" s="239">
        <v>1998</v>
      </c>
      <c r="C236" s="354">
        <f>'IP 5D2 2021'!T43</f>
        <v>449582</v>
      </c>
      <c r="D236" s="283">
        <f xml:space="preserve"> ('Fac Conv'!$I$22+'Fac Conv'!$J$22)/2</f>
        <v>11</v>
      </c>
      <c r="E236" s="283">
        <f>'Fac Conv'!$K$22</f>
        <v>3.2</v>
      </c>
      <c r="F236" s="283">
        <f t="shared" si="55"/>
        <v>15825286.4</v>
      </c>
      <c r="G236" s="695">
        <f>'IP 5D2 FETipos de tratamiento'!S43</f>
        <v>9.5248259310058009E-2</v>
      </c>
      <c r="H236" s="283">
        <f t="shared" si="56"/>
        <v>1.5073309826831345</v>
      </c>
      <c r="I236" s="273"/>
      <c r="K236" s="273"/>
    </row>
    <row r="237" spans="2:11" s="32" customFormat="1" ht="14.25" customHeight="1">
      <c r="B237" s="239">
        <v>1999</v>
      </c>
      <c r="C237" s="354">
        <f>'IP 5D2 2021'!V43</f>
        <v>604569</v>
      </c>
      <c r="D237" s="283">
        <f xml:space="preserve"> ('Fac Conv'!$I$22+'Fac Conv'!$J$22)/2</f>
        <v>11</v>
      </c>
      <c r="E237" s="283">
        <f>'Fac Conv'!$K$22</f>
        <v>3.2</v>
      </c>
      <c r="F237" s="283">
        <f t="shared" si="55"/>
        <v>21280828.800000001</v>
      </c>
      <c r="G237" s="695">
        <f>'IP 5D2 FETipos de tratamiento'!S44</f>
        <v>9.5248259310058009E-2</v>
      </c>
      <c r="H237" s="283">
        <f t="shared" si="56"/>
        <v>2.0269618998753507</v>
      </c>
      <c r="I237" s="281"/>
      <c r="K237" s="273"/>
    </row>
    <row r="238" spans="2:11" ht="14.25" customHeight="1">
      <c r="B238" s="239">
        <v>2000</v>
      </c>
      <c r="C238" s="354">
        <f>'IP 5D2 2021'!X43</f>
        <v>724095.86300000001</v>
      </c>
      <c r="D238" s="283">
        <f xml:space="preserve"> ('Fac Conv'!$I$22+'Fac Conv'!$J$22)/2</f>
        <v>11</v>
      </c>
      <c r="E238" s="283">
        <f>'Fac Conv'!$K$22</f>
        <v>3.2</v>
      </c>
      <c r="F238" s="283">
        <f t="shared" si="55"/>
        <v>25488174.377599999</v>
      </c>
      <c r="G238" s="695">
        <f>'IP 5D2 FETipos de tratamiento'!S45</f>
        <v>9.5248259310058009E-2</v>
      </c>
      <c r="H238" s="283">
        <f t="shared" si="56"/>
        <v>2.4277042424576214</v>
      </c>
      <c r="I238" s="273"/>
      <c r="K238" s="273"/>
    </row>
    <row r="239" spans="2:11" ht="14.25" customHeight="1">
      <c r="B239" s="239">
        <v>2001</v>
      </c>
      <c r="C239" s="354">
        <f>'IP 5D2 2021'!Z43</f>
        <v>759934.66145000001</v>
      </c>
      <c r="D239" s="283">
        <f xml:space="preserve"> ('Fac Conv'!$I$22+'Fac Conv'!$J$22)/2</f>
        <v>11</v>
      </c>
      <c r="E239" s="283">
        <f>'Fac Conv'!$K$22</f>
        <v>3.2</v>
      </c>
      <c r="F239" s="283">
        <f t="shared" si="55"/>
        <v>26749700.083039999</v>
      </c>
      <c r="G239" s="695">
        <f>'IP 5D2 FETipos de tratamiento'!S46</f>
        <v>9.5248259310058037E-2</v>
      </c>
      <c r="H239" s="283">
        <f t="shared" si="56"/>
        <v>2.5478623699756748</v>
      </c>
      <c r="I239" s="273"/>
      <c r="K239" s="273"/>
    </row>
    <row r="240" spans="2:11" ht="14.25" customHeight="1">
      <c r="B240" s="239">
        <v>2002</v>
      </c>
      <c r="C240" s="354">
        <f>'IP 5D2 2021'!AB43</f>
        <v>876648</v>
      </c>
      <c r="D240" s="283">
        <f xml:space="preserve"> ('Fac Conv'!$I$22+'Fac Conv'!$J$22)/2</f>
        <v>11</v>
      </c>
      <c r="E240" s="283">
        <f>'Fac Conv'!$K$22</f>
        <v>3.2</v>
      </c>
      <c r="F240" s="283">
        <f t="shared" si="55"/>
        <v>30858009.600000001</v>
      </c>
      <c r="G240" s="695">
        <f>'IP 5D2 FETipos de tratamiento'!S47</f>
        <v>9.5248259310058009E-2</v>
      </c>
      <c r="H240" s="283">
        <f t="shared" si="56"/>
        <v>2.9391717001730595</v>
      </c>
      <c r="I240" s="273"/>
      <c r="K240" s="273"/>
    </row>
    <row r="241" spans="2:11" ht="14.25" customHeight="1">
      <c r="B241" s="239">
        <v>2003</v>
      </c>
      <c r="C241" s="354">
        <f>'IP 5D2 2021'!AD43</f>
        <v>958807</v>
      </c>
      <c r="D241" s="283">
        <f xml:space="preserve"> ('Fac Conv'!$I$22+'Fac Conv'!$J$22)/2</f>
        <v>11</v>
      </c>
      <c r="E241" s="283">
        <f>'Fac Conv'!$K$22</f>
        <v>3.2</v>
      </c>
      <c r="F241" s="283">
        <f t="shared" si="55"/>
        <v>33750006.399999999</v>
      </c>
      <c r="G241" s="695">
        <f>'IP 5D2 FETipos de tratamiento'!S48</f>
        <v>9.5248259310058009E-2</v>
      </c>
      <c r="H241" s="283">
        <f t="shared" si="56"/>
        <v>3.2146293613033174</v>
      </c>
      <c r="I241" s="273"/>
      <c r="K241" s="273"/>
    </row>
    <row r="242" spans="2:11" ht="14.25" customHeight="1">
      <c r="B242" s="239">
        <v>2004</v>
      </c>
      <c r="C242" s="354">
        <f>'IP 5D2 2021'!AF43</f>
        <v>746181.3</v>
      </c>
      <c r="D242" s="283">
        <f xml:space="preserve"> ('Fac Conv'!$I$22+'Fac Conv'!$J$22)/2</f>
        <v>11</v>
      </c>
      <c r="E242" s="283">
        <f>'Fac Conv'!$K$22</f>
        <v>3.2</v>
      </c>
      <c r="F242" s="283">
        <f t="shared" si="55"/>
        <v>26265581.760000005</v>
      </c>
      <c r="G242" s="695">
        <f>'IP 5D2 FETipos de tratamiento'!S49</f>
        <v>9.5248259310058037E-2</v>
      </c>
      <c r="H242" s="283">
        <f t="shared" si="56"/>
        <v>2.5017509424060114</v>
      </c>
      <c r="I242" s="273"/>
      <c r="K242" s="273"/>
    </row>
    <row r="243" spans="2:11" ht="14.25" customHeight="1">
      <c r="B243" s="239">
        <v>2005</v>
      </c>
      <c r="C243" s="354">
        <f>'IP 5D2 2021'!AH43</f>
        <v>695598.3</v>
      </c>
      <c r="D243" s="283">
        <f xml:space="preserve"> ('Fac Conv'!$I$22+'Fac Conv'!$J$22)/2</f>
        <v>11</v>
      </c>
      <c r="E243" s="283">
        <f>'Fac Conv'!$K$22</f>
        <v>3.2</v>
      </c>
      <c r="F243" s="283">
        <f t="shared" si="55"/>
        <v>24485060.160000004</v>
      </c>
      <c r="G243" s="695">
        <f>'IP 5D2 FETipos de tratamiento'!S50</f>
        <v>9.5248259310058037E-2</v>
      </c>
      <c r="H243" s="283">
        <f t="shared" si="56"/>
        <v>2.3321593593420515</v>
      </c>
      <c r="I243" s="273"/>
      <c r="K243" s="273"/>
    </row>
    <row r="244" spans="2:11" ht="14.25" customHeight="1">
      <c r="B244" s="239">
        <v>2006</v>
      </c>
      <c r="C244" s="354">
        <f>'IP 5D2 2021'!AJ43</f>
        <v>805132.7</v>
      </c>
      <c r="D244" s="283">
        <f xml:space="preserve"> ('Fac Conv'!$I$22+'Fac Conv'!$J$22)/2</f>
        <v>11</v>
      </c>
      <c r="E244" s="283">
        <f>'Fac Conv'!$K$22</f>
        <v>3.2</v>
      </c>
      <c r="F244" s="283">
        <f t="shared" si="55"/>
        <v>28340671.039999999</v>
      </c>
      <c r="G244" s="695">
        <f>'IP 5D2 FETipos de tratamiento'!S51</f>
        <v>9.5248259310058037E-2</v>
      </c>
      <c r="H244" s="283">
        <f t="shared" si="56"/>
        <v>2.699399584238972</v>
      </c>
      <c r="I244" s="273"/>
      <c r="K244" s="273"/>
    </row>
    <row r="245" spans="2:11" ht="14.25" customHeight="1">
      <c r="B245" s="239">
        <v>2007</v>
      </c>
      <c r="C245" s="354">
        <f>'IP 5D2 2021'!AL43</f>
        <v>908964.4</v>
      </c>
      <c r="D245" s="283">
        <f xml:space="preserve"> ('Fac Conv'!$I$22+'Fac Conv'!$J$22)/2</f>
        <v>11</v>
      </c>
      <c r="E245" s="283">
        <f>'Fac Conv'!$K$22</f>
        <v>3.2</v>
      </c>
      <c r="F245" s="283">
        <f t="shared" si="55"/>
        <v>31995546.880000003</v>
      </c>
      <c r="G245" s="695">
        <f>'IP 5D2 FETipos de tratamiento'!S52</f>
        <v>9.5248259310058037E-2</v>
      </c>
      <c r="H245" s="283">
        <f t="shared" si="56"/>
        <v>3.0475201459933583</v>
      </c>
      <c r="I245" s="273"/>
      <c r="K245" s="273"/>
    </row>
    <row r="246" spans="2:11" ht="14.25" customHeight="1">
      <c r="B246" s="239">
        <v>2008</v>
      </c>
      <c r="C246" s="354">
        <f>'IP 5D2 2021'!AN43</f>
        <v>1007169.6</v>
      </c>
      <c r="D246" s="283">
        <f xml:space="preserve"> ('Fac Conv'!$I$22+'Fac Conv'!$J$22)/2</f>
        <v>11</v>
      </c>
      <c r="E246" s="283">
        <f>'Fac Conv'!$K$22</f>
        <v>3.2</v>
      </c>
      <c r="F246" s="283">
        <f t="shared" si="55"/>
        <v>35452369.920000002</v>
      </c>
      <c r="G246" s="695">
        <f>'IP 5D2 FETipos de tratamiento'!S53</f>
        <v>9.5248259310058037E-2</v>
      </c>
      <c r="H246" s="283">
        <f t="shared" si="56"/>
        <v>3.3767765232962619</v>
      </c>
      <c r="I246" s="273"/>
      <c r="K246" s="273"/>
    </row>
    <row r="247" spans="2:11" ht="14.25" customHeight="1">
      <c r="B247" s="239">
        <v>2009</v>
      </c>
      <c r="C247" s="354">
        <f>'IP 5D2 2021'!AP43</f>
        <v>1064499.3</v>
      </c>
      <c r="D247" s="283">
        <f xml:space="preserve"> ('Fac Conv'!$I$22+'Fac Conv'!$J$22)/2</f>
        <v>11</v>
      </c>
      <c r="E247" s="283">
        <f>'Fac Conv'!$K$22</f>
        <v>3.2</v>
      </c>
      <c r="F247" s="283">
        <f t="shared" si="55"/>
        <v>37470375.360000007</v>
      </c>
      <c r="G247" s="695">
        <f>'IP 5D2 FETipos de tratamiento'!S54</f>
        <v>9.5248259310058009E-2</v>
      </c>
      <c r="H247" s="283">
        <f t="shared" si="56"/>
        <v>3.5689880287344891</v>
      </c>
      <c r="I247" s="273"/>
      <c r="K247" s="273"/>
    </row>
    <row r="248" spans="2:11" ht="14.25" customHeight="1">
      <c r="B248" s="239">
        <v>2010</v>
      </c>
      <c r="C248" s="354">
        <f>'IP 5D2 2021'!AR43</f>
        <v>1039167.5</v>
      </c>
      <c r="D248" s="283">
        <f xml:space="preserve"> ('Fac Conv'!$I$22+'Fac Conv'!$J$22)/2</f>
        <v>11</v>
      </c>
      <c r="E248" s="283">
        <f>'Fac Conv'!$K$22</f>
        <v>3.2</v>
      </c>
      <c r="F248" s="283">
        <f t="shared" si="55"/>
        <v>36578696</v>
      </c>
      <c r="G248" s="695">
        <f>'IP 5D2 FETipos de tratamiento'!S55</f>
        <v>9.5248259310058009E-2</v>
      </c>
      <c r="H248" s="283">
        <f t="shared" si="56"/>
        <v>3.4840571218317815</v>
      </c>
      <c r="I248" s="273"/>
      <c r="K248" s="273"/>
    </row>
    <row r="249" spans="2:11" ht="14.25" customHeight="1">
      <c r="B249" s="239">
        <v>2011</v>
      </c>
      <c r="C249" s="354">
        <f>'IP 5D2 2021'!AT43</f>
        <v>1076214.8</v>
      </c>
      <c r="D249" s="283">
        <f xml:space="preserve"> ('Fac Conv'!$I$22+'Fac Conv'!$J$22)/2</f>
        <v>11</v>
      </c>
      <c r="E249" s="283">
        <f>'Fac Conv'!$K$22</f>
        <v>3.2</v>
      </c>
      <c r="F249" s="283">
        <f t="shared" si="55"/>
        <v>37882760.960000001</v>
      </c>
      <c r="G249" s="695">
        <f>'IP 5D2 FETipos de tratamiento'!S56</f>
        <v>9.5248259310058023E-2</v>
      </c>
      <c r="H249" s="283">
        <f t="shared" si="56"/>
        <v>3.6082670392990228</v>
      </c>
      <c r="I249" s="273"/>
      <c r="K249" s="273"/>
    </row>
    <row r="250" spans="2:11" ht="14.25" customHeight="1">
      <c r="B250" s="239">
        <v>2012</v>
      </c>
      <c r="C250" s="354">
        <f>'IP 5D2 2021'!AV43</f>
        <v>1106278</v>
      </c>
      <c r="D250" s="283">
        <f xml:space="preserve"> ('Fac Conv'!$I$22+'Fac Conv'!$J$22)/2</f>
        <v>11</v>
      </c>
      <c r="E250" s="283">
        <f>'Fac Conv'!$K$22</f>
        <v>3.2</v>
      </c>
      <c r="F250" s="283">
        <f t="shared" si="55"/>
        <v>38940985.600000001</v>
      </c>
      <c r="G250" s="695">
        <f>'IP 5D2 FETipos de tratamiento'!S57</f>
        <v>9.5248259310058037E-2</v>
      </c>
      <c r="H250" s="283">
        <f t="shared" si="56"/>
        <v>3.7090610942180362</v>
      </c>
      <c r="I250" s="273"/>
      <c r="K250" s="273"/>
    </row>
    <row r="251" spans="2:11" ht="14.25" customHeight="1">
      <c r="B251" s="239">
        <v>2013</v>
      </c>
      <c r="C251" s="354">
        <f>'IP 5D2 2021'!AX43</f>
        <v>1174068</v>
      </c>
      <c r="D251" s="283">
        <f xml:space="preserve"> ('Fac Conv'!$I$22+'Fac Conv'!$J$22)/2</f>
        <v>11</v>
      </c>
      <c r="E251" s="283">
        <f>'Fac Conv'!$K$22</f>
        <v>3.2</v>
      </c>
      <c r="F251" s="283">
        <f t="shared" si="55"/>
        <v>41327193.600000001</v>
      </c>
      <c r="G251" s="695">
        <f>'IP 5D2 FETipos de tratamiento'!S58</f>
        <v>8.7926985724763776E-2</v>
      </c>
      <c r="H251" s="283">
        <f t="shared" si="56"/>
        <v>3.6337755617117491</v>
      </c>
      <c r="I251" s="273"/>
      <c r="K251" s="273"/>
    </row>
    <row r="252" spans="2:11" ht="14.25" customHeight="1">
      <c r="B252" s="239">
        <v>2014</v>
      </c>
      <c r="C252" s="354">
        <f>'IP 5D2 2021'!AZ43</f>
        <v>1203492</v>
      </c>
      <c r="D252" s="283">
        <f xml:space="preserve"> ('Fac Conv'!$I$22+'Fac Conv'!$J$22)/2</f>
        <v>11</v>
      </c>
      <c r="E252" s="283">
        <f>'Fac Conv'!$K$22</f>
        <v>3.2</v>
      </c>
      <c r="F252" s="283">
        <f t="shared" si="55"/>
        <v>42362918.400000006</v>
      </c>
      <c r="G252" s="695">
        <f>'IP 5D2 FETipos de tratamiento'!S59</f>
        <v>8.0605712139469529E-2</v>
      </c>
      <c r="H252" s="283">
        <f t="shared" si="56"/>
        <v>3.4146932059382378</v>
      </c>
      <c r="I252" s="273"/>
      <c r="K252" s="273"/>
    </row>
    <row r="253" spans="2:11" ht="14.25" customHeight="1">
      <c r="B253" s="239">
        <v>2015</v>
      </c>
      <c r="C253" s="354">
        <f>'IP 5D2 2021'!BB43</f>
        <v>1087985</v>
      </c>
      <c r="D253" s="283">
        <f xml:space="preserve"> ('Fac Conv'!$I$22+'Fac Conv'!$J$22)/2</f>
        <v>11</v>
      </c>
      <c r="E253" s="283">
        <f>'Fac Conv'!$K$22</f>
        <v>3.2</v>
      </c>
      <c r="F253" s="283">
        <f t="shared" si="55"/>
        <v>38297072</v>
      </c>
      <c r="G253" s="695">
        <f>'IP 5D2 FETipos de tratamiento'!S60</f>
        <v>7.3284438554175282E-2</v>
      </c>
      <c r="H253" s="283">
        <f t="shared" si="56"/>
        <v>2.8065794197888265</v>
      </c>
      <c r="I253" s="273"/>
      <c r="K253" s="273"/>
    </row>
    <row r="254" spans="2:11" ht="14.25" customHeight="1">
      <c r="B254" s="239">
        <v>2016</v>
      </c>
      <c r="C254" s="354">
        <f>'IP 5D2 2021'!BD43</f>
        <v>1143793</v>
      </c>
      <c r="D254" s="283">
        <f xml:space="preserve"> ('Fac Conv'!$I$22+'Fac Conv'!$J$22)/2</f>
        <v>11</v>
      </c>
      <c r="E254" s="283">
        <f>'Fac Conv'!$K$22</f>
        <v>3.2</v>
      </c>
      <c r="F254" s="283">
        <f t="shared" si="55"/>
        <v>40261513.600000001</v>
      </c>
      <c r="G254" s="695">
        <f>'IP 5D2 FETipos de tratamiento'!S61</f>
        <v>6.5963164968881036E-2</v>
      </c>
      <c r="H254" s="283">
        <f t="shared" si="56"/>
        <v>2.6557768634936476</v>
      </c>
      <c r="I254" s="273"/>
      <c r="K254" s="273"/>
    </row>
    <row r="255" spans="2:11" ht="14.25" customHeight="1">
      <c r="B255" s="239">
        <v>2017</v>
      </c>
      <c r="C255" s="354">
        <f>'IP 5D2 2021'!BF43</f>
        <v>1080559</v>
      </c>
      <c r="D255" s="283">
        <f xml:space="preserve"> ('Fac Conv'!$I$22+'Fac Conv'!$J$22)/2</f>
        <v>11</v>
      </c>
      <c r="E255" s="283">
        <f>'Fac Conv'!$K$22</f>
        <v>3.2</v>
      </c>
      <c r="F255" s="283">
        <f t="shared" si="55"/>
        <v>38035676.800000004</v>
      </c>
      <c r="G255" s="695">
        <f>'IP 5D2 FETipos de tratamiento'!S62</f>
        <v>5.8641891383586796E-2</v>
      </c>
      <c r="H255" s="283">
        <f t="shared" si="56"/>
        <v>2.2304840276068125</v>
      </c>
      <c r="I255" s="273"/>
      <c r="K255" s="273"/>
    </row>
    <row r="256" spans="2:11" ht="14.25" customHeight="1">
      <c r="B256" s="239">
        <v>2018</v>
      </c>
      <c r="C256" s="354">
        <f>'IP 5D2 2021'!BH43</f>
        <v>1182999</v>
      </c>
      <c r="D256" s="283">
        <f xml:space="preserve"> ('Fac Conv'!$I$22+'Fac Conv'!$J$22)/2</f>
        <v>11</v>
      </c>
      <c r="E256" s="283">
        <f>'Fac Conv'!$K$22</f>
        <v>3.2</v>
      </c>
      <c r="F256" s="283">
        <f t="shared" si="55"/>
        <v>41641564.800000004</v>
      </c>
      <c r="G256" s="695">
        <f>'IP 5D2 FETipos de tratamiento'!S63</f>
        <v>5.8641891383586796E-2</v>
      </c>
      <c r="H256" s="283">
        <f t="shared" si="56"/>
        <v>2.4419401200441913</v>
      </c>
      <c r="I256" s="273"/>
      <c r="K256" s="273"/>
    </row>
    <row r="257" spans="2:11" ht="14.25" customHeight="1">
      <c r="B257" s="239">
        <v>2019</v>
      </c>
      <c r="C257" s="354">
        <f>'IP 5D2 2021'!BJ43</f>
        <v>1198823</v>
      </c>
      <c r="D257" s="283">
        <f xml:space="preserve"> ('Fac Conv'!$I$22+'Fac Conv'!$J$22)/2</f>
        <v>11</v>
      </c>
      <c r="E257" s="283">
        <f>'Fac Conv'!$K$22</f>
        <v>3.2</v>
      </c>
      <c r="F257" s="283">
        <f t="shared" si="55"/>
        <v>42198569.600000001</v>
      </c>
      <c r="G257" s="695">
        <f>'IP 5D2 FETipos de tratamiento'!S64</f>
        <v>4.7907468206626412E-2</v>
      </c>
      <c r="H257" s="283">
        <f t="shared" si="56"/>
        <v>2.0216266314771119</v>
      </c>
      <c r="I257" s="273"/>
      <c r="K257" s="273"/>
    </row>
    <row r="258" spans="2:11" ht="14.25" customHeight="1">
      <c r="B258" s="239">
        <v>2020</v>
      </c>
      <c r="C258" s="354">
        <f>'IP 5D2 2021'!BL43</f>
        <v>1197370</v>
      </c>
      <c r="D258" s="283">
        <f xml:space="preserve"> ('Fac Conv'!$I$22+'Fac Conv'!$J$22)/2</f>
        <v>11</v>
      </c>
      <c r="E258" s="283">
        <f>'Fac Conv'!$K$22</f>
        <v>3.2</v>
      </c>
      <c r="F258" s="283">
        <f t="shared" si="55"/>
        <v>42147424</v>
      </c>
      <c r="G258" s="695">
        <f>'IP 5D2 FETipos de tratamiento'!S65</f>
        <v>4.7907468206626419E-2</v>
      </c>
      <c r="H258" s="283">
        <f t="shared" si="56"/>
        <v>2.0191763752712033</v>
      </c>
      <c r="I258" s="273"/>
      <c r="K258" s="273"/>
    </row>
    <row r="259" spans="2:11" ht="14.25" customHeight="1">
      <c r="B259" s="239">
        <v>2021</v>
      </c>
      <c r="C259" s="354">
        <f>'IP 5D2 2021'!BN43</f>
        <v>1098598</v>
      </c>
      <c r="D259" s="283">
        <f xml:space="preserve"> ('Fac Conv'!$I$22+'Fac Conv'!$J$22)/2</f>
        <v>11</v>
      </c>
      <c r="E259" s="283">
        <f>'Fac Conv'!$K$22</f>
        <v>3.2</v>
      </c>
      <c r="F259" s="283">
        <f t="shared" si="55"/>
        <v>38670649.600000001</v>
      </c>
      <c r="G259" s="695">
        <f>'IP 5D2 FETipos de tratamiento'!S66</f>
        <v>4.7907468206626419E-2</v>
      </c>
      <c r="H259" s="283">
        <f t="shared" ref="H259:H260" si="57">(F259*G259)/1000000</f>
        <v>1.8526129162415905</v>
      </c>
      <c r="I259" s="273"/>
      <c r="K259" s="273"/>
    </row>
    <row r="260" spans="2:11" ht="14.25" customHeight="1">
      <c r="B260" s="239">
        <v>2022</v>
      </c>
      <c r="C260" s="354">
        <f>'IP 5D2 2021'!BP43</f>
        <v>1111812</v>
      </c>
      <c r="D260" s="283">
        <f xml:space="preserve"> ('Fac Conv'!$I$22+'Fac Conv'!$J$22)/2</f>
        <v>11</v>
      </c>
      <c r="E260" s="283">
        <f>'Fac Conv'!$K$22</f>
        <v>3.2</v>
      </c>
      <c r="F260" s="283">
        <f t="shared" ref="F260" si="58">C260*D260*E260</f>
        <v>39135782.399999999</v>
      </c>
      <c r="G260" s="695">
        <f>'IP 5D2 FETipos de tratamiento'!S67</f>
        <v>4.7907468206626426E-2</v>
      </c>
      <c r="H260" s="283">
        <f t="shared" si="57"/>
        <v>1.87489625106945</v>
      </c>
      <c r="I260" s="273"/>
      <c r="K260" s="273"/>
    </row>
    <row r="261" spans="2:11" ht="14.25" customHeight="1">
      <c r="B261" s="32"/>
      <c r="C261" s="365"/>
      <c r="D261" s="366"/>
      <c r="E261" s="366"/>
      <c r="F261" s="366"/>
      <c r="G261" s="366"/>
      <c r="H261" s="366"/>
      <c r="I261" s="273"/>
      <c r="K261" s="273"/>
    </row>
    <row r="262" spans="2:11" ht="14.25" customHeight="1">
      <c r="B262" s="278" t="s">
        <v>318</v>
      </c>
      <c r="C262" s="356"/>
      <c r="D262" s="356"/>
      <c r="E262" s="356"/>
      <c r="F262" s="356"/>
      <c r="G262" s="356"/>
      <c r="H262" s="356"/>
      <c r="I262" s="273"/>
      <c r="K262" s="273"/>
    </row>
    <row r="263" spans="2:11" s="32" customFormat="1" ht="14.25" customHeight="1">
      <c r="B263" s="239">
        <v>1990</v>
      </c>
      <c r="C263" s="354">
        <f>'IP 5D2 2021'!E50</f>
        <v>0</v>
      </c>
      <c r="D263" s="283">
        <f>'Fac Conv'!$H$25</f>
        <v>23</v>
      </c>
      <c r="E263" s="283">
        <f>'Fac Conv'!$K$25</f>
        <v>1.5</v>
      </c>
      <c r="F263" s="283">
        <f t="shared" ref="F263:F294" si="59">C263*D263*E263</f>
        <v>0</v>
      </c>
      <c r="G263" s="695">
        <f>'IP 5D2 FETipos de tratamiento'!S35</f>
        <v>9.5248259310058037E-2</v>
      </c>
      <c r="H263" s="283">
        <f t="shared" ref="H263:H293" si="60">(F263*G263)/1000000</f>
        <v>0</v>
      </c>
      <c r="I263" s="273"/>
      <c r="K263" s="273"/>
    </row>
    <row r="264" spans="2:11" s="32" customFormat="1" ht="14.25" customHeight="1">
      <c r="B264" s="239">
        <v>1991</v>
      </c>
      <c r="C264" s="354">
        <f>'IP 5D2 2021'!F50</f>
        <v>0</v>
      </c>
      <c r="D264" s="283">
        <f>'Fac Conv'!$H$25</f>
        <v>23</v>
      </c>
      <c r="E264" s="283">
        <f>'Fac Conv'!$K$25</f>
        <v>1.5</v>
      </c>
      <c r="F264" s="283">
        <f t="shared" si="59"/>
        <v>0</v>
      </c>
      <c r="G264" s="695">
        <f>'IP 5D2 FETipos de tratamiento'!S36</f>
        <v>9.5248259310058009E-2</v>
      </c>
      <c r="H264" s="283">
        <f t="shared" si="60"/>
        <v>0</v>
      </c>
      <c r="I264" s="273"/>
      <c r="K264" s="273"/>
    </row>
    <row r="265" spans="2:11" s="32" customFormat="1" ht="14.25" customHeight="1">
      <c r="B265" s="239">
        <v>1992</v>
      </c>
      <c r="C265" s="354">
        <f>'IP 5D2 2021'!H50</f>
        <v>0</v>
      </c>
      <c r="D265" s="283">
        <f>'Fac Conv'!$H$25</f>
        <v>23</v>
      </c>
      <c r="E265" s="283">
        <f>'Fac Conv'!$K$25</f>
        <v>1.5</v>
      </c>
      <c r="F265" s="283">
        <f t="shared" si="59"/>
        <v>0</v>
      </c>
      <c r="G265" s="695">
        <f>'IP 5D2 FETipos de tratamiento'!S37</f>
        <v>9.524825931005805E-2</v>
      </c>
      <c r="H265" s="283">
        <f t="shared" si="60"/>
        <v>0</v>
      </c>
      <c r="I265" s="273"/>
      <c r="K265" s="273"/>
    </row>
    <row r="266" spans="2:11" s="32" customFormat="1" ht="14.25" customHeight="1">
      <c r="B266" s="239">
        <v>1993</v>
      </c>
      <c r="C266" s="354">
        <f>'IP 5D2 2021'!J50</f>
        <v>0</v>
      </c>
      <c r="D266" s="283">
        <f>'Fac Conv'!$H$25</f>
        <v>23</v>
      </c>
      <c r="E266" s="283">
        <f>'Fac Conv'!$K$25</f>
        <v>1.5</v>
      </c>
      <c r="F266" s="283">
        <f t="shared" si="59"/>
        <v>0</v>
      </c>
      <c r="G266" s="695">
        <f>'IP 5D2 FETipos de tratamiento'!S38</f>
        <v>9.5248259310058009E-2</v>
      </c>
      <c r="H266" s="283">
        <f t="shared" si="60"/>
        <v>0</v>
      </c>
      <c r="I266" s="273"/>
      <c r="K266" s="273"/>
    </row>
    <row r="267" spans="2:11" s="32" customFormat="1" ht="14.25" customHeight="1">
      <c r="B267" s="239">
        <v>1994</v>
      </c>
      <c r="C267" s="354">
        <f>'IP 5D2 2021'!L50</f>
        <v>0</v>
      </c>
      <c r="D267" s="283">
        <f>'Fac Conv'!$H$25</f>
        <v>23</v>
      </c>
      <c r="E267" s="283">
        <f>'Fac Conv'!$K$25</f>
        <v>1.5</v>
      </c>
      <c r="F267" s="283">
        <f t="shared" si="59"/>
        <v>0</v>
      </c>
      <c r="G267" s="695">
        <f>'IP 5D2 FETipos de tratamiento'!S39</f>
        <v>9.5248259310058009E-2</v>
      </c>
      <c r="H267" s="283">
        <f t="shared" si="60"/>
        <v>0</v>
      </c>
      <c r="I267" s="273"/>
      <c r="K267" s="273"/>
    </row>
    <row r="268" spans="2:11" s="32" customFormat="1" ht="14.25" customHeight="1">
      <c r="B268" s="239">
        <v>1995</v>
      </c>
      <c r="C268" s="354">
        <f>'IP 5D2 2021'!N50</f>
        <v>2714.9752114999997</v>
      </c>
      <c r="D268" s="283">
        <f>'Fac Conv'!$H$25</f>
        <v>23</v>
      </c>
      <c r="E268" s="283">
        <f>'Fac Conv'!$K$25</f>
        <v>1.5</v>
      </c>
      <c r="F268" s="283">
        <f t="shared" si="59"/>
        <v>93666.644796749984</v>
      </c>
      <c r="G268" s="695">
        <f>'IP 5D2 FETipos de tratamiento'!S40</f>
        <v>9.5248259310058023E-2</v>
      </c>
      <c r="H268" s="283">
        <f t="shared" si="60"/>
        <v>8.9215848723039406E-3</v>
      </c>
      <c r="I268" s="273"/>
      <c r="K268" s="273"/>
    </row>
    <row r="269" spans="2:11" s="32" customFormat="1" ht="14.25" customHeight="1">
      <c r="B269" s="239">
        <v>1996</v>
      </c>
      <c r="C269" s="354">
        <f>'IP 5D2 2021'!P50</f>
        <v>3052.0303749999998</v>
      </c>
      <c r="D269" s="283">
        <f>'Fac Conv'!$H$25</f>
        <v>23</v>
      </c>
      <c r="E269" s="283">
        <f>'Fac Conv'!$K$25</f>
        <v>1.5</v>
      </c>
      <c r="F269" s="283">
        <f t="shared" si="59"/>
        <v>105295.04793749998</v>
      </c>
      <c r="G269" s="695">
        <f>'IP 5D2 FETipos de tratamiento'!S41</f>
        <v>9.5248259310058023E-2</v>
      </c>
      <c r="H269" s="283">
        <f t="shared" si="60"/>
        <v>1.0029170030015988E-2</v>
      </c>
      <c r="I269" s="273"/>
      <c r="K269" s="273"/>
    </row>
    <row r="270" spans="2:11" s="32" customFormat="1" ht="14.25" customHeight="1">
      <c r="B270" s="239">
        <v>1997</v>
      </c>
      <c r="C270" s="354">
        <f>'IP 5D2 2021'!R50</f>
        <v>3359.9887349999999</v>
      </c>
      <c r="D270" s="283">
        <f>'Fac Conv'!$H$25</f>
        <v>23</v>
      </c>
      <c r="E270" s="283">
        <f>'Fac Conv'!$K$25</f>
        <v>1.5</v>
      </c>
      <c r="F270" s="283">
        <f t="shared" si="59"/>
        <v>115919.61135749999</v>
      </c>
      <c r="G270" s="695">
        <f>'IP 5D2 FETipos de tratamiento'!S42</f>
        <v>9.5248259310058009E-2</v>
      </c>
      <c r="H270" s="283">
        <f t="shared" si="60"/>
        <v>1.1041141201700305E-2</v>
      </c>
      <c r="I270" s="273"/>
      <c r="K270" s="273"/>
    </row>
    <row r="271" spans="2:11" s="32" customFormat="1" ht="14.25" customHeight="1">
      <c r="B271" s="239">
        <v>1998</v>
      </c>
      <c r="C271" s="354">
        <f>'IP 5D2 2021'!T50</f>
        <v>3065.3495940000003</v>
      </c>
      <c r="D271" s="283">
        <f>'Fac Conv'!$H$25</f>
        <v>23</v>
      </c>
      <c r="E271" s="283">
        <f>'Fac Conv'!$K$25</f>
        <v>1.5</v>
      </c>
      <c r="F271" s="283">
        <f t="shared" si="59"/>
        <v>105754.56099299999</v>
      </c>
      <c r="G271" s="695">
        <f>'IP 5D2 FETipos de tratamiento'!S43</f>
        <v>9.5248259310058009E-2</v>
      </c>
      <c r="H271" s="283">
        <f t="shared" si="60"/>
        <v>1.0072937848682609E-2</v>
      </c>
      <c r="I271" s="273"/>
      <c r="K271" s="273"/>
    </row>
    <row r="272" spans="2:11" s="32" customFormat="1" ht="14.25" customHeight="1">
      <c r="B272" s="239">
        <v>1999</v>
      </c>
      <c r="C272" s="354">
        <f>'IP 5D2 2021'!V50</f>
        <v>3262.4941644999999</v>
      </c>
      <c r="D272" s="283">
        <f>'Fac Conv'!$H$25</f>
        <v>23</v>
      </c>
      <c r="E272" s="283">
        <f>'Fac Conv'!$K$25</f>
        <v>1.5</v>
      </c>
      <c r="F272" s="283">
        <f t="shared" si="59"/>
        <v>112556.04867524999</v>
      </c>
      <c r="G272" s="695">
        <f>'IP 5D2 FETipos de tratamiento'!S44</f>
        <v>9.5248259310058009E-2</v>
      </c>
      <c r="H272" s="283">
        <f t="shared" si="60"/>
        <v>1.0720767711135722E-2</v>
      </c>
      <c r="I272" s="281"/>
      <c r="K272" s="273"/>
    </row>
    <row r="273" spans="2:11" ht="14.25" customHeight="1">
      <c r="B273" s="239">
        <v>2000</v>
      </c>
      <c r="C273" s="354">
        <f>'IP 5D2 2021'!X50</f>
        <v>3255.0367909810002</v>
      </c>
      <c r="D273" s="283">
        <f>'Fac Conv'!$H$25</f>
        <v>23</v>
      </c>
      <c r="E273" s="283">
        <f>'Fac Conv'!$K$25</f>
        <v>1.5</v>
      </c>
      <c r="F273" s="283">
        <f t="shared" si="59"/>
        <v>112298.76928884452</v>
      </c>
      <c r="G273" s="695">
        <f>'IP 5D2 FETipos de tratamiento'!S45</f>
        <v>9.5248259310058009E-2</v>
      </c>
      <c r="H273" s="283">
        <f t="shared" si="60"/>
        <v>1.069626229742424E-2</v>
      </c>
      <c r="I273" s="273"/>
      <c r="K273" s="273"/>
    </row>
    <row r="274" spans="2:11" ht="14.25" customHeight="1">
      <c r="B274" s="239">
        <v>2001</v>
      </c>
      <c r="C274" s="354">
        <f>'IP 5D2 2021'!Z50</f>
        <v>3719.2026743860001</v>
      </c>
      <c r="D274" s="283">
        <f>'Fac Conv'!$H$25</f>
        <v>23</v>
      </c>
      <c r="E274" s="283">
        <f>'Fac Conv'!$K$25</f>
        <v>1.5</v>
      </c>
      <c r="F274" s="283">
        <f t="shared" si="59"/>
        <v>128312.49226631701</v>
      </c>
      <c r="G274" s="695">
        <f>'IP 5D2 FETipos de tratamiento'!S46</f>
        <v>9.5248259310058037E-2</v>
      </c>
      <c r="H274" s="283">
        <f t="shared" si="60"/>
        <v>1.2221541536101979E-2</v>
      </c>
      <c r="I274" s="273"/>
      <c r="K274" s="273"/>
    </row>
    <row r="275" spans="2:11" ht="14.25" customHeight="1">
      <c r="B275" s="239">
        <v>2002</v>
      </c>
      <c r="C275" s="354">
        <f>'IP 5D2 2021'!AB50</f>
        <v>4031.6746771499998</v>
      </c>
      <c r="D275" s="283">
        <f>'Fac Conv'!$H$25</f>
        <v>23</v>
      </c>
      <c r="E275" s="283">
        <f>'Fac Conv'!$K$25</f>
        <v>1.5</v>
      </c>
      <c r="F275" s="283">
        <f t="shared" si="59"/>
        <v>139092.776361675</v>
      </c>
      <c r="G275" s="695">
        <f>'IP 5D2 FETipos de tratamiento'!S47</f>
        <v>9.5248259310058009E-2</v>
      </c>
      <c r="H275" s="283">
        <f t="shared" si="60"/>
        <v>1.3248344831052727E-2</v>
      </c>
      <c r="I275" s="273"/>
      <c r="K275" s="273"/>
    </row>
    <row r="276" spans="2:11" ht="14.25" customHeight="1">
      <c r="B276" s="239">
        <v>2003</v>
      </c>
      <c r="C276" s="354">
        <f>'IP 5D2 2021'!AD50</f>
        <v>4559.4409075000003</v>
      </c>
      <c r="D276" s="283">
        <f>'Fac Conv'!$H$25</f>
        <v>23</v>
      </c>
      <c r="E276" s="283">
        <f>'Fac Conv'!$K$25</f>
        <v>1.5</v>
      </c>
      <c r="F276" s="283">
        <f t="shared" si="59"/>
        <v>157300.71130875</v>
      </c>
      <c r="G276" s="695">
        <f>'IP 5D2 FETipos de tratamiento'!S48</f>
        <v>9.5248259310058009E-2</v>
      </c>
      <c r="H276" s="283">
        <f t="shared" si="60"/>
        <v>1.4982618940392394E-2</v>
      </c>
      <c r="I276" s="273"/>
      <c r="K276" s="273"/>
    </row>
    <row r="277" spans="2:11" ht="14.25" customHeight="1">
      <c r="B277" s="239">
        <v>2004</v>
      </c>
      <c r="C277" s="354">
        <f>'IP 5D2 2021'!AF50</f>
        <v>4783.7002430000002</v>
      </c>
      <c r="D277" s="283">
        <f>'Fac Conv'!$H$25</f>
        <v>23</v>
      </c>
      <c r="E277" s="283">
        <f>'Fac Conv'!$K$25</f>
        <v>1.5</v>
      </c>
      <c r="F277" s="283">
        <f t="shared" si="59"/>
        <v>165037.65838350001</v>
      </c>
      <c r="G277" s="695">
        <f>'IP 5D2 FETipos de tratamiento'!S49</f>
        <v>9.5248259310058037E-2</v>
      </c>
      <c r="H277" s="283">
        <f t="shared" si="60"/>
        <v>1.5719549681636382E-2</v>
      </c>
      <c r="I277" s="273"/>
      <c r="K277" s="273"/>
    </row>
    <row r="278" spans="2:11" ht="14.25" customHeight="1">
      <c r="B278" s="239">
        <v>2005</v>
      </c>
      <c r="C278" s="354">
        <f>'IP 5D2 2021'!AH50</f>
        <v>5844.0340399999995</v>
      </c>
      <c r="D278" s="283">
        <f>'Fac Conv'!$H$25</f>
        <v>23</v>
      </c>
      <c r="E278" s="283">
        <f>'Fac Conv'!$K$25</f>
        <v>1.5</v>
      </c>
      <c r="F278" s="283">
        <f t="shared" si="59"/>
        <v>201619.17437999998</v>
      </c>
      <c r="G278" s="695">
        <f>'IP 5D2 FETipos de tratamiento'!S50</f>
        <v>9.5248259310058037E-2</v>
      </c>
      <c r="H278" s="283">
        <f t="shared" si="60"/>
        <v>1.9203875403226048E-2</v>
      </c>
      <c r="I278" s="273"/>
      <c r="K278" s="273"/>
    </row>
    <row r="279" spans="2:11" ht="14.25" customHeight="1">
      <c r="B279" s="239">
        <v>2006</v>
      </c>
      <c r="C279" s="354">
        <f>'IP 5D2 2021'!AJ50</f>
        <v>5965.5306084499998</v>
      </c>
      <c r="D279" s="283">
        <f>'Fac Conv'!$H$25</f>
        <v>23</v>
      </c>
      <c r="E279" s="283">
        <f>'Fac Conv'!$K$25</f>
        <v>1.5</v>
      </c>
      <c r="F279" s="283">
        <f t="shared" si="59"/>
        <v>205810.80599152498</v>
      </c>
      <c r="G279" s="695">
        <f>'IP 5D2 FETipos de tratamiento'!S51</f>
        <v>9.5248259310058037E-2</v>
      </c>
      <c r="H279" s="283">
        <f t="shared" si="60"/>
        <v>1.9603121017892817E-2</v>
      </c>
      <c r="I279" s="273"/>
      <c r="K279" s="273"/>
    </row>
    <row r="280" spans="2:11" ht="14.25" customHeight="1">
      <c r="B280" s="239">
        <v>2007</v>
      </c>
      <c r="C280" s="354">
        <f>'IP 5D2 2021'!AL50</f>
        <v>6761.5838362499999</v>
      </c>
      <c r="D280" s="283">
        <f>'Fac Conv'!$H$25</f>
        <v>23</v>
      </c>
      <c r="E280" s="283">
        <f>'Fac Conv'!$K$25</f>
        <v>1.5</v>
      </c>
      <c r="F280" s="283">
        <f t="shared" si="59"/>
        <v>233274.64235062498</v>
      </c>
      <c r="G280" s="695">
        <f>'IP 5D2 FETipos de tratamiento'!S52</f>
        <v>9.5248259310058037E-2</v>
      </c>
      <c r="H280" s="283">
        <f t="shared" si="60"/>
        <v>2.2219003625073376E-2</v>
      </c>
      <c r="I280" s="273"/>
      <c r="K280" s="273"/>
    </row>
    <row r="281" spans="2:11" ht="14.25" customHeight="1">
      <c r="B281" s="239">
        <v>2008</v>
      </c>
      <c r="C281" s="354">
        <f>'IP 5D2 2021'!AN50</f>
        <v>8420.4649596500003</v>
      </c>
      <c r="D281" s="283">
        <f>'Fac Conv'!$H$25</f>
        <v>23</v>
      </c>
      <c r="E281" s="283">
        <f>'Fac Conv'!$K$25</f>
        <v>1.5</v>
      </c>
      <c r="F281" s="283">
        <f t="shared" si="59"/>
        <v>290506.041107925</v>
      </c>
      <c r="G281" s="695">
        <f>'IP 5D2 FETipos de tratamiento'!S53</f>
        <v>9.5248259310058037E-2</v>
      </c>
      <c r="H281" s="283">
        <f t="shared" si="60"/>
        <v>2.7670194734586019E-2</v>
      </c>
      <c r="I281" s="273"/>
      <c r="K281" s="273"/>
    </row>
    <row r="282" spans="2:11" ht="14.25" customHeight="1">
      <c r="B282" s="239">
        <v>2009</v>
      </c>
      <c r="C282" s="354">
        <f>'IP 5D2 2021'!AP50</f>
        <v>7673.73728605</v>
      </c>
      <c r="D282" s="283">
        <f>'Fac Conv'!$H$25</f>
        <v>23</v>
      </c>
      <c r="E282" s="283">
        <f>'Fac Conv'!$K$25</f>
        <v>1.5</v>
      </c>
      <c r="F282" s="283">
        <f t="shared" si="59"/>
        <v>264743.93636872503</v>
      </c>
      <c r="G282" s="695">
        <f>'IP 5D2 FETipos de tratamiento'!S54</f>
        <v>9.5248259310058009E-2</v>
      </c>
      <c r="H282" s="283">
        <f t="shared" si="60"/>
        <v>2.5216399102013821E-2</v>
      </c>
      <c r="I282" s="273"/>
      <c r="K282" s="273"/>
    </row>
    <row r="283" spans="2:11" ht="14.25" customHeight="1">
      <c r="B283" s="239">
        <v>2010</v>
      </c>
      <c r="C283" s="354">
        <f>'IP 5D2 2021'!AR50</f>
        <v>9759.8973805000005</v>
      </c>
      <c r="D283" s="283">
        <f>'Fac Conv'!$H$25</f>
        <v>23</v>
      </c>
      <c r="E283" s="283">
        <f>'Fac Conv'!$K$25</f>
        <v>1.5</v>
      </c>
      <c r="F283" s="283">
        <f t="shared" si="59"/>
        <v>336716.45962725003</v>
      </c>
      <c r="G283" s="695">
        <f>'IP 5D2 FETipos de tratamiento'!S55</f>
        <v>9.5248259310058009E-2</v>
      </c>
      <c r="H283" s="283">
        <f t="shared" si="60"/>
        <v>3.2071656660540987E-2</v>
      </c>
      <c r="I283" s="273"/>
      <c r="K283" s="273"/>
    </row>
    <row r="284" spans="2:11" ht="14.25" customHeight="1">
      <c r="B284" s="239">
        <v>2011</v>
      </c>
      <c r="C284" s="354">
        <f>'IP 5D2 2021'!AT50</f>
        <v>9585.7815264000001</v>
      </c>
      <c r="D284" s="283">
        <f>'Fac Conv'!$H$25</f>
        <v>23</v>
      </c>
      <c r="E284" s="283">
        <f>'Fac Conv'!$K$25</f>
        <v>1.5</v>
      </c>
      <c r="F284" s="283">
        <f t="shared" si="59"/>
        <v>330709.46266080003</v>
      </c>
      <c r="G284" s="695">
        <f>'IP 5D2 FETipos de tratamiento'!S56</f>
        <v>9.5248259310058023E-2</v>
      </c>
      <c r="H284" s="283">
        <f t="shared" si="60"/>
        <v>3.1499500655805833E-2</v>
      </c>
      <c r="I284" s="273"/>
      <c r="K284" s="273"/>
    </row>
    <row r="285" spans="2:11" ht="14.25" customHeight="1">
      <c r="B285" s="239">
        <v>2012</v>
      </c>
      <c r="C285" s="354">
        <f>'IP 5D2 2021'!AV50</f>
        <v>9291.9230435000009</v>
      </c>
      <c r="D285" s="283">
        <f>'Fac Conv'!$H$25</f>
        <v>23</v>
      </c>
      <c r="E285" s="283">
        <f>'Fac Conv'!$K$25</f>
        <v>1.5</v>
      </c>
      <c r="F285" s="283">
        <f t="shared" si="59"/>
        <v>320571.34500075004</v>
      </c>
      <c r="G285" s="695">
        <f>'IP 5D2 FETipos de tratamiento'!S57</f>
        <v>9.5248259310058037E-2</v>
      </c>
      <c r="H285" s="283">
        <f t="shared" si="60"/>
        <v>3.0533862596005518E-2</v>
      </c>
      <c r="I285" s="273"/>
      <c r="K285" s="273"/>
    </row>
    <row r="286" spans="2:11" ht="14.25" customHeight="1">
      <c r="B286" s="239">
        <v>2013</v>
      </c>
      <c r="C286" s="354">
        <f>'IP 5D2 2021'!AX50</f>
        <v>10069.117309499999</v>
      </c>
      <c r="D286" s="283">
        <f>'Fac Conv'!$H$25</f>
        <v>23</v>
      </c>
      <c r="E286" s="283">
        <f>'Fac Conv'!$K$25</f>
        <v>1.5</v>
      </c>
      <c r="F286" s="283">
        <f t="shared" si="59"/>
        <v>347384.54717774998</v>
      </c>
      <c r="G286" s="695">
        <f>'IP 5D2 FETipos de tratamiento'!S58</f>
        <v>8.7926985724763776E-2</v>
      </c>
      <c r="H286" s="283">
        <f t="shared" si="60"/>
        <v>3.054447612070155E-2</v>
      </c>
      <c r="I286" s="273"/>
      <c r="K286" s="273"/>
    </row>
    <row r="287" spans="2:11" ht="14.25" customHeight="1">
      <c r="B287" s="239">
        <v>2014</v>
      </c>
      <c r="C287" s="354">
        <f>'IP 5D2 2021'!AZ50</f>
        <v>11799.59636</v>
      </c>
      <c r="D287" s="283">
        <f>'Fac Conv'!$H$25</f>
        <v>23</v>
      </c>
      <c r="E287" s="283">
        <f>'Fac Conv'!$K$25</f>
        <v>1.5</v>
      </c>
      <c r="F287" s="283">
        <f t="shared" si="59"/>
        <v>407086.07441999996</v>
      </c>
      <c r="G287" s="695">
        <f>'IP 5D2 FETipos de tratamiento'!S59</f>
        <v>8.0605712139469529E-2</v>
      </c>
      <c r="H287" s="283">
        <f t="shared" si="60"/>
        <v>3.2813462930685183E-2</v>
      </c>
      <c r="I287" s="273"/>
      <c r="K287" s="273"/>
    </row>
    <row r="288" spans="2:11" ht="14.25" customHeight="1">
      <c r="B288" s="239">
        <v>2015</v>
      </c>
      <c r="C288" s="354">
        <f>'IP 5D2 2021'!BB50</f>
        <v>11199.964443000001</v>
      </c>
      <c r="D288" s="283">
        <f>'Fac Conv'!$H$25</f>
        <v>23</v>
      </c>
      <c r="E288" s="283">
        <f>'Fac Conv'!$K$25</f>
        <v>1.5</v>
      </c>
      <c r="F288" s="283">
        <f t="shared" si="59"/>
        <v>386398.77328349999</v>
      </c>
      <c r="G288" s="695">
        <f>'IP 5D2 FETipos de tratamiento'!S60</f>
        <v>7.3284438554175282E-2</v>
      </c>
      <c r="H288" s="283">
        <f t="shared" si="60"/>
        <v>2.831701715810336E-2</v>
      </c>
      <c r="I288" s="273"/>
      <c r="K288" s="273"/>
    </row>
    <row r="289" spans="2:11" ht="14.25" customHeight="1">
      <c r="B289" s="239">
        <v>2016</v>
      </c>
      <c r="C289" s="354">
        <f>'IP 5D2 2021'!BD50</f>
        <v>11096.511799</v>
      </c>
      <c r="D289" s="283">
        <f>'Fac Conv'!$H$25</f>
        <v>23</v>
      </c>
      <c r="E289" s="283">
        <f>'Fac Conv'!$K$25</f>
        <v>1.5</v>
      </c>
      <c r="F289" s="283">
        <f t="shared" si="59"/>
        <v>382829.65706549998</v>
      </c>
      <c r="G289" s="695">
        <f>'IP 5D2 FETipos de tratamiento'!S61</f>
        <v>6.5963164968881036E-2</v>
      </c>
      <c r="H289" s="283">
        <f t="shared" si="60"/>
        <v>2.5252655823991728E-2</v>
      </c>
      <c r="I289" s="273"/>
      <c r="K289" s="273"/>
    </row>
    <row r="290" spans="2:11" ht="14.25" customHeight="1">
      <c r="B290" s="239">
        <v>2017</v>
      </c>
      <c r="C290" s="354">
        <f>'IP 5D2 2021'!BF50</f>
        <v>10824.0198705</v>
      </c>
      <c r="D290" s="283">
        <f>'Fac Conv'!$H$25</f>
        <v>23</v>
      </c>
      <c r="E290" s="283">
        <f>'Fac Conv'!$K$25</f>
        <v>1.5</v>
      </c>
      <c r="F290" s="283">
        <f t="shared" si="59"/>
        <v>373428.68553225003</v>
      </c>
      <c r="G290" s="695">
        <f>'IP 5D2 FETipos de tratamiento'!S62</f>
        <v>5.8641891383586796E-2</v>
      </c>
      <c r="H290" s="283">
        <f t="shared" si="60"/>
        <v>2.1898564416497797E-2</v>
      </c>
      <c r="I290" s="273"/>
      <c r="K290" s="273"/>
    </row>
    <row r="291" spans="2:11" ht="14.25" customHeight="1">
      <c r="B291" s="239">
        <v>2018</v>
      </c>
      <c r="C291" s="354">
        <f>'IP 5D2 2021'!BH50</f>
        <v>13765.826384</v>
      </c>
      <c r="D291" s="283">
        <f>'Fac Conv'!$H$25</f>
        <v>23</v>
      </c>
      <c r="E291" s="283">
        <f>'Fac Conv'!$K$25</f>
        <v>1.5</v>
      </c>
      <c r="F291" s="283">
        <f t="shared" si="59"/>
        <v>474921.01024799998</v>
      </c>
      <c r="G291" s="695">
        <f>'IP 5D2 FETipos de tratamiento'!S63</f>
        <v>5.8641891383586796E-2</v>
      </c>
      <c r="H291" s="283">
        <f t="shared" si="60"/>
        <v>2.7850266298746526E-2</v>
      </c>
      <c r="I291" s="273"/>
      <c r="K291" s="273"/>
    </row>
    <row r="292" spans="2:11" ht="14.25" customHeight="1">
      <c r="B292" s="239">
        <v>2019</v>
      </c>
      <c r="C292" s="354">
        <f>'IP 5D2 2021'!BJ50</f>
        <v>15055.652137999999</v>
      </c>
      <c r="D292" s="283">
        <f>'Fac Conv'!$H$25</f>
        <v>23</v>
      </c>
      <c r="E292" s="283">
        <f>'Fac Conv'!$K$25</f>
        <v>1.5</v>
      </c>
      <c r="F292" s="283">
        <f t="shared" si="59"/>
        <v>519419.998761</v>
      </c>
      <c r="G292" s="695">
        <f>'IP 5D2 FETipos de tratamiento'!S64</f>
        <v>4.7907468206626412E-2</v>
      </c>
      <c r="H292" s="283">
        <f t="shared" si="60"/>
        <v>2.4884097076528538E-2</v>
      </c>
      <c r="I292" s="273"/>
      <c r="K292" s="273"/>
    </row>
    <row r="293" spans="2:11" ht="14.25" customHeight="1">
      <c r="B293" s="239">
        <v>2020</v>
      </c>
      <c r="C293" s="354">
        <f>'IP 5D2 2021'!BL50</f>
        <v>17111.367861999999</v>
      </c>
      <c r="D293" s="283">
        <f>'Fac Conv'!$H$25</f>
        <v>23</v>
      </c>
      <c r="E293" s="283">
        <f>'Fac Conv'!$K$25</f>
        <v>1.5</v>
      </c>
      <c r="F293" s="283">
        <f t="shared" si="59"/>
        <v>590342.19123899995</v>
      </c>
      <c r="G293" s="695">
        <f>'IP 5D2 FETipos de tratamiento'!S65</f>
        <v>4.7907468206626419E-2</v>
      </c>
      <c r="H293" s="283">
        <f t="shared" si="60"/>
        <v>2.8281799757812566E-2</v>
      </c>
      <c r="I293" s="273"/>
      <c r="K293" s="273"/>
    </row>
    <row r="294" spans="2:11" ht="14.25" customHeight="1">
      <c r="B294" s="239">
        <v>2021</v>
      </c>
      <c r="C294" s="354">
        <f>'IP 5D2 2021'!BN50</f>
        <v>21764.789680999998</v>
      </c>
      <c r="D294" s="283">
        <f>'Fac Conv'!$H$25</f>
        <v>23</v>
      </c>
      <c r="E294" s="283">
        <f>'Fac Conv'!$K$25</f>
        <v>1.5</v>
      </c>
      <c r="F294" s="283">
        <f t="shared" si="59"/>
        <v>750885.24399449991</v>
      </c>
      <c r="G294" s="695">
        <f>'IP 5D2 FETipos de tratamiento'!S66</f>
        <v>4.7907468206626419E-2</v>
      </c>
      <c r="H294" s="283">
        <f t="shared" ref="H294:H295" si="61">(F294*G294)/1000000</f>
        <v>3.5973010953491424E-2</v>
      </c>
      <c r="I294" s="273"/>
      <c r="K294" s="273"/>
    </row>
    <row r="295" spans="2:11" ht="14.25" customHeight="1">
      <c r="B295" s="239">
        <v>2022</v>
      </c>
      <c r="C295" s="354">
        <f>'IP 5D2 2021'!BP50</f>
        <v>23256.247244999999</v>
      </c>
      <c r="D295" s="283">
        <f>'Fac Conv'!$H$25</f>
        <v>23</v>
      </c>
      <c r="E295" s="283">
        <f>'Fac Conv'!$K$25</f>
        <v>1.5</v>
      </c>
      <c r="F295" s="283">
        <f t="shared" ref="F295" si="62">C295*D295*E295</f>
        <v>802340.5299524999</v>
      </c>
      <c r="G295" s="695">
        <f>'IP 5D2 FETipos de tratamiento'!S67</f>
        <v>4.7907468206626426E-2</v>
      </c>
      <c r="H295" s="283">
        <f t="shared" si="61"/>
        <v>3.8438103429587187E-2</v>
      </c>
      <c r="I295" s="273"/>
      <c r="K295" s="273"/>
    </row>
    <row r="296" spans="2:11" ht="14.25" customHeight="1">
      <c r="B296" s="32"/>
      <c r="C296" s="365"/>
      <c r="D296" s="366"/>
      <c r="E296" s="366"/>
      <c r="F296" s="366"/>
      <c r="G296" s="366"/>
      <c r="H296" s="366"/>
      <c r="I296" s="273"/>
      <c r="K296" s="273"/>
    </row>
    <row r="297" spans="2:11" ht="14.25" customHeight="1">
      <c r="B297" s="278" t="s">
        <v>319</v>
      </c>
      <c r="C297" s="356"/>
      <c r="D297" s="356"/>
      <c r="E297" s="356"/>
      <c r="F297" s="356"/>
      <c r="G297" s="356"/>
      <c r="H297" s="356"/>
      <c r="I297" s="273"/>
      <c r="K297" s="273"/>
    </row>
    <row r="298" spans="2:11" s="32" customFormat="1" ht="14.25" customHeight="1">
      <c r="B298" s="239">
        <v>1990</v>
      </c>
      <c r="C298" s="354">
        <f>SUM('IP 5D2 2021'!E54:E69)</f>
        <v>0</v>
      </c>
      <c r="D298" s="283">
        <f>'Fac Conv'!$H$19</f>
        <v>162</v>
      </c>
      <c r="E298" s="283">
        <f>'Fac Conv'!$K$19</f>
        <v>9</v>
      </c>
      <c r="F298" s="283">
        <f t="shared" ref="F298:F329" si="63">C298*D298*E298</f>
        <v>0</v>
      </c>
      <c r="G298" s="694">
        <f>'IP 5D2 FETipos de tratamiento'!$J$18</f>
        <v>2.5000000000000001E-2</v>
      </c>
      <c r="H298" s="283">
        <f t="shared" ref="H298:H329" si="64">(F298*G298)/1000000</f>
        <v>0</v>
      </c>
      <c r="I298" s="273"/>
      <c r="K298" s="273"/>
    </row>
    <row r="299" spans="2:11" s="32" customFormat="1" ht="14.25" customHeight="1">
      <c r="B299" s="239">
        <v>1991</v>
      </c>
      <c r="C299" s="354">
        <f>SUM('IP 5D2 2021'!F54:F69)</f>
        <v>0</v>
      </c>
      <c r="D299" s="283">
        <f>'Fac Conv'!$H$19</f>
        <v>162</v>
      </c>
      <c r="E299" s="283">
        <f>'Fac Conv'!$K$19</f>
        <v>9</v>
      </c>
      <c r="F299" s="283">
        <f t="shared" si="63"/>
        <v>0</v>
      </c>
      <c r="G299" s="694">
        <f>'IP 5D2 FETipos de tratamiento'!$J$18</f>
        <v>2.5000000000000001E-2</v>
      </c>
      <c r="H299" s="283">
        <f t="shared" si="64"/>
        <v>0</v>
      </c>
      <c r="I299" s="273"/>
      <c r="K299" s="273"/>
    </row>
    <row r="300" spans="2:11" s="32" customFormat="1" ht="14.25" customHeight="1">
      <c r="B300" s="239">
        <v>1992</v>
      </c>
      <c r="C300" s="354">
        <f>SUM('IP 5D2 2021'!H54:H69)</f>
        <v>0</v>
      </c>
      <c r="D300" s="283">
        <f>'Fac Conv'!$H$19</f>
        <v>162</v>
      </c>
      <c r="E300" s="283">
        <f>'Fac Conv'!$K$19</f>
        <v>9</v>
      </c>
      <c r="F300" s="283">
        <f t="shared" si="63"/>
        <v>0</v>
      </c>
      <c r="G300" s="694">
        <f>'IP 5D2 FETipos de tratamiento'!$J$18</f>
        <v>2.5000000000000001E-2</v>
      </c>
      <c r="H300" s="283">
        <f t="shared" si="64"/>
        <v>0</v>
      </c>
      <c r="I300" s="273"/>
      <c r="K300" s="273"/>
    </row>
    <row r="301" spans="2:11" s="32" customFormat="1" ht="14.25" customHeight="1">
      <c r="B301" s="239">
        <v>1993</v>
      </c>
      <c r="C301" s="354">
        <f>SUM('IP 5D2 2021'!J54:J69)</f>
        <v>0</v>
      </c>
      <c r="D301" s="283">
        <f>'Fac Conv'!$H$19</f>
        <v>162</v>
      </c>
      <c r="E301" s="283">
        <f>'Fac Conv'!$K$19</f>
        <v>9</v>
      </c>
      <c r="F301" s="283">
        <f t="shared" si="63"/>
        <v>0</v>
      </c>
      <c r="G301" s="694">
        <f>'IP 5D2 FETipos de tratamiento'!$J$18</f>
        <v>2.5000000000000001E-2</v>
      </c>
      <c r="H301" s="283">
        <f t="shared" si="64"/>
        <v>0</v>
      </c>
      <c r="I301" s="273"/>
      <c r="K301" s="273"/>
    </row>
    <row r="302" spans="2:11" s="32" customFormat="1" ht="14.25" customHeight="1">
      <c r="B302" s="239">
        <v>1994</v>
      </c>
      <c r="C302" s="354">
        <f>SUM('IP 5D2 2021'!L54:L69)</f>
        <v>0</v>
      </c>
      <c r="D302" s="283">
        <f>'Fac Conv'!$H$19</f>
        <v>162</v>
      </c>
      <c r="E302" s="283">
        <f>'Fac Conv'!$K$19</f>
        <v>9</v>
      </c>
      <c r="F302" s="283">
        <f t="shared" si="63"/>
        <v>0</v>
      </c>
      <c r="G302" s="694">
        <f>'IP 5D2 FETipos de tratamiento'!$J$18</f>
        <v>2.5000000000000001E-2</v>
      </c>
      <c r="H302" s="283">
        <f t="shared" si="64"/>
        <v>0</v>
      </c>
      <c r="I302" s="273"/>
      <c r="K302" s="273"/>
    </row>
    <row r="303" spans="2:11" s="32" customFormat="1" ht="14.25" customHeight="1">
      <c r="B303" s="239">
        <v>1995</v>
      </c>
      <c r="C303" s="354">
        <f>SUM('IP 5D2 2021'!N54:N69)</f>
        <v>387747.12300000002</v>
      </c>
      <c r="D303" s="283">
        <f>'Fac Conv'!$H$19</f>
        <v>162</v>
      </c>
      <c r="E303" s="283">
        <f>'Fac Conv'!$K$19</f>
        <v>9</v>
      </c>
      <c r="F303" s="283">
        <f t="shared" si="63"/>
        <v>565335305.33400011</v>
      </c>
      <c r="G303" s="694">
        <f>'IP 5D2 FETipos de tratamiento'!$J$18</f>
        <v>2.5000000000000001E-2</v>
      </c>
      <c r="H303" s="283">
        <f t="shared" si="64"/>
        <v>14.133382633350003</v>
      </c>
      <c r="I303" s="273"/>
      <c r="K303" s="273"/>
    </row>
    <row r="304" spans="2:11" s="32" customFormat="1" ht="14.25" customHeight="1">
      <c r="B304" s="239">
        <v>1996</v>
      </c>
      <c r="C304" s="354">
        <f>SUM('IP 5D2 2021'!P54:P69)</f>
        <v>361421.61699999997</v>
      </c>
      <c r="D304" s="283">
        <f>'Fac Conv'!$H$19</f>
        <v>162</v>
      </c>
      <c r="E304" s="283">
        <f>'Fac Conv'!$K$19</f>
        <v>9</v>
      </c>
      <c r="F304" s="283">
        <f t="shared" si="63"/>
        <v>526952717.58599997</v>
      </c>
      <c r="G304" s="694">
        <f>'IP 5D2 FETipos de tratamiento'!$J$18</f>
        <v>2.5000000000000001E-2</v>
      </c>
      <c r="H304" s="283">
        <f t="shared" si="64"/>
        <v>13.173817939649998</v>
      </c>
      <c r="I304" s="273"/>
      <c r="K304" s="273"/>
    </row>
    <row r="305" spans="2:11" s="32" customFormat="1" ht="14.25" customHeight="1">
      <c r="B305" s="239">
        <v>1997</v>
      </c>
      <c r="C305" s="354">
        <f>SUM('IP 5D2 2021'!R54:R69)</f>
        <v>347350.77600000001</v>
      </c>
      <c r="D305" s="283">
        <f>'Fac Conv'!$H$19</f>
        <v>162</v>
      </c>
      <c r="E305" s="283">
        <f>'Fac Conv'!$K$19</f>
        <v>9</v>
      </c>
      <c r="F305" s="283">
        <f t="shared" si="63"/>
        <v>506437431.40800005</v>
      </c>
      <c r="G305" s="694">
        <f>'IP 5D2 FETipos de tratamiento'!$J$18</f>
        <v>2.5000000000000001E-2</v>
      </c>
      <c r="H305" s="283">
        <f t="shared" si="64"/>
        <v>12.660935785200001</v>
      </c>
      <c r="I305" s="273"/>
      <c r="K305" s="273"/>
    </row>
    <row r="306" spans="2:11" s="32" customFormat="1" ht="14.25" customHeight="1">
      <c r="B306" s="239">
        <v>1998</v>
      </c>
      <c r="C306" s="354">
        <f>SUM('IP 5D2 2021'!T54:T69)</f>
        <v>429775.48300000001</v>
      </c>
      <c r="D306" s="283">
        <f>'Fac Conv'!$H$19</f>
        <v>162</v>
      </c>
      <c r="E306" s="283">
        <f>'Fac Conv'!$K$19</f>
        <v>9</v>
      </c>
      <c r="F306" s="283">
        <f t="shared" si="63"/>
        <v>626612654.21400011</v>
      </c>
      <c r="G306" s="694">
        <f>'IP 5D2 FETipos de tratamiento'!$J$18</f>
        <v>2.5000000000000001E-2</v>
      </c>
      <c r="H306" s="283">
        <f t="shared" si="64"/>
        <v>15.665316355350003</v>
      </c>
      <c r="I306" s="273"/>
      <c r="K306" s="273"/>
    </row>
    <row r="307" spans="2:11" s="32" customFormat="1" ht="14.25" customHeight="1">
      <c r="B307" s="239">
        <v>1999</v>
      </c>
      <c r="C307" s="354">
        <f>SUM('IP 5D2 2021'!V54:V69)</f>
        <v>469624.092</v>
      </c>
      <c r="D307" s="283">
        <f>'Fac Conv'!$H$19</f>
        <v>162</v>
      </c>
      <c r="E307" s="283">
        <f>'Fac Conv'!$K$19</f>
        <v>9</v>
      </c>
      <c r="F307" s="283">
        <f t="shared" si="63"/>
        <v>684711926.13600004</v>
      </c>
      <c r="G307" s="694">
        <f>'IP 5D2 FETipos de tratamiento'!$J$18</f>
        <v>2.5000000000000001E-2</v>
      </c>
      <c r="H307" s="283">
        <f t="shared" si="64"/>
        <v>17.117798153399999</v>
      </c>
      <c r="I307" s="281"/>
      <c r="K307" s="273"/>
    </row>
    <row r="308" spans="2:11" ht="14.25" customHeight="1">
      <c r="B308" s="239">
        <v>2000</v>
      </c>
      <c r="C308" s="354">
        <f>SUM('IP 5D2 2021'!X54:X69)</f>
        <v>567077.62699999998</v>
      </c>
      <c r="D308" s="283">
        <f>'Fac Conv'!$H$19</f>
        <v>162</v>
      </c>
      <c r="E308" s="283">
        <f>'Fac Conv'!$K$19</f>
        <v>9</v>
      </c>
      <c r="F308" s="283">
        <f t="shared" si="63"/>
        <v>826799180.16600001</v>
      </c>
      <c r="G308" s="694">
        <f>'IP 5D2 FETipos de tratamiento'!$J$18</f>
        <v>2.5000000000000001E-2</v>
      </c>
      <c r="H308" s="283">
        <f t="shared" si="64"/>
        <v>20.669979504150003</v>
      </c>
      <c r="I308" s="273"/>
      <c r="K308" s="273"/>
    </row>
    <row r="309" spans="2:11" ht="14.25" customHeight="1">
      <c r="B309" s="239">
        <v>2001</v>
      </c>
      <c r="C309" s="354">
        <f>SUM('IP 5D2 2021'!Z54:Z69)</f>
        <v>419986.41099999996</v>
      </c>
      <c r="D309" s="283">
        <f>'Fac Conv'!$H$19</f>
        <v>162</v>
      </c>
      <c r="E309" s="283">
        <f>'Fac Conv'!$K$19</f>
        <v>9</v>
      </c>
      <c r="F309" s="283">
        <f t="shared" si="63"/>
        <v>612340187.23799992</v>
      </c>
      <c r="G309" s="694">
        <f>'IP 5D2 FETipos de tratamiento'!$J$18</f>
        <v>2.5000000000000001E-2</v>
      </c>
      <c r="H309" s="283">
        <f t="shared" si="64"/>
        <v>15.30850468095</v>
      </c>
      <c r="I309" s="273"/>
      <c r="K309" s="273"/>
    </row>
    <row r="310" spans="2:11" ht="14.25" customHeight="1">
      <c r="B310" s="239">
        <v>2002</v>
      </c>
      <c r="C310" s="354">
        <f>SUM('IP 5D2 2021'!AB54:AB69)</f>
        <v>563689.93099999998</v>
      </c>
      <c r="D310" s="283">
        <f>'Fac Conv'!$H$19</f>
        <v>162</v>
      </c>
      <c r="E310" s="283">
        <f>'Fac Conv'!$K$19</f>
        <v>9</v>
      </c>
      <c r="F310" s="283">
        <f t="shared" si="63"/>
        <v>821859919.398</v>
      </c>
      <c r="G310" s="694">
        <f>'IP 5D2 FETipos de tratamiento'!$J$18</f>
        <v>2.5000000000000001E-2</v>
      </c>
      <c r="H310" s="283">
        <f t="shared" si="64"/>
        <v>20.546497984950001</v>
      </c>
      <c r="I310" s="273"/>
      <c r="K310" s="273"/>
    </row>
    <row r="311" spans="2:11" ht="14.25" customHeight="1">
      <c r="B311" s="239">
        <v>2003</v>
      </c>
      <c r="C311" s="354">
        <f>SUM('IP 5D2 2021'!AD54:AD69)</f>
        <v>157332</v>
      </c>
      <c r="D311" s="283">
        <f>'Fac Conv'!$H$19</f>
        <v>162</v>
      </c>
      <c r="E311" s="283">
        <f>'Fac Conv'!$K$19</f>
        <v>9</v>
      </c>
      <c r="F311" s="283">
        <f t="shared" si="63"/>
        <v>229390056</v>
      </c>
      <c r="G311" s="694">
        <f>'IP 5D2 FETipos de tratamiento'!$J$18</f>
        <v>2.5000000000000001E-2</v>
      </c>
      <c r="H311" s="283">
        <f t="shared" si="64"/>
        <v>5.7347514000000004</v>
      </c>
      <c r="I311" s="273"/>
      <c r="K311" s="273"/>
    </row>
    <row r="312" spans="2:11" ht="14.25" customHeight="1">
      <c r="B312" s="239">
        <v>2004</v>
      </c>
      <c r="C312" s="354">
        <f>SUM('IP 5D2 2021'!AF54:AF69)</f>
        <v>341947.2</v>
      </c>
      <c r="D312" s="283">
        <f>'Fac Conv'!$H$19</f>
        <v>162</v>
      </c>
      <c r="E312" s="283">
        <f>'Fac Conv'!$K$19</f>
        <v>9</v>
      </c>
      <c r="F312" s="283">
        <f t="shared" si="63"/>
        <v>498559017.59999996</v>
      </c>
      <c r="G312" s="694">
        <f>'IP 5D2 FETipos de tratamiento'!$J$18</f>
        <v>2.5000000000000001E-2</v>
      </c>
      <c r="H312" s="283">
        <f t="shared" si="64"/>
        <v>12.463975439999999</v>
      </c>
      <c r="I312" s="273"/>
      <c r="K312" s="273"/>
    </row>
    <row r="313" spans="2:11" ht="14.25" customHeight="1">
      <c r="B313" s="239">
        <v>2005</v>
      </c>
      <c r="C313" s="354">
        <f>SUM('IP 5D2 2021'!AH54:AH69)</f>
        <v>428607.70000000007</v>
      </c>
      <c r="D313" s="283">
        <f>'Fac Conv'!$H$19</f>
        <v>162</v>
      </c>
      <c r="E313" s="283">
        <f>'Fac Conv'!$K$19</f>
        <v>9</v>
      </c>
      <c r="F313" s="283">
        <f t="shared" si="63"/>
        <v>624910026.60000002</v>
      </c>
      <c r="G313" s="694">
        <f>'IP 5D2 FETipos de tratamiento'!$J$18</f>
        <v>2.5000000000000001E-2</v>
      </c>
      <c r="H313" s="283">
        <f t="shared" si="64"/>
        <v>15.622750665000002</v>
      </c>
      <c r="I313" s="273"/>
      <c r="K313" s="273"/>
    </row>
    <row r="314" spans="2:11" ht="14.25" customHeight="1">
      <c r="B314" s="239">
        <v>2006</v>
      </c>
      <c r="C314" s="354">
        <f>SUM('IP 5D2 2021'!AJ54:AJ69)</f>
        <v>473211.9</v>
      </c>
      <c r="D314" s="283">
        <f>'Fac Conv'!$H$19</f>
        <v>162</v>
      </c>
      <c r="E314" s="283">
        <f>'Fac Conv'!$K$19</f>
        <v>9</v>
      </c>
      <c r="F314" s="283">
        <f t="shared" si="63"/>
        <v>689942950.19999993</v>
      </c>
      <c r="G314" s="694">
        <f>'IP 5D2 FETipos de tratamiento'!$J$18</f>
        <v>2.5000000000000001E-2</v>
      </c>
      <c r="H314" s="283">
        <f t="shared" si="64"/>
        <v>17.248573754999999</v>
      </c>
      <c r="I314" s="273"/>
      <c r="K314" s="273"/>
    </row>
    <row r="315" spans="2:11" ht="14.25" customHeight="1">
      <c r="B315" s="239">
        <v>2007</v>
      </c>
      <c r="C315" s="354">
        <f>SUM('IP 5D2 2021'!AL54:AL69)</f>
        <v>499124.7</v>
      </c>
      <c r="D315" s="283">
        <f>'Fac Conv'!$H$19</f>
        <v>162</v>
      </c>
      <c r="E315" s="283">
        <f>'Fac Conv'!$K$19</f>
        <v>9</v>
      </c>
      <c r="F315" s="283">
        <f t="shared" si="63"/>
        <v>727723812.60000002</v>
      </c>
      <c r="G315" s="694">
        <f>'IP 5D2 FETipos de tratamiento'!$J$18</f>
        <v>2.5000000000000001E-2</v>
      </c>
      <c r="H315" s="283">
        <f t="shared" si="64"/>
        <v>18.193095315000001</v>
      </c>
      <c r="I315" s="273"/>
      <c r="K315" s="273"/>
    </row>
    <row r="316" spans="2:11" ht="14.25" customHeight="1">
      <c r="B316" s="239">
        <v>2008</v>
      </c>
      <c r="C316" s="354">
        <f>SUM('IP 5D2 2021'!AN54:AN69)</f>
        <v>485777.19999999995</v>
      </c>
      <c r="D316" s="283">
        <f>'Fac Conv'!$H$19</f>
        <v>162</v>
      </c>
      <c r="E316" s="283">
        <f>'Fac Conv'!$K$19</f>
        <v>9</v>
      </c>
      <c r="F316" s="283">
        <f t="shared" si="63"/>
        <v>708263157.5999999</v>
      </c>
      <c r="G316" s="694">
        <f>'IP 5D2 FETipos de tratamiento'!$J$18</f>
        <v>2.5000000000000001E-2</v>
      </c>
      <c r="H316" s="283">
        <f t="shared" si="64"/>
        <v>17.706578939999996</v>
      </c>
      <c r="I316" s="273"/>
      <c r="K316" s="273"/>
    </row>
    <row r="317" spans="2:11" ht="14.25" customHeight="1">
      <c r="B317" s="239">
        <v>2009</v>
      </c>
      <c r="C317" s="354">
        <f>SUM('IP 5D2 2021'!AP54:AP69)</f>
        <v>374624.9</v>
      </c>
      <c r="D317" s="283">
        <f>'Fac Conv'!$H$19</f>
        <v>162</v>
      </c>
      <c r="E317" s="283">
        <f>'Fac Conv'!$K$19</f>
        <v>9</v>
      </c>
      <c r="F317" s="283">
        <f t="shared" si="63"/>
        <v>546203104.20000005</v>
      </c>
      <c r="G317" s="694">
        <f>'IP 5D2 FETipos de tratamiento'!$J$18</f>
        <v>2.5000000000000001E-2</v>
      </c>
      <c r="H317" s="283">
        <f t="shared" si="64"/>
        <v>13.655077605000002</v>
      </c>
      <c r="I317" s="273"/>
      <c r="K317" s="273"/>
    </row>
    <row r="318" spans="2:11" ht="14.25" customHeight="1">
      <c r="B318" s="239">
        <v>2010</v>
      </c>
      <c r="C318" s="354">
        <f>SUM('IP 5D2 2021'!AR54:AR69)</f>
        <v>549850.19999999995</v>
      </c>
      <c r="D318" s="283">
        <f>'Fac Conv'!$H$19</f>
        <v>162</v>
      </c>
      <c r="E318" s="283">
        <f>'Fac Conv'!$K$19</f>
        <v>9</v>
      </c>
      <c r="F318" s="283">
        <f t="shared" si="63"/>
        <v>801681591.5999999</v>
      </c>
      <c r="G318" s="694">
        <f>'IP 5D2 FETipos de tratamiento'!$J$18</f>
        <v>2.5000000000000001E-2</v>
      </c>
      <c r="H318" s="283">
        <f t="shared" si="64"/>
        <v>20.04203979</v>
      </c>
      <c r="I318" s="273"/>
      <c r="K318" s="273"/>
    </row>
    <row r="319" spans="2:11" ht="14.25" customHeight="1">
      <c r="B319" s="239">
        <v>2011</v>
      </c>
      <c r="C319" s="354">
        <f>SUM('IP 5D2 2021'!AT54:AT69)</f>
        <v>614560.6</v>
      </c>
      <c r="D319" s="283">
        <f>'Fac Conv'!$H$19</f>
        <v>162</v>
      </c>
      <c r="E319" s="283">
        <f>'Fac Conv'!$K$19</f>
        <v>9</v>
      </c>
      <c r="F319" s="283">
        <f t="shared" si="63"/>
        <v>896029354.80000007</v>
      </c>
      <c r="G319" s="694">
        <f>'IP 5D2 FETipos de tratamiento'!$J$18</f>
        <v>2.5000000000000001E-2</v>
      </c>
      <c r="H319" s="283">
        <f t="shared" si="64"/>
        <v>22.400733870000003</v>
      </c>
      <c r="I319" s="273"/>
      <c r="K319" s="273"/>
    </row>
    <row r="320" spans="2:11" ht="14.25" customHeight="1">
      <c r="B320" s="239">
        <v>2012</v>
      </c>
      <c r="C320" s="354">
        <f>SUM('IP 5D2 2021'!AV54:AV69)</f>
        <v>543361</v>
      </c>
      <c r="D320" s="283">
        <f>'Fac Conv'!$H$19</f>
        <v>162</v>
      </c>
      <c r="E320" s="283">
        <f>'Fac Conv'!$K$19</f>
        <v>9</v>
      </c>
      <c r="F320" s="283">
        <f t="shared" si="63"/>
        <v>792220338</v>
      </c>
      <c r="G320" s="694">
        <f>'IP 5D2 FETipos de tratamiento'!$J$18</f>
        <v>2.5000000000000001E-2</v>
      </c>
      <c r="H320" s="283">
        <f t="shared" si="64"/>
        <v>19.805508449999998</v>
      </c>
      <c r="I320" s="273"/>
      <c r="K320" s="273"/>
    </row>
    <row r="321" spans="2:11" ht="14.25" customHeight="1">
      <c r="B321" s="239">
        <v>2013</v>
      </c>
      <c r="C321" s="354">
        <f>SUM('IP 5D2 2021'!AX54:AX69)</f>
        <v>520447</v>
      </c>
      <c r="D321" s="283">
        <f>'Fac Conv'!$H$19</f>
        <v>162</v>
      </c>
      <c r="E321" s="283">
        <f>'Fac Conv'!$K$19</f>
        <v>9</v>
      </c>
      <c r="F321" s="283">
        <f t="shared" si="63"/>
        <v>758811726</v>
      </c>
      <c r="G321" s="694">
        <f>'IP 5D2 FETipos de tratamiento'!$J$18</f>
        <v>2.5000000000000001E-2</v>
      </c>
      <c r="H321" s="283">
        <f t="shared" si="64"/>
        <v>18.970293150000003</v>
      </c>
      <c r="I321" s="273"/>
      <c r="K321" s="273"/>
    </row>
    <row r="322" spans="2:11" ht="14.25" customHeight="1">
      <c r="B322" s="239">
        <v>2014</v>
      </c>
      <c r="C322" s="354">
        <f>SUM('IP 5D2 2021'!AZ54:AZ69)</f>
        <v>524373</v>
      </c>
      <c r="D322" s="283">
        <f>'Fac Conv'!$H$19</f>
        <v>162</v>
      </c>
      <c r="E322" s="283">
        <f>'Fac Conv'!$K$19</f>
        <v>9</v>
      </c>
      <c r="F322" s="283">
        <f t="shared" si="63"/>
        <v>764535834</v>
      </c>
      <c r="G322" s="694">
        <f>'IP 5D2 FETipos de tratamiento'!$J$18</f>
        <v>2.5000000000000001E-2</v>
      </c>
      <c r="H322" s="283">
        <f t="shared" si="64"/>
        <v>19.11339585</v>
      </c>
      <c r="I322" s="273"/>
      <c r="K322" s="273"/>
    </row>
    <row r="323" spans="2:11" ht="14.25" customHeight="1">
      <c r="B323" s="239">
        <v>2015</v>
      </c>
      <c r="C323" s="354">
        <f>SUM('IP 5D2 2021'!BB54:BB69)</f>
        <v>567361</v>
      </c>
      <c r="D323" s="283">
        <f>'Fac Conv'!$H$19</f>
        <v>162</v>
      </c>
      <c r="E323" s="283">
        <f>'Fac Conv'!$K$19</f>
        <v>9</v>
      </c>
      <c r="F323" s="283">
        <f t="shared" si="63"/>
        <v>827212338</v>
      </c>
      <c r="G323" s="694">
        <f>'IP 5D2 FETipos de tratamiento'!$J$18</f>
        <v>2.5000000000000001E-2</v>
      </c>
      <c r="H323" s="283">
        <f t="shared" si="64"/>
        <v>20.680308450000002</v>
      </c>
      <c r="I323" s="273"/>
      <c r="K323" s="273"/>
    </row>
    <row r="324" spans="2:11" ht="14.25" customHeight="1">
      <c r="B324" s="239">
        <v>2016</v>
      </c>
      <c r="C324" s="354">
        <f>SUM('IP 5D2 2021'!BD54:BD69)</f>
        <v>577992</v>
      </c>
      <c r="D324" s="283">
        <f>'Fac Conv'!$H$19</f>
        <v>162</v>
      </c>
      <c r="E324" s="283">
        <f>'Fac Conv'!$K$19</f>
        <v>9</v>
      </c>
      <c r="F324" s="283">
        <f t="shared" si="63"/>
        <v>842712336</v>
      </c>
      <c r="G324" s="694">
        <f>'IP 5D2 FETipos de tratamiento'!$J$18</f>
        <v>2.5000000000000001E-2</v>
      </c>
      <c r="H324" s="283">
        <f t="shared" si="64"/>
        <v>21.067808400000001</v>
      </c>
      <c r="I324" s="273"/>
      <c r="K324" s="273"/>
    </row>
    <row r="325" spans="2:11" ht="14.25" customHeight="1">
      <c r="B325" s="239">
        <v>2017</v>
      </c>
      <c r="C325" s="354">
        <f>SUM('IP 5D2 2021'!BF54:BF69)</f>
        <v>657854</v>
      </c>
      <c r="D325" s="283">
        <f>'Fac Conv'!$H$19</f>
        <v>162</v>
      </c>
      <c r="E325" s="283">
        <f>'Fac Conv'!$K$19</f>
        <v>9</v>
      </c>
      <c r="F325" s="283">
        <f t="shared" si="63"/>
        <v>959151132</v>
      </c>
      <c r="G325" s="694">
        <f>'IP 5D2 FETipos de tratamiento'!$J$18</f>
        <v>2.5000000000000001E-2</v>
      </c>
      <c r="H325" s="283">
        <f t="shared" si="64"/>
        <v>23.978778300000002</v>
      </c>
      <c r="I325" s="273"/>
      <c r="K325" s="273"/>
    </row>
    <row r="326" spans="2:11" ht="14.25" customHeight="1">
      <c r="B326" s="239">
        <v>2018</v>
      </c>
      <c r="C326" s="354">
        <f>SUM('IP 5D2 2021'!BH54:BH69)</f>
        <v>701551</v>
      </c>
      <c r="D326" s="283">
        <f>'Fac Conv'!$H$19</f>
        <v>162</v>
      </c>
      <c r="E326" s="283">
        <f>'Fac Conv'!$K$19</f>
        <v>9</v>
      </c>
      <c r="F326" s="283">
        <f t="shared" si="63"/>
        <v>1022861358</v>
      </c>
      <c r="G326" s="694">
        <f>'IP 5D2 FETipos de tratamiento'!$J$18</f>
        <v>2.5000000000000001E-2</v>
      </c>
      <c r="H326" s="283">
        <f t="shared" si="64"/>
        <v>25.571533950000003</v>
      </c>
      <c r="I326" s="273"/>
      <c r="K326" s="273"/>
    </row>
    <row r="327" spans="2:11" ht="14.25" customHeight="1">
      <c r="B327" s="239">
        <v>2019</v>
      </c>
      <c r="C327" s="354">
        <f>SUM('IP 5D2 2021'!BJ54:BJ69)</f>
        <v>587887</v>
      </c>
      <c r="D327" s="283">
        <f>'Fac Conv'!$H$19</f>
        <v>162</v>
      </c>
      <c r="E327" s="283">
        <f>'Fac Conv'!$K$19</f>
        <v>9</v>
      </c>
      <c r="F327" s="283">
        <f t="shared" si="63"/>
        <v>857139246</v>
      </c>
      <c r="G327" s="694">
        <f>'IP 5D2 FETipos de tratamiento'!$J$18</f>
        <v>2.5000000000000001E-2</v>
      </c>
      <c r="H327" s="283">
        <f t="shared" si="64"/>
        <v>21.428481150000003</v>
      </c>
      <c r="I327" s="273"/>
      <c r="K327" s="273"/>
    </row>
    <row r="328" spans="2:11" ht="14.25" customHeight="1">
      <c r="B328" s="239">
        <v>2020</v>
      </c>
      <c r="C328" s="354">
        <f>SUM('IP 5D2 2021'!BL54:BL69)</f>
        <v>543084</v>
      </c>
      <c r="D328" s="283">
        <f>'Fac Conv'!$H$19</f>
        <v>162</v>
      </c>
      <c r="E328" s="283">
        <f>'Fac Conv'!$K$19</f>
        <v>9</v>
      </c>
      <c r="F328" s="283">
        <f t="shared" si="63"/>
        <v>791816472</v>
      </c>
      <c r="G328" s="694">
        <f>'IP 5D2 FETipos de tratamiento'!$J$18</f>
        <v>2.5000000000000001E-2</v>
      </c>
      <c r="H328" s="283">
        <f t="shared" si="64"/>
        <v>19.7954118</v>
      </c>
      <c r="I328" s="273"/>
      <c r="K328" s="273"/>
    </row>
    <row r="329" spans="2:11" ht="14.25" customHeight="1">
      <c r="B329" s="239">
        <v>2021</v>
      </c>
      <c r="C329" s="354">
        <f>SUM('IP 5D2 2021'!BN54:BN69)</f>
        <v>537799</v>
      </c>
      <c r="D329" s="283">
        <f>'Fac Conv'!$H$19</f>
        <v>162</v>
      </c>
      <c r="E329" s="283">
        <f>'Fac Conv'!$K$19</f>
        <v>9</v>
      </c>
      <c r="F329" s="283">
        <f t="shared" si="63"/>
        <v>784110942</v>
      </c>
      <c r="G329" s="694">
        <f>'IP 5D2 FETipos de tratamiento'!$J$18</f>
        <v>2.5000000000000001E-2</v>
      </c>
      <c r="H329" s="283">
        <f t="shared" si="64"/>
        <v>19.602773550000002</v>
      </c>
      <c r="I329" s="273"/>
      <c r="K329" s="273"/>
    </row>
    <row r="330" spans="2:11" ht="14.25" customHeight="1">
      <c r="B330" s="239">
        <v>2022</v>
      </c>
      <c r="C330" s="354">
        <f>SUM('IP 5D2 2021'!BP54:BP69)</f>
        <v>483993</v>
      </c>
      <c r="D330" s="283">
        <f>'Fac Conv'!$H$19</f>
        <v>162</v>
      </c>
      <c r="E330" s="283">
        <f>'Fac Conv'!$K$19</f>
        <v>9</v>
      </c>
      <c r="F330" s="283">
        <f t="shared" ref="F330" si="65">C330*D330*E330</f>
        <v>705661794</v>
      </c>
      <c r="G330" s="694">
        <f>'IP 5D2 FETipos de tratamiento'!$J$18</f>
        <v>2.5000000000000001E-2</v>
      </c>
      <c r="H330" s="283">
        <f t="shared" ref="H330" si="66">(F330*G330)/1000000</f>
        <v>17.641544850000002</v>
      </c>
      <c r="I330" s="273"/>
      <c r="K330" s="273"/>
    </row>
    <row r="331" spans="2:11" ht="14.25" customHeight="1">
      <c r="B331" s="32"/>
      <c r="C331" s="365"/>
      <c r="D331" s="366"/>
      <c r="E331" s="366"/>
      <c r="F331" s="366"/>
      <c r="G331" s="367"/>
      <c r="H331" s="366"/>
      <c r="I331" s="273"/>
      <c r="K331" s="273"/>
    </row>
    <row r="332" spans="2:11" ht="14.25" customHeight="1">
      <c r="B332" s="278" t="s">
        <v>321</v>
      </c>
      <c r="C332" s="356"/>
      <c r="D332" s="356"/>
      <c r="E332" s="356"/>
      <c r="F332" s="356"/>
      <c r="G332" s="356"/>
      <c r="H332" s="356"/>
      <c r="I332" s="273"/>
      <c r="K332" s="273"/>
    </row>
    <row r="333" spans="2:11" s="32" customFormat="1" ht="14.25" customHeight="1">
      <c r="B333" s="239">
        <v>1990</v>
      </c>
      <c r="C333" s="354">
        <f>SUM('IP 5D2 2021'!E70:E72)</f>
        <v>0</v>
      </c>
      <c r="D333" s="283">
        <f>'Fac Conv'!$H$17</f>
        <v>0.6</v>
      </c>
      <c r="E333" s="283">
        <f>'Fac Conv'!$K$17</f>
        <v>1</v>
      </c>
      <c r="F333" s="283">
        <f t="shared" ref="F333:F364" si="67">C333*D333*E333</f>
        <v>0</v>
      </c>
      <c r="G333" s="697">
        <f>'IP 5D2 FETipos de tratamiento'!S35</f>
        <v>9.5248259310058037E-2</v>
      </c>
      <c r="H333" s="283">
        <f t="shared" ref="H333:H363" si="68">(F333*G333)/1000000</f>
        <v>0</v>
      </c>
      <c r="I333" s="273"/>
      <c r="K333" s="273"/>
    </row>
    <row r="334" spans="2:11" s="32" customFormat="1" ht="14.25" customHeight="1">
      <c r="B334" s="239">
        <v>1991</v>
      </c>
      <c r="C334" s="354">
        <f>SUM('IP 5D2 2021'!F70:F72)</f>
        <v>0</v>
      </c>
      <c r="D334" s="283">
        <f>'Fac Conv'!$H$17</f>
        <v>0.6</v>
      </c>
      <c r="E334" s="283">
        <f>'Fac Conv'!$K$17</f>
        <v>1</v>
      </c>
      <c r="F334" s="283">
        <f t="shared" si="67"/>
        <v>0</v>
      </c>
      <c r="G334" s="697">
        <f>'IP 5D2 FETipos de tratamiento'!S36</f>
        <v>9.5248259310058009E-2</v>
      </c>
      <c r="H334" s="283">
        <f t="shared" si="68"/>
        <v>0</v>
      </c>
      <c r="I334" s="273"/>
      <c r="K334" s="273"/>
    </row>
    <row r="335" spans="2:11" s="32" customFormat="1" ht="14.25" customHeight="1">
      <c r="B335" s="239">
        <v>1992</v>
      </c>
      <c r="C335" s="354">
        <f>SUM('IP 5D2 2021'!H70:H72)</f>
        <v>0</v>
      </c>
      <c r="D335" s="283">
        <f>'Fac Conv'!$H$17</f>
        <v>0.6</v>
      </c>
      <c r="E335" s="283">
        <f>'Fac Conv'!$K$17</f>
        <v>1</v>
      </c>
      <c r="F335" s="283">
        <f t="shared" si="67"/>
        <v>0</v>
      </c>
      <c r="G335" s="697">
        <f>'IP 5D2 FETipos de tratamiento'!S37</f>
        <v>9.524825931005805E-2</v>
      </c>
      <c r="H335" s="283">
        <f t="shared" si="68"/>
        <v>0</v>
      </c>
      <c r="I335" s="273"/>
      <c r="K335" s="273"/>
    </row>
    <row r="336" spans="2:11" s="32" customFormat="1" ht="14.25" customHeight="1">
      <c r="B336" s="239">
        <v>1993</v>
      </c>
      <c r="C336" s="354">
        <f>SUM('IP 5D2 2021'!J70:J72)</f>
        <v>0</v>
      </c>
      <c r="D336" s="283">
        <f>'Fac Conv'!$H$17</f>
        <v>0.6</v>
      </c>
      <c r="E336" s="283">
        <f>'Fac Conv'!$K$17</f>
        <v>1</v>
      </c>
      <c r="F336" s="283">
        <f t="shared" si="67"/>
        <v>0</v>
      </c>
      <c r="G336" s="697">
        <f>'IP 5D2 FETipos de tratamiento'!S38</f>
        <v>9.5248259310058009E-2</v>
      </c>
      <c r="H336" s="283">
        <f t="shared" si="68"/>
        <v>0</v>
      </c>
      <c r="I336" s="273"/>
      <c r="K336" s="273"/>
    </row>
    <row r="337" spans="2:11" s="32" customFormat="1" ht="14.25" customHeight="1">
      <c r="B337" s="239">
        <v>1994</v>
      </c>
      <c r="C337" s="354">
        <f>SUM('IP 5D2 2021'!L70:L72)</f>
        <v>0</v>
      </c>
      <c r="D337" s="283">
        <f>'Fac Conv'!$H$17</f>
        <v>0.6</v>
      </c>
      <c r="E337" s="283">
        <f>'Fac Conv'!$K$17</f>
        <v>1</v>
      </c>
      <c r="F337" s="283">
        <f t="shared" si="67"/>
        <v>0</v>
      </c>
      <c r="G337" s="697">
        <f>'IP 5D2 FETipos de tratamiento'!S39</f>
        <v>9.5248259310058009E-2</v>
      </c>
      <c r="H337" s="283">
        <f t="shared" si="68"/>
        <v>0</v>
      </c>
      <c r="I337" s="273"/>
      <c r="K337" s="273"/>
    </row>
    <row r="338" spans="2:11" s="32" customFormat="1" ht="14.25" customHeight="1">
      <c r="B338" s="239">
        <v>1995</v>
      </c>
      <c r="C338" s="354">
        <f>SUM('IP 5D2 2021'!N70:N72)</f>
        <v>1652458.3086510999</v>
      </c>
      <c r="D338" s="283">
        <f>'Fac Conv'!$H$17</f>
        <v>0.6</v>
      </c>
      <c r="E338" s="283">
        <f>'Fac Conv'!$K$17</f>
        <v>1</v>
      </c>
      <c r="F338" s="283">
        <f t="shared" si="67"/>
        <v>991474.98519065988</v>
      </c>
      <c r="G338" s="697">
        <f>'IP 5D2 FETipos de tratamiento'!S40</f>
        <v>9.5248259310058023E-2</v>
      </c>
      <c r="H338" s="283">
        <f t="shared" si="68"/>
        <v>9.4436266488875903E-2</v>
      </c>
      <c r="I338" s="273"/>
      <c r="K338" s="273"/>
    </row>
    <row r="339" spans="2:11" s="32" customFormat="1" ht="14.25" customHeight="1">
      <c r="B339" s="239">
        <v>1996</v>
      </c>
      <c r="C339" s="354">
        <f>SUM('IP 5D2 2021'!P70:P72)</f>
        <v>1788485.5469648996</v>
      </c>
      <c r="D339" s="283">
        <f>'Fac Conv'!$H$17</f>
        <v>0.6</v>
      </c>
      <c r="E339" s="283">
        <f>'Fac Conv'!$K$17</f>
        <v>1</v>
      </c>
      <c r="F339" s="283">
        <f t="shared" si="67"/>
        <v>1073091.3281789396</v>
      </c>
      <c r="G339" s="697">
        <f>'IP 5D2 FETipos de tratamiento'!S41</f>
        <v>9.5248259310058023E-2</v>
      </c>
      <c r="H339" s="283">
        <f t="shared" si="68"/>
        <v>0.10221008108976222</v>
      </c>
      <c r="I339" s="273"/>
      <c r="K339" s="273"/>
    </row>
    <row r="340" spans="2:11" s="32" customFormat="1" ht="14.25" customHeight="1">
      <c r="B340" s="239">
        <v>1997</v>
      </c>
      <c r="C340" s="354">
        <f>SUM('IP 5D2 2021'!R70:R72)</f>
        <v>1771603.2415797918</v>
      </c>
      <c r="D340" s="283">
        <f>'Fac Conv'!$H$17</f>
        <v>0.6</v>
      </c>
      <c r="E340" s="283">
        <f>'Fac Conv'!$K$17</f>
        <v>1</v>
      </c>
      <c r="F340" s="283">
        <f t="shared" si="67"/>
        <v>1062961.9449478751</v>
      </c>
      <c r="G340" s="697">
        <f>'IP 5D2 FETipos de tratamiento'!S42</f>
        <v>9.5248259310058009E-2</v>
      </c>
      <c r="H340" s="283">
        <f t="shared" si="68"/>
        <v>0.10124527496911881</v>
      </c>
      <c r="I340" s="273"/>
      <c r="K340" s="273"/>
    </row>
    <row r="341" spans="2:11" s="32" customFormat="1" ht="14.25" customHeight="1">
      <c r="B341" s="239">
        <v>1998</v>
      </c>
      <c r="C341" s="354">
        <f>SUM('IP 5D2 2021'!T70:T72)</f>
        <v>1966556.4674262919</v>
      </c>
      <c r="D341" s="283">
        <f>'Fac Conv'!$H$17</f>
        <v>0.6</v>
      </c>
      <c r="E341" s="283">
        <f>'Fac Conv'!$K$17</f>
        <v>1</v>
      </c>
      <c r="F341" s="283">
        <f t="shared" si="67"/>
        <v>1179933.8804557752</v>
      </c>
      <c r="G341" s="697">
        <f>'IP 5D2 FETipos de tratamiento'!S43</f>
        <v>9.5248259310058009E-2</v>
      </c>
      <c r="H341" s="283">
        <f t="shared" si="68"/>
        <v>0.11238664821437466</v>
      </c>
      <c r="I341" s="273"/>
      <c r="K341" s="273"/>
    </row>
    <row r="342" spans="2:11" s="32" customFormat="1" ht="14.25" customHeight="1">
      <c r="B342" s="239">
        <v>1999</v>
      </c>
      <c r="C342" s="354">
        <f>SUM('IP 5D2 2021'!V70:V72)</f>
        <v>1793492.5276093001</v>
      </c>
      <c r="D342" s="283">
        <f>'Fac Conv'!$H$17</f>
        <v>0.6</v>
      </c>
      <c r="E342" s="283">
        <f>'Fac Conv'!$K$17</f>
        <v>1</v>
      </c>
      <c r="F342" s="283">
        <f t="shared" si="67"/>
        <v>1076095.5165655799</v>
      </c>
      <c r="G342" s="697">
        <f>'IP 5D2 FETipos de tratamiento'!S44</f>
        <v>9.5248259310058009E-2</v>
      </c>
      <c r="H342" s="283">
        <f t="shared" si="68"/>
        <v>0.10249622480422918</v>
      </c>
      <c r="I342" s="281"/>
      <c r="K342" s="273"/>
    </row>
    <row r="343" spans="2:11" ht="14.25" customHeight="1">
      <c r="B343" s="239">
        <v>2000</v>
      </c>
      <c r="C343" s="354">
        <f>SUM('IP 5D2 2021'!X70:X72)</f>
        <v>1631379.2973168243</v>
      </c>
      <c r="D343" s="283">
        <f>'Fac Conv'!$H$17</f>
        <v>0.6</v>
      </c>
      <c r="E343" s="283">
        <f>'Fac Conv'!$K$17</f>
        <v>1</v>
      </c>
      <c r="F343" s="283">
        <f t="shared" si="67"/>
        <v>978827.57839009457</v>
      </c>
      <c r="G343" s="697">
        <f>'IP 5D2 FETipos de tratamiento'!S45</f>
        <v>9.5248259310058009E-2</v>
      </c>
      <c r="H343" s="283">
        <f t="shared" si="68"/>
        <v>9.3231623006335862E-2</v>
      </c>
      <c r="I343" s="273"/>
      <c r="K343" s="273"/>
    </row>
    <row r="344" spans="2:11" ht="14.25" customHeight="1">
      <c r="B344" s="239">
        <v>2001</v>
      </c>
      <c r="C344" s="354">
        <f>SUM('IP 5D2 2021'!Z70:Z72)</f>
        <v>1777204.6083002684</v>
      </c>
      <c r="D344" s="283">
        <f>'Fac Conv'!$H$17</f>
        <v>0.6</v>
      </c>
      <c r="E344" s="283">
        <f>'Fac Conv'!$K$17</f>
        <v>1</v>
      </c>
      <c r="F344" s="283">
        <f t="shared" si="67"/>
        <v>1066322.7649801611</v>
      </c>
      <c r="G344" s="697">
        <f>'IP 5D2 FETipos de tratamiento'!S46</f>
        <v>9.5248259310058037E-2</v>
      </c>
      <c r="H344" s="283">
        <f t="shared" si="68"/>
        <v>0.10156538722704846</v>
      </c>
      <c r="I344" s="273"/>
      <c r="K344" s="273"/>
    </row>
    <row r="345" spans="2:11" ht="14.25" customHeight="1">
      <c r="B345" s="239">
        <v>2002</v>
      </c>
      <c r="C345" s="354">
        <f>SUM('IP 5D2 2021'!AB70:AB72)</f>
        <v>1807931.0846053029</v>
      </c>
      <c r="D345" s="283">
        <f>'Fac Conv'!$H$17</f>
        <v>0.6</v>
      </c>
      <c r="E345" s="283">
        <f>'Fac Conv'!$K$17</f>
        <v>1</v>
      </c>
      <c r="F345" s="283">
        <f t="shared" si="67"/>
        <v>1084758.6507631817</v>
      </c>
      <c r="G345" s="697">
        <f>'IP 5D2 FETipos de tratamiento'!S47</f>
        <v>9.5248259310058009E-2</v>
      </c>
      <c r="H345" s="283">
        <f t="shared" si="68"/>
        <v>0.10332137325672019</v>
      </c>
      <c r="I345" s="273"/>
      <c r="K345" s="273"/>
    </row>
    <row r="346" spans="2:11" ht="14.25" customHeight="1">
      <c r="B346" s="239">
        <v>2003</v>
      </c>
      <c r="C346" s="354">
        <f>SUM('IP 5D2 2021'!AD70:AD72)</f>
        <v>1828696.6156416344</v>
      </c>
      <c r="D346" s="283">
        <f>'Fac Conv'!$H$17</f>
        <v>0.6</v>
      </c>
      <c r="E346" s="283">
        <f>'Fac Conv'!$K$17</f>
        <v>1</v>
      </c>
      <c r="F346" s="283">
        <f t="shared" si="67"/>
        <v>1097217.9693849806</v>
      </c>
      <c r="G346" s="697">
        <f>'IP 5D2 FETipos de tratamiento'!S48</f>
        <v>9.5248259310058009E-2</v>
      </c>
      <c r="H346" s="283">
        <f t="shared" si="68"/>
        <v>0.10450810166763592</v>
      </c>
      <c r="I346" s="273"/>
      <c r="K346" s="273"/>
    </row>
    <row r="347" spans="2:11" ht="14.25" customHeight="1">
      <c r="B347" s="239">
        <v>2004</v>
      </c>
      <c r="C347" s="354">
        <f>SUM('IP 5D2 2021'!AF70:AF72)</f>
        <v>1966050.3095030654</v>
      </c>
      <c r="D347" s="283">
        <f>'Fac Conv'!$H$17</f>
        <v>0.6</v>
      </c>
      <c r="E347" s="283">
        <f>'Fac Conv'!$K$17</f>
        <v>1</v>
      </c>
      <c r="F347" s="283">
        <f t="shared" si="67"/>
        <v>1179630.1857018392</v>
      </c>
      <c r="G347" s="697">
        <f>'IP 5D2 FETipos de tratamiento'!S49</f>
        <v>9.5248259310058037E-2</v>
      </c>
      <c r="H347" s="283">
        <f t="shared" si="68"/>
        <v>0.11235772181770069</v>
      </c>
      <c r="I347" s="273"/>
      <c r="K347" s="273"/>
    </row>
    <row r="348" spans="2:11" ht="14.25" customHeight="1">
      <c r="B348" s="239">
        <v>2005</v>
      </c>
      <c r="C348" s="354">
        <f>SUM('IP 5D2 2021'!AH70:AH72)</f>
        <v>2328062.6855468759</v>
      </c>
      <c r="D348" s="283">
        <f>'Fac Conv'!$H$17</f>
        <v>0.6</v>
      </c>
      <c r="E348" s="283">
        <f>'Fac Conv'!$K$17</f>
        <v>1</v>
      </c>
      <c r="F348" s="283">
        <f t="shared" si="67"/>
        <v>1396837.6113281255</v>
      </c>
      <c r="G348" s="697">
        <f>'IP 5D2 FETipos de tratamiento'!S50</f>
        <v>9.5248259310058037E-2</v>
      </c>
      <c r="H348" s="283">
        <f t="shared" si="68"/>
        <v>0.13304635101782336</v>
      </c>
      <c r="I348" s="273"/>
      <c r="K348" s="273"/>
    </row>
    <row r="349" spans="2:11" ht="14.25" customHeight="1">
      <c r="B349" s="239">
        <v>2006</v>
      </c>
      <c r="C349" s="354">
        <f>SUM('IP 5D2 2021'!AJ70:AJ72)</f>
        <v>2494285.0530389049</v>
      </c>
      <c r="D349" s="283">
        <f>'Fac Conv'!$H$17</f>
        <v>0.6</v>
      </c>
      <c r="E349" s="283">
        <f>'Fac Conv'!$K$17</f>
        <v>1</v>
      </c>
      <c r="F349" s="283">
        <f t="shared" si="67"/>
        <v>1496571.0318233429</v>
      </c>
      <c r="G349" s="697">
        <f>'IP 5D2 FETipos de tratamiento'!S51</f>
        <v>9.5248259310058037E-2</v>
      </c>
      <c r="H349" s="283">
        <f t="shared" si="68"/>
        <v>0.14254578571503088</v>
      </c>
      <c r="I349" s="273"/>
      <c r="K349" s="273"/>
    </row>
    <row r="350" spans="2:11" ht="14.25" customHeight="1">
      <c r="B350" s="239">
        <v>2007</v>
      </c>
      <c r="C350" s="354">
        <f>SUM('IP 5D2 2021'!AL70:AL72)</f>
        <v>2651671.4171812302</v>
      </c>
      <c r="D350" s="283">
        <f>'Fac Conv'!$H$17</f>
        <v>0.6</v>
      </c>
      <c r="E350" s="283">
        <f>'Fac Conv'!$K$17</f>
        <v>1</v>
      </c>
      <c r="F350" s="283">
        <f t="shared" si="67"/>
        <v>1591002.850308738</v>
      </c>
      <c r="G350" s="697">
        <f>'IP 5D2 FETipos de tratamiento'!S52</f>
        <v>9.5248259310058037E-2</v>
      </c>
      <c r="H350" s="283">
        <f t="shared" si="68"/>
        <v>0.15154025204924812</v>
      </c>
      <c r="I350" s="273"/>
      <c r="K350" s="273"/>
    </row>
    <row r="351" spans="2:11" ht="14.25" customHeight="1">
      <c r="B351" s="239">
        <v>2008</v>
      </c>
      <c r="C351" s="354">
        <f>SUM('IP 5D2 2021'!AN70:AN72)</f>
        <v>2810811.793928795</v>
      </c>
      <c r="D351" s="283">
        <f>'Fac Conv'!$H$17</f>
        <v>0.6</v>
      </c>
      <c r="E351" s="283">
        <f>'Fac Conv'!$K$17</f>
        <v>1</v>
      </c>
      <c r="F351" s="283">
        <f t="shared" si="67"/>
        <v>1686487.0763572769</v>
      </c>
      <c r="G351" s="697">
        <f>'IP 5D2 FETipos de tratamiento'!S53</f>
        <v>9.5248259310058037E-2</v>
      </c>
      <c r="H351" s="283">
        <f t="shared" si="68"/>
        <v>0.16063495837193956</v>
      </c>
      <c r="I351" s="273"/>
      <c r="K351" s="273"/>
    </row>
    <row r="352" spans="2:11" ht="14.25" customHeight="1">
      <c r="B352" s="239">
        <v>2009</v>
      </c>
      <c r="C352" s="354">
        <f>SUM('IP 5D2 2021'!AP70:AP72)</f>
        <v>3934804.1722698468</v>
      </c>
      <c r="D352" s="283">
        <f>'Fac Conv'!$H$17</f>
        <v>0.6</v>
      </c>
      <c r="E352" s="283">
        <f>'Fac Conv'!$K$17</f>
        <v>1</v>
      </c>
      <c r="F352" s="283">
        <f t="shared" si="67"/>
        <v>2360882.5033619078</v>
      </c>
      <c r="G352" s="697">
        <f>'IP 5D2 FETipos de tratamiento'!S54</f>
        <v>9.5248259310058009E-2</v>
      </c>
      <c r="H352" s="283">
        <f t="shared" si="68"/>
        <v>0.2248699488807939</v>
      </c>
      <c r="I352" s="273"/>
      <c r="K352" s="273"/>
    </row>
    <row r="353" spans="2:11" ht="14.25" customHeight="1">
      <c r="B353" s="239">
        <v>2010</v>
      </c>
      <c r="C353" s="354">
        <f>SUM('IP 5D2 2021'!AR70:AR72)</f>
        <v>4784880.4467700999</v>
      </c>
      <c r="D353" s="283">
        <f>'Fac Conv'!$H$17</f>
        <v>0.6</v>
      </c>
      <c r="E353" s="283">
        <f>'Fac Conv'!$K$17</f>
        <v>1</v>
      </c>
      <c r="F353" s="283">
        <f t="shared" si="67"/>
        <v>2870928.2680620598</v>
      </c>
      <c r="G353" s="697">
        <f>'IP 5D2 FETipos de tratamiento'!S55</f>
        <v>9.5248259310058009E-2</v>
      </c>
      <c r="H353" s="283">
        <f t="shared" si="68"/>
        <v>0.27345092013695077</v>
      </c>
      <c r="I353" s="273"/>
      <c r="K353" s="273"/>
    </row>
    <row r="354" spans="2:11" ht="14.25" customHeight="1">
      <c r="B354" s="239">
        <v>2011</v>
      </c>
      <c r="C354" s="354">
        <f>SUM('IP 5D2 2021'!AT70:AT72)</f>
        <v>4724729.6836686125</v>
      </c>
      <c r="D354" s="283">
        <f>'Fac Conv'!$H$17</f>
        <v>0.6</v>
      </c>
      <c r="E354" s="283">
        <f>'Fac Conv'!$K$17</f>
        <v>1</v>
      </c>
      <c r="F354" s="283">
        <f t="shared" si="67"/>
        <v>2834837.8102011676</v>
      </c>
      <c r="G354" s="697">
        <f>'IP 5D2 FETipos de tratamiento'!S56</f>
        <v>9.5248259310058023E-2</v>
      </c>
      <c r="H354" s="283">
        <f t="shared" si="68"/>
        <v>0.27001336684799787</v>
      </c>
      <c r="I354" s="273"/>
      <c r="K354" s="273"/>
    </row>
    <row r="355" spans="2:11" ht="14.25" customHeight="1">
      <c r="B355" s="239">
        <v>2012</v>
      </c>
      <c r="C355" s="354">
        <f>SUM('IP 5D2 2021'!AV70:AV72)</f>
        <v>5207864.6254411824</v>
      </c>
      <c r="D355" s="283">
        <f>'Fac Conv'!$H$17</f>
        <v>0.6</v>
      </c>
      <c r="E355" s="283">
        <f>'Fac Conv'!$K$17</f>
        <v>1</v>
      </c>
      <c r="F355" s="283">
        <f t="shared" si="67"/>
        <v>3124718.7752647093</v>
      </c>
      <c r="G355" s="697">
        <f>'IP 5D2 FETipos de tratamiento'!S57</f>
        <v>9.5248259310058037E-2</v>
      </c>
      <c r="H355" s="283">
        <f t="shared" si="68"/>
        <v>0.29762402417742001</v>
      </c>
      <c r="I355" s="273"/>
      <c r="K355" s="273"/>
    </row>
    <row r="356" spans="2:11" ht="14.25" customHeight="1">
      <c r="B356" s="239">
        <v>2013</v>
      </c>
      <c r="C356" s="354">
        <f>SUM('IP 5D2 2021'!AX70:AX72)</f>
        <v>5035424.5008530505</v>
      </c>
      <c r="D356" s="283">
        <f>'Fac Conv'!$H$17</f>
        <v>0.6</v>
      </c>
      <c r="E356" s="283">
        <f>'Fac Conv'!$K$17</f>
        <v>1</v>
      </c>
      <c r="F356" s="283">
        <f t="shared" si="67"/>
        <v>3021254.7005118304</v>
      </c>
      <c r="G356" s="697">
        <f>'IP 5D2 FETipos de tratamiento'!S58</f>
        <v>8.7926985724763776E-2</v>
      </c>
      <c r="H356" s="283">
        <f t="shared" si="68"/>
        <v>0.26564981892277917</v>
      </c>
      <c r="I356" s="273"/>
      <c r="K356" s="273"/>
    </row>
    <row r="357" spans="2:11" ht="14.25" customHeight="1">
      <c r="B357" s="239">
        <v>2014</v>
      </c>
      <c r="C357" s="354">
        <f>SUM('IP 5D2 2021'!AZ70:AZ72)</f>
        <v>5350954.5807550065</v>
      </c>
      <c r="D357" s="283">
        <f>'Fac Conv'!$H$17</f>
        <v>0.6</v>
      </c>
      <c r="E357" s="283">
        <f>'Fac Conv'!$K$17</f>
        <v>1</v>
      </c>
      <c r="F357" s="283">
        <f t="shared" si="67"/>
        <v>3210572.7484530038</v>
      </c>
      <c r="G357" s="697">
        <f>'IP 5D2 FETipos de tratamiento'!S59</f>
        <v>8.0605712139469529E-2</v>
      </c>
      <c r="H357" s="283">
        <f t="shared" si="68"/>
        <v>0.25879050276462834</v>
      </c>
      <c r="I357" s="273"/>
      <c r="K357" s="273"/>
    </row>
    <row r="358" spans="2:11" ht="14.25" customHeight="1">
      <c r="B358" s="239">
        <v>2015</v>
      </c>
      <c r="C358" s="354">
        <f>SUM('IP 5D2 2021'!BB70:BB72)</f>
        <v>5421191.1262310604</v>
      </c>
      <c r="D358" s="283">
        <f>'Fac Conv'!$H$17</f>
        <v>0.6</v>
      </c>
      <c r="E358" s="283">
        <f>'Fac Conv'!$K$17</f>
        <v>1</v>
      </c>
      <c r="F358" s="283">
        <f t="shared" si="67"/>
        <v>3252714.6757386359</v>
      </c>
      <c r="G358" s="697">
        <f>'IP 5D2 FETipos de tratamiento'!S60</f>
        <v>7.3284438554175282E-2</v>
      </c>
      <c r="H358" s="283">
        <f t="shared" si="68"/>
        <v>0.23837336878843224</v>
      </c>
      <c r="I358" s="273"/>
      <c r="K358" s="273"/>
    </row>
    <row r="359" spans="2:11" ht="14.25" customHeight="1">
      <c r="B359" s="239">
        <v>2016</v>
      </c>
      <c r="C359" s="354">
        <f>SUM('IP 5D2 2021'!BD70:BD72)</f>
        <v>5860116.4458353994</v>
      </c>
      <c r="D359" s="283">
        <f>'Fac Conv'!$H$17</f>
        <v>0.6</v>
      </c>
      <c r="E359" s="283">
        <f>'Fac Conv'!$K$17</f>
        <v>1</v>
      </c>
      <c r="F359" s="283">
        <f t="shared" si="67"/>
        <v>3516069.8675012398</v>
      </c>
      <c r="G359" s="697">
        <f>'IP 5D2 FETipos de tratamiento'!S61</f>
        <v>6.5963164968881036E-2</v>
      </c>
      <c r="H359" s="283">
        <f t="shared" si="68"/>
        <v>0.23193109671209594</v>
      </c>
      <c r="I359" s="273"/>
      <c r="K359" s="273"/>
    </row>
    <row r="360" spans="2:11" ht="14.25" customHeight="1">
      <c r="B360" s="239">
        <v>2017</v>
      </c>
      <c r="C360" s="354">
        <f>SUM('IP 5D2 2021'!BF70:BF72)</f>
        <v>6552069.6825688547</v>
      </c>
      <c r="D360" s="283">
        <f>'Fac Conv'!$H$17</f>
        <v>0.6</v>
      </c>
      <c r="E360" s="283">
        <f>'Fac Conv'!$K$17</f>
        <v>1</v>
      </c>
      <c r="F360" s="283">
        <f t="shared" si="67"/>
        <v>3931241.8095413125</v>
      </c>
      <c r="G360" s="697">
        <f>'IP 5D2 FETipos de tratamiento'!S62</f>
        <v>5.8641891383586796E-2</v>
      </c>
      <c r="H360" s="283">
        <f t="shared" si="68"/>
        <v>0.23053545519773685</v>
      </c>
      <c r="I360" s="273"/>
      <c r="K360" s="273"/>
    </row>
    <row r="361" spans="2:11" ht="14.25" customHeight="1">
      <c r="B361" s="239">
        <v>2018</v>
      </c>
      <c r="C361" s="354">
        <f>SUM('IP 5D2 2021'!BH70:BH72)</f>
        <v>5455843.5701594269</v>
      </c>
      <c r="D361" s="283">
        <f>'Fac Conv'!$H$17</f>
        <v>0.6</v>
      </c>
      <c r="E361" s="283">
        <f>'Fac Conv'!$K$17</f>
        <v>1</v>
      </c>
      <c r="F361" s="283">
        <f t="shared" si="67"/>
        <v>3273506.1420956561</v>
      </c>
      <c r="G361" s="697">
        <f>'IP 5D2 FETipos de tratamiento'!S63</f>
        <v>5.8641891383586796E-2</v>
      </c>
      <c r="H361" s="283">
        <f t="shared" si="68"/>
        <v>0.1919645916282777</v>
      </c>
      <c r="I361" s="273"/>
      <c r="K361" s="273"/>
    </row>
    <row r="362" spans="2:11" ht="14.25" customHeight="1">
      <c r="B362" s="239">
        <v>2019</v>
      </c>
      <c r="C362" s="354">
        <f>SUM('IP 5D2 2021'!BJ70:BJ72)</f>
        <v>4977498.1467949664</v>
      </c>
      <c r="D362" s="283">
        <f>'Fac Conv'!$H$17</f>
        <v>0.6</v>
      </c>
      <c r="E362" s="283">
        <f>'Fac Conv'!$K$17</f>
        <v>1</v>
      </c>
      <c r="F362" s="283">
        <f t="shared" si="67"/>
        <v>2986498.8880769797</v>
      </c>
      <c r="G362" s="697">
        <f>'IP 5D2 FETipos de tratamiento'!S64</f>
        <v>4.7907468206626412E-2</v>
      </c>
      <c r="H362" s="283">
        <f t="shared" si="68"/>
        <v>0.14307560052967305</v>
      </c>
      <c r="I362" s="273"/>
      <c r="K362" s="273"/>
    </row>
    <row r="363" spans="2:11" ht="14.25" customHeight="1">
      <c r="B363" s="239">
        <v>2020</v>
      </c>
      <c r="C363" s="354">
        <f>SUM('IP 5D2 2021'!BL70:BL72)</f>
        <v>3221848.4359938987</v>
      </c>
      <c r="D363" s="283">
        <f>'Fac Conv'!$H$17</f>
        <v>0.6</v>
      </c>
      <c r="E363" s="283">
        <f>'Fac Conv'!$K$17</f>
        <v>1</v>
      </c>
      <c r="F363" s="283">
        <f t="shared" si="67"/>
        <v>1933109.0615963391</v>
      </c>
      <c r="G363" s="697">
        <f>'IP 5D2 FETipos de tratamiento'!S65</f>
        <v>4.7907468206626419E-2</v>
      </c>
      <c r="H363" s="283">
        <f t="shared" si="68"/>
        <v>9.261036090836805E-2</v>
      </c>
      <c r="I363" s="273"/>
      <c r="K363" s="273"/>
    </row>
    <row r="364" spans="2:11" ht="14.25" customHeight="1">
      <c r="B364" s="239">
        <v>2021</v>
      </c>
      <c r="C364" s="354">
        <f>SUM('IP 5D2 2021'!BN70:BN72)</f>
        <v>4174858.6105470425</v>
      </c>
      <c r="D364" s="283">
        <f>'Fac Conv'!$H$17</f>
        <v>0.6</v>
      </c>
      <c r="E364" s="283">
        <f>'Fac Conv'!$K$17</f>
        <v>1</v>
      </c>
      <c r="F364" s="283">
        <f t="shared" si="67"/>
        <v>2504915.1663282253</v>
      </c>
      <c r="G364" s="697">
        <f>'IP 5D2 FETipos de tratamiento'!S66</f>
        <v>4.7907468206626419E-2</v>
      </c>
      <c r="H364" s="283">
        <f t="shared" ref="H364:H365" si="69">(F364*G364)/1000000</f>
        <v>0.12000414369116578</v>
      </c>
      <c r="I364" s="273"/>
      <c r="K364" s="273"/>
    </row>
    <row r="365" spans="2:11" ht="14.25" customHeight="1">
      <c r="B365" s="239">
        <v>2022</v>
      </c>
      <c r="C365" s="354">
        <f>SUM('IP 5D2 2021'!BP70:BP72)</f>
        <v>3629532.9509179778</v>
      </c>
      <c r="D365" s="283">
        <f>'Fac Conv'!$H$17</f>
        <v>0.6</v>
      </c>
      <c r="E365" s="283">
        <f>'Fac Conv'!$K$17</f>
        <v>1</v>
      </c>
      <c r="F365" s="283">
        <f t="shared" ref="F365" si="70">C365*D365*E365</f>
        <v>2177719.7705507865</v>
      </c>
      <c r="G365" s="697">
        <f>'IP 5D2 FETipos de tratamiento'!S67</f>
        <v>4.7907468206626426E-2</v>
      </c>
      <c r="H365" s="283">
        <f t="shared" si="69"/>
        <v>0.1043290406706036</v>
      </c>
      <c r="I365" s="273"/>
      <c r="K365" s="273"/>
    </row>
    <row r="366" spans="2:11" ht="14.25" customHeight="1">
      <c r="B366" s="32"/>
      <c r="C366" s="365"/>
      <c r="D366" s="366"/>
      <c r="E366" s="366"/>
      <c r="F366" s="366"/>
      <c r="G366" s="368"/>
      <c r="H366" s="366"/>
      <c r="I366" s="273"/>
      <c r="K366" s="273"/>
    </row>
    <row r="367" spans="2:11" ht="14.25" customHeight="1">
      <c r="B367" s="278" t="s">
        <v>322</v>
      </c>
      <c r="C367" s="356"/>
      <c r="D367" s="356"/>
      <c r="E367" s="356"/>
      <c r="F367" s="356"/>
      <c r="G367" s="356"/>
      <c r="H367" s="356"/>
      <c r="I367" s="273"/>
      <c r="K367" s="273"/>
    </row>
    <row r="368" spans="2:11" s="32" customFormat="1" ht="14.25" customHeight="1">
      <c r="B368" s="239">
        <v>1990</v>
      </c>
      <c r="C368" s="354">
        <f>SUM('IP 5D2 2021'!E73:E74)</f>
        <v>0</v>
      </c>
      <c r="D368" s="283">
        <f>'Fac Conv'!$H$16</f>
        <v>67</v>
      </c>
      <c r="E368" s="283">
        <f>'Fac Conv'!$K$16</f>
        <v>3</v>
      </c>
      <c r="F368" s="283">
        <f t="shared" ref="F368:F399" si="71">C368*D368*E368</f>
        <v>0</v>
      </c>
      <c r="G368" s="695">
        <f>'IP 5D2 FETipos de tratamiento'!S35</f>
        <v>9.5248259310058037E-2</v>
      </c>
      <c r="H368" s="283">
        <f t="shared" ref="H368:H399" si="72">(F368*G368)/1000000</f>
        <v>0</v>
      </c>
      <c r="I368" s="273"/>
      <c r="K368" s="273"/>
    </row>
    <row r="369" spans="2:11" s="32" customFormat="1" ht="14.25" customHeight="1">
      <c r="B369" s="239">
        <v>1991</v>
      </c>
      <c r="C369" s="354">
        <f>SUM('IP 5D2 2021'!F73:F74)</f>
        <v>0</v>
      </c>
      <c r="D369" s="283">
        <f>'Fac Conv'!$H$16</f>
        <v>67</v>
      </c>
      <c r="E369" s="283">
        <f>'Fac Conv'!$K$16</f>
        <v>3</v>
      </c>
      <c r="F369" s="283">
        <f t="shared" si="71"/>
        <v>0</v>
      </c>
      <c r="G369" s="695">
        <f>'IP 5D2 FETipos de tratamiento'!S36</f>
        <v>9.5248259310058009E-2</v>
      </c>
      <c r="H369" s="283">
        <f t="shared" si="72"/>
        <v>0</v>
      </c>
      <c r="I369" s="273"/>
      <c r="K369" s="273"/>
    </row>
    <row r="370" spans="2:11" s="32" customFormat="1" ht="14.25" customHeight="1">
      <c r="B370" s="239">
        <v>1992</v>
      </c>
      <c r="C370" s="354">
        <f>SUM('IP 5D2 2021'!H73:H74)</f>
        <v>0</v>
      </c>
      <c r="D370" s="283">
        <f>'Fac Conv'!$H$16</f>
        <v>67</v>
      </c>
      <c r="E370" s="283">
        <f>'Fac Conv'!$K$16</f>
        <v>3</v>
      </c>
      <c r="F370" s="283">
        <f t="shared" si="71"/>
        <v>0</v>
      </c>
      <c r="G370" s="695">
        <f>'IP 5D2 FETipos de tratamiento'!S37</f>
        <v>9.524825931005805E-2</v>
      </c>
      <c r="H370" s="283">
        <f t="shared" si="72"/>
        <v>0</v>
      </c>
      <c r="I370" s="273"/>
      <c r="K370" s="273"/>
    </row>
    <row r="371" spans="2:11" s="32" customFormat="1" ht="14.25" customHeight="1">
      <c r="B371" s="239">
        <v>1993</v>
      </c>
      <c r="C371" s="354">
        <f>SUM('IP 5D2 2021'!J73:J74)</f>
        <v>0</v>
      </c>
      <c r="D371" s="283">
        <f>'Fac Conv'!$H$16</f>
        <v>67</v>
      </c>
      <c r="E371" s="283">
        <f>'Fac Conv'!$K$16</f>
        <v>3</v>
      </c>
      <c r="F371" s="283">
        <f t="shared" si="71"/>
        <v>0</v>
      </c>
      <c r="G371" s="695">
        <f>'IP 5D2 FETipos de tratamiento'!S38</f>
        <v>9.5248259310058009E-2</v>
      </c>
      <c r="H371" s="283">
        <f t="shared" si="72"/>
        <v>0</v>
      </c>
      <c r="I371" s="273"/>
      <c r="K371" s="273"/>
    </row>
    <row r="372" spans="2:11" s="32" customFormat="1" ht="14.25" customHeight="1">
      <c r="B372" s="239">
        <v>1994</v>
      </c>
      <c r="C372" s="354">
        <f>SUM('IP 5D2 2021'!L73:L74)</f>
        <v>0</v>
      </c>
      <c r="D372" s="283">
        <f>'Fac Conv'!$H$16</f>
        <v>67</v>
      </c>
      <c r="E372" s="283">
        <f>'Fac Conv'!$K$16</f>
        <v>3</v>
      </c>
      <c r="F372" s="283">
        <f t="shared" si="71"/>
        <v>0</v>
      </c>
      <c r="G372" s="695">
        <f>'IP 5D2 FETipos de tratamiento'!S39</f>
        <v>9.5248259310058009E-2</v>
      </c>
      <c r="H372" s="283">
        <f t="shared" si="72"/>
        <v>0</v>
      </c>
      <c r="I372" s="273"/>
      <c r="K372" s="273"/>
    </row>
    <row r="373" spans="2:11" s="32" customFormat="1" ht="14.25" customHeight="1">
      <c r="B373" s="239">
        <v>1995</v>
      </c>
      <c r="C373" s="354">
        <f>SUM('IP 5D2 2021'!N73:N74)</f>
        <v>368.01560499999999</v>
      </c>
      <c r="D373" s="283">
        <f>'Fac Conv'!$H$16</f>
        <v>67</v>
      </c>
      <c r="E373" s="283">
        <f>'Fac Conv'!$K$16</f>
        <v>3</v>
      </c>
      <c r="F373" s="283">
        <f t="shared" si="71"/>
        <v>73971.136605000007</v>
      </c>
      <c r="G373" s="695">
        <f>'IP 5D2 FETipos de tratamiento'!S40</f>
        <v>9.5248259310058023E-2</v>
      </c>
      <c r="H373" s="283">
        <f t="shared" si="72"/>
        <v>7.0456220008127653E-3</v>
      </c>
      <c r="I373" s="273"/>
      <c r="K373" s="273"/>
    </row>
    <row r="374" spans="2:11" s="32" customFormat="1" ht="14.25" customHeight="1">
      <c r="B374" s="239">
        <v>1996</v>
      </c>
      <c r="C374" s="354">
        <f>SUM('IP 5D2 2021'!P73:P74)</f>
        <v>356.23366200000004</v>
      </c>
      <c r="D374" s="283">
        <f>'Fac Conv'!$H$16</f>
        <v>67</v>
      </c>
      <c r="E374" s="283">
        <f>'Fac Conv'!$K$16</f>
        <v>3</v>
      </c>
      <c r="F374" s="283">
        <f t="shared" si="71"/>
        <v>71602.966062000007</v>
      </c>
      <c r="G374" s="695">
        <f>'IP 5D2 FETipos de tratamiento'!S41</f>
        <v>9.5248259310058023E-2</v>
      </c>
      <c r="H374" s="283">
        <f t="shared" si="72"/>
        <v>6.820057878842661E-3</v>
      </c>
      <c r="I374" s="273"/>
      <c r="K374" s="273"/>
    </row>
    <row r="375" spans="2:11" s="32" customFormat="1" ht="14.25" customHeight="1">
      <c r="B375" s="239">
        <v>1997</v>
      </c>
      <c r="C375" s="354">
        <f>SUM('IP 5D2 2021'!R73:R74)</f>
        <v>417.08512800000005</v>
      </c>
      <c r="D375" s="283">
        <f>'Fac Conv'!$H$16</f>
        <v>67</v>
      </c>
      <c r="E375" s="283">
        <f>'Fac Conv'!$K$16</f>
        <v>3</v>
      </c>
      <c r="F375" s="283">
        <f t="shared" si="71"/>
        <v>83834.110728000014</v>
      </c>
      <c r="G375" s="695">
        <f>'IP 5D2 FETipos de tratamiento'!S42</f>
        <v>9.5248259310058009E-2</v>
      </c>
      <c r="H375" s="283">
        <f t="shared" si="72"/>
        <v>7.9850531176486605E-3</v>
      </c>
      <c r="I375" s="273"/>
      <c r="K375" s="273"/>
    </row>
    <row r="376" spans="2:11" s="32" customFormat="1" ht="14.25" customHeight="1">
      <c r="B376" s="239">
        <v>1998</v>
      </c>
      <c r="C376" s="354">
        <f>SUM('IP 5D2 2021'!T73:T74)</f>
        <v>415.11065600000001</v>
      </c>
      <c r="D376" s="283">
        <f>'Fac Conv'!$H$16</f>
        <v>67</v>
      </c>
      <c r="E376" s="283">
        <f>'Fac Conv'!$K$16</f>
        <v>3</v>
      </c>
      <c r="F376" s="283">
        <f t="shared" si="71"/>
        <v>83437.241855999993</v>
      </c>
      <c r="G376" s="695">
        <f>'IP 5D2 FETipos de tratamiento'!S43</f>
        <v>9.5248259310058009E-2</v>
      </c>
      <c r="H376" s="283">
        <f t="shared" si="72"/>
        <v>7.9472520484163128E-3</v>
      </c>
      <c r="I376" s="273"/>
      <c r="K376" s="273"/>
    </row>
    <row r="377" spans="2:11" s="32" customFormat="1" ht="14.25" customHeight="1">
      <c r="B377" s="239">
        <v>1999</v>
      </c>
      <c r="C377" s="354">
        <f>SUM('IP 5D2 2021'!V73:V74)</f>
        <v>415.79753199999999</v>
      </c>
      <c r="D377" s="283">
        <f>'Fac Conv'!$H$16</f>
        <v>67</v>
      </c>
      <c r="E377" s="283">
        <f>'Fac Conv'!$K$16</f>
        <v>3</v>
      </c>
      <c r="F377" s="283">
        <f t="shared" si="71"/>
        <v>83575.30393200001</v>
      </c>
      <c r="G377" s="695">
        <f>'IP 5D2 FETipos de tratamiento'!S44</f>
        <v>9.5248259310058009E-2</v>
      </c>
      <c r="H377" s="283">
        <f t="shared" si="72"/>
        <v>7.9604022208320472E-3</v>
      </c>
      <c r="I377" s="281"/>
      <c r="K377" s="273"/>
    </row>
    <row r="378" spans="2:11" ht="14.25" customHeight="1">
      <c r="B378" s="239">
        <v>2000</v>
      </c>
      <c r="C378" s="354">
        <f>SUM('IP 5D2 2021'!X73:X74)</f>
        <v>424.61861200000004</v>
      </c>
      <c r="D378" s="283">
        <f>'Fac Conv'!$H$16</f>
        <v>67</v>
      </c>
      <c r="E378" s="283">
        <f>'Fac Conv'!$K$16</f>
        <v>3</v>
      </c>
      <c r="F378" s="283">
        <f t="shared" si="71"/>
        <v>85348.341012000004</v>
      </c>
      <c r="G378" s="695">
        <f>'IP 5D2 FETipos de tratamiento'!S45</f>
        <v>9.5248259310058009E-2</v>
      </c>
      <c r="H378" s="283">
        <f t="shared" si="72"/>
        <v>8.1292809163942357E-3</v>
      </c>
      <c r="I378" s="273"/>
      <c r="K378" s="273"/>
    </row>
    <row r="379" spans="2:11" ht="14.25" customHeight="1">
      <c r="B379" s="239">
        <v>2001</v>
      </c>
      <c r="C379" s="354">
        <f>SUM('IP 5D2 2021'!Z73:Z74)</f>
        <v>411.79310200000003</v>
      </c>
      <c r="D379" s="283">
        <f>'Fac Conv'!$H$16</f>
        <v>67</v>
      </c>
      <c r="E379" s="283">
        <f>'Fac Conv'!$K$16</f>
        <v>3</v>
      </c>
      <c r="F379" s="283">
        <f t="shared" si="71"/>
        <v>82770.41350200001</v>
      </c>
      <c r="G379" s="695">
        <f>'IP 5D2 FETipos de tratamiento'!S46</f>
        <v>9.5248259310058037E-2</v>
      </c>
      <c r="H379" s="283">
        <f t="shared" si="72"/>
        <v>7.8837378084392253E-3</v>
      </c>
      <c r="I379" s="273"/>
      <c r="K379" s="273"/>
    </row>
    <row r="380" spans="2:11" ht="14.25" customHeight="1">
      <c r="B380" s="239">
        <v>2002</v>
      </c>
      <c r="C380" s="354">
        <f>SUM('IP 5D2 2021'!AB73:AB74)</f>
        <v>383.229512</v>
      </c>
      <c r="D380" s="283">
        <f>'Fac Conv'!$H$16</f>
        <v>67</v>
      </c>
      <c r="E380" s="283">
        <f>'Fac Conv'!$K$16</f>
        <v>3</v>
      </c>
      <c r="F380" s="283">
        <f t="shared" si="71"/>
        <v>77029.131912000012</v>
      </c>
      <c r="G380" s="695">
        <f>'IP 5D2 FETipos de tratamiento'!S47</f>
        <v>9.5248259310058009E-2</v>
      </c>
      <c r="H380" s="283">
        <f t="shared" si="72"/>
        <v>7.3368907307828409E-3</v>
      </c>
      <c r="I380" s="273"/>
      <c r="K380" s="273"/>
    </row>
    <row r="381" spans="2:11" ht="14.25" customHeight="1">
      <c r="B381" s="239">
        <v>2003</v>
      </c>
      <c r="C381" s="354">
        <f>SUM('IP 5D2 2021'!AD73:AD74)</f>
        <v>377.41459999999995</v>
      </c>
      <c r="D381" s="283">
        <f>'Fac Conv'!$H$16</f>
        <v>67</v>
      </c>
      <c r="E381" s="283">
        <f>'Fac Conv'!$K$16</f>
        <v>3</v>
      </c>
      <c r="F381" s="283">
        <f t="shared" si="71"/>
        <v>75860.334599999987</v>
      </c>
      <c r="G381" s="695">
        <f>'IP 5D2 FETipos de tratamiento'!S48</f>
        <v>9.5248259310058009E-2</v>
      </c>
      <c r="H381" s="283">
        <f t="shared" si="72"/>
        <v>7.2255648213285645E-3</v>
      </c>
      <c r="I381" s="273"/>
      <c r="K381" s="273"/>
    </row>
    <row r="382" spans="2:11" ht="14.25" customHeight="1">
      <c r="B382" s="239">
        <v>2004</v>
      </c>
      <c r="C382" s="354">
        <f>SUM('IP 5D2 2021'!AF73:AF74)</f>
        <v>370.88529999999997</v>
      </c>
      <c r="D382" s="283">
        <f>'Fac Conv'!$H$16</f>
        <v>67</v>
      </c>
      <c r="E382" s="283">
        <f>'Fac Conv'!$K$16</f>
        <v>3</v>
      </c>
      <c r="F382" s="283">
        <f t="shared" si="71"/>
        <v>74547.945299999992</v>
      </c>
      <c r="G382" s="695">
        <f>'IP 5D2 FETipos de tratamiento'!S49</f>
        <v>9.5248259310058037E-2</v>
      </c>
      <c r="H382" s="283">
        <f t="shared" si="72"/>
        <v>7.1005620249664217E-3</v>
      </c>
      <c r="I382" s="273"/>
      <c r="K382" s="273"/>
    </row>
    <row r="383" spans="2:11" ht="14.25" customHeight="1">
      <c r="B383" s="239">
        <v>2005</v>
      </c>
      <c r="C383" s="354">
        <f>SUM('IP 5D2 2021'!AH73:AH74)</f>
        <v>412.87609999999995</v>
      </c>
      <c r="D383" s="283">
        <f>'Fac Conv'!$H$16</f>
        <v>67</v>
      </c>
      <c r="E383" s="283">
        <f>'Fac Conv'!$K$16</f>
        <v>3</v>
      </c>
      <c r="F383" s="283">
        <f t="shared" si="71"/>
        <v>82988.096099999995</v>
      </c>
      <c r="G383" s="695">
        <f>'IP 5D2 FETipos de tratamiento'!S50</f>
        <v>9.5248259310058037E-2</v>
      </c>
      <c r="H383" s="283">
        <f t="shared" si="72"/>
        <v>7.9044716969808165E-3</v>
      </c>
      <c r="I383" s="273"/>
      <c r="K383" s="273"/>
    </row>
    <row r="384" spans="2:11" ht="14.25" customHeight="1">
      <c r="B384" s="239">
        <v>2006</v>
      </c>
      <c r="C384" s="354">
        <f>SUM('IP 5D2 2021'!AJ73:AJ74)</f>
        <v>454.97790000000003</v>
      </c>
      <c r="D384" s="283">
        <f>'Fac Conv'!$H$16</f>
        <v>67</v>
      </c>
      <c r="E384" s="283">
        <f>'Fac Conv'!$K$16</f>
        <v>3</v>
      </c>
      <c r="F384" s="283">
        <f t="shared" si="71"/>
        <v>91450.557900000014</v>
      </c>
      <c r="G384" s="695">
        <f>'IP 5D2 FETipos de tratamiento'!S51</f>
        <v>9.5248259310058037E-2</v>
      </c>
      <c r="H384" s="283">
        <f t="shared" si="72"/>
        <v>8.7105064529086774E-3</v>
      </c>
      <c r="I384" s="273"/>
      <c r="K384" s="273"/>
    </row>
    <row r="385" spans="2:11" ht="14.25" customHeight="1">
      <c r="B385" s="239">
        <v>2007</v>
      </c>
      <c r="C385" s="354">
        <f>SUM('IP 5D2 2021'!AL73:AL74)</f>
        <v>493.53129999999999</v>
      </c>
      <c r="D385" s="283">
        <f>'Fac Conv'!$H$16</f>
        <v>67</v>
      </c>
      <c r="E385" s="283">
        <f>'Fac Conv'!$K$16</f>
        <v>3</v>
      </c>
      <c r="F385" s="283">
        <f t="shared" si="71"/>
        <v>99199.791299999997</v>
      </c>
      <c r="G385" s="695">
        <f>'IP 5D2 FETipos de tratamiento'!S52</f>
        <v>9.5248259310058037E-2</v>
      </c>
      <c r="H385" s="283">
        <f t="shared" si="72"/>
        <v>9.4486074452460392E-3</v>
      </c>
      <c r="I385" s="273"/>
      <c r="K385" s="273"/>
    </row>
    <row r="386" spans="2:11" ht="14.25" customHeight="1">
      <c r="B386" s="239">
        <v>2008</v>
      </c>
      <c r="C386" s="354">
        <f>SUM('IP 5D2 2021'!AN73:AN74)</f>
        <v>549.37599999999998</v>
      </c>
      <c r="D386" s="283">
        <f>'Fac Conv'!$H$16</f>
        <v>67</v>
      </c>
      <c r="E386" s="283">
        <f>'Fac Conv'!$K$16</f>
        <v>3</v>
      </c>
      <c r="F386" s="283">
        <f t="shared" si="71"/>
        <v>110424.57599999999</v>
      </c>
      <c r="G386" s="695">
        <f>'IP 5D2 FETipos de tratamiento'!S53</f>
        <v>9.5248259310058037E-2</v>
      </c>
      <c r="H386" s="283">
        <f t="shared" si="72"/>
        <v>1.0517748649051209E-2</v>
      </c>
      <c r="I386" s="273"/>
      <c r="K386" s="273"/>
    </row>
    <row r="387" spans="2:11" ht="14.25" customHeight="1">
      <c r="B387" s="239">
        <v>2009</v>
      </c>
      <c r="C387" s="354">
        <f>SUM('IP 5D2 2021'!AP73:AP74)</f>
        <v>463.21469999999999</v>
      </c>
      <c r="D387" s="283">
        <f>'Fac Conv'!$H$16</f>
        <v>67</v>
      </c>
      <c r="E387" s="283">
        <f>'Fac Conv'!$K$16</f>
        <v>3</v>
      </c>
      <c r="F387" s="283">
        <f t="shared" si="71"/>
        <v>93106.154699999999</v>
      </c>
      <c r="G387" s="695">
        <f>'IP 5D2 FETipos de tratamiento'!S54</f>
        <v>9.5248259310058009E-2</v>
      </c>
      <c r="H387" s="283">
        <f t="shared" si="72"/>
        <v>8.868199166227976E-3</v>
      </c>
      <c r="I387" s="273"/>
      <c r="K387" s="273"/>
    </row>
    <row r="388" spans="2:11" ht="14.25" customHeight="1">
      <c r="B388" s="239">
        <v>2010</v>
      </c>
      <c r="C388" s="354">
        <f>SUM('IP 5D2 2021'!AR73:AR74)</f>
        <v>480.72809999999998</v>
      </c>
      <c r="D388" s="283">
        <f>'Fac Conv'!$H$16</f>
        <v>67</v>
      </c>
      <c r="E388" s="283">
        <f>'Fac Conv'!$K$16</f>
        <v>3</v>
      </c>
      <c r="F388" s="283">
        <f t="shared" si="71"/>
        <v>96626.348100000003</v>
      </c>
      <c r="G388" s="695">
        <f>'IP 5D2 FETipos de tratamiento'!S55</f>
        <v>9.5248259310058009E-2</v>
      </c>
      <c r="H388" s="283">
        <f t="shared" si="72"/>
        <v>9.2034914600127304E-3</v>
      </c>
      <c r="I388" s="273"/>
      <c r="K388" s="273"/>
    </row>
    <row r="389" spans="2:11" ht="14.25" customHeight="1">
      <c r="B389" s="239">
        <v>2011</v>
      </c>
      <c r="C389" s="354">
        <f>SUM('IP 5D2 2021'!AT73:AT74)</f>
        <v>583.56580000000008</v>
      </c>
      <c r="D389" s="283">
        <f>'Fac Conv'!$H$16</f>
        <v>67</v>
      </c>
      <c r="E389" s="283">
        <f>'Fac Conv'!$K$16</f>
        <v>3</v>
      </c>
      <c r="F389" s="283">
        <f t="shared" si="71"/>
        <v>117296.72580000001</v>
      </c>
      <c r="G389" s="695">
        <f>'IP 5D2 FETipos de tratamiento'!S56</f>
        <v>9.5248259310058023E-2</v>
      </c>
      <c r="H389" s="283">
        <f t="shared" si="72"/>
        <v>1.1172308955219173E-2</v>
      </c>
      <c r="I389" s="273"/>
      <c r="K389" s="273"/>
    </row>
    <row r="390" spans="2:11" ht="14.25" customHeight="1">
      <c r="B390" s="239">
        <v>2012</v>
      </c>
      <c r="C390" s="354">
        <f>SUM('IP 5D2 2021'!AV73:AV74)</f>
        <v>32500.626335000001</v>
      </c>
      <c r="D390" s="283">
        <f>'Fac Conv'!$H$16</f>
        <v>67</v>
      </c>
      <c r="E390" s="283">
        <f>'Fac Conv'!$K$16</f>
        <v>3</v>
      </c>
      <c r="F390" s="283">
        <f t="shared" si="71"/>
        <v>6532625.8933349997</v>
      </c>
      <c r="G390" s="695">
        <f>'IP 5D2 FETipos de tratamiento'!S57</f>
        <v>9.5248259310058037E-2</v>
      </c>
      <c r="H390" s="283">
        <f t="shared" si="72"/>
        <v>0.62222124506397158</v>
      </c>
      <c r="I390" s="273"/>
      <c r="K390" s="273"/>
    </row>
    <row r="391" spans="2:11" ht="14.25" customHeight="1">
      <c r="B391" s="239">
        <v>2013</v>
      </c>
      <c r="C391" s="354">
        <f>SUM('IP 5D2 2021'!AX73:AX74)</f>
        <v>34652.643324999997</v>
      </c>
      <c r="D391" s="283">
        <f>'Fac Conv'!$H$16</f>
        <v>67</v>
      </c>
      <c r="E391" s="283">
        <f>'Fac Conv'!$K$16</f>
        <v>3</v>
      </c>
      <c r="F391" s="283">
        <f t="shared" si="71"/>
        <v>6965181.3083250001</v>
      </c>
      <c r="G391" s="695">
        <f>'IP 5D2 FETipos de tratamiento'!S58</f>
        <v>8.7926985724763776E-2</v>
      </c>
      <c r="H391" s="283">
        <f t="shared" si="72"/>
        <v>0.61242739746748376</v>
      </c>
      <c r="I391" s="273"/>
      <c r="K391" s="273"/>
    </row>
    <row r="392" spans="2:11" ht="14.25" customHeight="1">
      <c r="B392" s="239">
        <v>2014</v>
      </c>
      <c r="C392" s="354">
        <f>SUM('IP 5D2 2021'!AZ73:AZ74)</f>
        <v>35003.900110999995</v>
      </c>
      <c r="D392" s="283">
        <f>'Fac Conv'!$H$16</f>
        <v>67</v>
      </c>
      <c r="E392" s="283">
        <f>'Fac Conv'!$K$16</f>
        <v>3</v>
      </c>
      <c r="F392" s="283">
        <f t="shared" si="71"/>
        <v>7035783.9223109996</v>
      </c>
      <c r="G392" s="695">
        <f>'IP 5D2 FETipos de tratamiento'!S59</f>
        <v>8.0605712139469529E-2</v>
      </c>
      <c r="H392" s="283">
        <f t="shared" si="72"/>
        <v>0.56712437351730827</v>
      </c>
      <c r="I392" s="273"/>
      <c r="K392" s="273"/>
    </row>
    <row r="393" spans="2:11" ht="14.25" customHeight="1">
      <c r="B393" s="239">
        <v>2015</v>
      </c>
      <c r="C393" s="354">
        <f>SUM('IP 5D2 2021'!BB73:BB74)</f>
        <v>42982.887582000003</v>
      </c>
      <c r="D393" s="283">
        <f>'Fac Conv'!$H$16</f>
        <v>67</v>
      </c>
      <c r="E393" s="283">
        <f>'Fac Conv'!$K$16</f>
        <v>3</v>
      </c>
      <c r="F393" s="283">
        <f t="shared" si="71"/>
        <v>8639560.4039820004</v>
      </c>
      <c r="G393" s="695">
        <f>'IP 5D2 FETipos de tratamiento'!S60</f>
        <v>7.3284438554175282E-2</v>
      </c>
      <c r="H393" s="283">
        <f t="shared" si="72"/>
        <v>0.63314533356070468</v>
      </c>
      <c r="I393" s="273"/>
      <c r="K393" s="273"/>
    </row>
    <row r="394" spans="2:11" ht="14.25" customHeight="1">
      <c r="B394" s="239">
        <v>2016</v>
      </c>
      <c r="C394" s="354">
        <f>SUM('IP 5D2 2021'!BD73:BD74)</f>
        <v>39880.196091999998</v>
      </c>
      <c r="D394" s="283">
        <f>'Fac Conv'!$H$16</f>
        <v>67</v>
      </c>
      <c r="E394" s="283">
        <f>'Fac Conv'!$K$16</f>
        <v>3</v>
      </c>
      <c r="F394" s="283">
        <f t="shared" si="71"/>
        <v>8015919.414491999</v>
      </c>
      <c r="G394" s="695">
        <f>'IP 5D2 FETipos de tratamiento'!S61</f>
        <v>6.5963164968881036E-2</v>
      </c>
      <c r="H394" s="283">
        <f t="shared" si="72"/>
        <v>0.528755414715392</v>
      </c>
      <c r="I394" s="273"/>
      <c r="K394" s="273"/>
    </row>
    <row r="395" spans="2:11" ht="14.25" customHeight="1">
      <c r="B395" s="239">
        <v>2017</v>
      </c>
      <c r="C395" s="354">
        <f>SUM('IP 5D2 2021'!BF73:BF74)</f>
        <v>35320.216567999996</v>
      </c>
      <c r="D395" s="283">
        <f>'Fac Conv'!$H$16</f>
        <v>67</v>
      </c>
      <c r="E395" s="283">
        <f>'Fac Conv'!$K$16</f>
        <v>3</v>
      </c>
      <c r="F395" s="283">
        <f t="shared" si="71"/>
        <v>7099363.5301679987</v>
      </c>
      <c r="G395" s="695">
        <f>'IP 5D2 FETipos de tratamiento'!S62</f>
        <v>5.8641891383586796E-2</v>
      </c>
      <c r="H395" s="283">
        <f t="shared" si="72"/>
        <v>0.41632010502870909</v>
      </c>
      <c r="I395" s="273"/>
      <c r="K395" s="273"/>
    </row>
    <row r="396" spans="2:11" ht="14.25" customHeight="1">
      <c r="B396" s="239">
        <v>2018</v>
      </c>
      <c r="C396" s="354">
        <f>SUM('IP 5D2 2021'!BH73:BH74)</f>
        <v>39515.656870999999</v>
      </c>
      <c r="D396" s="283">
        <f>'Fac Conv'!$H$16</f>
        <v>67</v>
      </c>
      <c r="E396" s="283">
        <f>'Fac Conv'!$K$16</f>
        <v>3</v>
      </c>
      <c r="F396" s="283">
        <f t="shared" si="71"/>
        <v>7942647.0310709998</v>
      </c>
      <c r="G396" s="695">
        <f>'IP 5D2 FETipos de tratamiento'!S63</f>
        <v>5.8641891383586796E-2</v>
      </c>
      <c r="H396" s="283">
        <f t="shared" si="72"/>
        <v>0.4657718444942337</v>
      </c>
      <c r="I396" s="273"/>
      <c r="K396" s="273"/>
    </row>
    <row r="397" spans="2:11" ht="14.25" customHeight="1">
      <c r="B397" s="239">
        <v>2019</v>
      </c>
      <c r="C397" s="354">
        <f>SUM('IP 5D2 2021'!BJ73:BJ74)</f>
        <v>57555.793085999998</v>
      </c>
      <c r="D397" s="283">
        <f>'Fac Conv'!$H$16</f>
        <v>67</v>
      </c>
      <c r="E397" s="283">
        <f>'Fac Conv'!$K$16</f>
        <v>3</v>
      </c>
      <c r="F397" s="283">
        <f t="shared" si="71"/>
        <v>11568714.410285998</v>
      </c>
      <c r="G397" s="695">
        <f>'IP 5D2 FETipos de tratamiento'!S64</f>
        <v>4.7907468206626412E-2</v>
      </c>
      <c r="H397" s="283">
        <f t="shared" si="72"/>
        <v>0.55422781780231734</v>
      </c>
      <c r="I397" s="273"/>
      <c r="K397" s="273"/>
    </row>
    <row r="398" spans="2:11" ht="14.25" customHeight="1">
      <c r="B398" s="239">
        <v>2020</v>
      </c>
      <c r="C398" s="354">
        <f>SUM('IP 5D2 2021'!BL73:BL74)</f>
        <v>46354.606162000004</v>
      </c>
      <c r="D398" s="283">
        <f>'Fac Conv'!$H$16</f>
        <v>67</v>
      </c>
      <c r="E398" s="283">
        <f>'Fac Conv'!$K$16</f>
        <v>3</v>
      </c>
      <c r="F398" s="283">
        <f t="shared" si="71"/>
        <v>9317275.8385620005</v>
      </c>
      <c r="G398" s="695">
        <f>'IP 5D2 FETipos de tratamiento'!S65</f>
        <v>4.7907468206626419E-2</v>
      </c>
      <c r="H398" s="283">
        <f t="shared" si="72"/>
        <v>0.44636709600827756</v>
      </c>
      <c r="I398" s="273"/>
      <c r="K398" s="273"/>
    </row>
    <row r="399" spans="2:11" ht="14.25" customHeight="1">
      <c r="B399" s="239">
        <v>2021</v>
      </c>
      <c r="C399" s="354">
        <f>SUM('IP 5D2 2021'!BN73:BN74)</f>
        <v>42264.090642999996</v>
      </c>
      <c r="D399" s="283">
        <f>'Fac Conv'!$H$16</f>
        <v>67</v>
      </c>
      <c r="E399" s="283">
        <f>'Fac Conv'!$K$16</f>
        <v>3</v>
      </c>
      <c r="F399" s="283">
        <f t="shared" si="71"/>
        <v>8495082.2192429993</v>
      </c>
      <c r="G399" s="695">
        <f>'IP 5D2 FETipos de tratamiento'!S66</f>
        <v>4.7907468206626419E-2</v>
      </c>
      <c r="H399" s="283">
        <f t="shared" si="72"/>
        <v>0.40697788133106144</v>
      </c>
      <c r="I399" s="273"/>
      <c r="K399" s="273"/>
    </row>
    <row r="400" spans="2:11" ht="14.25" customHeight="1">
      <c r="B400" s="239">
        <v>2022</v>
      </c>
      <c r="C400" s="354">
        <f>SUM('IP 5D2 2021'!BP73:BP74)</f>
        <v>33484.708628</v>
      </c>
      <c r="D400" s="283">
        <f>'Fac Conv'!$H$16</f>
        <v>67</v>
      </c>
      <c r="E400" s="283">
        <f>'Fac Conv'!$K$16</f>
        <v>3</v>
      </c>
      <c r="F400" s="283">
        <f t="shared" ref="F400" si="73">C400*D400*E400</f>
        <v>6730426.4342280012</v>
      </c>
      <c r="G400" s="695">
        <f>'IP 5D2 FETipos de tratamiento'!S67</f>
        <v>4.7907468206626426E-2</v>
      </c>
      <c r="H400" s="283">
        <f t="shared" ref="H400" si="74">(F400*G400)/1000000</f>
        <v>0.32243769041481601</v>
      </c>
      <c r="I400" s="273"/>
      <c r="K400" s="273"/>
    </row>
    <row r="401" spans="2:11" ht="14.25" customHeight="1">
      <c r="B401" s="32"/>
      <c r="C401" s="365"/>
      <c r="D401" s="366"/>
      <c r="E401" s="366"/>
      <c r="F401" s="366"/>
      <c r="G401" s="366"/>
      <c r="H401" s="366"/>
      <c r="I401" s="273"/>
      <c r="K401" s="273"/>
    </row>
    <row r="402" spans="2:11" ht="14.25" customHeight="1">
      <c r="B402" s="278" t="s">
        <v>323</v>
      </c>
      <c r="C402" s="356"/>
      <c r="D402" s="356"/>
      <c r="E402" s="356"/>
      <c r="F402" s="356"/>
      <c r="G402" s="356"/>
      <c r="H402" s="356"/>
      <c r="I402" s="273"/>
      <c r="K402" s="273"/>
    </row>
    <row r="403" spans="2:11" s="32" customFormat="1" ht="14.25" customHeight="1">
      <c r="B403" s="239">
        <v>1990</v>
      </c>
      <c r="C403" s="354">
        <f>SUM('IP 5D2 2021'!E75:E81)</f>
        <v>0</v>
      </c>
      <c r="D403" s="283">
        <f>+('Fac Conv'!$I$20+'Fac Conv'!$J$20)/2</f>
        <v>3</v>
      </c>
      <c r="E403" s="283">
        <f>+('Fac Conv'!$L$20+'Fac Conv'!$M$20)/2</f>
        <v>0.85</v>
      </c>
      <c r="F403" s="283">
        <f t="shared" ref="F403:F434" si="75">C403*D403*E403</f>
        <v>0</v>
      </c>
      <c r="G403" s="695">
        <f>'IP 5D2 FETipos de tratamiento'!S35</f>
        <v>9.5248259310058037E-2</v>
      </c>
      <c r="H403" s="283">
        <f t="shared" ref="H403:H434" si="76">(F403*G403)/1000000</f>
        <v>0</v>
      </c>
      <c r="I403" s="273"/>
      <c r="K403" s="273"/>
    </row>
    <row r="404" spans="2:11" s="32" customFormat="1" ht="14.25" customHeight="1">
      <c r="B404" s="239">
        <v>1991</v>
      </c>
      <c r="C404" s="354">
        <f>SUM('IP 5D2 2021'!F75:F81)</f>
        <v>0</v>
      </c>
      <c r="D404" s="283">
        <f>+('Fac Conv'!$I$20+'Fac Conv'!$J$20)/2</f>
        <v>3</v>
      </c>
      <c r="E404" s="283">
        <f>+('Fac Conv'!$L$20+'Fac Conv'!$M$20)/2</f>
        <v>0.85</v>
      </c>
      <c r="F404" s="283">
        <f t="shared" si="75"/>
        <v>0</v>
      </c>
      <c r="G404" s="695">
        <f>'IP 5D2 FETipos de tratamiento'!S36</f>
        <v>9.5248259310058009E-2</v>
      </c>
      <c r="H404" s="283">
        <f t="shared" si="76"/>
        <v>0</v>
      </c>
      <c r="I404" s="273"/>
      <c r="K404" s="273"/>
    </row>
    <row r="405" spans="2:11" s="32" customFormat="1" ht="14.25" customHeight="1">
      <c r="B405" s="239">
        <v>1992</v>
      </c>
      <c r="C405" s="354">
        <f>SUM('IP 5D2 2021'!H75:H81)</f>
        <v>0</v>
      </c>
      <c r="D405" s="283">
        <f>+('Fac Conv'!$I$20+'Fac Conv'!$J$20)/2</f>
        <v>3</v>
      </c>
      <c r="E405" s="283">
        <f>+('Fac Conv'!$L$20+'Fac Conv'!$M$20)/2</f>
        <v>0.85</v>
      </c>
      <c r="F405" s="283">
        <f t="shared" si="75"/>
        <v>0</v>
      </c>
      <c r="G405" s="695">
        <f>'IP 5D2 FETipos de tratamiento'!S37</f>
        <v>9.524825931005805E-2</v>
      </c>
      <c r="H405" s="283">
        <f t="shared" si="76"/>
        <v>0</v>
      </c>
      <c r="I405" s="273"/>
      <c r="K405" s="273"/>
    </row>
    <row r="406" spans="2:11" s="32" customFormat="1" ht="14.25" customHeight="1">
      <c r="B406" s="239">
        <v>1993</v>
      </c>
      <c r="C406" s="354">
        <f>SUM('IP 5D2 2021'!J75:J81)</f>
        <v>0</v>
      </c>
      <c r="D406" s="283">
        <f>+('Fac Conv'!$I$20+'Fac Conv'!$J$20)/2</f>
        <v>3</v>
      </c>
      <c r="E406" s="283">
        <f>+('Fac Conv'!$L$20+'Fac Conv'!$M$20)/2</f>
        <v>0.85</v>
      </c>
      <c r="F406" s="283">
        <f t="shared" si="75"/>
        <v>0</v>
      </c>
      <c r="G406" s="695">
        <f>'IP 5D2 FETipos de tratamiento'!S38</f>
        <v>9.5248259310058009E-2</v>
      </c>
      <c r="H406" s="283">
        <f t="shared" si="76"/>
        <v>0</v>
      </c>
      <c r="I406" s="273"/>
      <c r="K406" s="273"/>
    </row>
    <row r="407" spans="2:11" s="32" customFormat="1" ht="14.25" customHeight="1">
      <c r="B407" s="239">
        <v>1994</v>
      </c>
      <c r="C407" s="354">
        <f>SUM('IP 5D2 2021'!L75:L81)</f>
        <v>0</v>
      </c>
      <c r="D407" s="283">
        <f>+('Fac Conv'!$I$20+'Fac Conv'!$J$20)/2</f>
        <v>3</v>
      </c>
      <c r="E407" s="283">
        <f>+('Fac Conv'!$L$20+'Fac Conv'!$M$20)/2</f>
        <v>0.85</v>
      </c>
      <c r="F407" s="283">
        <f t="shared" si="75"/>
        <v>0</v>
      </c>
      <c r="G407" s="695">
        <f>'IP 5D2 FETipos de tratamiento'!S39</f>
        <v>9.5248259310058009E-2</v>
      </c>
      <c r="H407" s="283">
        <f t="shared" si="76"/>
        <v>0</v>
      </c>
      <c r="I407" s="273"/>
      <c r="K407" s="273"/>
    </row>
    <row r="408" spans="2:11" s="32" customFormat="1" ht="14.25" customHeight="1">
      <c r="B408" s="239">
        <v>1995</v>
      </c>
      <c r="C408" s="354">
        <f>SUM('IP 5D2 2021'!N75:N81)</f>
        <v>109469.88699999999</v>
      </c>
      <c r="D408" s="283">
        <f>+('Fac Conv'!$I$20+'Fac Conv'!$J$20)/2</f>
        <v>3</v>
      </c>
      <c r="E408" s="283">
        <f>+('Fac Conv'!$L$20+'Fac Conv'!$M$20)/2</f>
        <v>0.85</v>
      </c>
      <c r="F408" s="283">
        <f t="shared" si="75"/>
        <v>279148.21184999996</v>
      </c>
      <c r="G408" s="695">
        <f>'IP 5D2 FETipos de tratamiento'!S40</f>
        <v>9.5248259310058023E-2</v>
      </c>
      <c r="H408" s="283">
        <f t="shared" si="76"/>
        <v>2.6588381268227809E-2</v>
      </c>
      <c r="I408" s="273"/>
      <c r="K408" s="273"/>
    </row>
    <row r="409" spans="2:11" s="32" customFormat="1" ht="14.25" customHeight="1">
      <c r="B409" s="239">
        <v>1996</v>
      </c>
      <c r="C409" s="354">
        <f>SUM('IP 5D2 2021'!P75:P81)</f>
        <v>114697.59599999999</v>
      </c>
      <c r="D409" s="283">
        <f>+('Fac Conv'!$I$20+'Fac Conv'!$J$20)/2</f>
        <v>3</v>
      </c>
      <c r="E409" s="283">
        <f>+('Fac Conv'!$L$20+'Fac Conv'!$M$20)/2</f>
        <v>0.85</v>
      </c>
      <c r="F409" s="283">
        <f t="shared" si="75"/>
        <v>292478.86979999993</v>
      </c>
      <c r="G409" s="695">
        <f>'IP 5D2 FETipos de tratamiento'!S41</f>
        <v>9.5248259310058023E-2</v>
      </c>
      <c r="H409" s="283">
        <f t="shared" si="76"/>
        <v>2.7858103233423092E-2</v>
      </c>
      <c r="I409" s="273"/>
      <c r="K409" s="273"/>
    </row>
    <row r="410" spans="2:11" s="32" customFormat="1" ht="14.25" customHeight="1">
      <c r="B410" s="239">
        <v>1997</v>
      </c>
      <c r="C410" s="354">
        <f>SUM('IP 5D2 2021'!R75:R81)</f>
        <v>135518.17600000001</v>
      </c>
      <c r="D410" s="283">
        <f>+('Fac Conv'!$I$20+'Fac Conv'!$J$20)/2</f>
        <v>3</v>
      </c>
      <c r="E410" s="283">
        <f>+('Fac Conv'!$L$20+'Fac Conv'!$M$20)/2</f>
        <v>0.85</v>
      </c>
      <c r="F410" s="283">
        <f t="shared" si="75"/>
        <v>345571.34880000004</v>
      </c>
      <c r="G410" s="695">
        <f>'IP 5D2 FETipos de tratamiento'!S42</f>
        <v>9.5248259310058009E-2</v>
      </c>
      <c r="H410" s="283">
        <f t="shared" si="76"/>
        <v>3.2915069440628907E-2</v>
      </c>
      <c r="I410" s="273"/>
      <c r="K410" s="273"/>
    </row>
    <row r="411" spans="2:11" s="32" customFormat="1" ht="14.25" customHeight="1">
      <c r="B411" s="239">
        <v>1998</v>
      </c>
      <c r="C411" s="354">
        <f>SUM('IP 5D2 2021'!T75:T81)</f>
        <v>113887.61599999999</v>
      </c>
      <c r="D411" s="283">
        <f>+('Fac Conv'!$I$20+'Fac Conv'!$J$20)/2</f>
        <v>3</v>
      </c>
      <c r="E411" s="283">
        <f>+('Fac Conv'!$L$20+'Fac Conv'!$M$20)/2</f>
        <v>0.85</v>
      </c>
      <c r="F411" s="283">
        <f t="shared" si="75"/>
        <v>290413.42079999996</v>
      </c>
      <c r="G411" s="695">
        <f>'IP 5D2 FETipos de tratamiento'!S43</f>
        <v>9.5248259310058009E-2</v>
      </c>
      <c r="H411" s="283">
        <f t="shared" si="76"/>
        <v>2.7661372811479391E-2</v>
      </c>
      <c r="I411" s="273"/>
      <c r="K411" s="273"/>
    </row>
    <row r="412" spans="2:11" s="32" customFormat="1" ht="14.25" customHeight="1">
      <c r="B412" s="239">
        <v>1999</v>
      </c>
      <c r="C412" s="354">
        <f>SUM('IP 5D2 2021'!V75:V81)</f>
        <v>128313.40699999999</v>
      </c>
      <c r="D412" s="283">
        <f>+('Fac Conv'!$I$20+'Fac Conv'!$J$20)/2</f>
        <v>3</v>
      </c>
      <c r="E412" s="283">
        <f>+('Fac Conv'!$L$20+'Fac Conv'!$M$20)/2</f>
        <v>0.85</v>
      </c>
      <c r="F412" s="283">
        <f t="shared" si="75"/>
        <v>327199.18784999999</v>
      </c>
      <c r="G412" s="695">
        <f>'IP 5D2 FETipos de tratamiento'!S44</f>
        <v>9.5248259310058009E-2</v>
      </c>
      <c r="H412" s="283">
        <f t="shared" si="76"/>
        <v>3.1165153090377182E-2</v>
      </c>
      <c r="I412" s="281"/>
      <c r="K412" s="273"/>
    </row>
    <row r="413" spans="2:11" ht="14.25" customHeight="1">
      <c r="B413" s="239">
        <v>2000</v>
      </c>
      <c r="C413" s="354">
        <f>SUM('IP 5D2 2021'!X75:X81)</f>
        <v>120695.91</v>
      </c>
      <c r="D413" s="283">
        <f>+('Fac Conv'!$I$20+'Fac Conv'!$J$20)/2</f>
        <v>3</v>
      </c>
      <c r="E413" s="283">
        <f>+('Fac Conv'!$L$20+'Fac Conv'!$M$20)/2</f>
        <v>0.85</v>
      </c>
      <c r="F413" s="283">
        <f t="shared" si="75"/>
        <v>307774.57049999997</v>
      </c>
      <c r="G413" s="695">
        <f>'IP 5D2 FETipos de tratamiento'!S45</f>
        <v>9.5248259310058009E-2</v>
      </c>
      <c r="H413" s="283">
        <f t="shared" si="76"/>
        <v>2.9314992100025729E-2</v>
      </c>
      <c r="I413" s="273"/>
      <c r="K413" s="273"/>
    </row>
    <row r="414" spans="2:11" ht="14.25" customHeight="1">
      <c r="B414" s="239">
        <v>2001</v>
      </c>
      <c r="C414" s="354">
        <f>SUM('IP 5D2 2021'!Z75:Z81)</f>
        <v>784985.11906100006</v>
      </c>
      <c r="D414" s="283">
        <f>+('Fac Conv'!$I$20+'Fac Conv'!$J$20)/2</f>
        <v>3</v>
      </c>
      <c r="E414" s="283">
        <f>+('Fac Conv'!$L$20+'Fac Conv'!$M$20)/2</f>
        <v>0.85</v>
      </c>
      <c r="F414" s="283">
        <f t="shared" si="75"/>
        <v>2001712.05360555</v>
      </c>
      <c r="G414" s="695">
        <f>'IP 5D2 FETipos de tratamiento'!S46</f>
        <v>9.5248259310058037E-2</v>
      </c>
      <c r="H414" s="283">
        <f t="shared" si="76"/>
        <v>0.1906595887458902</v>
      </c>
      <c r="I414" s="273"/>
      <c r="K414" s="273"/>
    </row>
    <row r="415" spans="2:11" ht="14.25" customHeight="1">
      <c r="B415" s="239">
        <v>2002</v>
      </c>
      <c r="C415" s="354">
        <f>SUM('IP 5D2 2021'!AB75:AB81)</f>
        <v>127753.65540600001</v>
      </c>
      <c r="D415" s="283">
        <f>+('Fac Conv'!$I$20+'Fac Conv'!$J$20)/2</f>
        <v>3</v>
      </c>
      <c r="E415" s="283">
        <f>+('Fac Conv'!$L$20+'Fac Conv'!$M$20)/2</f>
        <v>0.85</v>
      </c>
      <c r="F415" s="283">
        <f t="shared" si="75"/>
        <v>325771.82128530002</v>
      </c>
      <c r="G415" s="695">
        <f>'IP 5D2 FETipos de tratamiento'!S47</f>
        <v>9.5248259310058009E-2</v>
      </c>
      <c r="H415" s="283">
        <f t="shared" si="76"/>
        <v>3.1029198909692132E-2</v>
      </c>
      <c r="I415" s="273"/>
      <c r="K415" s="273"/>
    </row>
    <row r="416" spans="2:11" ht="14.25" customHeight="1">
      <c r="B416" s="239">
        <v>2003</v>
      </c>
      <c r="C416" s="354">
        <f>SUM('IP 5D2 2021'!AD75:AD81)</f>
        <v>116567.5</v>
      </c>
      <c r="D416" s="283">
        <f>+('Fac Conv'!$I$20+'Fac Conv'!$J$20)/2</f>
        <v>3</v>
      </c>
      <c r="E416" s="283">
        <f>+('Fac Conv'!$L$20+'Fac Conv'!$M$20)/2</f>
        <v>0.85</v>
      </c>
      <c r="F416" s="283">
        <f t="shared" si="75"/>
        <v>297247.125</v>
      </c>
      <c r="G416" s="695">
        <f>'IP 5D2 FETipos de tratamiento'!S48</f>
        <v>9.5248259310058009E-2</v>
      </c>
      <c r="H416" s="283">
        <f t="shared" si="76"/>
        <v>2.8312271241169227E-2</v>
      </c>
      <c r="I416" s="273"/>
      <c r="K416" s="273"/>
    </row>
    <row r="417" spans="2:11" ht="14.25" customHeight="1">
      <c r="B417" s="239">
        <v>2004</v>
      </c>
      <c r="C417" s="354">
        <f>SUM('IP 5D2 2021'!AF75:AF81)</f>
        <v>125340.40000000001</v>
      </c>
      <c r="D417" s="283">
        <f>+('Fac Conv'!$I$20+'Fac Conv'!$J$20)/2</f>
        <v>3</v>
      </c>
      <c r="E417" s="283">
        <f>+('Fac Conv'!$L$20+'Fac Conv'!$M$20)/2</f>
        <v>0.85</v>
      </c>
      <c r="F417" s="283">
        <f t="shared" si="75"/>
        <v>319618.02</v>
      </c>
      <c r="G417" s="695">
        <f>'IP 5D2 FETipos de tratamiento'!S49</f>
        <v>9.5248259310058037E-2</v>
      </c>
      <c r="H417" s="283">
        <f t="shared" si="76"/>
        <v>3.0443060049127318E-2</v>
      </c>
      <c r="I417" s="273"/>
      <c r="K417" s="273"/>
    </row>
    <row r="418" spans="2:11" ht="14.25" customHeight="1">
      <c r="B418" s="239">
        <v>2005</v>
      </c>
      <c r="C418" s="354">
        <f>SUM('IP 5D2 2021'!AH75:AH81)</f>
        <v>118811.5</v>
      </c>
      <c r="D418" s="283">
        <f>+('Fac Conv'!$I$20+'Fac Conv'!$J$20)/2</f>
        <v>3</v>
      </c>
      <c r="E418" s="283">
        <f>+('Fac Conv'!$L$20+'Fac Conv'!$M$20)/2</f>
        <v>0.85</v>
      </c>
      <c r="F418" s="283">
        <f t="shared" si="75"/>
        <v>302969.32500000001</v>
      </c>
      <c r="G418" s="695">
        <f>'IP 5D2 FETipos de tratamiento'!S50</f>
        <v>9.5248259310058037E-2</v>
      </c>
      <c r="H418" s="283">
        <f t="shared" si="76"/>
        <v>2.8857300830593249E-2</v>
      </c>
      <c r="I418" s="273"/>
      <c r="K418" s="273"/>
    </row>
    <row r="419" spans="2:11" ht="14.25" customHeight="1">
      <c r="B419" s="239">
        <v>2006</v>
      </c>
      <c r="C419" s="354">
        <f>SUM('IP 5D2 2021'!AJ75:AJ81)</f>
        <v>148280.1</v>
      </c>
      <c r="D419" s="283">
        <f>+('Fac Conv'!$I$20+'Fac Conv'!$J$20)/2</f>
        <v>3</v>
      </c>
      <c r="E419" s="283">
        <f>+('Fac Conv'!$L$20+'Fac Conv'!$M$20)/2</f>
        <v>0.85</v>
      </c>
      <c r="F419" s="283">
        <f t="shared" si="75"/>
        <v>378114.255</v>
      </c>
      <c r="G419" s="695">
        <f>'IP 5D2 FETipos de tratamiento'!S51</f>
        <v>9.5248259310058037E-2</v>
      </c>
      <c r="H419" s="283">
        <f t="shared" si="76"/>
        <v>3.6014724609069411E-2</v>
      </c>
      <c r="I419" s="273"/>
      <c r="K419" s="273"/>
    </row>
    <row r="420" spans="2:11" ht="14.25" customHeight="1">
      <c r="B420" s="239">
        <v>2007</v>
      </c>
      <c r="C420" s="354">
        <f>SUM('IP 5D2 2021'!AL75:AL81)</f>
        <v>171991.4</v>
      </c>
      <c r="D420" s="283">
        <f>+('Fac Conv'!$I$20+'Fac Conv'!$J$20)/2</f>
        <v>3</v>
      </c>
      <c r="E420" s="283">
        <f>+('Fac Conv'!$L$20+'Fac Conv'!$M$20)/2</f>
        <v>0.85</v>
      </c>
      <c r="F420" s="283">
        <f t="shared" si="75"/>
        <v>438578.06999999995</v>
      </c>
      <c r="G420" s="695">
        <f>'IP 5D2 FETipos de tratamiento'!S52</f>
        <v>9.5248259310058037E-2</v>
      </c>
      <c r="H420" s="283">
        <f t="shared" si="76"/>
        <v>4.1773797739064776E-2</v>
      </c>
      <c r="I420" s="273"/>
      <c r="K420" s="273"/>
    </row>
    <row r="421" spans="2:11" ht="14.25" customHeight="1">
      <c r="B421" s="239">
        <v>2008</v>
      </c>
      <c r="C421" s="354">
        <f>SUM('IP 5D2 2021'!AN75:AN81)</f>
        <v>205303.60000000003</v>
      </c>
      <c r="D421" s="283">
        <f>+('Fac Conv'!$I$20+'Fac Conv'!$J$20)/2</f>
        <v>3</v>
      </c>
      <c r="E421" s="283">
        <f>+('Fac Conv'!$L$20+'Fac Conv'!$M$20)/2</f>
        <v>0.85</v>
      </c>
      <c r="F421" s="283">
        <f t="shared" si="75"/>
        <v>523524.18000000005</v>
      </c>
      <c r="G421" s="695">
        <f>'IP 5D2 FETipos de tratamiento'!S53</f>
        <v>9.5248259310058037E-2</v>
      </c>
      <c r="H421" s="283">
        <f t="shared" si="76"/>
        <v>4.98647668517255E-2</v>
      </c>
      <c r="I421" s="273"/>
      <c r="K421" s="273"/>
    </row>
    <row r="422" spans="2:11" ht="14.25" customHeight="1">
      <c r="B422" s="239">
        <v>2009</v>
      </c>
      <c r="C422" s="354">
        <f>SUM('IP 5D2 2021'!AP75:AP81)</f>
        <v>200294.69999999998</v>
      </c>
      <c r="D422" s="283">
        <f>+('Fac Conv'!$I$20+'Fac Conv'!$J$20)/2</f>
        <v>3</v>
      </c>
      <c r="E422" s="283">
        <f>+('Fac Conv'!$L$20+'Fac Conv'!$M$20)/2</f>
        <v>0.85</v>
      </c>
      <c r="F422" s="283">
        <f t="shared" si="75"/>
        <v>510751.48499999999</v>
      </c>
      <c r="G422" s="695">
        <f>'IP 5D2 FETipos de tratamiento'!S54</f>
        <v>9.5248259310058009E-2</v>
      </c>
      <c r="H422" s="283">
        <f t="shared" si="76"/>
        <v>4.8648189886277199E-2</v>
      </c>
      <c r="I422" s="273"/>
      <c r="K422" s="273"/>
    </row>
    <row r="423" spans="2:11" ht="14.25" customHeight="1">
      <c r="B423" s="239">
        <v>2010</v>
      </c>
      <c r="C423" s="354">
        <f>SUM('IP 5D2 2021'!AR75:AR81)</f>
        <v>218622</v>
      </c>
      <c r="D423" s="283">
        <f>+('Fac Conv'!$I$20+'Fac Conv'!$J$20)/2</f>
        <v>3</v>
      </c>
      <c r="E423" s="283">
        <f>+('Fac Conv'!$L$20+'Fac Conv'!$M$20)/2</f>
        <v>0.85</v>
      </c>
      <c r="F423" s="283">
        <f t="shared" si="75"/>
        <v>557486.1</v>
      </c>
      <c r="G423" s="695">
        <f>'IP 5D2 FETipos de tratamiento'!S55</f>
        <v>9.5248259310058009E-2</v>
      </c>
      <c r="H423" s="283">
        <f t="shared" si="76"/>
        <v>5.309958061455293E-2</v>
      </c>
      <c r="I423" s="273"/>
      <c r="K423" s="273"/>
    </row>
    <row r="424" spans="2:11" ht="14.25" customHeight="1">
      <c r="B424" s="239">
        <v>2011</v>
      </c>
      <c r="C424" s="354">
        <f>SUM('IP 5D2 2021'!AT75:AT81)</f>
        <v>229230.59999999998</v>
      </c>
      <c r="D424" s="283">
        <f>+('Fac Conv'!$I$20+'Fac Conv'!$J$20)/2</f>
        <v>3</v>
      </c>
      <c r="E424" s="283">
        <f>+('Fac Conv'!$L$20+'Fac Conv'!$M$20)/2</f>
        <v>0.85</v>
      </c>
      <c r="F424" s="283">
        <f t="shared" si="75"/>
        <v>584538.02999999991</v>
      </c>
      <c r="G424" s="695">
        <f>'IP 5D2 FETipos de tratamiento'!S56</f>
        <v>9.5248259310058023E-2</v>
      </c>
      <c r="H424" s="283">
        <f t="shared" si="76"/>
        <v>5.5676229858030474E-2</v>
      </c>
      <c r="I424" s="273"/>
      <c r="K424" s="273"/>
    </row>
    <row r="425" spans="2:11" ht="14.25" customHeight="1">
      <c r="B425" s="239">
        <v>2012</v>
      </c>
      <c r="C425" s="354">
        <f>SUM('IP 5D2 2021'!AV75:AV81)</f>
        <v>286115.96500000003</v>
      </c>
      <c r="D425" s="283">
        <f>+('Fac Conv'!$I$20+'Fac Conv'!$J$20)/2</f>
        <v>3</v>
      </c>
      <c r="E425" s="283">
        <f>+('Fac Conv'!$L$20+'Fac Conv'!$M$20)/2</f>
        <v>0.85</v>
      </c>
      <c r="F425" s="283">
        <f t="shared" si="75"/>
        <v>729595.71074999997</v>
      </c>
      <c r="G425" s="695">
        <f>'IP 5D2 FETipos de tratamiento'!S57</f>
        <v>9.5248259310058037E-2</v>
      </c>
      <c r="H425" s="283">
        <f t="shared" si="76"/>
        <v>6.9492721449022091E-2</v>
      </c>
      <c r="I425" s="273"/>
      <c r="K425" s="273"/>
    </row>
    <row r="426" spans="2:11" ht="14.25" customHeight="1">
      <c r="B426" s="239">
        <v>2013</v>
      </c>
      <c r="C426" s="354">
        <f>SUM('IP 5D2 2021'!AX75:AX81)</f>
        <v>309564.78900000011</v>
      </c>
      <c r="D426" s="283">
        <f>+('Fac Conv'!$I$20+'Fac Conv'!$J$20)/2</f>
        <v>3</v>
      </c>
      <c r="E426" s="283">
        <f>+('Fac Conv'!$L$20+'Fac Conv'!$M$20)/2</f>
        <v>0.85</v>
      </c>
      <c r="F426" s="283">
        <f t="shared" si="75"/>
        <v>789390.21195000026</v>
      </c>
      <c r="G426" s="695">
        <f>'IP 5D2 FETipos de tratamiento'!S58</f>
        <v>8.7926985724763776E-2</v>
      </c>
      <c r="H426" s="283">
        <f t="shared" si="76"/>
        <v>6.9408701897395925E-2</v>
      </c>
      <c r="I426" s="273"/>
      <c r="K426" s="273"/>
    </row>
    <row r="427" spans="2:11" ht="14.25" customHeight="1">
      <c r="B427" s="239">
        <v>2014</v>
      </c>
      <c r="C427" s="354">
        <f>SUM('IP 5D2 2021'!AZ75:AZ81)</f>
        <v>306970.39099999995</v>
      </c>
      <c r="D427" s="283">
        <f>+('Fac Conv'!$I$20+'Fac Conv'!$J$20)/2</f>
        <v>3</v>
      </c>
      <c r="E427" s="283">
        <f>+('Fac Conv'!$L$20+'Fac Conv'!$M$20)/2</f>
        <v>0.85</v>
      </c>
      <c r="F427" s="283">
        <f t="shared" si="75"/>
        <v>782774.49704999989</v>
      </c>
      <c r="G427" s="695">
        <f>'IP 5D2 FETipos de tratamiento'!S59</f>
        <v>8.0605712139469529E-2</v>
      </c>
      <c r="H427" s="283">
        <f t="shared" si="76"/>
        <v>6.3096095779330327E-2</v>
      </c>
      <c r="I427" s="273"/>
      <c r="K427" s="273"/>
    </row>
    <row r="428" spans="2:11" ht="14.25" customHeight="1">
      <c r="B428" s="239">
        <v>2015</v>
      </c>
      <c r="C428" s="354">
        <f>SUM('IP 5D2 2021'!BB75:BB81)</f>
        <v>320772.19699999999</v>
      </c>
      <c r="D428" s="283">
        <f>+('Fac Conv'!$I$20+'Fac Conv'!$J$20)/2</f>
        <v>3</v>
      </c>
      <c r="E428" s="283">
        <f>+('Fac Conv'!$L$20+'Fac Conv'!$M$20)/2</f>
        <v>0.85</v>
      </c>
      <c r="F428" s="283">
        <f t="shared" si="75"/>
        <v>817969.10234999994</v>
      </c>
      <c r="G428" s="695">
        <f>'IP 5D2 FETipos de tratamiento'!S60</f>
        <v>7.3284438554175282E-2</v>
      </c>
      <c r="H428" s="283">
        <f t="shared" si="76"/>
        <v>5.9944406420382484E-2</v>
      </c>
      <c r="I428" s="273"/>
      <c r="K428" s="273"/>
    </row>
    <row r="429" spans="2:11" ht="14.25" customHeight="1">
      <c r="B429" s="239">
        <v>2016</v>
      </c>
      <c r="C429" s="354">
        <f>SUM('IP 5D2 2021'!BD75:BD81)</f>
        <v>311243.42200000008</v>
      </c>
      <c r="D429" s="283">
        <f>+('Fac Conv'!$I$20+'Fac Conv'!$J$20)/2</f>
        <v>3</v>
      </c>
      <c r="E429" s="283">
        <f>+('Fac Conv'!$L$20+'Fac Conv'!$M$20)/2</f>
        <v>0.85</v>
      </c>
      <c r="F429" s="283">
        <f t="shared" si="75"/>
        <v>793670.7261000002</v>
      </c>
      <c r="G429" s="695">
        <f>'IP 5D2 FETipos de tratamiento'!S61</f>
        <v>6.5963164968881036E-2</v>
      </c>
      <c r="H429" s="283">
        <f t="shared" si="76"/>
        <v>5.2353033036705909E-2</v>
      </c>
      <c r="I429" s="273"/>
      <c r="K429" s="273"/>
    </row>
    <row r="430" spans="2:11" ht="14.25" customHeight="1">
      <c r="B430" s="239">
        <v>2017</v>
      </c>
      <c r="C430" s="354">
        <f>SUM('IP 5D2 2021'!BF75:BF81)</f>
        <v>303906.30299999996</v>
      </c>
      <c r="D430" s="283">
        <f>+('Fac Conv'!$I$20+'Fac Conv'!$J$20)/2</f>
        <v>3</v>
      </c>
      <c r="E430" s="283">
        <f>+('Fac Conv'!$L$20+'Fac Conv'!$M$20)/2</f>
        <v>0.85</v>
      </c>
      <c r="F430" s="283">
        <f t="shared" si="75"/>
        <v>774961.07264999987</v>
      </c>
      <c r="G430" s="695">
        <f>'IP 5D2 FETipos de tratamiento'!S62</f>
        <v>5.8641891383586796E-2</v>
      </c>
      <c r="H430" s="283">
        <f t="shared" si="76"/>
        <v>4.5445183048849203E-2</v>
      </c>
      <c r="I430" s="273"/>
      <c r="K430" s="273"/>
    </row>
    <row r="431" spans="2:11" ht="14.25" customHeight="1">
      <c r="B431" s="239">
        <v>2018</v>
      </c>
      <c r="C431" s="354">
        <f>SUM('IP 5D2 2021'!BH75:BH81)</f>
        <v>320311.022</v>
      </c>
      <c r="D431" s="283">
        <f>+('Fac Conv'!$I$20+'Fac Conv'!$J$20)/2</f>
        <v>3</v>
      </c>
      <c r="E431" s="283">
        <f>+('Fac Conv'!$L$20+'Fac Conv'!$M$20)/2</f>
        <v>0.85</v>
      </c>
      <c r="F431" s="283">
        <f t="shared" si="75"/>
        <v>816793.10609999998</v>
      </c>
      <c r="G431" s="695">
        <f>'IP 5D2 FETipos de tratamiento'!S63</f>
        <v>5.8641891383586796E-2</v>
      </c>
      <c r="H431" s="283">
        <f t="shared" si="76"/>
        <v>4.7898292610778687E-2</v>
      </c>
      <c r="I431" s="273"/>
      <c r="K431" s="273"/>
    </row>
    <row r="432" spans="2:11" ht="14.25" customHeight="1">
      <c r="B432" s="239">
        <v>2019</v>
      </c>
      <c r="C432" s="354">
        <f>SUM('IP 5D2 2021'!BJ75:BJ81)</f>
        <v>328173.95799999998</v>
      </c>
      <c r="D432" s="283">
        <f>+('Fac Conv'!$I$20+'Fac Conv'!$J$20)/2</f>
        <v>3</v>
      </c>
      <c r="E432" s="283">
        <f>+('Fac Conv'!$L$20+'Fac Conv'!$M$20)/2</f>
        <v>0.85</v>
      </c>
      <c r="F432" s="283">
        <f t="shared" si="75"/>
        <v>836843.59289999993</v>
      </c>
      <c r="G432" s="695">
        <f>'IP 5D2 FETipos de tratamiento'!S64</f>
        <v>4.7907468206626412E-2</v>
      </c>
      <c r="H432" s="283">
        <f t="shared" si="76"/>
        <v>4.0091057820775766E-2</v>
      </c>
      <c r="I432" s="273"/>
      <c r="K432" s="273"/>
    </row>
    <row r="433" spans="2:11" ht="14.25" customHeight="1">
      <c r="B433" s="239">
        <v>2020</v>
      </c>
      <c r="C433" s="354">
        <f>SUM('IP 5D2 2021'!BL75:BL81)</f>
        <v>347031.61100000003</v>
      </c>
      <c r="D433" s="283">
        <f>+('Fac Conv'!$I$20+'Fac Conv'!$J$20)/2</f>
        <v>3</v>
      </c>
      <c r="E433" s="283">
        <f>+('Fac Conv'!$L$20+'Fac Conv'!$M$20)/2</f>
        <v>0.85</v>
      </c>
      <c r="F433" s="283">
        <f t="shared" si="75"/>
        <v>884930.60805000004</v>
      </c>
      <c r="G433" s="695">
        <f>'IP 5D2 FETipos de tratamiento'!S65</f>
        <v>4.7907468206626419E-2</v>
      </c>
      <c r="H433" s="283">
        <f t="shared" si="76"/>
        <v>4.239478497022596E-2</v>
      </c>
      <c r="I433" s="273"/>
      <c r="K433" s="273"/>
    </row>
    <row r="434" spans="2:11" ht="14.25" customHeight="1">
      <c r="B434" s="239">
        <v>2021</v>
      </c>
      <c r="C434" s="354">
        <f>SUM('IP 5D2 2021'!BN75:BN81)</f>
        <v>320986.5089999999</v>
      </c>
      <c r="D434" s="283">
        <f>+('Fac Conv'!$I$20+'Fac Conv'!$J$20)/2</f>
        <v>3</v>
      </c>
      <c r="E434" s="283">
        <f>+('Fac Conv'!$L$20+'Fac Conv'!$M$20)/2</f>
        <v>0.85</v>
      </c>
      <c r="F434" s="283">
        <f t="shared" si="75"/>
        <v>818515.59794999973</v>
      </c>
      <c r="G434" s="695">
        <f>'IP 5D2 FETipos de tratamiento'!S66</f>
        <v>4.7907468206626419E-2</v>
      </c>
      <c r="H434" s="283">
        <f t="shared" si="76"/>
        <v>3.9213009985417428E-2</v>
      </c>
      <c r="I434" s="273"/>
      <c r="K434" s="273"/>
    </row>
    <row r="435" spans="2:11" ht="14.25" customHeight="1">
      <c r="B435" s="239">
        <v>2022</v>
      </c>
      <c r="C435" s="354">
        <f>SUM('IP 5D2 2021'!BP75:BP81)</f>
        <v>342502.23699999996</v>
      </c>
      <c r="D435" s="283">
        <f>+('Fac Conv'!$I$20+'Fac Conv'!$J$20)/2</f>
        <v>3</v>
      </c>
      <c r="E435" s="283">
        <f>+('Fac Conv'!$L$20+'Fac Conv'!$M$20)/2</f>
        <v>0.85</v>
      </c>
      <c r="F435" s="283">
        <f t="shared" ref="F435" si="77">C435*D435*E435</f>
        <v>873380.7043499999</v>
      </c>
      <c r="G435" s="695">
        <f>'IP 5D2 FETipos de tratamiento'!S67</f>
        <v>4.7907468206626426E-2</v>
      </c>
      <c r="H435" s="283">
        <f t="shared" ref="H435" si="78">(F435*G435)/1000000</f>
        <v>4.1841458325928615E-2</v>
      </c>
      <c r="I435" s="273"/>
      <c r="K435" s="273"/>
    </row>
    <row r="436" spans="2:11" ht="14.25" customHeight="1">
      <c r="B436" s="32"/>
      <c r="C436" s="365"/>
      <c r="D436" s="366"/>
      <c r="E436" s="366"/>
      <c r="F436" s="366"/>
      <c r="G436" s="366"/>
      <c r="H436" s="366"/>
      <c r="I436" s="273"/>
      <c r="K436" s="273"/>
    </row>
    <row r="437" spans="2:11" ht="14.25" customHeight="1">
      <c r="B437" s="278" t="s">
        <v>324</v>
      </c>
      <c r="C437" s="356"/>
      <c r="D437" s="356"/>
      <c r="E437" s="356"/>
      <c r="F437" s="356"/>
      <c r="G437" s="356"/>
      <c r="H437" s="356"/>
      <c r="I437" s="273"/>
      <c r="K437" s="273"/>
    </row>
    <row r="438" spans="2:11" s="32" customFormat="1" ht="14.25" customHeight="1">
      <c r="B438" s="239">
        <v>1990</v>
      </c>
      <c r="C438" s="354">
        <f>SUM('IP 5D2 2021'!E93:E97)</f>
        <v>1733500</v>
      </c>
      <c r="D438" s="283">
        <f>+('Fac Conv'!$I$14+'Fac Conv'!$J$14)/2</f>
        <v>13</v>
      </c>
      <c r="E438" s="283">
        <f>'Fac Conv'!$K$14</f>
        <v>2.5</v>
      </c>
      <c r="F438" s="283">
        <f t="shared" ref="F438:F469" si="79">C438*D438*E438</f>
        <v>56338750</v>
      </c>
      <c r="G438" s="695">
        <f>'IP 5D2 FETipos de tratamiento'!$J$22</f>
        <v>2.5000000000000001E-2</v>
      </c>
      <c r="H438" s="283">
        <f t="shared" ref="H438:H468" si="80">(F438*G438)/1000000</f>
        <v>1.4084687499999999</v>
      </c>
      <c r="I438" s="273"/>
      <c r="K438" s="273"/>
    </row>
    <row r="439" spans="2:11" s="32" customFormat="1" ht="14.25" customHeight="1">
      <c r="B439" s="239">
        <v>1991</v>
      </c>
      <c r="C439" s="354">
        <f>SUM('IP 5D2 2021'!F93:F97)</f>
        <v>1733500</v>
      </c>
      <c r="D439" s="283">
        <f>+('Fac Conv'!$I$14+'Fac Conv'!$J$14)/2</f>
        <v>13</v>
      </c>
      <c r="E439" s="283">
        <f>'Fac Conv'!$K$14</f>
        <v>2.5</v>
      </c>
      <c r="F439" s="283">
        <f t="shared" si="79"/>
        <v>56338750</v>
      </c>
      <c r="G439" s="695">
        <f>'IP 5D2 FETipos de tratamiento'!$J$22</f>
        <v>2.5000000000000001E-2</v>
      </c>
      <c r="H439" s="283">
        <f t="shared" si="80"/>
        <v>1.4084687499999999</v>
      </c>
      <c r="I439" s="273"/>
      <c r="K439" s="273"/>
    </row>
    <row r="440" spans="2:11" s="32" customFormat="1" ht="14.25" customHeight="1">
      <c r="B440" s="239">
        <v>1992</v>
      </c>
      <c r="C440" s="354">
        <f>SUM('IP 5D2 2021'!H93:H97)</f>
        <v>1733500</v>
      </c>
      <c r="D440" s="283">
        <f>+('Fac Conv'!$I$14+'Fac Conv'!$J$14)/2</f>
        <v>13</v>
      </c>
      <c r="E440" s="283">
        <f>'Fac Conv'!$K$14</f>
        <v>2.5</v>
      </c>
      <c r="F440" s="283">
        <f t="shared" si="79"/>
        <v>56338750</v>
      </c>
      <c r="G440" s="695">
        <f>'IP 5D2 FETipos de tratamiento'!$J$22</f>
        <v>2.5000000000000001E-2</v>
      </c>
      <c r="H440" s="283">
        <f t="shared" si="80"/>
        <v>1.4084687499999999</v>
      </c>
      <c r="I440" s="273"/>
      <c r="K440" s="273"/>
    </row>
    <row r="441" spans="2:11" s="32" customFormat="1" ht="14.25" customHeight="1">
      <c r="B441" s="239">
        <v>1993</v>
      </c>
      <c r="C441" s="354">
        <f>SUM('IP 5D2 2021'!J93:J97)</f>
        <v>2197100</v>
      </c>
      <c r="D441" s="283">
        <f>+('Fac Conv'!$I$14+'Fac Conv'!$J$14)/2</f>
        <v>13</v>
      </c>
      <c r="E441" s="283">
        <f>'Fac Conv'!$K$14</f>
        <v>2.5</v>
      </c>
      <c r="F441" s="283">
        <f t="shared" si="79"/>
        <v>71405750</v>
      </c>
      <c r="G441" s="695">
        <f>'IP 5D2 FETipos de tratamiento'!$J$22</f>
        <v>2.5000000000000001E-2</v>
      </c>
      <c r="H441" s="283">
        <f t="shared" si="80"/>
        <v>1.78514375</v>
      </c>
      <c r="I441" s="273"/>
      <c r="K441" s="273"/>
    </row>
    <row r="442" spans="2:11" s="32" customFormat="1" ht="14.25" customHeight="1">
      <c r="B442" s="239">
        <v>1994</v>
      </c>
      <c r="C442" s="354">
        <f>SUM('IP 5D2 2021'!L93:L97)</f>
        <v>3133700</v>
      </c>
      <c r="D442" s="283">
        <f>+('Fac Conv'!$I$14+'Fac Conv'!$J$14)/2</f>
        <v>13</v>
      </c>
      <c r="E442" s="283">
        <f>'Fac Conv'!$K$14</f>
        <v>2.5</v>
      </c>
      <c r="F442" s="283">
        <f t="shared" si="79"/>
        <v>101845250</v>
      </c>
      <c r="G442" s="695">
        <f>'IP 5D2 FETipos de tratamiento'!$J$22</f>
        <v>2.5000000000000001E-2</v>
      </c>
      <c r="H442" s="283">
        <f t="shared" si="80"/>
        <v>2.5461312500000002</v>
      </c>
      <c r="I442" s="273"/>
      <c r="K442" s="273"/>
    </row>
    <row r="443" spans="2:11" s="32" customFormat="1" ht="14.25" customHeight="1">
      <c r="B443" s="239">
        <v>1995</v>
      </c>
      <c r="C443" s="354">
        <f>SUM('IP 5D2 2021'!N93:N97)</f>
        <v>2361700</v>
      </c>
      <c r="D443" s="283">
        <f>+('Fac Conv'!$I$14+'Fac Conv'!$J$14)/2</f>
        <v>13</v>
      </c>
      <c r="E443" s="283">
        <f>'Fac Conv'!$K$14</f>
        <v>2.5</v>
      </c>
      <c r="F443" s="283">
        <f t="shared" si="79"/>
        <v>76755250</v>
      </c>
      <c r="G443" s="695">
        <f>'IP 5D2 FETipos de tratamiento'!$J$22</f>
        <v>2.5000000000000001E-2</v>
      </c>
      <c r="H443" s="283">
        <f t="shared" si="80"/>
        <v>1.9188812500000001</v>
      </c>
      <c r="I443" s="273"/>
      <c r="K443" s="273"/>
    </row>
    <row r="444" spans="2:11" s="32" customFormat="1" ht="14.25" customHeight="1">
      <c r="B444" s="239">
        <v>1996</v>
      </c>
      <c r="C444" s="354">
        <f>SUM('IP 5D2 2021'!P93:P97)</f>
        <v>2505927</v>
      </c>
      <c r="D444" s="283">
        <f>+('Fac Conv'!$I$14+'Fac Conv'!$J$14)/2</f>
        <v>13</v>
      </c>
      <c r="E444" s="283">
        <f>'Fac Conv'!$K$14</f>
        <v>2.5</v>
      </c>
      <c r="F444" s="283">
        <f t="shared" si="79"/>
        <v>81442627.5</v>
      </c>
      <c r="G444" s="695">
        <f>'IP 5D2 FETipos de tratamiento'!$J$22</f>
        <v>2.5000000000000001E-2</v>
      </c>
      <c r="H444" s="283">
        <f t="shared" si="80"/>
        <v>2.0360656874999998</v>
      </c>
      <c r="I444" s="273"/>
      <c r="K444" s="273"/>
    </row>
    <row r="445" spans="2:11" s="32" customFormat="1" ht="14.25" customHeight="1">
      <c r="B445" s="239">
        <v>1997</v>
      </c>
      <c r="C445" s="354">
        <f>SUM('IP 5D2 2021'!R93:R97)</f>
        <v>2143651</v>
      </c>
      <c r="D445" s="283">
        <f>+('Fac Conv'!$I$14+'Fac Conv'!$J$14)/2</f>
        <v>13</v>
      </c>
      <c r="E445" s="283">
        <f>'Fac Conv'!$K$14</f>
        <v>2.5</v>
      </c>
      <c r="F445" s="283">
        <f t="shared" si="79"/>
        <v>69668657.5</v>
      </c>
      <c r="G445" s="695">
        <f>'IP 5D2 FETipos de tratamiento'!$J$22</f>
        <v>2.5000000000000001E-2</v>
      </c>
      <c r="H445" s="283">
        <f t="shared" si="80"/>
        <v>1.7417164375</v>
      </c>
      <c r="I445" s="273"/>
      <c r="K445" s="273"/>
    </row>
    <row r="446" spans="2:11" s="32" customFormat="1" ht="14.25" customHeight="1">
      <c r="B446" s="239">
        <v>1998</v>
      </c>
      <c r="C446" s="354">
        <f>SUM('IP 5D2 2021'!T93:T97)</f>
        <v>1067920</v>
      </c>
      <c r="D446" s="283">
        <f>+('Fac Conv'!$I$14+'Fac Conv'!$J$14)/2</f>
        <v>13</v>
      </c>
      <c r="E446" s="283">
        <f>'Fac Conv'!$K$14</f>
        <v>2.5</v>
      </c>
      <c r="F446" s="283">
        <f t="shared" si="79"/>
        <v>34707400</v>
      </c>
      <c r="G446" s="695">
        <f>'IP 5D2 FETipos de tratamiento'!$J$22</f>
        <v>2.5000000000000001E-2</v>
      </c>
      <c r="H446" s="283">
        <f t="shared" si="80"/>
        <v>0.86768500000000004</v>
      </c>
      <c r="I446" s="273"/>
      <c r="K446" s="273"/>
    </row>
    <row r="447" spans="2:11" s="32" customFormat="1" ht="14.25" customHeight="1">
      <c r="B447" s="239">
        <v>1999</v>
      </c>
      <c r="C447" s="354">
        <f>SUM('IP 5D2 2021'!V93:V97)</f>
        <v>2410859</v>
      </c>
      <c r="D447" s="283">
        <f>+('Fac Conv'!$I$14+'Fac Conv'!$J$14)/2</f>
        <v>13</v>
      </c>
      <c r="E447" s="283">
        <f>'Fac Conv'!$K$14</f>
        <v>2.5</v>
      </c>
      <c r="F447" s="283">
        <f t="shared" si="79"/>
        <v>78352917.5</v>
      </c>
      <c r="G447" s="695">
        <f>'IP 5D2 FETipos de tratamiento'!$J$22</f>
        <v>2.5000000000000001E-2</v>
      </c>
      <c r="H447" s="283">
        <f t="shared" si="80"/>
        <v>1.9588229374999999</v>
      </c>
      <c r="I447" s="281"/>
      <c r="K447" s="273"/>
    </row>
    <row r="448" spans="2:11" ht="14.25" customHeight="1">
      <c r="B448" s="239">
        <v>2000</v>
      </c>
      <c r="C448" s="354">
        <f>SUM('IP 5D2 2021'!X93:X97)</f>
        <v>2984281</v>
      </c>
      <c r="D448" s="283">
        <f>+('Fac Conv'!$I$14+'Fac Conv'!$J$14)/2</f>
        <v>13</v>
      </c>
      <c r="E448" s="283">
        <f>'Fac Conv'!$K$14</f>
        <v>2.5</v>
      </c>
      <c r="F448" s="283">
        <f t="shared" si="79"/>
        <v>96989132.5</v>
      </c>
      <c r="G448" s="695">
        <f>'IP 5D2 FETipos de tratamiento'!$J$22</f>
        <v>2.5000000000000001E-2</v>
      </c>
      <c r="H448" s="283">
        <f t="shared" si="80"/>
        <v>2.4247283125000001</v>
      </c>
      <c r="I448" s="273"/>
      <c r="K448" s="273"/>
    </row>
    <row r="449" spans="2:11" ht="14.25" customHeight="1">
      <c r="B449" s="239">
        <v>2001</v>
      </c>
      <c r="C449" s="354">
        <f>SUM('IP 5D2 2021'!Z93:Z97)</f>
        <v>2123203</v>
      </c>
      <c r="D449" s="283">
        <f>+('Fac Conv'!$I$14+'Fac Conv'!$J$14)/2</f>
        <v>13</v>
      </c>
      <c r="E449" s="283">
        <f>'Fac Conv'!$K$14</f>
        <v>2.5</v>
      </c>
      <c r="F449" s="283">
        <f t="shared" si="79"/>
        <v>69004097.5</v>
      </c>
      <c r="G449" s="695">
        <f>'IP 5D2 FETipos de tratamiento'!$J$22</f>
        <v>2.5000000000000001E-2</v>
      </c>
      <c r="H449" s="283">
        <f t="shared" si="80"/>
        <v>1.7251024374999999</v>
      </c>
      <c r="I449" s="273"/>
      <c r="K449" s="273"/>
    </row>
    <row r="450" spans="2:11" ht="14.25" customHeight="1">
      <c r="B450" s="239">
        <v>2002</v>
      </c>
      <c r="C450" s="354">
        <f>SUM('IP 5D2 2021'!AB93:AB97)</f>
        <v>2163825</v>
      </c>
      <c r="D450" s="283">
        <f>+('Fac Conv'!$I$14+'Fac Conv'!$J$14)/2</f>
        <v>13</v>
      </c>
      <c r="E450" s="283">
        <f>'Fac Conv'!$K$14</f>
        <v>2.5</v>
      </c>
      <c r="F450" s="283">
        <f t="shared" si="79"/>
        <v>70324312.5</v>
      </c>
      <c r="G450" s="695">
        <f>'IP 5D2 FETipos de tratamiento'!$J$22</f>
        <v>2.5000000000000001E-2</v>
      </c>
      <c r="H450" s="283">
        <f t="shared" si="80"/>
        <v>1.7581078125</v>
      </c>
      <c r="I450" s="273"/>
      <c r="K450" s="273"/>
    </row>
    <row r="451" spans="2:11" ht="14.25" customHeight="1">
      <c r="B451" s="239">
        <v>2003</v>
      </c>
      <c r="C451" s="354">
        <f>SUM('IP 5D2 2021'!AD93:AD97)</f>
        <v>1637195</v>
      </c>
      <c r="D451" s="283">
        <f>+('Fac Conv'!$I$14+'Fac Conv'!$J$14)/2</f>
        <v>13</v>
      </c>
      <c r="E451" s="283">
        <f>'Fac Conv'!$K$14</f>
        <v>2.5</v>
      </c>
      <c r="F451" s="283">
        <f t="shared" si="79"/>
        <v>53208837.5</v>
      </c>
      <c r="G451" s="695">
        <f>'IP 5D2 FETipos de tratamiento'!$J$22</f>
        <v>2.5000000000000001E-2</v>
      </c>
      <c r="H451" s="283">
        <f t="shared" si="80"/>
        <v>1.3302209375</v>
      </c>
      <c r="I451" s="273"/>
      <c r="K451" s="273"/>
    </row>
    <row r="452" spans="2:11" ht="14.25" customHeight="1">
      <c r="B452" s="239">
        <v>2004</v>
      </c>
      <c r="C452" s="354">
        <f>SUM('IP 5D2 2021'!AF93:AF97)</f>
        <v>2525277</v>
      </c>
      <c r="D452" s="283">
        <f>+('Fac Conv'!$I$14+'Fac Conv'!$J$14)/2</f>
        <v>13</v>
      </c>
      <c r="E452" s="283">
        <f>'Fac Conv'!$K$14</f>
        <v>2.5</v>
      </c>
      <c r="F452" s="283">
        <f t="shared" si="79"/>
        <v>82071502.5</v>
      </c>
      <c r="G452" s="695">
        <f>'IP 5D2 FETipos de tratamiento'!$J$22</f>
        <v>2.5000000000000001E-2</v>
      </c>
      <c r="H452" s="283">
        <f t="shared" si="80"/>
        <v>2.0517875624999999</v>
      </c>
      <c r="I452" s="273"/>
      <c r="K452" s="273"/>
    </row>
    <row r="453" spans="2:11" ht="14.25" customHeight="1">
      <c r="B453" s="239">
        <v>2005</v>
      </c>
      <c r="C453" s="354">
        <f>SUM('IP 5D2 2021'!AH93:AH97)</f>
        <v>2435174</v>
      </c>
      <c r="D453" s="283">
        <f>+('Fac Conv'!$I$14+'Fac Conv'!$J$14)/2</f>
        <v>13</v>
      </c>
      <c r="E453" s="283">
        <f>'Fac Conv'!$K$14</f>
        <v>2.5</v>
      </c>
      <c r="F453" s="283">
        <f t="shared" si="79"/>
        <v>79143155</v>
      </c>
      <c r="G453" s="695">
        <f>'IP 5D2 FETipos de tratamiento'!$J$22</f>
        <v>2.5000000000000001E-2</v>
      </c>
      <c r="H453" s="283">
        <f t="shared" si="80"/>
        <v>1.978578875</v>
      </c>
      <c r="I453" s="273"/>
      <c r="K453" s="273"/>
    </row>
    <row r="454" spans="2:11" ht="14.25" customHeight="1">
      <c r="B454" s="239">
        <v>2006</v>
      </c>
      <c r="C454" s="354">
        <f>SUM('IP 5D2 2021'!AJ93:AJ97)</f>
        <v>1972479</v>
      </c>
      <c r="D454" s="283">
        <f>+('Fac Conv'!$I$14+'Fac Conv'!$J$14)/2</f>
        <v>13</v>
      </c>
      <c r="E454" s="283">
        <f>'Fac Conv'!$K$14</f>
        <v>2.5</v>
      </c>
      <c r="F454" s="283">
        <f t="shared" si="79"/>
        <v>64105567.5</v>
      </c>
      <c r="G454" s="695">
        <f>'IP 5D2 FETipos de tratamiento'!$J$22</f>
        <v>2.5000000000000001E-2</v>
      </c>
      <c r="H454" s="283">
        <f t="shared" si="80"/>
        <v>1.6026391874999999</v>
      </c>
      <c r="I454" s="273"/>
      <c r="K454" s="273"/>
    </row>
    <row r="455" spans="2:11" ht="14.25" customHeight="1">
      <c r="B455" s="239">
        <v>2007</v>
      </c>
      <c r="C455" s="354">
        <f>SUM('IP 5D2 2021'!AL93:AL97)</f>
        <v>2074132</v>
      </c>
      <c r="D455" s="283">
        <f>+('Fac Conv'!$I$14+'Fac Conv'!$J$14)/2</f>
        <v>13</v>
      </c>
      <c r="E455" s="283">
        <f>'Fac Conv'!$K$14</f>
        <v>2.5</v>
      </c>
      <c r="F455" s="283">
        <f t="shared" si="79"/>
        <v>67409290</v>
      </c>
      <c r="G455" s="695">
        <f>'IP 5D2 FETipos de tratamiento'!$J$22</f>
        <v>2.5000000000000001E-2</v>
      </c>
      <c r="H455" s="283">
        <f t="shared" si="80"/>
        <v>1.6852322500000001</v>
      </c>
      <c r="I455" s="273"/>
      <c r="K455" s="273"/>
    </row>
    <row r="456" spans="2:11" ht="14.25" customHeight="1">
      <c r="B456" s="239">
        <v>2008</v>
      </c>
      <c r="C456" s="354">
        <f>SUM('IP 5D2 2021'!AN93:AN97)</f>
        <v>2138222</v>
      </c>
      <c r="D456" s="283">
        <f>+('Fac Conv'!$I$14+'Fac Conv'!$J$14)/2</f>
        <v>13</v>
      </c>
      <c r="E456" s="283">
        <f>'Fac Conv'!$K$14</f>
        <v>2.5</v>
      </c>
      <c r="F456" s="283">
        <f t="shared" si="79"/>
        <v>69492215</v>
      </c>
      <c r="G456" s="695">
        <f>'IP 5D2 FETipos de tratamiento'!$J$22</f>
        <v>2.5000000000000001E-2</v>
      </c>
      <c r="H456" s="283">
        <f t="shared" si="80"/>
        <v>1.737305375</v>
      </c>
      <c r="I456" s="273"/>
      <c r="K456" s="273"/>
    </row>
    <row r="457" spans="2:11" ht="14.25" customHeight="1">
      <c r="B457" s="239">
        <v>2009</v>
      </c>
      <c r="C457" s="354">
        <f>SUM('IP 5D2 2021'!AP93:AP97)</f>
        <v>1990278</v>
      </c>
      <c r="D457" s="283">
        <f>+('Fac Conv'!$I$14+'Fac Conv'!$J$14)/2</f>
        <v>13</v>
      </c>
      <c r="E457" s="283">
        <f>'Fac Conv'!$K$14</f>
        <v>2.5</v>
      </c>
      <c r="F457" s="283">
        <f t="shared" si="79"/>
        <v>64684035</v>
      </c>
      <c r="G457" s="695">
        <f>'IP 5D2 FETipos de tratamiento'!$J$22</f>
        <v>2.5000000000000001E-2</v>
      </c>
      <c r="H457" s="283">
        <f t="shared" si="80"/>
        <v>1.617100875</v>
      </c>
      <c r="I457" s="273"/>
      <c r="K457" s="273"/>
    </row>
    <row r="458" spans="2:11" ht="14.25" customHeight="1">
      <c r="B458" s="239">
        <v>2010</v>
      </c>
      <c r="C458" s="354">
        <f>SUM('IP 5D2 2021'!AR93:AR97)</f>
        <v>1272188</v>
      </c>
      <c r="D458" s="283">
        <f>+('Fac Conv'!$I$14+'Fac Conv'!$J$14)/2</f>
        <v>13</v>
      </c>
      <c r="E458" s="283">
        <f>'Fac Conv'!$K$14</f>
        <v>2.5</v>
      </c>
      <c r="F458" s="283">
        <f t="shared" si="79"/>
        <v>41346110</v>
      </c>
      <c r="G458" s="695">
        <f>'IP 5D2 FETipos de tratamiento'!$J$22</f>
        <v>2.5000000000000001E-2</v>
      </c>
      <c r="H458" s="283">
        <f t="shared" si="80"/>
        <v>1.0336527499999999</v>
      </c>
      <c r="I458" s="273"/>
      <c r="K458" s="273"/>
    </row>
    <row r="459" spans="2:11" ht="14.25" customHeight="1">
      <c r="B459" s="239">
        <v>2011</v>
      </c>
      <c r="C459" s="354">
        <f>SUM('IP 5D2 2021'!AT93:AT97)</f>
        <v>2466189</v>
      </c>
      <c r="D459" s="283">
        <f>+('Fac Conv'!$I$14+'Fac Conv'!$J$14)/2</f>
        <v>13</v>
      </c>
      <c r="E459" s="283">
        <f>'Fac Conv'!$K$14</f>
        <v>2.5</v>
      </c>
      <c r="F459" s="283">
        <f t="shared" si="79"/>
        <v>80151142.5</v>
      </c>
      <c r="G459" s="695">
        <f>'IP 5D2 FETipos de tratamiento'!$J$22</f>
        <v>2.5000000000000001E-2</v>
      </c>
      <c r="H459" s="283">
        <f t="shared" si="80"/>
        <v>2.0037785625</v>
      </c>
      <c r="I459" s="273"/>
      <c r="K459" s="273"/>
    </row>
    <row r="460" spans="2:11" ht="14.25" customHeight="1">
      <c r="B460" s="239">
        <v>2012</v>
      </c>
      <c r="C460" s="354">
        <f>SUM('IP 5D2 2021'!AV93:AV97)</f>
        <v>1510385</v>
      </c>
      <c r="D460" s="283">
        <f>+('Fac Conv'!$I$14+'Fac Conv'!$J$14)/2</f>
        <v>13</v>
      </c>
      <c r="E460" s="283">
        <f>'Fac Conv'!$K$14</f>
        <v>2.5</v>
      </c>
      <c r="F460" s="283">
        <f t="shared" si="79"/>
        <v>49087512.5</v>
      </c>
      <c r="G460" s="695">
        <f>'IP 5D2 FETipos de tratamiento'!$J$22</f>
        <v>2.5000000000000001E-2</v>
      </c>
      <c r="H460" s="283">
        <f t="shared" si="80"/>
        <v>1.2271878125</v>
      </c>
      <c r="I460" s="273"/>
      <c r="K460" s="273"/>
    </row>
    <row r="461" spans="2:11" ht="14.25" customHeight="1">
      <c r="B461" s="239">
        <v>2013</v>
      </c>
      <c r="C461" s="354">
        <f>SUM('IP 5D2 2021'!AX93:AX97)</f>
        <v>1731891</v>
      </c>
      <c r="D461" s="283">
        <f>+('Fac Conv'!$I$14+'Fac Conv'!$J$14)/2</f>
        <v>13</v>
      </c>
      <c r="E461" s="283">
        <f>'Fac Conv'!$K$14</f>
        <v>2.5</v>
      </c>
      <c r="F461" s="283">
        <f t="shared" si="79"/>
        <v>56286457.5</v>
      </c>
      <c r="G461" s="695">
        <f>'IP 5D2 FETipos de tratamiento'!$J$22</f>
        <v>2.5000000000000001E-2</v>
      </c>
      <c r="H461" s="283">
        <f t="shared" si="80"/>
        <v>1.4071614374999999</v>
      </c>
      <c r="I461" s="273"/>
      <c r="K461" s="273"/>
    </row>
    <row r="462" spans="2:11" ht="14.25" customHeight="1">
      <c r="B462" s="239">
        <v>2014</v>
      </c>
      <c r="C462" s="354">
        <f>SUM('IP 5D2 2021'!AZ93:AZ97)</f>
        <v>1102103</v>
      </c>
      <c r="D462" s="283">
        <f>+('Fac Conv'!$I$14+'Fac Conv'!$J$14)/2</f>
        <v>13</v>
      </c>
      <c r="E462" s="283">
        <f>'Fac Conv'!$K$14</f>
        <v>2.5</v>
      </c>
      <c r="F462" s="283">
        <f t="shared" si="79"/>
        <v>35818347.5</v>
      </c>
      <c r="G462" s="695">
        <f>'IP 5D2 FETipos de tratamiento'!$J$22</f>
        <v>2.5000000000000001E-2</v>
      </c>
      <c r="H462" s="283">
        <f t="shared" si="80"/>
        <v>0.89545868750000002</v>
      </c>
      <c r="I462" s="273"/>
      <c r="K462" s="273"/>
    </row>
    <row r="463" spans="2:11" ht="14.25" customHeight="1">
      <c r="B463" s="239">
        <v>2015</v>
      </c>
      <c r="C463" s="354">
        <f>SUM('IP 5D2 2021'!BB93:BB97)</f>
        <v>1366181</v>
      </c>
      <c r="D463" s="283">
        <f>+('Fac Conv'!$I$14+'Fac Conv'!$J$14)/2</f>
        <v>13</v>
      </c>
      <c r="E463" s="283">
        <f>'Fac Conv'!$K$14</f>
        <v>2.5</v>
      </c>
      <c r="F463" s="283">
        <f t="shared" si="79"/>
        <v>44400882.5</v>
      </c>
      <c r="G463" s="695">
        <f>'IP 5D2 FETipos de tratamiento'!$J$22</f>
        <v>2.5000000000000001E-2</v>
      </c>
      <c r="H463" s="283">
        <f t="shared" si="80"/>
        <v>1.1100220624999999</v>
      </c>
      <c r="I463" s="273"/>
      <c r="K463" s="273"/>
    </row>
    <row r="464" spans="2:11" ht="14.25" customHeight="1">
      <c r="B464" s="239">
        <v>2016</v>
      </c>
      <c r="C464" s="354">
        <f>SUM('IP 5D2 2021'!BD93:BD97)</f>
        <v>1116088</v>
      </c>
      <c r="D464" s="283">
        <f>+('Fac Conv'!$I$14+'Fac Conv'!$J$14)/2</f>
        <v>13</v>
      </c>
      <c r="E464" s="283">
        <f>'Fac Conv'!$K$14</f>
        <v>2.5</v>
      </c>
      <c r="F464" s="283">
        <f t="shared" si="79"/>
        <v>36272860</v>
      </c>
      <c r="G464" s="695">
        <f>'IP 5D2 FETipos de tratamiento'!$J$22</f>
        <v>2.5000000000000001E-2</v>
      </c>
      <c r="H464" s="283">
        <f t="shared" si="80"/>
        <v>0.90682149999999995</v>
      </c>
      <c r="I464" s="273"/>
      <c r="K464" s="273"/>
    </row>
    <row r="465" spans="2:11" ht="14.25" customHeight="1">
      <c r="B465" s="239">
        <v>2017</v>
      </c>
      <c r="C465" s="354">
        <f>SUM('IP 5D2 2021'!BF93:BF97)</f>
        <v>1202451</v>
      </c>
      <c r="D465" s="283">
        <f>+('Fac Conv'!$I$14+'Fac Conv'!$J$14)/2</f>
        <v>13</v>
      </c>
      <c r="E465" s="283">
        <f>'Fac Conv'!$K$14</f>
        <v>2.5</v>
      </c>
      <c r="F465" s="283">
        <f t="shared" si="79"/>
        <v>39079657.5</v>
      </c>
      <c r="G465" s="695">
        <f>'IP 5D2 FETipos de tratamiento'!$J$22</f>
        <v>2.5000000000000001E-2</v>
      </c>
      <c r="H465" s="283">
        <f t="shared" si="80"/>
        <v>0.97699143749999995</v>
      </c>
      <c r="I465" s="273"/>
      <c r="K465" s="273"/>
    </row>
    <row r="466" spans="2:11" ht="14.25" customHeight="1">
      <c r="B466" s="239">
        <v>2018</v>
      </c>
      <c r="C466" s="354">
        <f>SUM('IP 5D2 2021'!BH93:BH97)</f>
        <v>2111858</v>
      </c>
      <c r="D466" s="283">
        <f>+('Fac Conv'!$I$14+'Fac Conv'!$J$14)/2</f>
        <v>13</v>
      </c>
      <c r="E466" s="283">
        <f>'Fac Conv'!$K$14</f>
        <v>2.5</v>
      </c>
      <c r="F466" s="283">
        <f t="shared" si="79"/>
        <v>68635385</v>
      </c>
      <c r="G466" s="695">
        <f>'IP 5D2 FETipos de tratamiento'!$J$22</f>
        <v>2.5000000000000001E-2</v>
      </c>
      <c r="H466" s="283">
        <f t="shared" si="80"/>
        <v>1.7158846249999999</v>
      </c>
      <c r="I466" s="273"/>
      <c r="K466" s="273"/>
    </row>
    <row r="467" spans="2:11" ht="14.25" customHeight="1">
      <c r="B467" s="239">
        <v>2019</v>
      </c>
      <c r="C467" s="354">
        <f>SUM('IP 5D2 2021'!BJ93:BJ97)</f>
        <v>1511153</v>
      </c>
      <c r="D467" s="283">
        <f>+('Fac Conv'!$I$14+'Fac Conv'!$J$14)/2</f>
        <v>13</v>
      </c>
      <c r="E467" s="283">
        <f>'Fac Conv'!$K$14</f>
        <v>2.5</v>
      </c>
      <c r="F467" s="283">
        <f t="shared" si="79"/>
        <v>49112472.5</v>
      </c>
      <c r="G467" s="695">
        <f>'IP 5D2 FETipos de tratamiento'!$J$22</f>
        <v>2.5000000000000001E-2</v>
      </c>
      <c r="H467" s="283">
        <f t="shared" si="80"/>
        <v>1.2278118124999999</v>
      </c>
      <c r="I467" s="273"/>
      <c r="K467" s="273"/>
    </row>
    <row r="468" spans="2:11" ht="14.25" customHeight="1">
      <c r="B468" s="239">
        <v>2020</v>
      </c>
      <c r="C468" s="354">
        <f>SUM('IP 5D2 2021'!BL93:BL97)</f>
        <v>1797632</v>
      </c>
      <c r="D468" s="283">
        <f>+('Fac Conv'!$I$14+'Fac Conv'!$J$14)/2</f>
        <v>13</v>
      </c>
      <c r="E468" s="283">
        <f>'Fac Conv'!$K$14</f>
        <v>2.5</v>
      </c>
      <c r="F468" s="283">
        <f t="shared" si="79"/>
        <v>58423040</v>
      </c>
      <c r="G468" s="695">
        <f>'IP 5D2 FETipos de tratamiento'!$J$22</f>
        <v>2.5000000000000001E-2</v>
      </c>
      <c r="H468" s="283">
        <f t="shared" si="80"/>
        <v>1.4605760000000001</v>
      </c>
      <c r="I468" s="273"/>
      <c r="K468" s="273"/>
    </row>
    <row r="469" spans="2:11" ht="14.25" customHeight="1">
      <c r="B469" s="239">
        <v>2021</v>
      </c>
      <c r="C469" s="354">
        <f>SUM('IP 5D2 2021'!BN93:BN97)</f>
        <v>2029546</v>
      </c>
      <c r="D469" s="283">
        <f>+('Fac Conv'!$I$14+'Fac Conv'!$J$14)/2</f>
        <v>13</v>
      </c>
      <c r="E469" s="283">
        <f>'Fac Conv'!$K$14</f>
        <v>2.5</v>
      </c>
      <c r="F469" s="283">
        <f t="shared" si="79"/>
        <v>65960245</v>
      </c>
      <c r="G469" s="695">
        <f>'IP 5D2 FETipos de tratamiento'!$J$22</f>
        <v>2.5000000000000001E-2</v>
      </c>
      <c r="H469" s="283">
        <f t="shared" ref="H469:H470" si="81">(F469*G469)/1000000</f>
        <v>1.6490061250000001</v>
      </c>
      <c r="I469" s="273"/>
      <c r="K469" s="273"/>
    </row>
    <row r="470" spans="2:11" ht="14.25" customHeight="1">
      <c r="B470" s="239">
        <v>2022</v>
      </c>
      <c r="C470" s="354">
        <f>SUM('IP 5D2 2021'!BP93:BP97)</f>
        <v>1640511</v>
      </c>
      <c r="D470" s="283">
        <f>+('Fac Conv'!$I$14+'Fac Conv'!$J$14)/2</f>
        <v>13</v>
      </c>
      <c r="E470" s="283">
        <f>'Fac Conv'!$K$14</f>
        <v>2.5</v>
      </c>
      <c r="F470" s="283">
        <f t="shared" ref="F470" si="82">C470*D470*E470</f>
        <v>53316607.5</v>
      </c>
      <c r="G470" s="695">
        <f>'IP 5D2 FETipos de tratamiento'!$J$22</f>
        <v>2.5000000000000001E-2</v>
      </c>
      <c r="H470" s="283">
        <f t="shared" si="81"/>
        <v>1.3329151875</v>
      </c>
      <c r="I470" s="273"/>
      <c r="K470" s="273"/>
    </row>
    <row r="471" spans="2:11" ht="14.25" customHeight="1">
      <c r="B471" s="8" t="s">
        <v>714</v>
      </c>
      <c r="C471" s="284"/>
      <c r="D471" s="240"/>
      <c r="E471" s="240"/>
      <c r="F471" s="32"/>
      <c r="G471" s="32"/>
      <c r="H471" s="32"/>
      <c r="I471" s="273"/>
      <c r="K471" s="273"/>
    </row>
  </sheetData>
  <mergeCells count="23">
    <mergeCell ref="J69:K69"/>
    <mergeCell ref="J70:K70"/>
    <mergeCell ref="J71:K71"/>
    <mergeCell ref="J72:K72"/>
    <mergeCell ref="J73:K73"/>
    <mergeCell ref="J64:K64"/>
    <mergeCell ref="J65:K65"/>
    <mergeCell ref="J66:K66"/>
    <mergeCell ref="J67:K67"/>
    <mergeCell ref="J68:K68"/>
    <mergeCell ref="J59:K59"/>
    <mergeCell ref="J60:K60"/>
    <mergeCell ref="J61:K61"/>
    <mergeCell ref="J62:K62"/>
    <mergeCell ref="J63:K63"/>
    <mergeCell ref="J58:M58"/>
    <mergeCell ref="X14:Y14"/>
    <mergeCell ref="J12:Q12"/>
    <mergeCell ref="B12:I12"/>
    <mergeCell ref="B6:I6"/>
    <mergeCell ref="C8:E8"/>
    <mergeCell ref="C9:E9"/>
    <mergeCell ref="C10:E10"/>
  </mergeCells>
  <pageMargins left="0.7" right="0.7" top="0.75" bottom="0.75" header="0.3" footer="0.3"/>
  <pageSetup paperSize="9" orientation="portrait"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548235"/>
  </sheetPr>
  <dimension ref="B2:G26"/>
  <sheetViews>
    <sheetView zoomScaleNormal="100" workbookViewId="0">
      <selection activeCell="G11" sqref="G11"/>
    </sheetView>
  </sheetViews>
  <sheetFormatPr baseColWidth="10" defaultRowHeight="15"/>
  <cols>
    <col min="1" max="1" width="1.85546875" style="385" customWidth="1"/>
    <col min="2" max="2" width="18.7109375" style="385" customWidth="1"/>
    <col min="3" max="3" width="34.5703125" style="385" customWidth="1"/>
    <col min="4" max="4" width="32.140625" style="385" customWidth="1"/>
    <col min="5" max="5" width="26" style="385" customWidth="1"/>
    <col min="6" max="6" width="20.28515625" style="385" customWidth="1"/>
    <col min="7" max="7" width="15.140625" style="385" customWidth="1"/>
    <col min="8" max="256" width="11.42578125" style="385"/>
    <col min="257" max="257" width="1.85546875" style="385" customWidth="1"/>
    <col min="258" max="258" width="18.7109375" style="385" customWidth="1"/>
    <col min="259" max="259" width="43.85546875" style="385" customWidth="1"/>
    <col min="260" max="260" width="13.85546875" style="385" customWidth="1"/>
    <col min="261" max="261" width="26" style="385" customWidth="1"/>
    <col min="262" max="262" width="20.28515625" style="385" customWidth="1"/>
    <col min="263" max="263" width="15.140625" style="385" customWidth="1"/>
    <col min="264" max="512" width="11.42578125" style="385"/>
    <col min="513" max="513" width="1.85546875" style="385" customWidth="1"/>
    <col min="514" max="514" width="18.7109375" style="385" customWidth="1"/>
    <col min="515" max="515" width="43.85546875" style="385" customWidth="1"/>
    <col min="516" max="516" width="13.85546875" style="385" customWidth="1"/>
    <col min="517" max="517" width="26" style="385" customWidth="1"/>
    <col min="518" max="518" width="20.28515625" style="385" customWidth="1"/>
    <col min="519" max="519" width="15.140625" style="385" customWidth="1"/>
    <col min="520" max="768" width="11.42578125" style="385"/>
    <col min="769" max="769" width="1.85546875" style="385" customWidth="1"/>
    <col min="770" max="770" width="18.7109375" style="385" customWidth="1"/>
    <col min="771" max="771" width="43.85546875" style="385" customWidth="1"/>
    <col min="772" max="772" width="13.85546875" style="385" customWidth="1"/>
    <col min="773" max="773" width="26" style="385" customWidth="1"/>
    <col min="774" max="774" width="20.28515625" style="385" customWidth="1"/>
    <col min="775" max="775" width="15.140625" style="385" customWidth="1"/>
    <col min="776" max="1024" width="11.42578125" style="385"/>
    <col min="1025" max="1025" width="1.85546875" style="385" customWidth="1"/>
    <col min="1026" max="1026" width="18.7109375" style="385" customWidth="1"/>
    <col min="1027" max="1027" width="43.85546875" style="385" customWidth="1"/>
    <col min="1028" max="1028" width="13.85546875" style="385" customWidth="1"/>
    <col min="1029" max="1029" width="26" style="385" customWidth="1"/>
    <col min="1030" max="1030" width="20.28515625" style="385" customWidth="1"/>
    <col min="1031" max="1031" width="15.140625" style="385" customWidth="1"/>
    <col min="1032" max="1280" width="11.42578125" style="385"/>
    <col min="1281" max="1281" width="1.85546875" style="385" customWidth="1"/>
    <col min="1282" max="1282" width="18.7109375" style="385" customWidth="1"/>
    <col min="1283" max="1283" width="43.85546875" style="385" customWidth="1"/>
    <col min="1284" max="1284" width="13.85546875" style="385" customWidth="1"/>
    <col min="1285" max="1285" width="26" style="385" customWidth="1"/>
    <col min="1286" max="1286" width="20.28515625" style="385" customWidth="1"/>
    <col min="1287" max="1287" width="15.140625" style="385" customWidth="1"/>
    <col min="1288" max="1536" width="11.42578125" style="385"/>
    <col min="1537" max="1537" width="1.85546875" style="385" customWidth="1"/>
    <col min="1538" max="1538" width="18.7109375" style="385" customWidth="1"/>
    <col min="1539" max="1539" width="43.85546875" style="385" customWidth="1"/>
    <col min="1540" max="1540" width="13.85546875" style="385" customWidth="1"/>
    <col min="1541" max="1541" width="26" style="385" customWidth="1"/>
    <col min="1542" max="1542" width="20.28515625" style="385" customWidth="1"/>
    <col min="1543" max="1543" width="15.140625" style="385" customWidth="1"/>
    <col min="1544" max="1792" width="11.42578125" style="385"/>
    <col min="1793" max="1793" width="1.85546875" style="385" customWidth="1"/>
    <col min="1794" max="1794" width="18.7109375" style="385" customWidth="1"/>
    <col min="1795" max="1795" width="43.85546875" style="385" customWidth="1"/>
    <col min="1796" max="1796" width="13.85546875" style="385" customWidth="1"/>
    <col min="1797" max="1797" width="26" style="385" customWidth="1"/>
    <col min="1798" max="1798" width="20.28515625" style="385" customWidth="1"/>
    <col min="1799" max="1799" width="15.140625" style="385" customWidth="1"/>
    <col min="1800" max="2048" width="11.42578125" style="385"/>
    <col min="2049" max="2049" width="1.85546875" style="385" customWidth="1"/>
    <col min="2050" max="2050" width="18.7109375" style="385" customWidth="1"/>
    <col min="2051" max="2051" width="43.85546875" style="385" customWidth="1"/>
    <col min="2052" max="2052" width="13.85546875" style="385" customWidth="1"/>
    <col min="2053" max="2053" width="26" style="385" customWidth="1"/>
    <col min="2054" max="2054" width="20.28515625" style="385" customWidth="1"/>
    <col min="2055" max="2055" width="15.140625" style="385" customWidth="1"/>
    <col min="2056" max="2304" width="11.42578125" style="385"/>
    <col min="2305" max="2305" width="1.85546875" style="385" customWidth="1"/>
    <col min="2306" max="2306" width="18.7109375" style="385" customWidth="1"/>
    <col min="2307" max="2307" width="43.85546875" style="385" customWidth="1"/>
    <col min="2308" max="2308" width="13.85546875" style="385" customWidth="1"/>
    <col min="2309" max="2309" width="26" style="385" customWidth="1"/>
    <col min="2310" max="2310" width="20.28515625" style="385" customWidth="1"/>
    <col min="2311" max="2311" width="15.140625" style="385" customWidth="1"/>
    <col min="2312" max="2560" width="11.42578125" style="385"/>
    <col min="2561" max="2561" width="1.85546875" style="385" customWidth="1"/>
    <col min="2562" max="2562" width="18.7109375" style="385" customWidth="1"/>
    <col min="2563" max="2563" width="43.85546875" style="385" customWidth="1"/>
    <col min="2564" max="2564" width="13.85546875" style="385" customWidth="1"/>
    <col min="2565" max="2565" width="26" style="385" customWidth="1"/>
    <col min="2566" max="2566" width="20.28515625" style="385" customWidth="1"/>
    <col min="2567" max="2567" width="15.140625" style="385" customWidth="1"/>
    <col min="2568" max="2816" width="11.42578125" style="385"/>
    <col min="2817" max="2817" width="1.85546875" style="385" customWidth="1"/>
    <col min="2818" max="2818" width="18.7109375" style="385" customWidth="1"/>
    <col min="2819" max="2819" width="43.85546875" style="385" customWidth="1"/>
    <col min="2820" max="2820" width="13.85546875" style="385" customWidth="1"/>
    <col min="2821" max="2821" width="26" style="385" customWidth="1"/>
    <col min="2822" max="2822" width="20.28515625" style="385" customWidth="1"/>
    <col min="2823" max="2823" width="15.140625" style="385" customWidth="1"/>
    <col min="2824" max="3072" width="11.42578125" style="385"/>
    <col min="3073" max="3073" width="1.85546875" style="385" customWidth="1"/>
    <col min="3074" max="3074" width="18.7109375" style="385" customWidth="1"/>
    <col min="3075" max="3075" width="43.85546875" style="385" customWidth="1"/>
    <col min="3076" max="3076" width="13.85546875" style="385" customWidth="1"/>
    <col min="3077" max="3077" width="26" style="385" customWidth="1"/>
    <col min="3078" max="3078" width="20.28515625" style="385" customWidth="1"/>
    <col min="3079" max="3079" width="15.140625" style="385" customWidth="1"/>
    <col min="3080" max="3328" width="11.42578125" style="385"/>
    <col min="3329" max="3329" width="1.85546875" style="385" customWidth="1"/>
    <col min="3330" max="3330" width="18.7109375" style="385" customWidth="1"/>
    <col min="3331" max="3331" width="43.85546875" style="385" customWidth="1"/>
    <col min="3332" max="3332" width="13.85546875" style="385" customWidth="1"/>
    <col min="3333" max="3333" width="26" style="385" customWidth="1"/>
    <col min="3334" max="3334" width="20.28515625" style="385" customWidth="1"/>
    <col min="3335" max="3335" width="15.140625" style="385" customWidth="1"/>
    <col min="3336" max="3584" width="11.42578125" style="385"/>
    <col min="3585" max="3585" width="1.85546875" style="385" customWidth="1"/>
    <col min="3586" max="3586" width="18.7109375" style="385" customWidth="1"/>
    <col min="3587" max="3587" width="43.85546875" style="385" customWidth="1"/>
    <col min="3588" max="3588" width="13.85546875" style="385" customWidth="1"/>
    <col min="3589" max="3589" width="26" style="385" customWidth="1"/>
    <col min="3590" max="3590" width="20.28515625" style="385" customWidth="1"/>
    <col min="3591" max="3591" width="15.140625" style="385" customWidth="1"/>
    <col min="3592" max="3840" width="11.42578125" style="385"/>
    <col min="3841" max="3841" width="1.85546875" style="385" customWidth="1"/>
    <col min="3842" max="3842" width="18.7109375" style="385" customWidth="1"/>
    <col min="3843" max="3843" width="43.85546875" style="385" customWidth="1"/>
    <col min="3844" max="3844" width="13.85546875" style="385" customWidth="1"/>
    <col min="3845" max="3845" width="26" style="385" customWidth="1"/>
    <col min="3846" max="3846" width="20.28515625" style="385" customWidth="1"/>
    <col min="3847" max="3847" width="15.140625" style="385" customWidth="1"/>
    <col min="3848" max="4096" width="11.42578125" style="385"/>
    <col min="4097" max="4097" width="1.85546875" style="385" customWidth="1"/>
    <col min="4098" max="4098" width="18.7109375" style="385" customWidth="1"/>
    <col min="4099" max="4099" width="43.85546875" style="385" customWidth="1"/>
    <col min="4100" max="4100" width="13.85546875" style="385" customWidth="1"/>
    <col min="4101" max="4101" width="26" style="385" customWidth="1"/>
    <col min="4102" max="4102" width="20.28515625" style="385" customWidth="1"/>
    <col min="4103" max="4103" width="15.140625" style="385" customWidth="1"/>
    <col min="4104" max="4352" width="11.42578125" style="385"/>
    <col min="4353" max="4353" width="1.85546875" style="385" customWidth="1"/>
    <col min="4354" max="4354" width="18.7109375" style="385" customWidth="1"/>
    <col min="4355" max="4355" width="43.85546875" style="385" customWidth="1"/>
    <col min="4356" max="4356" width="13.85546875" style="385" customWidth="1"/>
    <col min="4357" max="4357" width="26" style="385" customWidth="1"/>
    <col min="4358" max="4358" width="20.28515625" style="385" customWidth="1"/>
    <col min="4359" max="4359" width="15.140625" style="385" customWidth="1"/>
    <col min="4360" max="4608" width="11.42578125" style="385"/>
    <col min="4609" max="4609" width="1.85546875" style="385" customWidth="1"/>
    <col min="4610" max="4610" width="18.7109375" style="385" customWidth="1"/>
    <col min="4611" max="4611" width="43.85546875" style="385" customWidth="1"/>
    <col min="4612" max="4612" width="13.85546875" style="385" customWidth="1"/>
    <col min="4613" max="4613" width="26" style="385" customWidth="1"/>
    <col min="4614" max="4614" width="20.28515625" style="385" customWidth="1"/>
    <col min="4615" max="4615" width="15.140625" style="385" customWidth="1"/>
    <col min="4616" max="4864" width="11.42578125" style="385"/>
    <col min="4865" max="4865" width="1.85546875" style="385" customWidth="1"/>
    <col min="4866" max="4866" width="18.7109375" style="385" customWidth="1"/>
    <col min="4867" max="4867" width="43.85546875" style="385" customWidth="1"/>
    <col min="4868" max="4868" width="13.85546875" style="385" customWidth="1"/>
    <col min="4869" max="4869" width="26" style="385" customWidth="1"/>
    <col min="4870" max="4870" width="20.28515625" style="385" customWidth="1"/>
    <col min="4871" max="4871" width="15.140625" style="385" customWidth="1"/>
    <col min="4872" max="5120" width="11.42578125" style="385"/>
    <col min="5121" max="5121" width="1.85546875" style="385" customWidth="1"/>
    <col min="5122" max="5122" width="18.7109375" style="385" customWidth="1"/>
    <col min="5123" max="5123" width="43.85546875" style="385" customWidth="1"/>
    <col min="5124" max="5124" width="13.85546875" style="385" customWidth="1"/>
    <col min="5125" max="5125" width="26" style="385" customWidth="1"/>
    <col min="5126" max="5126" width="20.28515625" style="385" customWidth="1"/>
    <col min="5127" max="5127" width="15.140625" style="385" customWidth="1"/>
    <col min="5128" max="5376" width="11.42578125" style="385"/>
    <col min="5377" max="5377" width="1.85546875" style="385" customWidth="1"/>
    <col min="5378" max="5378" width="18.7109375" style="385" customWidth="1"/>
    <col min="5379" max="5379" width="43.85546875" style="385" customWidth="1"/>
    <col min="5380" max="5380" width="13.85546875" style="385" customWidth="1"/>
    <col min="5381" max="5381" width="26" style="385" customWidth="1"/>
    <col min="5382" max="5382" width="20.28515625" style="385" customWidth="1"/>
    <col min="5383" max="5383" width="15.140625" style="385" customWidth="1"/>
    <col min="5384" max="5632" width="11.42578125" style="385"/>
    <col min="5633" max="5633" width="1.85546875" style="385" customWidth="1"/>
    <col min="5634" max="5634" width="18.7109375" style="385" customWidth="1"/>
    <col min="5635" max="5635" width="43.85546875" style="385" customWidth="1"/>
    <col min="5636" max="5636" width="13.85546875" style="385" customWidth="1"/>
    <col min="5637" max="5637" width="26" style="385" customWidth="1"/>
    <col min="5638" max="5638" width="20.28515625" style="385" customWidth="1"/>
    <col min="5639" max="5639" width="15.140625" style="385" customWidth="1"/>
    <col min="5640" max="5888" width="11.42578125" style="385"/>
    <col min="5889" max="5889" width="1.85546875" style="385" customWidth="1"/>
    <col min="5890" max="5890" width="18.7109375" style="385" customWidth="1"/>
    <col min="5891" max="5891" width="43.85546875" style="385" customWidth="1"/>
    <col min="5892" max="5892" width="13.85546875" style="385" customWidth="1"/>
    <col min="5893" max="5893" width="26" style="385" customWidth="1"/>
    <col min="5894" max="5894" width="20.28515625" style="385" customWidth="1"/>
    <col min="5895" max="5895" width="15.140625" style="385" customWidth="1"/>
    <col min="5896" max="6144" width="11.42578125" style="385"/>
    <col min="6145" max="6145" width="1.85546875" style="385" customWidth="1"/>
    <col min="6146" max="6146" width="18.7109375" style="385" customWidth="1"/>
    <col min="6147" max="6147" width="43.85546875" style="385" customWidth="1"/>
    <col min="6148" max="6148" width="13.85546875" style="385" customWidth="1"/>
    <col min="6149" max="6149" width="26" style="385" customWidth="1"/>
    <col min="6150" max="6150" width="20.28515625" style="385" customWidth="1"/>
    <col min="6151" max="6151" width="15.140625" style="385" customWidth="1"/>
    <col min="6152" max="6400" width="11.42578125" style="385"/>
    <col min="6401" max="6401" width="1.85546875" style="385" customWidth="1"/>
    <col min="6402" max="6402" width="18.7109375" style="385" customWidth="1"/>
    <col min="6403" max="6403" width="43.85546875" style="385" customWidth="1"/>
    <col min="6404" max="6404" width="13.85546875" style="385" customWidth="1"/>
    <col min="6405" max="6405" width="26" style="385" customWidth="1"/>
    <col min="6406" max="6406" width="20.28515625" style="385" customWidth="1"/>
    <col min="6407" max="6407" width="15.140625" style="385" customWidth="1"/>
    <col min="6408" max="6656" width="11.42578125" style="385"/>
    <col min="6657" max="6657" width="1.85546875" style="385" customWidth="1"/>
    <col min="6658" max="6658" width="18.7109375" style="385" customWidth="1"/>
    <col min="6659" max="6659" width="43.85546875" style="385" customWidth="1"/>
    <col min="6660" max="6660" width="13.85546875" style="385" customWidth="1"/>
    <col min="6661" max="6661" width="26" style="385" customWidth="1"/>
    <col min="6662" max="6662" width="20.28515625" style="385" customWidth="1"/>
    <col min="6663" max="6663" width="15.140625" style="385" customWidth="1"/>
    <col min="6664" max="6912" width="11.42578125" style="385"/>
    <col min="6913" max="6913" width="1.85546875" style="385" customWidth="1"/>
    <col min="6914" max="6914" width="18.7109375" style="385" customWidth="1"/>
    <col min="6915" max="6915" width="43.85546875" style="385" customWidth="1"/>
    <col min="6916" max="6916" width="13.85546875" style="385" customWidth="1"/>
    <col min="6917" max="6917" width="26" style="385" customWidth="1"/>
    <col min="6918" max="6918" width="20.28515625" style="385" customWidth="1"/>
    <col min="6919" max="6919" width="15.140625" style="385" customWidth="1"/>
    <col min="6920" max="7168" width="11.42578125" style="385"/>
    <col min="7169" max="7169" width="1.85546875" style="385" customWidth="1"/>
    <col min="7170" max="7170" width="18.7109375" style="385" customWidth="1"/>
    <col min="7171" max="7171" width="43.85546875" style="385" customWidth="1"/>
    <col min="7172" max="7172" width="13.85546875" style="385" customWidth="1"/>
    <col min="7173" max="7173" width="26" style="385" customWidth="1"/>
    <col min="7174" max="7174" width="20.28515625" style="385" customWidth="1"/>
    <col min="7175" max="7175" width="15.140625" style="385" customWidth="1"/>
    <col min="7176" max="7424" width="11.42578125" style="385"/>
    <col min="7425" max="7425" width="1.85546875" style="385" customWidth="1"/>
    <col min="7426" max="7426" width="18.7109375" style="385" customWidth="1"/>
    <col min="7427" max="7427" width="43.85546875" style="385" customWidth="1"/>
    <col min="7428" max="7428" width="13.85546875" style="385" customWidth="1"/>
    <col min="7429" max="7429" width="26" style="385" customWidth="1"/>
    <col min="7430" max="7430" width="20.28515625" style="385" customWidth="1"/>
    <col min="7431" max="7431" width="15.140625" style="385" customWidth="1"/>
    <col min="7432" max="7680" width="11.42578125" style="385"/>
    <col min="7681" max="7681" width="1.85546875" style="385" customWidth="1"/>
    <col min="7682" max="7682" width="18.7109375" style="385" customWidth="1"/>
    <col min="7683" max="7683" width="43.85546875" style="385" customWidth="1"/>
    <col min="7684" max="7684" width="13.85546875" style="385" customWidth="1"/>
    <col min="7685" max="7685" width="26" style="385" customWidth="1"/>
    <col min="7686" max="7686" width="20.28515625" style="385" customWidth="1"/>
    <col min="7687" max="7687" width="15.140625" style="385" customWidth="1"/>
    <col min="7688" max="7936" width="11.42578125" style="385"/>
    <col min="7937" max="7937" width="1.85546875" style="385" customWidth="1"/>
    <col min="7938" max="7938" width="18.7109375" style="385" customWidth="1"/>
    <col min="7939" max="7939" width="43.85546875" style="385" customWidth="1"/>
    <col min="7940" max="7940" width="13.85546875" style="385" customWidth="1"/>
    <col min="7941" max="7941" width="26" style="385" customWidth="1"/>
    <col min="7942" max="7942" width="20.28515625" style="385" customWidth="1"/>
    <col min="7943" max="7943" width="15.140625" style="385" customWidth="1"/>
    <col min="7944" max="8192" width="11.42578125" style="385"/>
    <col min="8193" max="8193" width="1.85546875" style="385" customWidth="1"/>
    <col min="8194" max="8194" width="18.7109375" style="385" customWidth="1"/>
    <col min="8195" max="8195" width="43.85546875" style="385" customWidth="1"/>
    <col min="8196" max="8196" width="13.85546875" style="385" customWidth="1"/>
    <col min="8197" max="8197" width="26" style="385" customWidth="1"/>
    <col min="8198" max="8198" width="20.28515625" style="385" customWidth="1"/>
    <col min="8199" max="8199" width="15.140625" style="385" customWidth="1"/>
    <col min="8200" max="8448" width="11.42578125" style="385"/>
    <col min="8449" max="8449" width="1.85546875" style="385" customWidth="1"/>
    <col min="8450" max="8450" width="18.7109375" style="385" customWidth="1"/>
    <col min="8451" max="8451" width="43.85546875" style="385" customWidth="1"/>
    <col min="8452" max="8452" width="13.85546875" style="385" customWidth="1"/>
    <col min="8453" max="8453" width="26" style="385" customWidth="1"/>
    <col min="8454" max="8454" width="20.28515625" style="385" customWidth="1"/>
    <col min="8455" max="8455" width="15.140625" style="385" customWidth="1"/>
    <col min="8456" max="8704" width="11.42578125" style="385"/>
    <col min="8705" max="8705" width="1.85546875" style="385" customWidth="1"/>
    <col min="8706" max="8706" width="18.7109375" style="385" customWidth="1"/>
    <col min="8707" max="8707" width="43.85546875" style="385" customWidth="1"/>
    <col min="8708" max="8708" width="13.85546875" style="385" customWidth="1"/>
    <col min="8709" max="8709" width="26" style="385" customWidth="1"/>
    <col min="8710" max="8710" width="20.28515625" style="385" customWidth="1"/>
    <col min="8711" max="8711" width="15.140625" style="385" customWidth="1"/>
    <col min="8712" max="8960" width="11.42578125" style="385"/>
    <col min="8961" max="8961" width="1.85546875" style="385" customWidth="1"/>
    <col min="8962" max="8962" width="18.7109375" style="385" customWidth="1"/>
    <col min="8963" max="8963" width="43.85546875" style="385" customWidth="1"/>
    <col min="8964" max="8964" width="13.85546875" style="385" customWidth="1"/>
    <col min="8965" max="8965" width="26" style="385" customWidth="1"/>
    <col min="8966" max="8966" width="20.28515625" style="385" customWidth="1"/>
    <col min="8967" max="8967" width="15.140625" style="385" customWidth="1"/>
    <col min="8968" max="9216" width="11.42578125" style="385"/>
    <col min="9217" max="9217" width="1.85546875" style="385" customWidth="1"/>
    <col min="9218" max="9218" width="18.7109375" style="385" customWidth="1"/>
    <col min="9219" max="9219" width="43.85546875" style="385" customWidth="1"/>
    <col min="9220" max="9220" width="13.85546875" style="385" customWidth="1"/>
    <col min="9221" max="9221" width="26" style="385" customWidth="1"/>
    <col min="9222" max="9222" width="20.28515625" style="385" customWidth="1"/>
    <col min="9223" max="9223" width="15.140625" style="385" customWidth="1"/>
    <col min="9224" max="9472" width="11.42578125" style="385"/>
    <col min="9473" max="9473" width="1.85546875" style="385" customWidth="1"/>
    <col min="9474" max="9474" width="18.7109375" style="385" customWidth="1"/>
    <col min="9475" max="9475" width="43.85546875" style="385" customWidth="1"/>
    <col min="9476" max="9476" width="13.85546875" style="385" customWidth="1"/>
    <col min="9477" max="9477" width="26" style="385" customWidth="1"/>
    <col min="9478" max="9478" width="20.28515625" style="385" customWidth="1"/>
    <col min="9479" max="9479" width="15.140625" style="385" customWidth="1"/>
    <col min="9480" max="9728" width="11.42578125" style="385"/>
    <col min="9729" max="9729" width="1.85546875" style="385" customWidth="1"/>
    <col min="9730" max="9730" width="18.7109375" style="385" customWidth="1"/>
    <col min="9731" max="9731" width="43.85546875" style="385" customWidth="1"/>
    <col min="9732" max="9732" width="13.85546875" style="385" customWidth="1"/>
    <col min="9733" max="9733" width="26" style="385" customWidth="1"/>
    <col min="9734" max="9734" width="20.28515625" style="385" customWidth="1"/>
    <col min="9735" max="9735" width="15.140625" style="385" customWidth="1"/>
    <col min="9736" max="9984" width="11.42578125" style="385"/>
    <col min="9985" max="9985" width="1.85546875" style="385" customWidth="1"/>
    <col min="9986" max="9986" width="18.7109375" style="385" customWidth="1"/>
    <col min="9987" max="9987" width="43.85546875" style="385" customWidth="1"/>
    <col min="9988" max="9988" width="13.85546875" style="385" customWidth="1"/>
    <col min="9989" max="9989" width="26" style="385" customWidth="1"/>
    <col min="9990" max="9990" width="20.28515625" style="385" customWidth="1"/>
    <col min="9991" max="9991" width="15.140625" style="385" customWidth="1"/>
    <col min="9992" max="10240" width="11.42578125" style="385"/>
    <col min="10241" max="10241" width="1.85546875" style="385" customWidth="1"/>
    <col min="10242" max="10242" width="18.7109375" style="385" customWidth="1"/>
    <col min="10243" max="10243" width="43.85546875" style="385" customWidth="1"/>
    <col min="10244" max="10244" width="13.85546875" style="385" customWidth="1"/>
    <col min="10245" max="10245" width="26" style="385" customWidth="1"/>
    <col min="10246" max="10246" width="20.28515625" style="385" customWidth="1"/>
    <col min="10247" max="10247" width="15.140625" style="385" customWidth="1"/>
    <col min="10248" max="10496" width="11.42578125" style="385"/>
    <col min="10497" max="10497" width="1.85546875" style="385" customWidth="1"/>
    <col min="10498" max="10498" width="18.7109375" style="385" customWidth="1"/>
    <col min="10499" max="10499" width="43.85546875" style="385" customWidth="1"/>
    <col min="10500" max="10500" width="13.85546875" style="385" customWidth="1"/>
    <col min="10501" max="10501" width="26" style="385" customWidth="1"/>
    <col min="10502" max="10502" width="20.28515625" style="385" customWidth="1"/>
    <col min="10503" max="10503" width="15.140625" style="385" customWidth="1"/>
    <col min="10504" max="10752" width="11.42578125" style="385"/>
    <col min="10753" max="10753" width="1.85546875" style="385" customWidth="1"/>
    <col min="10754" max="10754" width="18.7109375" style="385" customWidth="1"/>
    <col min="10755" max="10755" width="43.85546875" style="385" customWidth="1"/>
    <col min="10756" max="10756" width="13.85546875" style="385" customWidth="1"/>
    <col min="10757" max="10757" width="26" style="385" customWidth="1"/>
    <col min="10758" max="10758" width="20.28515625" style="385" customWidth="1"/>
    <col min="10759" max="10759" width="15.140625" style="385" customWidth="1"/>
    <col min="10760" max="11008" width="11.42578125" style="385"/>
    <col min="11009" max="11009" width="1.85546875" style="385" customWidth="1"/>
    <col min="11010" max="11010" width="18.7109375" style="385" customWidth="1"/>
    <col min="11011" max="11011" width="43.85546875" style="385" customWidth="1"/>
    <col min="11012" max="11012" width="13.85546875" style="385" customWidth="1"/>
    <col min="11013" max="11013" width="26" style="385" customWidth="1"/>
    <col min="11014" max="11014" width="20.28515625" style="385" customWidth="1"/>
    <col min="11015" max="11015" width="15.140625" style="385" customWidth="1"/>
    <col min="11016" max="11264" width="11.42578125" style="385"/>
    <col min="11265" max="11265" width="1.85546875" style="385" customWidth="1"/>
    <col min="11266" max="11266" width="18.7109375" style="385" customWidth="1"/>
    <col min="11267" max="11267" width="43.85546875" style="385" customWidth="1"/>
    <col min="11268" max="11268" width="13.85546875" style="385" customWidth="1"/>
    <col min="11269" max="11269" width="26" style="385" customWidth="1"/>
    <col min="11270" max="11270" width="20.28515625" style="385" customWidth="1"/>
    <col min="11271" max="11271" width="15.140625" style="385" customWidth="1"/>
    <col min="11272" max="11520" width="11.42578125" style="385"/>
    <col min="11521" max="11521" width="1.85546875" style="385" customWidth="1"/>
    <col min="11522" max="11522" width="18.7109375" style="385" customWidth="1"/>
    <col min="11523" max="11523" width="43.85546875" style="385" customWidth="1"/>
    <col min="11524" max="11524" width="13.85546875" style="385" customWidth="1"/>
    <col min="11525" max="11525" width="26" style="385" customWidth="1"/>
    <col min="11526" max="11526" width="20.28515625" style="385" customWidth="1"/>
    <col min="11527" max="11527" width="15.140625" style="385" customWidth="1"/>
    <col min="11528" max="11776" width="11.42578125" style="385"/>
    <col min="11777" max="11777" width="1.85546875" style="385" customWidth="1"/>
    <col min="11778" max="11778" width="18.7109375" style="385" customWidth="1"/>
    <col min="11779" max="11779" width="43.85546875" style="385" customWidth="1"/>
    <col min="11780" max="11780" width="13.85546875" style="385" customWidth="1"/>
    <col min="11781" max="11781" width="26" style="385" customWidth="1"/>
    <col min="11782" max="11782" width="20.28515625" style="385" customWidth="1"/>
    <col min="11783" max="11783" width="15.140625" style="385" customWidth="1"/>
    <col min="11784" max="12032" width="11.42578125" style="385"/>
    <col min="12033" max="12033" width="1.85546875" style="385" customWidth="1"/>
    <col min="12034" max="12034" width="18.7109375" style="385" customWidth="1"/>
    <col min="12035" max="12035" width="43.85546875" style="385" customWidth="1"/>
    <col min="12036" max="12036" width="13.85546875" style="385" customWidth="1"/>
    <col min="12037" max="12037" width="26" style="385" customWidth="1"/>
    <col min="12038" max="12038" width="20.28515625" style="385" customWidth="1"/>
    <col min="12039" max="12039" width="15.140625" style="385" customWidth="1"/>
    <col min="12040" max="12288" width="11.42578125" style="385"/>
    <col min="12289" max="12289" width="1.85546875" style="385" customWidth="1"/>
    <col min="12290" max="12290" width="18.7109375" style="385" customWidth="1"/>
    <col min="12291" max="12291" width="43.85546875" style="385" customWidth="1"/>
    <col min="12292" max="12292" width="13.85546875" style="385" customWidth="1"/>
    <col min="12293" max="12293" width="26" style="385" customWidth="1"/>
    <col min="12294" max="12294" width="20.28515625" style="385" customWidth="1"/>
    <col min="12295" max="12295" width="15.140625" style="385" customWidth="1"/>
    <col min="12296" max="12544" width="11.42578125" style="385"/>
    <col min="12545" max="12545" width="1.85546875" style="385" customWidth="1"/>
    <col min="12546" max="12546" width="18.7109375" style="385" customWidth="1"/>
    <col min="12547" max="12547" width="43.85546875" style="385" customWidth="1"/>
    <col min="12548" max="12548" width="13.85546875" style="385" customWidth="1"/>
    <col min="12549" max="12549" width="26" style="385" customWidth="1"/>
    <col min="12550" max="12550" width="20.28515625" style="385" customWidth="1"/>
    <col min="12551" max="12551" width="15.140625" style="385" customWidth="1"/>
    <col min="12552" max="12800" width="11.42578125" style="385"/>
    <col min="12801" max="12801" width="1.85546875" style="385" customWidth="1"/>
    <col min="12802" max="12802" width="18.7109375" style="385" customWidth="1"/>
    <col min="12803" max="12803" width="43.85546875" style="385" customWidth="1"/>
    <col min="12804" max="12804" width="13.85546875" style="385" customWidth="1"/>
    <col min="12805" max="12805" width="26" style="385" customWidth="1"/>
    <col min="12806" max="12806" width="20.28515625" style="385" customWidth="1"/>
    <col min="12807" max="12807" width="15.140625" style="385" customWidth="1"/>
    <col min="12808" max="13056" width="11.42578125" style="385"/>
    <col min="13057" max="13057" width="1.85546875" style="385" customWidth="1"/>
    <col min="13058" max="13058" width="18.7109375" style="385" customWidth="1"/>
    <col min="13059" max="13059" width="43.85546875" style="385" customWidth="1"/>
    <col min="13060" max="13060" width="13.85546875" style="385" customWidth="1"/>
    <col min="13061" max="13061" width="26" style="385" customWidth="1"/>
    <col min="13062" max="13062" width="20.28515625" style="385" customWidth="1"/>
    <col min="13063" max="13063" width="15.140625" style="385" customWidth="1"/>
    <col min="13064" max="13312" width="11.42578125" style="385"/>
    <col min="13313" max="13313" width="1.85546875" style="385" customWidth="1"/>
    <col min="13314" max="13314" width="18.7109375" style="385" customWidth="1"/>
    <col min="13315" max="13315" width="43.85546875" style="385" customWidth="1"/>
    <col min="13316" max="13316" width="13.85546875" style="385" customWidth="1"/>
    <col min="13317" max="13317" width="26" style="385" customWidth="1"/>
    <col min="13318" max="13318" width="20.28515625" style="385" customWidth="1"/>
    <col min="13319" max="13319" width="15.140625" style="385" customWidth="1"/>
    <col min="13320" max="13568" width="11.42578125" style="385"/>
    <col min="13569" max="13569" width="1.85546875" style="385" customWidth="1"/>
    <col min="13570" max="13570" width="18.7109375" style="385" customWidth="1"/>
    <col min="13571" max="13571" width="43.85546875" style="385" customWidth="1"/>
    <col min="13572" max="13572" width="13.85546875" style="385" customWidth="1"/>
    <col min="13573" max="13573" width="26" style="385" customWidth="1"/>
    <col min="13574" max="13574" width="20.28515625" style="385" customWidth="1"/>
    <col min="13575" max="13575" width="15.140625" style="385" customWidth="1"/>
    <col min="13576" max="13824" width="11.42578125" style="385"/>
    <col min="13825" max="13825" width="1.85546875" style="385" customWidth="1"/>
    <col min="13826" max="13826" width="18.7109375" style="385" customWidth="1"/>
    <col min="13827" max="13827" width="43.85546875" style="385" customWidth="1"/>
    <col min="13828" max="13828" width="13.85546875" style="385" customWidth="1"/>
    <col min="13829" max="13829" width="26" style="385" customWidth="1"/>
    <col min="13830" max="13830" width="20.28515625" style="385" customWidth="1"/>
    <col min="13831" max="13831" width="15.140625" style="385" customWidth="1"/>
    <col min="13832" max="14080" width="11.42578125" style="385"/>
    <col min="14081" max="14081" width="1.85546875" style="385" customWidth="1"/>
    <col min="14082" max="14082" width="18.7109375" style="385" customWidth="1"/>
    <col min="14083" max="14083" width="43.85546875" style="385" customWidth="1"/>
    <col min="14084" max="14084" width="13.85546875" style="385" customWidth="1"/>
    <col min="14085" max="14085" width="26" style="385" customWidth="1"/>
    <col min="14086" max="14086" width="20.28515625" style="385" customWidth="1"/>
    <col min="14087" max="14087" width="15.140625" style="385" customWidth="1"/>
    <col min="14088" max="14336" width="11.42578125" style="385"/>
    <col min="14337" max="14337" width="1.85546875" style="385" customWidth="1"/>
    <col min="14338" max="14338" width="18.7109375" style="385" customWidth="1"/>
    <col min="14339" max="14339" width="43.85546875" style="385" customWidth="1"/>
    <col min="14340" max="14340" width="13.85546875" style="385" customWidth="1"/>
    <col min="14341" max="14341" width="26" style="385" customWidth="1"/>
    <col min="14342" max="14342" width="20.28515625" style="385" customWidth="1"/>
    <col min="14343" max="14343" width="15.140625" style="385" customWidth="1"/>
    <col min="14344" max="14592" width="11.42578125" style="385"/>
    <col min="14593" max="14593" width="1.85546875" style="385" customWidth="1"/>
    <col min="14594" max="14594" width="18.7109375" style="385" customWidth="1"/>
    <col min="14595" max="14595" width="43.85546875" style="385" customWidth="1"/>
    <col min="14596" max="14596" width="13.85546875" style="385" customWidth="1"/>
    <col min="14597" max="14597" width="26" style="385" customWidth="1"/>
    <col min="14598" max="14598" width="20.28515625" style="385" customWidth="1"/>
    <col min="14599" max="14599" width="15.140625" style="385" customWidth="1"/>
    <col min="14600" max="14848" width="11.42578125" style="385"/>
    <col min="14849" max="14849" width="1.85546875" style="385" customWidth="1"/>
    <col min="14850" max="14850" width="18.7109375" style="385" customWidth="1"/>
    <col min="14851" max="14851" width="43.85546875" style="385" customWidth="1"/>
    <col min="14852" max="14852" width="13.85546875" style="385" customWidth="1"/>
    <col min="14853" max="14853" width="26" style="385" customWidth="1"/>
    <col min="14854" max="14854" width="20.28515625" style="385" customWidth="1"/>
    <col min="14855" max="14855" width="15.140625" style="385" customWidth="1"/>
    <col min="14856" max="15104" width="11.42578125" style="385"/>
    <col min="15105" max="15105" width="1.85546875" style="385" customWidth="1"/>
    <col min="15106" max="15106" width="18.7109375" style="385" customWidth="1"/>
    <col min="15107" max="15107" width="43.85546875" style="385" customWidth="1"/>
    <col min="15108" max="15108" width="13.85546875" style="385" customWidth="1"/>
    <col min="15109" max="15109" width="26" style="385" customWidth="1"/>
    <col min="15110" max="15110" width="20.28515625" style="385" customWidth="1"/>
    <col min="15111" max="15111" width="15.140625" style="385" customWidth="1"/>
    <col min="15112" max="15360" width="11.42578125" style="385"/>
    <col min="15361" max="15361" width="1.85546875" style="385" customWidth="1"/>
    <col min="15362" max="15362" width="18.7109375" style="385" customWidth="1"/>
    <col min="15363" max="15363" width="43.85546875" style="385" customWidth="1"/>
    <col min="15364" max="15364" width="13.85546875" style="385" customWidth="1"/>
    <col min="15365" max="15365" width="26" style="385" customWidth="1"/>
    <col min="15366" max="15366" width="20.28515625" style="385" customWidth="1"/>
    <col min="15367" max="15367" width="15.140625" style="385" customWidth="1"/>
    <col min="15368" max="15616" width="11.42578125" style="385"/>
    <col min="15617" max="15617" width="1.85546875" style="385" customWidth="1"/>
    <col min="15618" max="15618" width="18.7109375" style="385" customWidth="1"/>
    <col min="15619" max="15619" width="43.85546875" style="385" customWidth="1"/>
    <col min="15620" max="15620" width="13.85546875" style="385" customWidth="1"/>
    <col min="15621" max="15621" width="26" style="385" customWidth="1"/>
    <col min="15622" max="15622" width="20.28515625" style="385" customWidth="1"/>
    <col min="15623" max="15623" width="15.140625" style="385" customWidth="1"/>
    <col min="15624" max="15872" width="11.42578125" style="385"/>
    <col min="15873" max="15873" width="1.85546875" style="385" customWidth="1"/>
    <col min="15874" max="15874" width="18.7109375" style="385" customWidth="1"/>
    <col min="15875" max="15875" width="43.85546875" style="385" customWidth="1"/>
    <col min="15876" max="15876" width="13.85546875" style="385" customWidth="1"/>
    <col min="15877" max="15877" width="26" style="385" customWidth="1"/>
    <col min="15878" max="15878" width="20.28515625" style="385" customWidth="1"/>
    <col min="15879" max="15879" width="15.140625" style="385" customWidth="1"/>
    <col min="15880" max="16128" width="11.42578125" style="385"/>
    <col min="16129" max="16129" width="1.85546875" style="385" customWidth="1"/>
    <col min="16130" max="16130" width="18.7109375" style="385" customWidth="1"/>
    <col min="16131" max="16131" width="43.85546875" style="385" customWidth="1"/>
    <col min="16132" max="16132" width="13.85546875" style="385" customWidth="1"/>
    <col min="16133" max="16133" width="26" style="385" customWidth="1"/>
    <col min="16134" max="16134" width="20.28515625" style="385" customWidth="1"/>
    <col min="16135" max="16135" width="15.140625" style="385" customWidth="1"/>
    <col min="16136" max="16384" width="11.42578125" style="385"/>
  </cols>
  <sheetData>
    <row r="2" spans="2:7">
      <c r="B2" s="836" t="s">
        <v>618</v>
      </c>
      <c r="C2" s="836"/>
      <c r="D2" s="836"/>
      <c r="E2" s="836"/>
      <c r="F2" s="836"/>
    </row>
    <row r="3" spans="2:7">
      <c r="B3" s="386"/>
      <c r="C3" s="386"/>
      <c r="D3" s="386"/>
      <c r="E3" s="386"/>
      <c r="F3" s="386"/>
    </row>
    <row r="4" spans="2:7">
      <c r="B4" s="387" t="s">
        <v>518</v>
      </c>
      <c r="C4" s="388" t="s">
        <v>129</v>
      </c>
      <c r="D4" s="389"/>
      <c r="E4" s="389"/>
      <c r="F4" s="390"/>
    </row>
    <row r="5" spans="2:7">
      <c r="B5" s="387" t="s">
        <v>519</v>
      </c>
      <c r="C5" s="412" t="s">
        <v>132</v>
      </c>
      <c r="D5" s="391"/>
      <c r="E5" s="391"/>
      <c r="F5" s="392"/>
    </row>
    <row r="6" spans="2:7">
      <c r="B6" s="387" t="s">
        <v>520</v>
      </c>
      <c r="C6" s="413" t="s">
        <v>628</v>
      </c>
      <c r="D6" s="393"/>
      <c r="E6" s="393"/>
      <c r="F6" s="394"/>
    </row>
    <row r="8" spans="2:7" ht="15.75" thickBot="1"/>
    <row r="9" spans="2:7" ht="30.75" thickBot="1">
      <c r="B9" s="395"/>
      <c r="C9" s="395"/>
      <c r="D9" s="395"/>
      <c r="E9" s="395"/>
      <c r="F9" s="396" t="s">
        <v>619</v>
      </c>
      <c r="G9" s="397" t="s">
        <v>620</v>
      </c>
    </row>
    <row r="10" spans="2:7" ht="57.75" customHeight="1" thickBot="1">
      <c r="B10" s="396" t="s">
        <v>621</v>
      </c>
      <c r="C10" s="398" t="s">
        <v>622</v>
      </c>
      <c r="D10" s="398" t="s">
        <v>519</v>
      </c>
      <c r="E10" s="399" t="s">
        <v>637</v>
      </c>
      <c r="F10" s="400" t="s">
        <v>636</v>
      </c>
      <c r="G10" s="401" t="s">
        <v>623</v>
      </c>
    </row>
    <row r="11" spans="2:7" s="404" customFormat="1" ht="32.25" customHeight="1">
      <c r="B11" s="414" t="s">
        <v>628</v>
      </c>
      <c r="C11" s="402" t="s">
        <v>129</v>
      </c>
      <c r="D11" s="415" t="s">
        <v>132</v>
      </c>
      <c r="E11" s="403">
        <f>('GEI SERIE ANUAL'!C49*'GEI SERIE ANUAL'!D49)+('GEI SERIE ANUAL'!C84*'GEI SERIE ANUAL'!D84)+('GEI SERIE ANUAL'!C119+'GEI SERIE ANUAL'!D119)+('GEI SERIE ANUAL'!C154*'GEI SERIE ANUAL'!D154)+('GEI SERIE ANUAL'!C189*'GEI SERIE ANUAL'!D189)+('GEI SERIE ANUAL'!C224*'GEI SERIE ANUAL'!D224)+('GEI SERIE ANUAL'!C259*'GEI SERIE ANUAL'!D259)+('GEI SERIE ANUAL'!C294*'GEI SERIE ANUAL'!D294)+('GEI SERIE ANUAL'!C329*'GEI SERIE ANUAL'!D329)+('GEI SERIE ANUAL'!C364*'GEI SERIE ANUAL'!D364)+('GEI SERIE ANUAL'!C399*'GEI SERIE ANUAL'!D399)+('GEI SERIE ANUAL'!C434*'GEI SERIE ANUAL'!D434)+('GEI SERIE ANUAL'!C469*'GEI SERIE ANUAL'!D469)</f>
        <v>157508212.0841372</v>
      </c>
      <c r="F11" s="403">
        <f>E25</f>
        <v>15</v>
      </c>
      <c r="G11" s="416">
        <f>E11*F11/1000000000000</f>
        <v>2.3626231812620582E-3</v>
      </c>
    </row>
    <row r="12" spans="2:7" ht="15.75" thickBot="1">
      <c r="B12" s="837" t="s">
        <v>624</v>
      </c>
      <c r="C12" s="838"/>
      <c r="D12" s="838"/>
      <c r="E12" s="405">
        <f>SUM(E11:E11)</f>
        <v>157508212.0841372</v>
      </c>
      <c r="F12" s="405"/>
      <c r="G12" s="417">
        <f>SUM(G11:G11)</f>
        <v>2.3626231812620582E-3</v>
      </c>
    </row>
    <row r="13" spans="2:7">
      <c r="B13" s="406" t="s">
        <v>629</v>
      </c>
    </row>
    <row r="20" spans="3:6" ht="15.75">
      <c r="C20" s="839" t="s">
        <v>625</v>
      </c>
      <c r="D20" s="839"/>
      <c r="E20" s="407" t="s">
        <v>633</v>
      </c>
    </row>
    <row r="21" spans="3:6">
      <c r="C21" s="839" t="s">
        <v>631</v>
      </c>
      <c r="D21" s="839"/>
      <c r="E21" s="407" t="s">
        <v>632</v>
      </c>
    </row>
    <row r="22" spans="3:6" ht="15.75">
      <c r="C22" s="839" t="s">
        <v>626</v>
      </c>
      <c r="D22" s="839"/>
      <c r="E22" s="407" t="s">
        <v>630</v>
      </c>
    </row>
    <row r="23" spans="3:6">
      <c r="C23" s="406" t="s">
        <v>634</v>
      </c>
      <c r="D23" s="408"/>
    </row>
    <row r="25" spans="3:6">
      <c r="C25" s="834" t="s">
        <v>627</v>
      </c>
      <c r="D25" s="835"/>
      <c r="E25" s="409">
        <v>15</v>
      </c>
      <c r="F25" s="410" t="s">
        <v>630</v>
      </c>
    </row>
    <row r="26" spans="3:6">
      <c r="C26" s="406" t="s">
        <v>635</v>
      </c>
      <c r="D26" s="411"/>
      <c r="E26" s="411"/>
    </row>
  </sheetData>
  <mergeCells count="6">
    <mergeCell ref="C25:D25"/>
    <mergeCell ref="B2:F2"/>
    <mergeCell ref="B12:D12"/>
    <mergeCell ref="C20:D20"/>
    <mergeCell ref="C21:D21"/>
    <mergeCell ref="C22:D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6e40888-4705-4068-9116-183499aada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F71C5ECEF5F5141A3126677E799D234" ma:contentTypeVersion="14" ma:contentTypeDescription="Crear nuevo documento." ma:contentTypeScope="" ma:versionID="3a3ecfefb58b4bb096d0cfa9588ea35e">
  <xsd:schema xmlns:xsd="http://www.w3.org/2001/XMLSchema" xmlns:xs="http://www.w3.org/2001/XMLSchema" xmlns:p="http://schemas.microsoft.com/office/2006/metadata/properties" xmlns:ns3="a6e40888-4705-4068-9116-183499aada4b" xmlns:ns4="a924e8b1-a508-44e0-9562-cce710e9f5be" targetNamespace="http://schemas.microsoft.com/office/2006/metadata/properties" ma:root="true" ma:fieldsID="f86ced1416d1b40f7eead18a0b7f6d00" ns3:_="" ns4:_="">
    <xsd:import namespace="a6e40888-4705-4068-9116-183499aada4b"/>
    <xsd:import namespace="a924e8b1-a508-44e0-9562-cce710e9f5be"/>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4:SharedWithUsers" minOccurs="0"/>
                <xsd:element ref="ns4:SharedWithDetails" minOccurs="0"/>
                <xsd:element ref="ns4:SharingHintHash" minOccurs="0"/>
                <xsd:element ref="ns3:MediaServiceSearchPropertie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40888-4705-4068-9116-183499aada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4e8b1-a508-44e0-9562-cce710e9f5be"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SharingHintHash" ma:index="1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39E136-2EC6-4B87-9B2E-E1329BD4F0BE}">
  <ds:schemaRefs>
    <ds:schemaRef ds:uri="http://www.w3.org/XML/1998/namespace"/>
    <ds:schemaRef ds:uri="a924e8b1-a508-44e0-9562-cce710e9f5b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a6e40888-4705-4068-9116-183499aada4b"/>
    <ds:schemaRef ds:uri="http://purl.org/dc/dcmitype/"/>
    <ds:schemaRef ds:uri="http://purl.org/dc/terms/"/>
  </ds:schemaRefs>
</ds:datastoreItem>
</file>

<file path=customXml/itemProps2.xml><?xml version="1.0" encoding="utf-8"?>
<ds:datastoreItem xmlns:ds="http://schemas.openxmlformats.org/officeDocument/2006/customXml" ds:itemID="{63B62BA4-EDE6-44FF-9F48-DD5B35933864}">
  <ds:schemaRefs>
    <ds:schemaRef ds:uri="http://schemas.microsoft.com/sharepoint/v3/contenttype/forms"/>
  </ds:schemaRefs>
</ds:datastoreItem>
</file>

<file path=customXml/itemProps3.xml><?xml version="1.0" encoding="utf-8"?>
<ds:datastoreItem xmlns:ds="http://schemas.openxmlformats.org/officeDocument/2006/customXml" ds:itemID="{00C3882E-242E-4052-AF95-8DFCB4D46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e40888-4705-4068-9116-183499aada4b"/>
    <ds:schemaRef ds:uri="a924e8b1-a508-44e0-9562-cce710e9f5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Instrucciones</vt:lpstr>
      <vt:lpstr>Características datos</vt:lpstr>
      <vt:lpstr>IB 5D2-(MYPE_I)(Pesca_A)_2021</vt:lpstr>
      <vt:lpstr>IB 5D2 - Tipos de tratamiento</vt:lpstr>
      <vt:lpstr>IP 5D2 2021</vt:lpstr>
      <vt:lpstr>IP 5D2 FETipos de tratamiento</vt:lpstr>
      <vt:lpstr>Fac Conv</vt:lpstr>
      <vt:lpstr>GEI SERIE ANUAL</vt:lpstr>
      <vt:lpstr>PGEI</vt:lpstr>
      <vt:lpstr>RESULTADOS</vt:lpstr>
      <vt:lpstr>Incertidumbre</vt:lpstr>
      <vt:lpstr>Valores Incertidumbre</vt:lpstr>
      <vt:lpstr>Table5.D(2021)</vt:lpstr>
      <vt:lpstr>'Table5.D(2021)'!Área_de_impresión</vt:lpstr>
      <vt:lpstr>'Table5.D(2021)'!Start49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DIGAMI_DGAAMI_PRODUCE</dc:creator>
  <cp:keywords/>
  <dc:description/>
  <cp:lastModifiedBy>Marco Antonio Osorio Villegas</cp:lastModifiedBy>
  <cp:revision/>
  <dcterms:created xsi:type="dcterms:W3CDTF">2015-03-20T14:34:16Z</dcterms:created>
  <dcterms:modified xsi:type="dcterms:W3CDTF">2024-12-26T21:14:07Z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0x0101003F71C5ECEF5F5141A3126677E799D234</vt:lpwstr>
  </property>
  <property fmtid="{D5CDD505-2E9C-101B-9397-08002B2CF9AE}" pid="3" name="qd_2a" linkTarget="prop_qd_2a">
    <vt:lpwstr>#¡REF!</vt:lpwstr>
  </property>
  <property fmtid="{D5CDD505-2E9C-101B-9397-08002B2CF9AE}" pid="4" name="qdr_2a" linkTarget="prop_qdr_2a">
    <vt:lpwstr>#¡REF!</vt:lpwstr>
  </property>
  <property fmtid="{D5CDD505-2E9C-101B-9397-08002B2CF9AE}" pid="5" name="MediaServiceImageTags">
    <vt:lpwstr/>
  </property>
</Properties>
</file>